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3"/>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<sst xmlns="http://schemas.openxmlformats.org/spreadsheetml/2006/main" count="1365" uniqueCount="666">
  <si>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</si>
  <si>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</si>
  <si>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</si>
  <si>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</si>
  <si>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</si>
  <si>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</si>
  <si>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</si>
  <si>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</si>
  <si>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</si>
  <si>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</si>
  <si>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</si>
  <si>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</si>
  <si>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</si>
  <si>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</si>
  <si>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</si>
  <si>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</si>
  <si>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</si>
  <si>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</si>
  <si>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</si>
  <si>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</si>
  <si>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</si>
  <si>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</si>
  <si>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</si>
  <si>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</si>
  <si>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</si>
  <si>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</si>
  <si>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</si>
  <si>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</si>
  <si>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</si>
  <si>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</si>
  <si>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</si>
  <si>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</si>
  <si>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</si>
  <si>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</si>
  <si>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</si>
  <si>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</si>
  <si>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</si>
  <si>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</si>
  <si>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</si>
  <si>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</si>
  <si>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</si>
  <si>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</si>
  <si>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</si>
  <si>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</si>
  <si>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</si>
  <si>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</si>
  <si>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</si>
  <si>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</si>
  <si>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</si>
  <si>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</si>
  <si>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</si>
  <si>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</si>
  <si>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</si>
  <si>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</si>
  <si>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</si>
  <si>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</si>
  <si>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</si>
  <si>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</si>
  <si>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</si>
  <si>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</si>
  <si>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</si>
  <si>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</si>
  <si>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</si>
  <si>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</si>
  <si>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</si>
  <si>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</si>
  <si>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</si>
  <si>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</si>
  <si>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</si>
  <si>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</si>
  <si>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</si>
  <si>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</si>
  <si>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</si>
  <si>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</si>
  <si>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</si>
  <si>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</si>
  <si>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</si>
  <si>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</si>
  <si>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</si>
  <si>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</si>
  <si>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</si>
  <si>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</si>
  <si>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</si>
  <si>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</si>
  <si>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</si>
  <si>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</si>
  <si>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</si>
  <si>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</si>
  <si>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</si>
  <si>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</si>
  <si>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</si>
  <si>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</si>
  <si>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</si>
  <si>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</si>
  <si>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</si>
  <si>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</si>
  <si>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</si>
  <si>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</si>
  <si>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</si>
  <si>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</si>
  <si>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</si>
  <si>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</si>
  <si>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</si>
  <si>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</si>
  <si>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</si>
  <si>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</si>
  <si>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</si>
  <si>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</si>
  <si>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</si>
  <si>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</si>
  <si>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</si>
  <si>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</si>
  <si>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</si>
  <si>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</si>
  <si>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</si>
  <si>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</si>
  <si>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</si>
  <si>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</si>
  <si>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</si>
  <si>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</si>
  <si>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</si>
  <si>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</si>
  <si>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</si>
  <si>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</si>
  <si>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</si>
  <si>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</si>
  <si>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</si>
  <si>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</si>
  <si>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</si>
  <si>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</si>
  <si>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</si>
  <si>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</si>
  <si>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</si>
  <si>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</si>
  <si>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</si>
  <si>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</si>
  <si>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</si>
  <si>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</si>
  <si>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</si>
  <si>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</si>
  <si>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</si>
  <si>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</si>
  <si>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</si>
  <si>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</si>
  <si>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</si>
  <si>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</si>
  <si>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</si>
  <si>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</si>
  <si>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</si>
  <si>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</si>
  <si>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</si>
  <si>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</si>
  <si>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</si>
  <si>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</si>
  <si>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</si>
  <si>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</si>
  <si>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</si>
  <si>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</si>
  <si>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</si>
  <si>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</si>
  <si>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</si>
  <si>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</si>
  <si>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</si>
  <si>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</si>
  <si>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</si>
  <si>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</si>
  <si>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</si>
  <si>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</si>
  <si>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</si>
  <si>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</si>
  <si>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</si>
  <si>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</si>
  <si>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</si>
  <si>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</si>
  <si>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</si>
  <si>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</si>
  <si>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</si>
  <si>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</si>
  <si>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</si>
  <si>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</si>
  <si>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</si>
  <si>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</si>
  <si>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</si>
  <si>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</si>
  <si>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</si>
  <si>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</si>
  <si>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</si>
  <si>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</si>
  <si>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</si>
  <si>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</si>
  <si>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</si>
  <si>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</si>
  <si>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</si>
  <si>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</si>
  <si>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</si>
  <si>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</si>
  <si>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</si>
  <si>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</si>
  <si>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</si>
  <si>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</si>
  <si>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</si>
  <si>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</si>
  <si>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</si>
  <si>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</si>
  <si>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</si>
  <si>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</si>
  <si>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</si>
  <si>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</si>
  <si>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</si>
  <si>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</si>
  <si>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</si>
  <si>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</si>
  <si>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</si>
  <si>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</si>
  <si>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</si>
  <si>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</si>
  <si>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</si>
  <si>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</si>
  <si>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</si>
  <si>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</si>
  <si>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</si>
  <si>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</si>
  <si>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</si>
  <si>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</si>
  <si>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</si>
  <si>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</si>
  <si>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</si>
  <si>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</si>
  <si>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</si>
  <si>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</si>
  <si>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</si>
  <si>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</si>
  <si>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</si>
  <si>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</si>
  <si>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</si>
  <si>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</si>
  <si>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</si>
  <si>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</si>
  <si>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</si>
  <si>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</si>
  <si>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</si>
  <si>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</si>
  <si>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</si>
  <si>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</si>
  <si>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</si>
  <si>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</si>
  <si>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</si>
  <si>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</si>
  <si>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</si>
  <si>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</si>
  <si>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</si>
  <si>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</si>
  <si>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</si>
  <si>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</si>
  <si>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</si>
  <si>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</si>
  <si>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</si>
  <si>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</si>
  <si>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</si>
  <si>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</si>
  <si>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</si>
  <si>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</si>
  <si>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</si>
  <si>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</si>
  <si>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</si>
  <si>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</si>
  <si>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</si>
  <si>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</si>
  <si>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</si>
  <si>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</si>
  <si>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</si>
  <si>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</si>
  <si>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</si>
  <si>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</si>
  <si>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</si>
  <si>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</si>
  <si>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</si>
  <si>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</si>
  <si>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</si>
  <si>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</si>
  <si>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</si>
  <si>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</si>
  <si>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</si>
  <si>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</si>
  <si>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</si>
  <si>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</si>
  <si>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</si>
  <si>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</si>
  <si>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</si>
  <si>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</si>
  <si>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</si>
  <si>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</si>
  <si>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</si>
  <si>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</si>
  <si>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</si>
  <si>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</si>
  <si>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</si>
  <si>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</si>
  <si>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</si>
  <si>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</si>
  <si>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</si>
  <si>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</si>
  <si>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</si>
  <si>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</si>
  <si>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</si>
  <si>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</si>
  <si>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</si>
  <si>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</si>
  <si>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</si>
  <si>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</si>
  <si>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</si>
  <si>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</si>
  <si>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</si>
  <si>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</si>
  <si>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</si>
  <si>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</si>
  <si>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</si>
  <si>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</si>
  <si>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</si>
  <si>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</si>
  <si>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</si>
  <si>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</si>
  <si>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</si>
  <si>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</si>
  <si>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</si>
  <si>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</si>
  <si>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</si>
  <si>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</si>
  <si>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</si>
  <si>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</si>
  <si>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</si>
  <si>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</si>
  <si>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</si>
  <si>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</si>
  <si>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</si>
  <si>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</si>
  <si>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</si>
  <si>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</si>
  <si>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</si>
  <si>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</si>
  <si>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</si>
  <si>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</si>
  <si>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</si>
  <si>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</si>
  <si>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</si>
  <si>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</si>
  <si>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</si>
  <si>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</si>
  <si>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</si>
  <si>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</si>
  <si>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</si>
  <si>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</si>
  <si>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</si>
  <si>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</si>
  <si>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</si>
  <si>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</si>
  <si>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</si>
  <si>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</si>
  <si>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</si>
  <si>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</si>
  <si>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</si>
  <si>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</si>
  <si>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</si>
  <si>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</si>
  <si>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</si>
  <si>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</si>
  <si>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</si>
  <si>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</si>
  <si>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</si>
  <si>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</si>
  <si>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</si>
  <si>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</si>
  <si>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</si>
  <si>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</si>
  <si>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</si>
  <si>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</si>
  <si>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</si>
  <si>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</si>
  <si>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</si>
  <si>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</si>
  <si>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</si>
  <si>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</si>
  <si>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</si>
  <si>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</si>
  <si>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</si>
  <si>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</si>
  <si>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</si>
  <si>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</si>
  <si>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</si>
  <si>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</si>
  <si>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</si>
  <si>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</si>
  <si>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</si>
  <si>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</si>
  <si>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</si>
  <si>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</si>
  <si>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</si>
  <si>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</si>
  <si>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</si>
  <si>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</si>
  <si>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</si>
  <si>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</si>
  <si>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</si>
  <si>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</si>
  <si>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</si>
  <si>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</si>
  <si>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</si>
  <si>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</si>
  <si>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</si>
  <si>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</si>
  <si>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</si>
  <si>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</si>
  <si>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</si>
  <si>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</si>
  <si>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</si>
  <si>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</si>
  <si>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</si>
  <si>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</si>
  <si>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</si>
  <si>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</si>
  <si>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</si>
  <si>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</si>
  <si>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</si>
  <si>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</si>
  <si>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</si>
  <si>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</si>
  <si>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</si>
  <si>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</si>
  <si>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</si>
  <si>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</si>
  <si>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</si>
  <si>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</si>
  <si>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</si>
  <si>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</si>
  <si>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</si>
  <si>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</si>
  <si>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</si>
  <si>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</si>
  <si>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</si>
  <si>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</si>
  <si>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</si>
  <si>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</si>
  <si>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</si>
  <si>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</si>
  <si>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</si>
  <si>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</si>
  <si>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</si>
  <si>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</si>
  <si>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</si>
  <si>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</si>
  <si>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</si>
  <si>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</si>
  <si>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</si>
  <si>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</si>
  <si>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</si>
  <si>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</si>
  <si>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</si>
  <si>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</si>
  <si>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</si>
  <si>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</si>
  <si>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</si>
  <si>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</si>
  <si>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</si>
  <si>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</si>
  <si>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</si>
  <si>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</si>
  <si>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</si>
  <si>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</si>
  <si>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</si>
  <si>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</si>
  <si>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</si>
  <si>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</si>
  <si>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</si>
  <si>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</si>
  <si>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</si>
  <si>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</si>
  <si>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</si>
  <si>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</si>
  <si>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</si>
  <si>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</si>
  <si>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</si>
  <si>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</si>
  <si>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</si>
  <si>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</si>
  <si>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</si>
  <si>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</si>
  <si>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</si>
  <si>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</si>
  <si>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</si>
  <si>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</si>
  <si>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</si>
  <si>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</si>
  <si>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</si>
  <si>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</si>
  <si>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</si>
  <si>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</si>
  <si>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</si>
  <si>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</si>
  <si>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</si>
  <si>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</si>
  <si>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</si>
  <si>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</si>
  <si>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</si>
  <si>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</si>
  <si>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</si>
  <si>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</si>
  <si>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</si>
  <si>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</si>
  <si>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</si>
  <si>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</si>
  <si>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</si>
  <si>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</si>
  <si>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</si>
  <si>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</si>
  <si>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</si>
  <si>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</si>
  <si>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</si>
  <si>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</si>
  <si>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</si>
  <si>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</si>
  <si>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</si>
  <si>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</si>
  <si>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</si>
  <si>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</si>
  <si>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</si>
  <si>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</si>
  <si>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</si>
  <si>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</si>
  <si>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</si>
  <si>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</si>
  <si>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</si>
  <si>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</si>
  <si>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</si>
  <si>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</si>
  <si>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</si>
  <si>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</si>
  <si>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</si>
  <si>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</si>
  <si>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</si>
  <si>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</si>
  <si>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</si>
  <si>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</si>
  <si>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</si>
  <si>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</si>
  <si>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</si>
  <si>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</si>
  <si>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</si>
  <si>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</si>
  <si>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</si>
  <si>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</si>
  <si>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</si>
  <si>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</si>
  <si>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</si>
  <si>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</si>
  <si>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</si>
  <si>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</si>
  <si>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</si>
  <si>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</si>
  <si>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</si>
  <si>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</si>
  <si>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</si>
  <si>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</si>
  <si>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</si>
  <si>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</si>
  <si>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</si>
  <si>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</si>
  <si>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</si>
  <si>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</si>
  <si>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</si>
  <si>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</si>
  <si>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</si>
  <si>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</si>
  <si>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</si>
  <si>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</si>
  <si>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</si>
  <si>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</si>
  <si>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</si>
  <si>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</si>
  <si>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</si>
  <si>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</si>
  <si>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</si>
  <si>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</si>
  <si>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</si>
  <si>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</si>
  <si>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</si>
  <si>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</si>
  <si>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</si>
  <si>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</si>
  <si>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</si>
  <si>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</si>
  <si>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</si>
  <si>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</si>
  <si>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</si>
  <si>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</si>
  <si>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</si>
  <si>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</si>
  <si>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</si>
  <si>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</si>
  <si>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</si>
  <si>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</si>
  <si>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</si>
  <si>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</si>
  <si>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</si>
  <si>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</si>
  <si>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</si>
  <si>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</si>
  <si>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</si>
  <si>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</si>
  <si>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</si>
  <si>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</si>
  <si>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</si>
  <si>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</si>
  <si>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</si>
  <si>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</si>
  <si>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</si>
  <si>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</si>
  <si>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</si>
  <si>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</si>
  <si>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</si>
  <si>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</si>
  <si>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</si>
  <si>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</si>
  <si>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</si>
  <si>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</si>
  <si>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</si>
  <si>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</si>
  <si>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</si>
  <si>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</si>
  <si>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</si>
  <si>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</si>
  <si>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</si>
  <si>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</si>
  <si>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</si>
  <si>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</si>
  <si>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</si>
  <si>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</si>
  <si>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</si>
  <si>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</si>
  <si>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</si>
  <si>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</si>
  <si>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</si>
  <si>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</si>
  <si>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</si>
  <si>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</si>
  <si>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</si>
  <si>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</si>
  <si>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</si>
  <si>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</si>
  <si>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</si>
  <si>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</si>
  <si>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</si>
  <si>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</si>
  <si>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</si>
  <si>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</si>
  <si>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</si>
  <si>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</si>
  <si>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</si>
  <si>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</si>
  <si>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</si>
  <si>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</si>
  <si>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</si>
  <si>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</si>
  <si>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</si>
  <si>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</si>
  <si>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1° DE JUNIO 2018</t>
  </si>
  <si>
    <t>JUN 1 A JUN 30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</si>
</sst>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7">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6">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0" fontId="2" fillId="25" borderId="2" xfId="30" applyFont="1" applyFill="1" applyBorder="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4" fontId="2" fillId="24" borderId="2" xfId="30" applyNumberFormat="1" applyFont="1" applyFill="1" applyBorder="1"/>
    <xf numFmtId="4" fontId="2" fillId="24" borderId="108" xfId="30" applyNumberFormat="1" applyFont="1" applyFill="1" applyBorder="1"/>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0" fontId="2" fillId="24" borderId="2" xfId="30" applyFont="1" applyFill="1" applyBorder="1" applyAlignment="1">
      <alignment horizontal="left"/>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53" fillId="0" borderId="0" xfId="21" applyFont="1" applyAlignment="1">
      <alignment horizontal="justify" wrapText="1"/>
    </xf>
    <xf numFmtId="0" fontId="30" fillId="12" borderId="13" xfId="21" applyFont="1" applyFill="1" applyBorder="1" applyAlignment="1">
      <alignment horizontal="center"/>
    </xf>
    <xf numFmtId="0" fontId="54" fillId="0" borderId="0" xfId="21" applyFont="1" applyAlignment="1">
      <alignment horizontal="left" wrapText="1"/>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31" borderId="2" xfId="30" applyFont="1" applyFill="1" applyBorder="1" applyAlignment="1">
      <alignment horizontal="left"/>
    </xf>
    <xf numFmtId="0" fontId="2" fillId="29" borderId="2" xfId="30" applyFont="1" applyFill="1" applyBorder="1" applyAlignment="1">
      <alignment horizontal="left"/>
    </xf>
    <xf numFmtId="0" fontId="2" fillId="0" borderId="108" xfId="30" applyFont="1" applyBorder="1" applyAlignment="1">
      <alignment horizontal="left"/>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2" xfId="30" applyFont="1" applyBorder="1" applyAlignment="1">
      <alignment horizontal="center"/>
    </xf>
    <xf numFmtId="0" fontId="44" fillId="0" borderId="0" xfId="0" applyFont="1" applyBorder="1" applyAlignment="1" applyProtection="1">
      <alignment horizontal="justify" vertical="top" wrapText="1"/>
      <protection hidden="1"/>
    </xf>
    <xf numFmtId="0" fontId="68" fillId="0" borderId="0" xfId="21" applyFont="1" applyAlignment="1" applyProtection="1">
      <alignment horizontal="left" vertical="center"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7" t="str">
        <f>+'COMBUSTIBLES '!A1</f>
        <v>1° DE JUNIO 2018</v>
      </c>
      <c r="C16" s="157" t="s">
        <v>278</v>
      </c>
      <c r="E16" s="587" t="s">
        <v>8</v>
      </c>
      <c r="F16" s="587"/>
      <c r="G16" s="587"/>
    </row>
    <row r="17" spans="2:12" s="150" customFormat="1">
      <c r="B17" s="587"/>
      <c r="C17" s="158" t="s">
        <v>178</v>
      </c>
      <c r="D17" s="159"/>
      <c r="E17" s="588" t="s">
        <v>178</v>
      </c>
      <c r="F17" s="588"/>
      <c r="G17" s="588"/>
    </row>
    <row r="18" spans="2:12" s="150" customFormat="1">
      <c r="B18" s="587"/>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9"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7" t="str">
        <f>B16</f>
        <v>1° DE JUNIO 2018</v>
      </c>
      <c r="C41" s="517" t="s">
        <v>380</v>
      </c>
    </row>
    <row r="42" spans="2:7">
      <c r="B42" s="587"/>
      <c r="C42" s="518" t="s">
        <v>178</v>
      </c>
    </row>
    <row r="43" spans="2:7">
      <c r="B43" s="587"/>
      <c r="C43" s="160" t="s">
        <v>182</v>
      </c>
    </row>
    <row r="44" spans="2:7">
      <c r="B44" s="154" t="s">
        <v>385</v>
      </c>
      <c r="C44" s="578">
        <f>ROUND($C$10*(1+$C$40),0)</f>
        <v>142</v>
      </c>
    </row>
    <row r="45" spans="2:7">
      <c r="B45" s="154" t="s">
        <v>18</v>
      </c>
      <c r="C45" s="578">
        <f>ROUND($C$11*(1+$C$40),0)</f>
        <v>160</v>
      </c>
    </row>
    <row r="46" spans="2:7">
      <c r="B46" s="154" t="s">
        <v>386</v>
      </c>
      <c r="C46" s="578">
        <f>ROUND($C$12*(1+$C$40),0)</f>
        <v>156</v>
      </c>
    </row>
    <row r="47" spans="2:7">
      <c r="B47" s="154" t="s">
        <v>387</v>
      </c>
      <c r="C47" s="578">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1" t="s">
        <v>13</v>
      </c>
      <c r="C1" s="701"/>
      <c r="D1" s="701"/>
      <c r="E1" s="701"/>
      <c r="F1" s="701"/>
    </row>
    <row r="2" spans="2:6" s="66" customFormat="1" ht="20.25" customHeight="1">
      <c r="B2" s="701" t="s">
        <v>218</v>
      </c>
      <c r="C2" s="701"/>
      <c r="D2" s="701"/>
      <c r="E2" s="701"/>
      <c r="F2" s="701"/>
    </row>
    <row r="3" spans="2:6" s="66" customFormat="1" ht="20.25">
      <c r="B3" s="701" t="s">
        <v>14</v>
      </c>
      <c r="C3" s="701"/>
      <c r="D3" s="701"/>
      <c r="E3" s="701"/>
      <c r="F3" s="701"/>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JUNIO 2018</v>
      </c>
      <c r="D7" s="81" t="str">
        <f>'GASOLINA EXTRA OXIGENADA'!B6</f>
        <v>1° DE JUNIO 2018</v>
      </c>
      <c r="E7" s="81" t="str">
        <f>+D7</f>
        <v>1° DE JUNIO 2018</v>
      </c>
      <c r="F7" s="82" t="str">
        <f>+E7</f>
        <v>1° DE JUNIO 2018</v>
      </c>
    </row>
    <row r="8" spans="2:6" ht="27" customHeight="1" thickTop="1">
      <c r="B8" s="126" t="s">
        <v>19</v>
      </c>
      <c r="C8" s="127">
        <f>'COMBUSTIBLES '!B7</f>
        <v>4612.67</v>
      </c>
      <c r="D8" s="127">
        <f>'COMBUSTIBLES '!D7</f>
        <v>6120</v>
      </c>
      <c r="E8" s="127">
        <f>'COMBUSTIBLES '!E7</f>
        <v>4540.82</v>
      </c>
      <c r="F8" s="128">
        <f>+BIODIESEL!F10</f>
        <v>4751.54</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5838.5718159999997</v>
      </c>
      <c r="D15" s="119">
        <f>SUM(D8:D14)</f>
        <v>7404.275079</v>
      </c>
      <c r="E15" s="119">
        <f>SUM(E8:E14)</f>
        <v>5445.6694589999997</v>
      </c>
      <c r="F15" s="120">
        <f>SUM(F8:F14)</f>
        <v>5623.3628206400008</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2" t="s">
        <v>244</v>
      </c>
      <c r="C20" s="702"/>
      <c r="D20" s="702"/>
      <c r="E20" s="702"/>
    </row>
    <row r="21" spans="2:7" s="108" customFormat="1" ht="30.75" customHeight="1">
      <c r="B21" s="671" t="s">
        <v>293</v>
      </c>
      <c r="C21" s="671"/>
      <c r="D21" s="671"/>
      <c r="E21" s="671"/>
    </row>
    <row r="22" spans="2:7" s="108" customFormat="1" ht="5.25" customHeight="1">
      <c r="B22" s="352"/>
      <c r="C22" s="352"/>
      <c r="D22" s="352"/>
      <c r="E22" s="352"/>
    </row>
    <row r="23" spans="2:7" s="108" customFormat="1" ht="17.25" customHeight="1">
      <c r="B23" s="702" t="s">
        <v>247</v>
      </c>
      <c r="C23" s="702"/>
      <c r="D23" s="702"/>
      <c r="E23" s="702"/>
    </row>
    <row r="24" spans="2:7" s="108" customFormat="1" ht="3.75" customHeight="1">
      <c r="B24" s="318"/>
      <c r="C24" s="318"/>
      <c r="D24" s="318"/>
      <c r="E24" s="318"/>
    </row>
    <row r="25" spans="2:7" s="108" customFormat="1" ht="17.25" customHeight="1">
      <c r="B25" s="702" t="s">
        <v>266</v>
      </c>
      <c r="C25" s="702"/>
      <c r="D25" s="702"/>
      <c r="E25" s="702"/>
    </row>
    <row r="26" spans="2:7" s="108" customFormat="1" ht="8.25" customHeight="1">
      <c r="B26" s="318"/>
      <c r="C26" s="318"/>
      <c r="D26" s="318"/>
      <c r="E26" s="318"/>
    </row>
    <row r="27" spans="2:7" s="108" customFormat="1" ht="25.5" customHeight="1">
      <c r="B27" s="702" t="s">
        <v>248</v>
      </c>
      <c r="C27" s="702"/>
      <c r="D27" s="702"/>
      <c r="E27" s="702"/>
    </row>
    <row r="28" spans="2:7" ht="7.5" customHeight="1">
      <c r="B28" s="320"/>
      <c r="C28" s="320"/>
      <c r="D28" s="320"/>
      <c r="E28" s="320"/>
    </row>
    <row r="29" spans="2:7" s="317" customFormat="1" ht="45.75" customHeight="1">
      <c r="B29" s="651" t="s">
        <v>356</v>
      </c>
      <c r="C29" s="651"/>
      <c r="D29" s="651"/>
      <c r="E29" s="651"/>
    </row>
    <row r="30" spans="2:7" s="317" customFormat="1" ht="8.25" customHeight="1">
      <c r="B30" s="320"/>
      <c r="C30" s="320"/>
      <c r="D30" s="320"/>
      <c r="E30" s="320"/>
    </row>
    <row r="31" spans="2:7" ht="39.75" customHeight="1">
      <c r="B31" s="651" t="s">
        <v>311</v>
      </c>
      <c r="C31" s="651"/>
      <c r="D31" s="651"/>
      <c r="E31" s="651"/>
      <c r="F31" s="651"/>
      <c r="G31" s="651"/>
    </row>
    <row r="32" spans="2:7" ht="9.75" customHeight="1"/>
    <row r="33" spans="2:6">
      <c r="B33" s="671" t="s">
        <v>310</v>
      </c>
      <c r="C33" s="671"/>
      <c r="D33" s="671"/>
      <c r="E33" s="671"/>
    </row>
    <row r="35" spans="2:6">
      <c r="B35" s="671" t="s">
        <v>393</v>
      </c>
      <c r="C35" s="671"/>
      <c r="D35" s="671"/>
      <c r="E35" s="671"/>
    </row>
    <row r="36" spans="2:6" s="317" customFormat="1">
      <c r="B36" s="525"/>
      <c r="C36" s="525"/>
      <c r="D36" s="525"/>
      <c r="E36" s="525"/>
    </row>
    <row r="37" spans="2:6" ht="86.25" customHeight="1">
      <c r="B37" s="652" t="s">
        <v>352</v>
      </c>
      <c r="C37" s="652"/>
      <c r="D37" s="652"/>
      <c r="E37" s="652"/>
      <c r="F37" s="652"/>
    </row>
    <row r="42" spans="2:6">
      <c r="B42" s="651"/>
      <c r="C42" s="651"/>
      <c r="D42" s="651"/>
      <c r="E42" s="651"/>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3" t="s">
        <v>214</v>
      </c>
      <c r="D1" s="703"/>
      <c r="E1" s="703"/>
      <c r="F1" s="703"/>
      <c r="G1" s="703"/>
      <c r="H1" s="703"/>
    </row>
    <row r="2" spans="3:10" ht="15">
      <c r="C2" s="703" t="s">
        <v>33</v>
      </c>
      <c r="D2" s="703"/>
      <c r="E2" s="703"/>
      <c r="F2" s="703"/>
      <c r="G2" s="703"/>
      <c r="H2" s="703"/>
    </row>
    <row r="3" spans="3:10" ht="15">
      <c r="C3" s="703" t="s">
        <v>14</v>
      </c>
      <c r="D3" s="703"/>
      <c r="E3" s="703"/>
      <c r="F3" s="703"/>
      <c r="G3" s="703"/>
      <c r="H3" s="703"/>
    </row>
    <row r="4" spans="3:10" ht="24.75" customHeight="1" thickBot="1">
      <c r="C4" s="315" t="str">
        <f>'SAN-ANDRES + GENERACION'!C7</f>
        <v>1° DE JUNIO 2018</v>
      </c>
      <c r="D4" s="36"/>
      <c r="E4" s="37"/>
      <c r="F4" s="704"/>
      <c r="G4" s="704"/>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4540.82</v>
      </c>
      <c r="E6" s="357">
        <f>+D6</f>
        <v>4540.82</v>
      </c>
      <c r="F6" s="357">
        <f>F30</f>
        <v>3632.6559999999999</v>
      </c>
      <c r="I6" s="357">
        <f>+BIODIESEL!B7*4%+(F6)*96%</f>
        <v>3879.7013599999996</v>
      </c>
      <c r="J6" s="357">
        <f>+BIODIESEL!B7*2%+(F6)*98%</f>
        <v>3756.17868</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5260.5120999999999</v>
      </c>
      <c r="E12" s="361">
        <f>SUM(E6:E11)</f>
        <v>5394.5299266874999</v>
      </c>
      <c r="F12" s="361">
        <f>SUM(F6:F11)</f>
        <v>4486.3659266875002</v>
      </c>
      <c r="I12" s="361">
        <f>SUM(I6:I11)</f>
        <v>4702.1213600000001</v>
      </c>
      <c r="J12" s="361">
        <f>SUM(J6:J11)</f>
        <v>4594.2486800000006</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10" t="s">
        <v>267</v>
      </c>
      <c r="D15" s="710"/>
      <c r="E15" s="710"/>
      <c r="F15" s="710"/>
      <c r="G15" s="710"/>
      <c r="H15" s="710"/>
    </row>
    <row r="16" spans="3:10" ht="49.5" customHeight="1">
      <c r="C16" s="711" t="s">
        <v>269</v>
      </c>
      <c r="D16" s="711"/>
      <c r="E16" s="711"/>
      <c r="F16" s="711"/>
      <c r="G16" s="711"/>
      <c r="H16" s="711"/>
    </row>
    <row r="17" spans="3:9" ht="34.5" customHeight="1">
      <c r="C17" s="651" t="s">
        <v>311</v>
      </c>
      <c r="D17" s="651"/>
      <c r="E17" s="651"/>
      <c r="F17" s="651"/>
      <c r="G17" s="651"/>
      <c r="H17" s="651"/>
    </row>
    <row r="18" spans="3:9">
      <c r="C18" s="651" t="s">
        <v>354</v>
      </c>
      <c r="D18" s="651"/>
      <c r="E18" s="651"/>
      <c r="F18" s="651"/>
      <c r="G18" s="651"/>
      <c r="H18" s="651"/>
    </row>
    <row r="19" spans="3:9" ht="28.5" customHeight="1">
      <c r="C19" s="373"/>
      <c r="D19" s="373"/>
      <c r="E19" s="373"/>
      <c r="F19" s="373"/>
      <c r="G19" s="373"/>
      <c r="H19" s="373"/>
    </row>
    <row r="20" spans="3:9">
      <c r="C20" s="656" t="s">
        <v>398</v>
      </c>
      <c r="D20" s="656"/>
      <c r="E20" s="656"/>
      <c r="F20" s="656"/>
      <c r="G20" s="656"/>
      <c r="H20" s="656"/>
      <c r="I20" s="656"/>
    </row>
    <row r="21" spans="3:9">
      <c r="C21" s="656" t="s">
        <v>396</v>
      </c>
      <c r="D21" s="656"/>
      <c r="E21" s="656"/>
      <c r="F21" s="656"/>
      <c r="G21" s="656"/>
      <c r="H21" s="656"/>
      <c r="I21" s="656"/>
    </row>
    <row r="22" spans="3:9">
      <c r="C22" s="656" t="s">
        <v>397</v>
      </c>
      <c r="D22" s="656"/>
      <c r="E22" s="656"/>
      <c r="F22" s="656"/>
      <c r="G22" s="656"/>
      <c r="H22" s="656"/>
      <c r="I22" s="656"/>
    </row>
    <row r="23" spans="3:9">
      <c r="C23" s="524"/>
      <c r="D23" s="524"/>
      <c r="E23" s="524"/>
      <c r="F23" s="524"/>
      <c r="G23" s="524"/>
      <c r="H23" s="524"/>
      <c r="I23" s="524"/>
    </row>
    <row r="24" spans="3:9">
      <c r="C24" s="524"/>
      <c r="D24" s="524"/>
      <c r="E24" s="524"/>
      <c r="F24" s="524"/>
      <c r="G24" s="524"/>
      <c r="H24" s="524"/>
      <c r="I24" s="524"/>
    </row>
    <row r="25" spans="3:9" ht="15">
      <c r="C25" s="703" t="s">
        <v>45</v>
      </c>
      <c r="D25" s="703"/>
      <c r="E25" s="703"/>
      <c r="F25" s="703"/>
      <c r="G25" s="703"/>
      <c r="H25" s="703"/>
    </row>
    <row r="26" spans="3:9" ht="15">
      <c r="C26" s="703" t="s">
        <v>37</v>
      </c>
      <c r="D26" s="703"/>
      <c r="E26" s="703"/>
      <c r="F26" s="703"/>
      <c r="G26" s="703"/>
      <c r="H26" s="703"/>
    </row>
    <row r="27" spans="3:9" ht="15">
      <c r="C27" s="703" t="s">
        <v>14</v>
      </c>
      <c r="D27" s="703"/>
      <c r="E27" s="703"/>
      <c r="F27" s="703"/>
      <c r="G27" s="703"/>
      <c r="H27" s="703"/>
    </row>
    <row r="28" spans="3:9" ht="15.75" thickBot="1">
      <c r="C28" s="315" t="str">
        <f>+C4</f>
        <v>1° DE JUNIO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4540.82</v>
      </c>
      <c r="E30" s="357">
        <f>+D30</f>
        <v>4540.82</v>
      </c>
      <c r="F30" s="365">
        <f>+D30*80%</f>
        <v>3632.6559999999999</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5437.9959589999999</v>
      </c>
      <c r="E36" s="361">
        <f>SUM(E30:E35)</f>
        <v>5437.9959589999999</v>
      </c>
      <c r="F36" s="369">
        <f>SUM(F30:F35)</f>
        <v>4529.8319590000001</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5437.9959589999999</v>
      </c>
      <c r="E39" s="361">
        <f>SUM(E36:E38)</f>
        <v>5437.9959589999999</v>
      </c>
      <c r="F39" s="369">
        <f>SUM(F36:F38)</f>
        <v>4529.8319590000001</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2" t="s">
        <v>268</v>
      </c>
      <c r="D42" s="702"/>
      <c r="E42" s="702"/>
      <c r="F42" s="702"/>
    </row>
    <row r="43" spans="1:9" ht="18" customHeight="1">
      <c r="C43" s="702" t="s">
        <v>251</v>
      </c>
      <c r="D43" s="702"/>
      <c r="E43" s="702"/>
      <c r="F43" s="702"/>
      <c r="G43" s="702"/>
      <c r="H43" s="702"/>
    </row>
    <row r="44" spans="1:9" ht="65.25" customHeight="1">
      <c r="C44" s="702" t="s">
        <v>318</v>
      </c>
      <c r="D44" s="702"/>
      <c r="E44" s="702"/>
      <c r="F44" s="702"/>
      <c r="G44" s="702"/>
      <c r="H44" s="702"/>
    </row>
    <row r="45" spans="1:9" ht="15" customHeight="1">
      <c r="C45" s="651" t="s">
        <v>354</v>
      </c>
      <c r="D45" s="651"/>
      <c r="E45" s="651"/>
      <c r="F45" s="651"/>
      <c r="G45" s="651"/>
      <c r="H45" s="651"/>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JUNIO 2018</v>
      </c>
      <c r="D51" s="36"/>
      <c r="E51" s="37"/>
      <c r="F51"/>
    </row>
    <row r="52" spans="3:10" ht="29.25" thickTop="1">
      <c r="C52" s="131" t="s">
        <v>15</v>
      </c>
      <c r="D52" s="362" t="s">
        <v>255</v>
      </c>
      <c r="E52" s="362" t="s">
        <v>276</v>
      </c>
      <c r="F52" s="363" t="s">
        <v>277</v>
      </c>
    </row>
    <row r="53" spans="3:10" ht="26.25" customHeight="1">
      <c r="C53" s="364" t="s">
        <v>256</v>
      </c>
      <c r="D53" s="357">
        <f>+BIODIESEL!E10</f>
        <v>4646.18</v>
      </c>
      <c r="E53" s="357">
        <f>+D53</f>
        <v>4646.18</v>
      </c>
      <c r="F53" s="365">
        <f>+BIODIESEL!B7*2%+('COMBUSTIBLES '!E7*77%)*98%</f>
        <v>3622.6785719999998</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5876.2900660160412</v>
      </c>
      <c r="E60" s="375">
        <f>SUM(E53:E59)</f>
        <v>6007.6316080160414</v>
      </c>
      <c r="F60" s="376">
        <f>SUM(F53:F59)</f>
        <v>4984.1301800160409</v>
      </c>
      <c r="I60" s="40"/>
    </row>
    <row r="61" spans="3:10" ht="36.950000000000003" customHeight="1">
      <c r="C61" s="368" t="s">
        <v>43</v>
      </c>
      <c r="D61" s="377">
        <f>SUM(D60:D60)</f>
        <v>5876.2900660160412</v>
      </c>
      <c r="E61" s="377">
        <f>SUM(E60:E60)</f>
        <v>6007.6316080160414</v>
      </c>
      <c r="F61" s="378">
        <f>SUM(F60:F60)</f>
        <v>4984.1301800160409</v>
      </c>
    </row>
    <row r="62" spans="3:10" ht="36.950000000000003" customHeight="1" thickBot="1">
      <c r="C62" s="370" t="s">
        <v>55</v>
      </c>
      <c r="D62" s="371">
        <f>D40</f>
        <v>301.48</v>
      </c>
      <c r="E62" s="371"/>
      <c r="F62" s="372"/>
    </row>
    <row r="63" spans="3:10" ht="18.75" customHeight="1" thickTop="1">
      <c r="C63" s="705" t="s">
        <v>161</v>
      </c>
      <c r="D63" s="706"/>
      <c r="E63" s="706"/>
      <c r="F63" s="90"/>
    </row>
    <row r="64" spans="3:10" ht="18.75" customHeight="1">
      <c r="C64" s="394" t="s">
        <v>254</v>
      </c>
      <c r="D64" s="395"/>
      <c r="E64" s="395"/>
    </row>
    <row r="65" spans="3:9" ht="18.75" customHeight="1">
      <c r="C65" s="709" t="s">
        <v>388</v>
      </c>
      <c r="D65" s="709"/>
      <c r="E65" s="709"/>
      <c r="F65" s="709"/>
    </row>
    <row r="66" spans="3:9" ht="18.75" customHeight="1">
      <c r="C66" s="526"/>
      <c r="D66" s="526"/>
      <c r="E66" s="526"/>
      <c r="F66" s="526"/>
    </row>
    <row r="67" spans="3:9" ht="18.75" customHeight="1">
      <c r="C67" s="656" t="s">
        <v>398</v>
      </c>
      <c r="D67" s="656"/>
      <c r="E67" s="656"/>
      <c r="F67" s="656"/>
      <c r="G67" s="656"/>
      <c r="H67" s="656"/>
      <c r="I67" s="656"/>
    </row>
    <row r="68" spans="3:9" ht="18.75" customHeight="1">
      <c r="C68" s="656" t="s">
        <v>396</v>
      </c>
      <c r="D68" s="656"/>
      <c r="E68" s="656"/>
      <c r="F68" s="656"/>
      <c r="G68" s="656"/>
      <c r="H68" s="656"/>
      <c r="I68" s="656"/>
    </row>
    <row r="69" spans="3:9" ht="18.75" customHeight="1">
      <c r="C69" s="656" t="s">
        <v>397</v>
      </c>
      <c r="D69" s="656"/>
      <c r="E69" s="656"/>
      <c r="F69" s="656"/>
      <c r="G69" s="656"/>
      <c r="H69" s="656"/>
      <c r="I69" s="656"/>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JUNIO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4540.82</v>
      </c>
      <c r="E76" s="323">
        <f>+D76</f>
        <v>4540.82</v>
      </c>
      <c r="F76" s="323">
        <f>+D76*77%</f>
        <v>3496.4313999999999</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08" t="s">
        <v>195</v>
      </c>
      <c r="D84" s="708"/>
      <c r="E84" s="708"/>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JUNIO 2018</v>
      </c>
      <c r="D89" s="50"/>
    </row>
    <row r="90" spans="1:7" ht="28.5" hidden="1" customHeight="1" thickTop="1">
      <c r="A90" s="51"/>
      <c r="B90" s="51"/>
      <c r="C90" s="58" t="s">
        <v>15</v>
      </c>
      <c r="D90" s="59" t="s">
        <v>54</v>
      </c>
    </row>
    <row r="91" spans="1:7" hidden="1">
      <c r="C91" s="321" t="s">
        <v>19</v>
      </c>
      <c r="D91" s="323">
        <f>+D6</f>
        <v>4540.82</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07" t="s">
        <v>59</v>
      </c>
      <c r="D99" s="707"/>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4540.82</v>
      </c>
      <c r="E109" s="310">
        <f>+F6</f>
        <v>3632.6559999999999</v>
      </c>
      <c r="F109" s="560">
        <f>+D109-E109</f>
        <v>908.16399999999976</v>
      </c>
      <c r="I109" s="561"/>
    </row>
    <row r="110" spans="3:9" ht="19.5" hidden="1" customHeight="1" outlineLevel="1">
      <c r="C110" s="309" t="s">
        <v>212</v>
      </c>
      <c r="D110" s="309">
        <f>+BIODIESEL!F10</f>
        <v>4751.54</v>
      </c>
      <c r="E110" s="310">
        <f>+I6</f>
        <v>3879.7013599999996</v>
      </c>
      <c r="F110" s="560">
        <f>+D110-E110</f>
        <v>871.8386400000004</v>
      </c>
      <c r="I110" s="561"/>
    </row>
    <row r="111" spans="3:9" ht="20.25" hidden="1" customHeight="1" outlineLevel="1">
      <c r="C111" s="309" t="s">
        <v>215</v>
      </c>
      <c r="D111" s="309">
        <f>+BIODIESEL!E10</f>
        <v>4646.18</v>
      </c>
      <c r="E111" s="310">
        <f>+J6</f>
        <v>3756.17868</v>
      </c>
      <c r="F111" s="560">
        <f>+D111-E111</f>
        <v>890.00132000000031</v>
      </c>
      <c r="I111" s="561"/>
    </row>
    <row r="112" spans="3:9" ht="19.5" hidden="1" customHeight="1" outlineLevel="1">
      <c r="C112" s="562" t="s">
        <v>657</v>
      </c>
      <c r="D112" s="563">
        <f>+E6</f>
        <v>4540.82</v>
      </c>
      <c r="E112" s="563">
        <f>+D112*77%</f>
        <v>3496.4313999999999</v>
      </c>
      <c r="F112" s="564">
        <f>+D112-E112</f>
        <v>1044.3885999999998</v>
      </c>
      <c r="I112" s="561"/>
    </row>
    <row r="113" spans="3:9" ht="19.5" hidden="1" customHeight="1" outlineLevel="1">
      <c r="C113" s="562" t="s">
        <v>656</v>
      </c>
      <c r="D113" s="563">
        <f>D53</f>
        <v>4646.18</v>
      </c>
      <c r="E113" s="563">
        <f>F53</f>
        <v>3622.6785719999998</v>
      </c>
      <c r="F113" s="564">
        <f>+D113-E113</f>
        <v>1023.5014280000005</v>
      </c>
      <c r="I113" s="561"/>
    </row>
    <row r="114" spans="3:9" collapsed="1"/>
    <row r="117" spans="3:9" ht="93.75" customHeight="1">
      <c r="C117" s="652" t="s">
        <v>352</v>
      </c>
      <c r="D117" s="652"/>
      <c r="E117" s="652"/>
      <c r="F117" s="652"/>
      <c r="G117" s="652"/>
    </row>
  </sheetData>
  <sheetProtection password="C712" sheet="1" objects="1" scenarios="1"/>
  <mergeCells count="26">
    <mergeCell ref="C68:I68"/>
    <mergeCell ref="C20:I20"/>
    <mergeCell ref="C21:I21"/>
    <mergeCell ref="C22:I22"/>
    <mergeCell ref="C43:H43"/>
    <mergeCell ref="C1:H1"/>
    <mergeCell ref="C2:H2"/>
    <mergeCell ref="C3:H3"/>
    <mergeCell ref="C15:H15"/>
    <mergeCell ref="C16:H1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M36"/>
  <sheetViews>
    <sheetView showGridLines="0"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3" t="s">
        <v>31</v>
      </c>
      <c r="B1" s="713"/>
      <c r="C1" s="713"/>
      <c r="D1" s="713"/>
      <c r="E1" s="713"/>
      <c r="F1" s="713"/>
      <c r="G1" s="514"/>
    </row>
    <row r="2" spans="1:13" s="20" customFormat="1" ht="56.25" customHeight="1">
      <c r="A2" s="714" t="s">
        <v>373</v>
      </c>
      <c r="B2" s="714"/>
      <c r="C2" s="714"/>
      <c r="D2" s="714"/>
      <c r="E2" s="714"/>
      <c r="F2" s="714"/>
      <c r="G2" s="515"/>
      <c r="I2" s="559"/>
      <c r="M2" s="502"/>
    </row>
    <row r="3" spans="1:13" ht="24.75" customHeight="1">
      <c r="A3" s="703" t="s">
        <v>24</v>
      </c>
      <c r="B3" s="703"/>
      <c r="C3" s="703"/>
      <c r="D3" s="703"/>
      <c r="E3" s="703"/>
      <c r="F3" s="703"/>
      <c r="G3" s="512"/>
      <c r="K3" s="197"/>
    </row>
    <row r="4" spans="1:13" ht="15">
      <c r="A4" s="32"/>
    </row>
    <row r="5" spans="1:13" ht="15.75" thickBot="1">
      <c r="A5" s="29" t="str">
        <f>+'COMBUSTIBLES '!A1</f>
        <v>1° DE JUNIO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6094.0189652142853</v>
      </c>
      <c r="C7" s="359">
        <v>5151.5</v>
      </c>
      <c r="D7" s="359">
        <v>6094.0189652142853</v>
      </c>
      <c r="E7" s="359">
        <v>6166.0571652142853</v>
      </c>
      <c r="F7" s="359">
        <v>5117.2636246235679</v>
      </c>
      <c r="G7" s="359">
        <v>5419.7625549540617</v>
      </c>
      <c r="H7" s="444">
        <v>6094.0189652142853</v>
      </c>
      <c r="I7" s="359">
        <f>+D7</f>
        <v>6094.0189652142853</v>
      </c>
      <c r="J7" s="444">
        <f>+D7</f>
        <v>6094.0189652142853</v>
      </c>
    </row>
    <row r="8" spans="1:13" ht="27.75" customHeight="1">
      <c r="A8" s="367" t="s">
        <v>69</v>
      </c>
      <c r="B8" s="382">
        <v>0</v>
      </c>
      <c r="C8" s="383">
        <f>+BIODIESEL!B7</f>
        <v>9808.7900000000009</v>
      </c>
      <c r="D8" s="382">
        <v>0</v>
      </c>
      <c r="E8" s="382">
        <f>+C8</f>
        <v>9808.7900000000009</v>
      </c>
      <c r="F8" s="382">
        <v>0</v>
      </c>
      <c r="G8" s="382">
        <v>0</v>
      </c>
      <c r="H8" s="384">
        <f>+E8</f>
        <v>9808.7900000000009</v>
      </c>
      <c r="I8" s="359">
        <f>+D8</f>
        <v>0</v>
      </c>
      <c r="J8" s="444">
        <f>+D8</f>
        <v>0</v>
      </c>
    </row>
    <row r="9" spans="1:13" ht="35.25" customHeight="1">
      <c r="A9" s="385" t="s">
        <v>162</v>
      </c>
      <c r="B9" s="386">
        <f t="shared" ref="B9:H9" si="0">+B8*B5+B7*(1-B5)</f>
        <v>6094.0189652142853</v>
      </c>
      <c r="C9" s="386">
        <f t="shared" si="0"/>
        <v>5337.7915999999996</v>
      </c>
      <c r="D9" s="386">
        <f t="shared" si="0"/>
        <v>6094.0189652142853</v>
      </c>
      <c r="E9" s="386">
        <f t="shared" si="0"/>
        <v>6238.9118219099992</v>
      </c>
      <c r="F9" s="386">
        <f t="shared" si="0"/>
        <v>5117.2636246235679</v>
      </c>
      <c r="G9" s="386">
        <f t="shared" si="0"/>
        <v>5419.7625549540617</v>
      </c>
      <c r="H9" s="387">
        <f t="shared" si="0"/>
        <v>6168.3143859099991</v>
      </c>
      <c r="I9" s="468">
        <f>+D9</f>
        <v>6094.0189652142853</v>
      </c>
      <c r="J9" s="469">
        <f>+D9</f>
        <v>6094.0189652142853</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1014.180404</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5" t="s">
        <v>257</v>
      </c>
      <c r="B28" s="715"/>
      <c r="C28" s="715"/>
      <c r="D28" s="715"/>
      <c r="E28" s="715"/>
      <c r="F28" s="715"/>
      <c r="G28" s="516"/>
    </row>
    <row r="29" spans="1:10" s="23" customFormat="1" ht="8.25" customHeight="1">
      <c r="A29" s="21"/>
      <c r="B29" s="22"/>
      <c r="C29" s="22"/>
    </row>
    <row r="30" spans="1:10" s="23" customFormat="1" ht="30.75" customHeight="1">
      <c r="A30" s="715" t="s">
        <v>262</v>
      </c>
      <c r="B30" s="715"/>
      <c r="C30" s="715"/>
      <c r="D30" s="715"/>
      <c r="E30" s="715"/>
      <c r="F30" s="715"/>
      <c r="G30" s="516"/>
    </row>
    <row r="31" spans="1:10" s="23" customFormat="1" ht="5.25" customHeight="1">
      <c r="A31" s="21"/>
      <c r="B31" s="22"/>
      <c r="C31" s="22"/>
    </row>
    <row r="32" spans="1:10" s="23" customFormat="1" ht="38.25" customHeight="1">
      <c r="A32" s="712" t="s">
        <v>227</v>
      </c>
      <c r="B32" s="712"/>
      <c r="C32" s="712"/>
      <c r="D32" s="712"/>
      <c r="E32" s="712"/>
      <c r="F32" s="712"/>
      <c r="G32" s="513"/>
    </row>
    <row r="33" spans="1:7" s="23" customFormat="1" ht="15">
      <c r="A33" s="21" t="s">
        <v>161</v>
      </c>
      <c r="B33" s="22"/>
      <c r="C33" s="22"/>
    </row>
    <row r="34" spans="1:7" s="23" customFormat="1">
      <c r="A34" s="656" t="s">
        <v>398</v>
      </c>
      <c r="B34" s="656"/>
      <c r="C34" s="656"/>
      <c r="D34" s="656"/>
      <c r="E34" s="656"/>
      <c r="F34" s="656"/>
      <c r="G34" s="656"/>
    </row>
    <row r="35" spans="1:7">
      <c r="A35" s="656" t="s">
        <v>396</v>
      </c>
      <c r="B35" s="656"/>
      <c r="C35" s="656"/>
      <c r="D35" s="656"/>
      <c r="E35" s="656"/>
      <c r="F35" s="656"/>
      <c r="G35" s="656"/>
    </row>
    <row r="36" spans="1:7">
      <c r="A36" s="656" t="s">
        <v>397</v>
      </c>
      <c r="B36" s="656"/>
      <c r="C36" s="656"/>
      <c r="D36" s="656"/>
      <c r="E36" s="656"/>
      <c r="F36" s="656"/>
      <c r="G36" s="656"/>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1" t="s">
        <v>70</v>
      </c>
      <c r="AB1" s="621"/>
      <c r="AC1" s="621"/>
      <c r="AD1" s="621" t="s">
        <v>71</v>
      </c>
      <c r="AE1" s="621"/>
      <c r="AF1" s="621"/>
      <c r="AG1" s="621" t="s">
        <v>170</v>
      </c>
      <c r="AH1" s="621"/>
      <c r="AI1" s="621"/>
      <c r="AJ1" s="621" t="s">
        <v>198</v>
      </c>
      <c r="AK1" s="621"/>
      <c r="AL1" s="621"/>
      <c r="AM1" s="201"/>
      <c r="AN1" s="623" t="s">
        <v>288</v>
      </c>
      <c r="AO1" s="623"/>
      <c r="AP1" s="623"/>
      <c r="AQ1" s="201"/>
      <c r="AR1" s="602" t="s">
        <v>355</v>
      </c>
      <c r="AS1" s="603"/>
      <c r="AT1" s="604"/>
      <c r="AU1" s="602" t="s">
        <v>357</v>
      </c>
      <c r="AV1" s="603"/>
      <c r="AW1" s="604"/>
      <c r="AX1" s="602" t="s">
        <v>371</v>
      </c>
      <c r="AY1" s="603"/>
      <c r="AZ1" s="604"/>
      <c r="BA1" s="602" t="s">
        <v>389</v>
      </c>
      <c r="BB1" s="603"/>
      <c r="BC1" s="604"/>
      <c r="BD1" s="602" t="s">
        <v>662</v>
      </c>
      <c r="BE1" s="603"/>
      <c r="BF1" s="604"/>
    </row>
    <row r="2" spans="1:58" ht="15" customHeight="1">
      <c r="A2" s="616" t="s">
        <v>72</v>
      </c>
      <c r="B2" s="617"/>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24" t="s">
        <v>75</v>
      </c>
      <c r="AO2" s="625"/>
      <c r="AP2" s="628">
        <v>0.03</v>
      </c>
      <c r="AQ2" s="493"/>
      <c r="AR2" s="605" t="s">
        <v>75</v>
      </c>
      <c r="AS2" s="606"/>
      <c r="AT2" s="609">
        <v>0.03</v>
      </c>
      <c r="AU2" s="605" t="s">
        <v>75</v>
      </c>
      <c r="AV2" s="606"/>
      <c r="AW2" s="609">
        <v>0.03</v>
      </c>
      <c r="AX2" s="605" t="s">
        <v>75</v>
      </c>
      <c r="AY2" s="606"/>
      <c r="AZ2" s="609">
        <v>0.03</v>
      </c>
      <c r="BA2" s="605" t="s">
        <v>75</v>
      </c>
      <c r="BB2" s="606"/>
      <c r="BC2" s="609">
        <v>0.03</v>
      </c>
      <c r="BD2" s="605" t="s">
        <v>75</v>
      </c>
      <c r="BE2" s="606"/>
      <c r="BF2" s="609">
        <v>0.03</v>
      </c>
    </row>
    <row r="3" spans="1:58" ht="55.5" customHeight="1" thickBot="1">
      <c r="A3" s="618"/>
      <c r="B3" s="619"/>
      <c r="C3" s="613" t="s">
        <v>76</v>
      </c>
      <c r="D3" s="614"/>
      <c r="E3" s="615"/>
      <c r="F3" s="613" t="s">
        <v>77</v>
      </c>
      <c r="G3" s="614"/>
      <c r="H3" s="615"/>
      <c r="I3" s="613" t="s">
        <v>78</v>
      </c>
      <c r="J3" s="614"/>
      <c r="K3" s="615"/>
      <c r="L3" s="613" t="s">
        <v>79</v>
      </c>
      <c r="M3" s="614"/>
      <c r="N3" s="615"/>
      <c r="O3" s="613" t="s">
        <v>80</v>
      </c>
      <c r="P3" s="614"/>
      <c r="Q3" s="615"/>
      <c r="R3" s="613" t="s">
        <v>81</v>
      </c>
      <c r="S3" s="614"/>
      <c r="T3" s="615"/>
      <c r="U3" s="613" t="s">
        <v>82</v>
      </c>
      <c r="V3" s="614"/>
      <c r="W3" s="615"/>
      <c r="X3" s="613" t="s">
        <v>83</v>
      </c>
      <c r="Y3" s="614"/>
      <c r="Z3" s="615"/>
      <c r="AA3" s="613"/>
      <c r="AB3" s="614"/>
      <c r="AC3" s="615"/>
      <c r="AD3" s="613"/>
      <c r="AE3" s="614"/>
      <c r="AF3" s="615"/>
      <c r="AG3" s="613"/>
      <c r="AH3" s="614"/>
      <c r="AI3" s="615"/>
      <c r="AJ3" s="613"/>
      <c r="AK3" s="614"/>
      <c r="AL3" s="615"/>
      <c r="AM3" s="421"/>
      <c r="AN3" s="626"/>
      <c r="AO3" s="627"/>
      <c r="AP3" s="629"/>
      <c r="AQ3" s="494"/>
      <c r="AR3" s="607"/>
      <c r="AS3" s="608"/>
      <c r="AT3" s="610"/>
      <c r="AU3" s="607"/>
      <c r="AV3" s="608"/>
      <c r="AW3" s="610"/>
      <c r="AX3" s="607"/>
      <c r="AY3" s="608"/>
      <c r="AZ3" s="610"/>
      <c r="BA3" s="607"/>
      <c r="BB3" s="608"/>
      <c r="BC3" s="610"/>
      <c r="BD3" s="607"/>
      <c r="BE3" s="608"/>
      <c r="BF3" s="610"/>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1" t="s">
        <v>291</v>
      </c>
      <c r="AO72" s="611"/>
      <c r="AP72" s="612"/>
      <c r="AQ72" s="416" t="s">
        <v>132</v>
      </c>
      <c r="AR72" s="611" t="s">
        <v>291</v>
      </c>
      <c r="AS72" s="611"/>
      <c r="AT72" s="612"/>
      <c r="AU72" s="611" t="s">
        <v>291</v>
      </c>
      <c r="AV72" s="611"/>
      <c r="AW72" s="612"/>
      <c r="AX72" s="611" t="s">
        <v>291</v>
      </c>
      <c r="AY72" s="611"/>
      <c r="AZ72" s="612"/>
      <c r="BA72" s="611" t="s">
        <v>291</v>
      </c>
      <c r="BB72" s="611"/>
      <c r="BC72" s="612"/>
      <c r="BD72" s="611" t="s">
        <v>291</v>
      </c>
      <c r="BE72" s="611"/>
      <c r="BF72" s="612"/>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8" t="s">
        <v>292</v>
      </c>
      <c r="AO74" s="598"/>
      <c r="AP74" s="599"/>
      <c r="AQ74" s="417" t="s">
        <v>143</v>
      </c>
      <c r="AR74" s="598"/>
      <c r="AS74" s="598"/>
      <c r="AT74" s="599"/>
      <c r="AU74" s="598"/>
      <c r="AV74" s="598"/>
      <c r="AW74" s="599"/>
      <c r="AX74" s="598"/>
      <c r="AY74" s="598"/>
      <c r="AZ74" s="599"/>
      <c r="BA74" s="598"/>
      <c r="BB74" s="598"/>
      <c r="BC74" s="599"/>
      <c r="BD74" s="598"/>
      <c r="BE74" s="598"/>
      <c r="BF74" s="599"/>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89"/>
      <c r="AO76" s="590"/>
      <c r="AP76" s="591"/>
      <c r="AQ76" s="417" t="s">
        <v>143</v>
      </c>
      <c r="AR76" s="589"/>
      <c r="AS76" s="590"/>
      <c r="AT76" s="591"/>
      <c r="AU76" s="589"/>
      <c r="AV76" s="590"/>
      <c r="AW76" s="591"/>
      <c r="AX76" s="589"/>
      <c r="AY76" s="590"/>
      <c r="AZ76" s="591"/>
      <c r="BA76" s="589"/>
      <c r="BB76" s="590"/>
      <c r="BC76" s="591"/>
      <c r="BD76" s="589"/>
      <c r="BE76" s="590"/>
      <c r="BF76" s="591"/>
    </row>
    <row r="77" spans="1:58">
      <c r="A77" s="302" t="s">
        <v>153</v>
      </c>
      <c r="B77" s="203"/>
      <c r="C77" s="203"/>
      <c r="D77" s="203"/>
      <c r="E77" s="203"/>
      <c r="F77" s="274"/>
      <c r="G77" s="203"/>
      <c r="H77" s="203"/>
      <c r="I77" s="203"/>
      <c r="J77" s="203"/>
      <c r="K77" s="203"/>
      <c r="L77" s="203"/>
      <c r="M77" s="203"/>
      <c r="N77" s="203"/>
      <c r="O77" s="203"/>
      <c r="P77" s="203"/>
      <c r="Q77" s="203"/>
      <c r="AM77" s="418" t="s">
        <v>146</v>
      </c>
      <c r="AN77" s="592"/>
      <c r="AO77" s="593"/>
      <c r="AP77" s="594"/>
      <c r="AQ77" s="418" t="s">
        <v>146</v>
      </c>
      <c r="AR77" s="592"/>
      <c r="AS77" s="593"/>
      <c r="AT77" s="594"/>
      <c r="AU77" s="592"/>
      <c r="AV77" s="593"/>
      <c r="AW77" s="594"/>
      <c r="AX77" s="592"/>
      <c r="AY77" s="593"/>
      <c r="AZ77" s="594"/>
      <c r="BA77" s="592"/>
      <c r="BB77" s="593"/>
      <c r="BC77" s="594"/>
      <c r="BD77" s="592"/>
      <c r="BE77" s="593"/>
      <c r="BF77" s="594"/>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5"/>
      <c r="AO78" s="596"/>
      <c r="AP78" s="597"/>
      <c r="AQ78" s="417" t="s">
        <v>149</v>
      </c>
      <c r="AR78" s="595"/>
      <c r="AS78" s="596"/>
      <c r="AT78" s="597"/>
      <c r="AU78" s="595"/>
      <c r="AV78" s="596"/>
      <c r="AW78" s="597"/>
      <c r="AX78" s="595"/>
      <c r="AY78" s="596"/>
      <c r="AZ78" s="597"/>
      <c r="BA78" s="595"/>
      <c r="BB78" s="596"/>
      <c r="BC78" s="597"/>
      <c r="BD78" s="595"/>
      <c r="BE78" s="596"/>
      <c r="BF78" s="597"/>
    </row>
    <row r="79" spans="1:58">
      <c r="A79" s="299"/>
      <c r="B79" s="203"/>
      <c r="C79" s="203"/>
      <c r="D79" s="203"/>
      <c r="E79" s="203"/>
      <c r="F79" s="203"/>
      <c r="G79" s="203"/>
      <c r="H79" s="203"/>
      <c r="I79" s="203"/>
      <c r="J79" s="203"/>
      <c r="K79" s="203"/>
      <c r="L79" s="203"/>
      <c r="M79" s="203"/>
      <c r="N79" s="203"/>
      <c r="O79" s="203"/>
      <c r="P79" s="203"/>
      <c r="Q79" s="203"/>
      <c r="AC79" s="283"/>
      <c r="AM79" s="417" t="s">
        <v>132</v>
      </c>
      <c r="AN79" s="598" t="s">
        <v>292</v>
      </c>
      <c r="AO79" s="598"/>
      <c r="AP79" s="599"/>
      <c r="AQ79" s="417" t="s">
        <v>132</v>
      </c>
      <c r="AR79" s="598"/>
      <c r="AS79" s="598"/>
      <c r="AT79" s="599"/>
      <c r="AU79" s="598"/>
      <c r="AV79" s="598"/>
      <c r="AW79" s="599"/>
      <c r="AX79" s="598"/>
      <c r="AY79" s="598"/>
      <c r="AZ79" s="599"/>
      <c r="BA79" s="598"/>
      <c r="BB79" s="598"/>
      <c r="BC79" s="599"/>
      <c r="BD79" s="598"/>
      <c r="BE79" s="598"/>
      <c r="BF79" s="599"/>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2" t="s">
        <v>155</v>
      </c>
      <c r="AA81" s="622"/>
      <c r="AD81" s="622" t="s">
        <v>156</v>
      </c>
      <c r="AE81" s="622"/>
      <c r="AG81" s="622" t="s">
        <v>205</v>
      </c>
      <c r="AH81" s="622"/>
      <c r="AJ81" s="622" t="s">
        <v>205</v>
      </c>
      <c r="AK81" s="622"/>
      <c r="AM81" s="419" t="s">
        <v>152</v>
      </c>
      <c r="AN81" s="443">
        <v>60.636068751069253</v>
      </c>
      <c r="AO81" s="600"/>
      <c r="AP81" s="601"/>
      <c r="AQ81" s="419" t="s">
        <v>152</v>
      </c>
      <c r="AR81" s="443">
        <f>AN81*(1+$AT$71)</f>
        <v>61.812408484839999</v>
      </c>
      <c r="AS81" s="600"/>
      <c r="AT81" s="601"/>
      <c r="AU81" s="443">
        <f>AR81*(1+$AW$71)</f>
        <v>64.074742635385135</v>
      </c>
      <c r="AV81" s="600"/>
      <c r="AW81" s="601"/>
      <c r="AX81" s="443">
        <f>AU81*(1+$AZ$71)</f>
        <v>68.412602711800716</v>
      </c>
      <c r="AY81" s="600"/>
      <c r="AZ81" s="601"/>
      <c r="BA81" s="443">
        <f>AX81*(1+$BC$71)</f>
        <v>72.346327367729259</v>
      </c>
      <c r="BB81" s="600"/>
      <c r="BC81" s="601"/>
      <c r="BD81" s="443">
        <f>BA81*(1+$BC$71)</f>
        <v>76.506241191373704</v>
      </c>
      <c r="BE81" s="600"/>
      <c r="BF81" s="601"/>
    </row>
    <row r="82" spans="1:58">
      <c r="A82" s="203"/>
      <c r="B82" s="203"/>
      <c r="C82" s="203"/>
      <c r="D82" s="203"/>
      <c r="E82" s="203"/>
      <c r="F82" s="203"/>
      <c r="G82" s="203"/>
      <c r="H82" s="203"/>
      <c r="I82" s="203"/>
      <c r="J82" s="203"/>
      <c r="K82" s="203"/>
      <c r="L82" s="203"/>
      <c r="M82" s="203"/>
      <c r="N82" s="203"/>
      <c r="O82" s="203"/>
      <c r="P82" s="203"/>
      <c r="Q82" s="203"/>
      <c r="Z82" s="622"/>
      <c r="AA82" s="622"/>
      <c r="AD82" s="622"/>
      <c r="AE82" s="622"/>
      <c r="AG82" s="622"/>
      <c r="AH82" s="622"/>
      <c r="AJ82" s="622"/>
      <c r="AK82" s="622"/>
    </row>
    <row r="83" spans="1:58" ht="83.25" customHeight="1">
      <c r="A83" s="203"/>
      <c r="B83" s="203"/>
      <c r="C83" s="203"/>
      <c r="D83" s="203"/>
      <c r="E83" s="203"/>
      <c r="F83" s="203"/>
      <c r="G83" s="203"/>
      <c r="H83" s="203"/>
      <c r="I83" s="203"/>
      <c r="J83" s="203"/>
      <c r="K83" s="203"/>
      <c r="L83" s="203"/>
      <c r="M83" s="203"/>
      <c r="N83" s="203"/>
      <c r="O83" s="203"/>
      <c r="P83" s="203"/>
      <c r="Q83" s="203"/>
      <c r="Z83" s="620" t="s">
        <v>157</v>
      </c>
      <c r="AA83" s="620"/>
      <c r="AD83" s="620" t="s">
        <v>158</v>
      </c>
      <c r="AE83" s="620"/>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0"/>
      <c r="AE84" s="620"/>
    </row>
    <row r="85" spans="1:58">
      <c r="A85" s="203"/>
      <c r="B85" s="203"/>
      <c r="C85" s="203"/>
      <c r="D85" s="203"/>
      <c r="E85" s="203"/>
      <c r="F85" s="203"/>
      <c r="G85" s="203"/>
      <c r="H85" s="203"/>
      <c r="I85" s="203"/>
      <c r="J85" s="203"/>
      <c r="K85" s="203"/>
      <c r="L85" s="203"/>
      <c r="M85" s="203"/>
      <c r="N85" s="203"/>
      <c r="O85" s="203"/>
      <c r="P85" s="203"/>
      <c r="Q85" s="203"/>
      <c r="AD85" s="620"/>
      <c r="AE85" s="620"/>
    </row>
    <row r="86" spans="1:58">
      <c r="A86" s="203"/>
      <c r="B86" s="203"/>
      <c r="C86" s="203"/>
      <c r="D86" s="203"/>
      <c r="E86" s="203"/>
      <c r="F86" s="203"/>
      <c r="G86" s="203"/>
      <c r="H86" s="203"/>
      <c r="I86" s="203"/>
      <c r="J86" s="203"/>
      <c r="K86" s="203"/>
      <c r="L86" s="203"/>
      <c r="M86" s="203"/>
      <c r="N86" s="203"/>
      <c r="O86" s="203"/>
      <c r="P86" s="203"/>
      <c r="Q86" s="203"/>
      <c r="AD86" s="620"/>
      <c r="AE86" s="620"/>
    </row>
    <row r="87" spans="1:58">
      <c r="A87" s="203"/>
      <c r="B87" s="203"/>
      <c r="C87" s="203"/>
      <c r="D87" s="203"/>
      <c r="E87" s="203"/>
      <c r="F87" s="203"/>
      <c r="G87" s="203"/>
      <c r="H87" s="203"/>
      <c r="I87" s="203"/>
      <c r="J87" s="203"/>
      <c r="K87" s="203"/>
      <c r="L87" s="203"/>
      <c r="M87" s="203"/>
      <c r="N87" s="203"/>
      <c r="O87" s="203"/>
      <c r="P87" s="203"/>
      <c r="Q87" s="203"/>
      <c r="AD87" s="620"/>
      <c r="AE87" s="620"/>
    </row>
    <row r="88" spans="1:58">
      <c r="A88" s="203"/>
      <c r="B88" s="203"/>
      <c r="C88" s="203"/>
      <c r="D88" s="203"/>
      <c r="E88" s="203"/>
      <c r="F88" s="203"/>
      <c r="G88" s="203"/>
      <c r="H88" s="203"/>
      <c r="I88" s="203"/>
      <c r="J88" s="203"/>
      <c r="K88" s="203"/>
      <c r="L88" s="203"/>
      <c r="M88" s="203"/>
      <c r="N88" s="203"/>
      <c r="O88" s="203"/>
      <c r="P88" s="203"/>
      <c r="Q88" s="203"/>
      <c r="AD88" s="620"/>
      <c r="AE88" s="620"/>
    </row>
    <row r="89" spans="1:58">
      <c r="A89" s="203"/>
      <c r="B89" s="203"/>
      <c r="C89" s="203"/>
      <c r="D89" s="203"/>
      <c r="E89" s="203"/>
      <c r="F89" s="203"/>
      <c r="G89" s="203"/>
      <c r="H89" s="203"/>
      <c r="I89" s="203"/>
      <c r="J89" s="203"/>
      <c r="K89" s="203"/>
      <c r="L89" s="203"/>
      <c r="M89" s="203"/>
      <c r="N89" s="203"/>
      <c r="O89" s="203"/>
      <c r="P89" s="203"/>
      <c r="Q89" s="203"/>
      <c r="AD89" s="620"/>
      <c r="AE89" s="620"/>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36" sqref="B36"/>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39" t="s">
        <v>407</v>
      </c>
      <c r="G6" s="639"/>
      <c r="H6" s="639"/>
      <c r="I6" s="639"/>
      <c r="J6" s="639"/>
    </row>
    <row r="7" spans="2:10">
      <c r="D7" s="538" t="s">
        <v>408</v>
      </c>
      <c r="E7" s="539" t="s">
        <v>176</v>
      </c>
      <c r="F7" s="639" t="s">
        <v>407</v>
      </c>
      <c r="G7" s="639"/>
      <c r="H7" s="639"/>
      <c r="I7" s="639"/>
      <c r="J7" s="639"/>
    </row>
    <row r="8" spans="2:10">
      <c r="D8" s="538" t="s">
        <v>409</v>
      </c>
      <c r="E8" s="539" t="s">
        <v>212</v>
      </c>
      <c r="F8" s="639" t="s">
        <v>407</v>
      </c>
      <c r="G8" s="639"/>
      <c r="H8" s="639"/>
      <c r="I8" s="639"/>
      <c r="J8" s="639"/>
    </row>
    <row r="9" spans="2:10">
      <c r="D9" s="538" t="s">
        <v>410</v>
      </c>
      <c r="E9" s="539" t="s">
        <v>411</v>
      </c>
      <c r="F9" s="639" t="s">
        <v>412</v>
      </c>
      <c r="G9" s="639"/>
      <c r="H9" s="639"/>
      <c r="I9" s="639"/>
      <c r="J9" s="639"/>
    </row>
    <row r="10" spans="2:10">
      <c r="D10" s="538" t="s">
        <v>413</v>
      </c>
      <c r="E10" s="539" t="s">
        <v>175</v>
      </c>
      <c r="F10" s="639" t="s">
        <v>407</v>
      </c>
      <c r="G10" s="639"/>
      <c r="H10" s="639"/>
      <c r="I10" s="639"/>
      <c r="J10" s="639"/>
    </row>
    <row r="11" spans="2:10">
      <c r="D11" s="538" t="s">
        <v>414</v>
      </c>
      <c r="E11" s="539" t="s">
        <v>415</v>
      </c>
      <c r="F11" s="639" t="s">
        <v>407</v>
      </c>
      <c r="G11" s="639"/>
      <c r="H11" s="639"/>
      <c r="I11" s="639"/>
      <c r="J11" s="639"/>
    </row>
    <row r="12" spans="2:10">
      <c r="D12" s="538" t="s">
        <v>416</v>
      </c>
      <c r="E12" s="539" t="s">
        <v>417</v>
      </c>
      <c r="F12" s="639" t="s">
        <v>407</v>
      </c>
      <c r="G12" s="639"/>
      <c r="H12" s="639"/>
      <c r="I12" s="639"/>
      <c r="J12" s="639"/>
    </row>
    <row r="13" spans="2:10">
      <c r="D13" s="538" t="s">
        <v>418</v>
      </c>
      <c r="E13" s="539" t="s">
        <v>419</v>
      </c>
      <c r="F13" s="639" t="s">
        <v>407</v>
      </c>
      <c r="G13" s="639"/>
      <c r="H13" s="639"/>
      <c r="I13" s="639"/>
      <c r="J13" s="639"/>
    </row>
    <row r="14" spans="2:10">
      <c r="D14" s="538" t="s">
        <v>420</v>
      </c>
      <c r="E14" s="539" t="s">
        <v>421</v>
      </c>
      <c r="F14" s="639" t="s">
        <v>412</v>
      </c>
      <c r="G14" s="639"/>
      <c r="H14" s="639"/>
      <c r="I14" s="639"/>
      <c r="J14" s="639"/>
    </row>
    <row r="15" spans="2:10">
      <c r="D15" s="555" t="s">
        <v>422</v>
      </c>
      <c r="E15" s="556"/>
      <c r="F15" s="640" t="s">
        <v>423</v>
      </c>
      <c r="G15" s="640"/>
      <c r="H15" s="640"/>
      <c r="I15" s="640"/>
      <c r="J15" s="640"/>
    </row>
    <row r="16" spans="2:10">
      <c r="D16" s="555" t="s">
        <v>424</v>
      </c>
      <c r="E16" s="556"/>
      <c r="F16" s="640" t="s">
        <v>423</v>
      </c>
      <c r="G16" s="640"/>
      <c r="H16" s="640"/>
      <c r="I16" s="640"/>
      <c r="J16" s="640"/>
    </row>
    <row r="17" spans="4:10">
      <c r="D17" s="538" t="s">
        <v>425</v>
      </c>
      <c r="E17" s="539" t="s">
        <v>426</v>
      </c>
      <c r="F17" s="639" t="s">
        <v>427</v>
      </c>
      <c r="G17" s="639"/>
      <c r="H17" s="639"/>
      <c r="I17" s="639"/>
      <c r="J17" s="639"/>
    </row>
    <row r="18" spans="4:10">
      <c r="D18" s="538" t="s">
        <v>428</v>
      </c>
      <c r="E18" s="539" t="s">
        <v>426</v>
      </c>
      <c r="F18" s="639" t="s">
        <v>427</v>
      </c>
      <c r="G18" s="639"/>
      <c r="H18" s="639"/>
      <c r="I18" s="639"/>
      <c r="J18" s="639"/>
    </row>
    <row r="19" spans="4:10">
      <c r="D19" s="538" t="s">
        <v>429</v>
      </c>
      <c r="E19" s="539" t="s">
        <v>426</v>
      </c>
      <c r="F19" s="639" t="s">
        <v>427</v>
      </c>
      <c r="G19" s="639"/>
      <c r="H19" s="639"/>
      <c r="I19" s="639"/>
      <c r="J19" s="639"/>
    </row>
    <row r="20" spans="4:10">
      <c r="D20" s="538" t="s">
        <v>430</v>
      </c>
      <c r="E20" s="539" t="s">
        <v>431</v>
      </c>
      <c r="F20" s="639" t="s">
        <v>427</v>
      </c>
      <c r="G20" s="639"/>
      <c r="H20" s="639"/>
      <c r="I20" s="639"/>
      <c r="J20" s="639"/>
    </row>
    <row r="21" spans="4:10">
      <c r="D21" s="541" t="s">
        <v>432</v>
      </c>
      <c r="E21" s="539" t="s">
        <v>431</v>
      </c>
      <c r="F21" s="639" t="s">
        <v>427</v>
      </c>
      <c r="G21" s="639"/>
      <c r="H21" s="639"/>
      <c r="I21" s="639"/>
      <c r="J21" s="639"/>
    </row>
    <row r="22" spans="4:10">
      <c r="D22" s="541" t="s">
        <v>433</v>
      </c>
      <c r="E22" s="539" t="s">
        <v>434</v>
      </c>
      <c r="F22" s="639" t="s">
        <v>435</v>
      </c>
      <c r="G22" s="639"/>
      <c r="H22" s="639"/>
      <c r="I22" s="639"/>
      <c r="J22" s="639"/>
    </row>
    <row r="23" spans="4:10">
      <c r="D23" s="541" t="s">
        <v>436</v>
      </c>
      <c r="E23" s="539" t="s">
        <v>434</v>
      </c>
      <c r="F23" s="639" t="s">
        <v>435</v>
      </c>
      <c r="G23" s="639"/>
      <c r="H23" s="639"/>
      <c r="I23" s="639"/>
      <c r="J23" s="639"/>
    </row>
    <row r="24" spans="4:10">
      <c r="D24" s="541" t="s">
        <v>437</v>
      </c>
      <c r="E24" s="539" t="s">
        <v>438</v>
      </c>
      <c r="F24" s="639" t="s">
        <v>435</v>
      </c>
      <c r="G24" s="639"/>
      <c r="H24" s="639"/>
      <c r="I24" s="639"/>
      <c r="J24" s="639"/>
    </row>
    <row r="25" spans="4:10">
      <c r="D25" s="541" t="s">
        <v>439</v>
      </c>
      <c r="E25" s="539" t="s">
        <v>431</v>
      </c>
      <c r="F25" s="639" t="s">
        <v>435</v>
      </c>
      <c r="G25" s="639"/>
      <c r="H25" s="639"/>
      <c r="I25" s="639"/>
      <c r="J25" s="639"/>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0" t="s">
        <v>449</v>
      </c>
      <c r="E39" s="631" t="s">
        <v>402</v>
      </c>
      <c r="F39" s="632" t="s">
        <v>403</v>
      </c>
      <c r="G39" s="633"/>
      <c r="H39" s="633"/>
      <c r="I39" s="633"/>
      <c r="J39" s="634"/>
      <c r="O39" s="533">
        <v>3</v>
      </c>
      <c r="P39" s="543" t="s">
        <v>450</v>
      </c>
    </row>
    <row r="40" spans="4:16" ht="21">
      <c r="D40" s="630"/>
      <c r="E40" s="631"/>
      <c r="F40" s="635" t="s">
        <v>451</v>
      </c>
      <c r="G40" s="636"/>
      <c r="H40" s="636"/>
      <c r="I40" s="636"/>
      <c r="J40" s="637"/>
      <c r="O40" s="533">
        <v>4</v>
      </c>
      <c r="P40" s="543" t="s">
        <v>452</v>
      </c>
    </row>
    <row r="41" spans="4:16">
      <c r="D41" s="544" t="s">
        <v>453</v>
      </c>
      <c r="E41" s="574"/>
      <c r="F41" s="642" t="s">
        <v>454</v>
      </c>
      <c r="G41" s="642"/>
      <c r="H41" s="642"/>
      <c r="I41" s="642"/>
      <c r="J41" s="642"/>
      <c r="K41" s="553"/>
      <c r="P41" s="543"/>
    </row>
    <row r="42" spans="4:16">
      <c r="D42" s="544" t="s">
        <v>455</v>
      </c>
      <c r="E42" s="574"/>
      <c r="F42" s="639" t="s">
        <v>454</v>
      </c>
      <c r="G42" s="639"/>
      <c r="H42" s="639"/>
      <c r="I42" s="639"/>
      <c r="J42" s="639"/>
      <c r="K42" s="553"/>
      <c r="P42" s="543"/>
    </row>
    <row r="43" spans="4:16">
      <c r="D43" s="544" t="s">
        <v>456</v>
      </c>
      <c r="E43" s="574"/>
      <c r="F43" s="639" t="s">
        <v>454</v>
      </c>
      <c r="G43" s="639"/>
      <c r="H43" s="639"/>
      <c r="I43" s="639"/>
      <c r="J43" s="639"/>
      <c r="K43" s="553"/>
      <c r="O43" s="533">
        <v>5</v>
      </c>
      <c r="P43" s="543" t="s">
        <v>457</v>
      </c>
    </row>
    <row r="44" spans="4:16">
      <c r="D44" s="544" t="s">
        <v>458</v>
      </c>
      <c r="E44" s="574" t="s">
        <v>426</v>
      </c>
      <c r="F44" s="639" t="s">
        <v>427</v>
      </c>
      <c r="G44" s="639"/>
      <c r="H44" s="639"/>
      <c r="I44" s="639"/>
      <c r="J44" s="639"/>
      <c r="K44" s="554">
        <f>+'COMBUSTIBLES '!E7</f>
        <v>4540.82</v>
      </c>
    </row>
    <row r="45" spans="4:16">
      <c r="D45" s="544" t="s">
        <v>459</v>
      </c>
      <c r="E45" s="574" t="s">
        <v>460</v>
      </c>
      <c r="F45" s="639" t="s">
        <v>427</v>
      </c>
      <c r="G45" s="639"/>
      <c r="H45" s="639"/>
      <c r="I45" s="639"/>
      <c r="J45" s="639"/>
      <c r="K45" s="554">
        <f>+'COMBUSTIBLES '!E8</f>
        <v>7.6735000000000007</v>
      </c>
    </row>
    <row r="46" spans="4:16">
      <c r="D46" s="544" t="s">
        <v>461</v>
      </c>
      <c r="E46" s="574"/>
      <c r="F46" s="641" t="s">
        <v>462</v>
      </c>
      <c r="G46" s="641"/>
      <c r="H46" s="641"/>
      <c r="I46" s="641"/>
      <c r="J46" s="641"/>
      <c r="K46" s="553"/>
    </row>
    <row r="47" spans="4:16">
      <c r="D47" s="544" t="s">
        <v>465</v>
      </c>
      <c r="E47" s="574" t="s">
        <v>466</v>
      </c>
      <c r="F47" s="639" t="s">
        <v>427</v>
      </c>
      <c r="G47" s="639"/>
      <c r="H47" s="639"/>
      <c r="I47" s="639"/>
      <c r="J47" s="639"/>
      <c r="K47" s="554">
        <f>+'COMBUSTIBLES '!B8</f>
        <v>7.6735000000000007</v>
      </c>
    </row>
    <row r="48" spans="4:16">
      <c r="D48" s="544" t="s">
        <v>467</v>
      </c>
      <c r="E48" s="574" t="s">
        <v>431</v>
      </c>
      <c r="F48" s="639" t="s">
        <v>427</v>
      </c>
      <c r="G48" s="639"/>
      <c r="H48" s="639"/>
      <c r="I48" s="639"/>
      <c r="J48" s="639"/>
      <c r="K48" s="554">
        <f>+'COMBUSTIBLES '!B7</f>
        <v>4612.67</v>
      </c>
    </row>
    <row r="49" spans="4:11">
      <c r="D49" s="544" t="s">
        <v>463</v>
      </c>
      <c r="E49" s="586" t="s">
        <v>464</v>
      </c>
      <c r="F49" s="641" t="s">
        <v>462</v>
      </c>
      <c r="G49" s="641"/>
      <c r="H49" s="641"/>
      <c r="I49" s="641"/>
      <c r="J49" s="641"/>
      <c r="K49" s="553"/>
    </row>
    <row r="50" spans="4:11">
      <c r="D50" s="544" t="s">
        <v>468</v>
      </c>
      <c r="E50" s="574" t="s">
        <v>460</v>
      </c>
      <c r="F50" s="639" t="s">
        <v>469</v>
      </c>
      <c r="G50" s="639"/>
      <c r="H50" s="639"/>
      <c r="I50" s="639"/>
      <c r="J50" s="639"/>
      <c r="K50" s="554">
        <f>+BIODIESEL!E8</f>
        <v>4450</v>
      </c>
    </row>
    <row r="51" spans="4:11">
      <c r="D51" s="544" t="s">
        <v>470</v>
      </c>
      <c r="E51" s="574" t="s">
        <v>434</v>
      </c>
      <c r="F51" s="639" t="s">
        <v>469</v>
      </c>
      <c r="G51" s="639"/>
      <c r="H51" s="639"/>
      <c r="I51" s="639"/>
      <c r="J51" s="639"/>
      <c r="K51" s="554">
        <f>+BIODIESEL!E10</f>
        <v>4646.18</v>
      </c>
    </row>
    <row r="52" spans="4:11">
      <c r="D52" s="544" t="s">
        <v>471</v>
      </c>
      <c r="E52" s="574" t="s">
        <v>472</v>
      </c>
      <c r="F52" s="639" t="s">
        <v>469</v>
      </c>
      <c r="G52" s="639"/>
      <c r="H52" s="639"/>
      <c r="I52" s="639"/>
      <c r="J52" s="639"/>
      <c r="K52" s="554">
        <f>+BIODIESEL!E14</f>
        <v>7.6735000000000007</v>
      </c>
    </row>
    <row r="53" spans="4:11">
      <c r="D53" s="544" t="s">
        <v>473</v>
      </c>
      <c r="E53" s="574" t="s">
        <v>474</v>
      </c>
      <c r="F53" s="639" t="s">
        <v>469</v>
      </c>
      <c r="G53" s="639"/>
      <c r="H53" s="639"/>
      <c r="I53" s="639"/>
      <c r="J53" s="639"/>
      <c r="K53" s="554">
        <f>+BIODIESEL!E9</f>
        <v>196.18</v>
      </c>
    </row>
    <row r="54" spans="4:11">
      <c r="D54" s="544" t="s">
        <v>475</v>
      </c>
      <c r="E54" s="586" t="s">
        <v>464</v>
      </c>
      <c r="F54" s="641" t="s">
        <v>462</v>
      </c>
      <c r="G54" s="641"/>
      <c r="H54" s="641"/>
      <c r="I54" s="641"/>
      <c r="J54" s="641"/>
      <c r="K54" s="553"/>
    </row>
    <row r="55" spans="4:11">
      <c r="D55" s="544" t="s">
        <v>476</v>
      </c>
      <c r="E55" s="574" t="s">
        <v>460</v>
      </c>
      <c r="F55" s="639" t="s">
        <v>427</v>
      </c>
      <c r="G55" s="639"/>
      <c r="H55" s="639"/>
      <c r="I55" s="639"/>
      <c r="J55" s="639"/>
      <c r="K55" s="554">
        <f>+'COMBUSTIBLES '!E8</f>
        <v>7.6735000000000007</v>
      </c>
    </row>
    <row r="56" spans="4:11">
      <c r="D56" s="544" t="s">
        <v>477</v>
      </c>
      <c r="E56" s="574" t="s">
        <v>426</v>
      </c>
      <c r="F56" s="639" t="s">
        <v>427</v>
      </c>
      <c r="G56" s="639"/>
      <c r="H56" s="639"/>
      <c r="I56" s="639"/>
      <c r="J56" s="639"/>
      <c r="K56" s="554">
        <f>+'COMBUSTIBLES '!E7</f>
        <v>4540.82</v>
      </c>
    </row>
    <row r="57" spans="4:11">
      <c r="D57" s="544" t="s">
        <v>478</v>
      </c>
      <c r="E57" s="586" t="s">
        <v>464</v>
      </c>
      <c r="F57" s="641" t="s">
        <v>462</v>
      </c>
      <c r="G57" s="641"/>
      <c r="H57" s="641"/>
      <c r="I57" s="641"/>
      <c r="J57" s="641"/>
      <c r="K57" s="553"/>
    </row>
    <row r="58" spans="4:11">
      <c r="D58" s="544" t="s">
        <v>479</v>
      </c>
      <c r="E58" s="574" t="s">
        <v>426</v>
      </c>
      <c r="F58" s="639" t="s">
        <v>427</v>
      </c>
      <c r="G58" s="639"/>
      <c r="H58" s="639"/>
      <c r="I58" s="639"/>
      <c r="J58" s="639"/>
      <c r="K58" s="554">
        <f>+'COMBUSTIBLES '!E7</f>
        <v>4540.82</v>
      </c>
    </row>
    <row r="59" spans="4:11">
      <c r="D59" s="544" t="s">
        <v>480</v>
      </c>
      <c r="E59" s="586" t="s">
        <v>464</v>
      </c>
      <c r="F59" s="641" t="s">
        <v>462</v>
      </c>
      <c r="G59" s="641"/>
      <c r="H59" s="641"/>
      <c r="I59" s="641"/>
      <c r="J59" s="641"/>
      <c r="K59" s="553"/>
    </row>
    <row r="60" spans="4:11">
      <c r="D60" s="544" t="s">
        <v>481</v>
      </c>
      <c r="E60" s="574" t="s">
        <v>438</v>
      </c>
      <c r="F60" s="639" t="s">
        <v>469</v>
      </c>
      <c r="G60" s="639"/>
      <c r="H60" s="639"/>
      <c r="I60" s="639"/>
      <c r="J60" s="639"/>
      <c r="K60" s="554">
        <f>+BIODIESEL!F10</f>
        <v>4751.54</v>
      </c>
    </row>
    <row r="61" spans="4:11">
      <c r="D61" s="544" t="s">
        <v>482</v>
      </c>
      <c r="E61" s="574" t="s">
        <v>460</v>
      </c>
      <c r="F61" s="639" t="s">
        <v>427</v>
      </c>
      <c r="G61" s="639"/>
      <c r="H61" s="639"/>
      <c r="I61" s="639"/>
      <c r="J61" s="639"/>
      <c r="K61" s="554">
        <f>+'COMBUSTIBLES '!E8</f>
        <v>7.6735000000000007</v>
      </c>
    </row>
    <row r="62" spans="4:11">
      <c r="D62" s="544" t="s">
        <v>483</v>
      </c>
      <c r="E62" s="574" t="s">
        <v>484</v>
      </c>
      <c r="F62" s="639" t="s">
        <v>469</v>
      </c>
      <c r="G62" s="639"/>
      <c r="H62" s="639"/>
      <c r="I62" s="639"/>
      <c r="J62" s="639"/>
      <c r="K62" s="554">
        <f>+BIODIESEL!F8</f>
        <v>4359.1899999999996</v>
      </c>
    </row>
    <row r="63" spans="4:11">
      <c r="D63" s="544" t="s">
        <v>485</v>
      </c>
      <c r="E63" s="574" t="s">
        <v>486</v>
      </c>
      <c r="F63" s="639" t="s">
        <v>469</v>
      </c>
      <c r="G63" s="639"/>
      <c r="H63" s="639"/>
      <c r="I63" s="639"/>
      <c r="J63" s="639"/>
      <c r="K63" s="554">
        <f>+BIODIESEL!F9</f>
        <v>392.35</v>
      </c>
    </row>
    <row r="64" spans="4:11">
      <c r="D64" s="544" t="s">
        <v>487</v>
      </c>
      <c r="E64" s="586" t="s">
        <v>464</v>
      </c>
      <c r="F64" s="641" t="s">
        <v>462</v>
      </c>
      <c r="G64" s="641"/>
      <c r="H64" s="641"/>
      <c r="I64" s="641"/>
      <c r="J64" s="641"/>
      <c r="K64" s="553"/>
    </row>
    <row r="65" spans="2:11">
      <c r="D65" s="544" t="s">
        <v>488</v>
      </c>
      <c r="E65" s="574" t="s">
        <v>460</v>
      </c>
      <c r="F65" s="639" t="s">
        <v>427</v>
      </c>
      <c r="G65" s="639"/>
      <c r="H65" s="639"/>
      <c r="I65" s="639"/>
      <c r="J65" s="639"/>
      <c r="K65" s="554">
        <f>+'COMBUSTIBLES '!E8</f>
        <v>7.6735000000000007</v>
      </c>
    </row>
    <row r="66" spans="2:11">
      <c r="D66" s="544" t="s">
        <v>489</v>
      </c>
      <c r="E66" s="574" t="s">
        <v>426</v>
      </c>
      <c r="F66" s="639" t="s">
        <v>427</v>
      </c>
      <c r="G66" s="639"/>
      <c r="H66" s="639"/>
      <c r="I66" s="639"/>
      <c r="J66" s="639"/>
      <c r="K66" s="554">
        <f>+'COMBUSTIBLES '!E7</f>
        <v>4540.82</v>
      </c>
    </row>
    <row r="67" spans="2:11">
      <c r="D67" s="544" t="s">
        <v>490</v>
      </c>
      <c r="E67" s="586" t="s">
        <v>464</v>
      </c>
      <c r="F67" s="641" t="s">
        <v>462</v>
      </c>
      <c r="G67" s="641"/>
      <c r="H67" s="641"/>
      <c r="I67" s="641"/>
      <c r="J67" s="641"/>
      <c r="K67" s="553"/>
    </row>
    <row r="68" spans="2:11">
      <c r="D68" s="544" t="s">
        <v>491</v>
      </c>
      <c r="E68" s="574" t="s">
        <v>434</v>
      </c>
      <c r="F68" s="639" t="s">
        <v>469</v>
      </c>
      <c r="G68" s="639"/>
      <c r="H68" s="639"/>
      <c r="I68" s="639"/>
      <c r="J68" s="639"/>
      <c r="K68" s="554">
        <f>+BIODIESEL!E10</f>
        <v>4646.18</v>
      </c>
    </row>
    <row r="69" spans="2:11">
      <c r="D69" s="544" t="s">
        <v>492</v>
      </c>
      <c r="E69" s="583" t="s">
        <v>460</v>
      </c>
      <c r="F69" s="639" t="s">
        <v>469</v>
      </c>
      <c r="G69" s="639"/>
      <c r="H69" s="639"/>
      <c r="I69" s="639"/>
      <c r="J69" s="639"/>
      <c r="K69" s="554">
        <f>+BIODIESEL!E8</f>
        <v>4450</v>
      </c>
    </row>
    <row r="70" spans="2:11">
      <c r="D70" s="544" t="s">
        <v>493</v>
      </c>
      <c r="E70" s="574" t="s">
        <v>474</v>
      </c>
      <c r="F70" s="639" t="s">
        <v>469</v>
      </c>
      <c r="G70" s="639"/>
      <c r="H70" s="639"/>
      <c r="I70" s="639"/>
      <c r="J70" s="639"/>
      <c r="K70" s="554">
        <f>+BIODIESEL!E9</f>
        <v>196.18</v>
      </c>
    </row>
    <row r="71" spans="2:11">
      <c r="D71" s="544" t="s">
        <v>494</v>
      </c>
      <c r="E71" s="586" t="s">
        <v>464</v>
      </c>
      <c r="F71" s="641" t="s">
        <v>462</v>
      </c>
      <c r="G71" s="641"/>
      <c r="H71" s="641"/>
      <c r="I71" s="641"/>
      <c r="J71" s="641"/>
      <c r="K71" s="553"/>
    </row>
    <row r="72" spans="2:11">
      <c r="D72" s="544" t="s">
        <v>633</v>
      </c>
      <c r="E72" s="574" t="s">
        <v>426</v>
      </c>
      <c r="F72" s="639" t="s">
        <v>427</v>
      </c>
      <c r="G72" s="639"/>
      <c r="H72" s="639"/>
      <c r="I72" s="639"/>
      <c r="J72" s="639"/>
      <c r="K72" s="554">
        <f>+'COMBUSTIBLES '!E7</f>
        <v>4540.82</v>
      </c>
    </row>
    <row r="73" spans="2:11">
      <c r="D73" s="544" t="s">
        <v>634</v>
      </c>
      <c r="E73" s="586" t="s">
        <v>464</v>
      </c>
      <c r="F73" s="641" t="s">
        <v>462</v>
      </c>
      <c r="G73" s="641"/>
      <c r="H73" s="641"/>
      <c r="I73" s="641"/>
      <c r="J73" s="641"/>
      <c r="K73" s="553"/>
    </row>
    <row r="74" spans="2:11">
      <c r="D74" s="544" t="s">
        <v>635</v>
      </c>
      <c r="E74" s="574" t="s">
        <v>460</v>
      </c>
      <c r="F74" s="639" t="s">
        <v>427</v>
      </c>
      <c r="G74" s="639"/>
      <c r="H74" s="639"/>
      <c r="I74" s="639"/>
      <c r="J74" s="639"/>
      <c r="K74" s="554">
        <f>+'COMBUSTIBLES '!E8</f>
        <v>7.6735000000000007</v>
      </c>
    </row>
    <row r="75" spans="2:11">
      <c r="D75" s="544" t="s">
        <v>636</v>
      </c>
      <c r="E75" s="574"/>
      <c r="F75" s="639" t="s">
        <v>454</v>
      </c>
      <c r="G75" s="639"/>
      <c r="H75" s="639"/>
      <c r="I75" s="639"/>
      <c r="J75" s="639"/>
      <c r="K75" s="553"/>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81" t="s">
        <v>497</v>
      </c>
      <c r="F80" s="639" t="s">
        <v>427</v>
      </c>
      <c r="G80" s="639"/>
      <c r="H80" s="639"/>
      <c r="I80" s="639"/>
      <c r="J80" s="639"/>
      <c r="K80" s="573">
        <f>+'COMBUSTIBLES '!D7</f>
        <v>6120</v>
      </c>
    </row>
    <row r="81" spans="4:11">
      <c r="D81" s="541" t="s">
        <v>498</v>
      </c>
      <c r="E81" s="581" t="s">
        <v>499</v>
      </c>
      <c r="F81" s="639" t="s">
        <v>427</v>
      </c>
      <c r="G81" s="639"/>
      <c r="H81" s="639"/>
      <c r="I81" s="639"/>
      <c r="J81" s="639"/>
      <c r="K81" s="573">
        <f>+'COMBUSTIBLES '!F7</f>
        <v>7070</v>
      </c>
    </row>
    <row r="82" spans="4:11">
      <c r="D82" s="540" t="s">
        <v>500</v>
      </c>
      <c r="E82" s="546"/>
      <c r="F82" s="646" t="s">
        <v>501</v>
      </c>
      <c r="G82" s="646"/>
      <c r="H82" s="646"/>
      <c r="I82" s="646"/>
      <c r="J82" s="646"/>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8" t="s">
        <v>660</v>
      </c>
    </row>
    <row r="97" spans="4:11">
      <c r="D97" s="533" t="s">
        <v>446</v>
      </c>
    </row>
    <row r="100" spans="4:11" ht="21">
      <c r="D100" s="630" t="s">
        <v>449</v>
      </c>
      <c r="E100" s="631" t="s">
        <v>402</v>
      </c>
      <c r="F100" s="632" t="s">
        <v>403</v>
      </c>
      <c r="G100" s="633"/>
      <c r="H100" s="633"/>
      <c r="I100" s="633"/>
      <c r="J100" s="634"/>
    </row>
    <row r="101" spans="4:11" ht="21">
      <c r="D101" s="630"/>
      <c r="E101" s="631"/>
      <c r="F101" s="635" t="s">
        <v>451</v>
      </c>
      <c r="G101" s="636"/>
      <c r="H101" s="636"/>
      <c r="I101" s="636"/>
      <c r="J101" s="637"/>
    </row>
    <row r="102" spans="4:11" ht="15" customHeight="1">
      <c r="D102" s="547" t="s">
        <v>508</v>
      </c>
      <c r="E102" s="548"/>
      <c r="F102" s="643" t="s">
        <v>509</v>
      </c>
      <c r="G102" s="644"/>
      <c r="H102" s="644"/>
      <c r="I102" s="644"/>
      <c r="J102" s="645"/>
      <c r="K102" s="558"/>
    </row>
    <row r="103" spans="4:11">
      <c r="D103" s="549" t="s">
        <v>510</v>
      </c>
      <c r="E103" s="584">
        <f>+$K$55</f>
        <v>7.6735000000000007</v>
      </c>
      <c r="F103" s="643"/>
      <c r="G103" s="644"/>
      <c r="H103" s="644"/>
      <c r="I103" s="644"/>
      <c r="J103" s="645"/>
    </row>
    <row r="104" spans="4:11">
      <c r="D104" s="549" t="s">
        <v>511</v>
      </c>
      <c r="E104" s="584">
        <f>+$K$55</f>
        <v>7.6735000000000007</v>
      </c>
      <c r="F104" s="643"/>
      <c r="G104" s="644"/>
      <c r="H104" s="644"/>
      <c r="I104" s="644"/>
      <c r="J104" s="645"/>
    </row>
    <row r="105" spans="4:11">
      <c r="D105" s="549" t="s">
        <v>512</v>
      </c>
      <c r="E105" s="583">
        <v>0</v>
      </c>
      <c r="F105" s="643"/>
      <c r="G105" s="644"/>
      <c r="H105" s="644"/>
      <c r="I105" s="644"/>
      <c r="J105" s="645"/>
    </row>
    <row r="106" spans="4:11">
      <c r="D106" s="547" t="s">
        <v>513</v>
      </c>
      <c r="E106" s="583" t="s">
        <v>514</v>
      </c>
      <c r="F106" s="643" t="s">
        <v>515</v>
      </c>
      <c r="G106" s="644"/>
      <c r="H106" s="644"/>
      <c r="I106" s="644"/>
      <c r="J106" s="645"/>
      <c r="K106" s="554">
        <f>+'GASOLINA EXTRA OXIGENADA'!C7</f>
        <v>6120</v>
      </c>
    </row>
    <row r="107" spans="4:11">
      <c r="D107" s="557" t="s">
        <v>637</v>
      </c>
      <c r="E107" s="583"/>
      <c r="F107" s="641" t="s">
        <v>462</v>
      </c>
      <c r="G107" s="641"/>
      <c r="H107" s="641"/>
      <c r="I107" s="641"/>
      <c r="J107" s="641"/>
    </row>
    <row r="108" spans="4:11">
      <c r="D108" s="549"/>
      <c r="E108" s="585"/>
      <c r="F108" s="643"/>
      <c r="G108" s="644"/>
      <c r="H108" s="644"/>
      <c r="I108" s="644"/>
      <c r="J108" s="645"/>
    </row>
    <row r="109" spans="4:11">
      <c r="D109" s="549" t="s">
        <v>516</v>
      </c>
      <c r="E109" s="583" t="s">
        <v>499</v>
      </c>
      <c r="F109" s="643" t="s">
        <v>517</v>
      </c>
      <c r="G109" s="644"/>
      <c r="H109" s="644"/>
      <c r="I109" s="644"/>
      <c r="J109" s="645"/>
      <c r="K109" s="554">
        <f>+'COMBUSTIBLES '!F7</f>
        <v>7070</v>
      </c>
    </row>
    <row r="110" spans="4:11">
      <c r="D110" s="549" t="s">
        <v>518</v>
      </c>
      <c r="E110" s="583">
        <v>0</v>
      </c>
      <c r="F110" s="643"/>
      <c r="G110" s="644"/>
      <c r="H110" s="644"/>
      <c r="I110" s="644"/>
      <c r="J110" s="645"/>
    </row>
    <row r="111" spans="4:11">
      <c r="D111" s="547" t="s">
        <v>519</v>
      </c>
      <c r="E111" s="583"/>
      <c r="F111" s="641" t="s">
        <v>462</v>
      </c>
      <c r="G111" s="641"/>
      <c r="H111" s="641"/>
      <c r="I111" s="641"/>
      <c r="J111" s="641"/>
    </row>
    <row r="112" spans="4:11">
      <c r="D112" s="549" t="s">
        <v>520</v>
      </c>
      <c r="E112" s="584">
        <f>+$K$55</f>
        <v>7.6735000000000007</v>
      </c>
      <c r="F112" s="643"/>
      <c r="G112" s="644"/>
      <c r="H112" s="644"/>
      <c r="I112" s="644"/>
      <c r="J112" s="645"/>
    </row>
    <row r="113" spans="2:11">
      <c r="D113" s="550" t="s">
        <v>521</v>
      </c>
      <c r="E113" s="583" t="s">
        <v>514</v>
      </c>
      <c r="F113" s="643" t="s">
        <v>515</v>
      </c>
      <c r="G113" s="644"/>
      <c r="H113" s="644"/>
      <c r="I113" s="644"/>
      <c r="J113" s="645"/>
      <c r="K113" s="554">
        <f>+'GASOLINA EXTRA OXIGENADA'!C7</f>
        <v>6120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39" t="s">
        <v>525</v>
      </c>
      <c r="G121" s="639"/>
      <c r="H121" s="639"/>
      <c r="I121" s="639"/>
      <c r="J121" s="639"/>
    </row>
    <row r="122" spans="2:11">
      <c r="D122" s="541" t="s">
        <v>526</v>
      </c>
      <c r="E122" s="539" t="s">
        <v>527</v>
      </c>
      <c r="F122" s="639" t="s">
        <v>525</v>
      </c>
      <c r="G122" s="639"/>
      <c r="H122" s="639"/>
      <c r="I122" s="639"/>
      <c r="J122" s="639"/>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0" t="s">
        <v>449</v>
      </c>
      <c r="E134" s="631" t="s">
        <v>402</v>
      </c>
      <c r="F134" s="632" t="s">
        <v>403</v>
      </c>
      <c r="G134" s="633"/>
      <c r="H134" s="633"/>
      <c r="I134" s="633"/>
      <c r="J134" s="634"/>
    </row>
    <row r="135" spans="4:10" ht="21">
      <c r="D135" s="630"/>
      <c r="E135" s="631"/>
      <c r="F135" s="635" t="s">
        <v>531</v>
      </c>
      <c r="G135" s="636"/>
      <c r="H135" s="636"/>
      <c r="I135" s="636"/>
      <c r="J135" s="637"/>
    </row>
    <row r="136" spans="4:10">
      <c r="D136" s="547" t="s">
        <v>532</v>
      </c>
      <c r="E136" s="545" t="s">
        <v>460</v>
      </c>
      <c r="F136" s="639" t="s">
        <v>533</v>
      </c>
      <c r="G136" s="639"/>
      <c r="H136" s="639"/>
      <c r="I136" s="639"/>
      <c r="J136" s="639"/>
    </row>
    <row r="137" spans="4:10">
      <c r="D137" s="547" t="s">
        <v>534</v>
      </c>
      <c r="E137" s="545" t="s">
        <v>474</v>
      </c>
      <c r="F137" s="639" t="s">
        <v>535</v>
      </c>
      <c r="G137" s="639"/>
      <c r="H137" s="639"/>
      <c r="I137" s="639"/>
      <c r="J137" s="639"/>
    </row>
    <row r="138" spans="4:10">
      <c r="D138" s="547" t="s">
        <v>536</v>
      </c>
      <c r="E138" s="545" t="s">
        <v>431</v>
      </c>
      <c r="F138" s="639" t="s">
        <v>537</v>
      </c>
      <c r="G138" s="639"/>
      <c r="H138" s="639"/>
      <c r="I138" s="639"/>
      <c r="J138" s="639"/>
    </row>
    <row r="139" spans="4:10">
      <c r="D139" s="547" t="s">
        <v>538</v>
      </c>
      <c r="E139" s="545" t="s">
        <v>426</v>
      </c>
      <c r="F139" s="639" t="s">
        <v>537</v>
      </c>
      <c r="G139" s="639"/>
      <c r="H139" s="639"/>
      <c r="I139" s="639"/>
      <c r="J139" s="639"/>
    </row>
    <row r="140" spans="4:10">
      <c r="D140" s="547" t="s">
        <v>539</v>
      </c>
      <c r="E140" s="545" t="s">
        <v>484</v>
      </c>
      <c r="F140" s="639" t="s">
        <v>540</v>
      </c>
      <c r="G140" s="639"/>
      <c r="H140" s="639"/>
      <c r="I140" s="639"/>
      <c r="J140" s="639"/>
    </row>
    <row r="141" spans="4:10">
      <c r="D141" s="547" t="s">
        <v>541</v>
      </c>
      <c r="E141" s="545" t="s">
        <v>542</v>
      </c>
      <c r="F141" s="639" t="s">
        <v>540</v>
      </c>
      <c r="G141" s="639"/>
      <c r="H141" s="639"/>
      <c r="I141" s="639"/>
      <c r="J141" s="639"/>
    </row>
    <row r="142" spans="4:10" ht="15" customHeight="1">
      <c r="D142" s="547" t="s">
        <v>543</v>
      </c>
      <c r="E142" s="545" t="s">
        <v>544</v>
      </c>
      <c r="F142" s="639" t="s">
        <v>540</v>
      </c>
      <c r="G142" s="639"/>
      <c r="H142" s="639"/>
      <c r="I142" s="639"/>
      <c r="J142" s="639"/>
    </row>
    <row r="143" spans="4:10" ht="15" customHeight="1">
      <c r="D143" s="547" t="s">
        <v>545</v>
      </c>
      <c r="E143" s="545" t="s">
        <v>546</v>
      </c>
      <c r="F143" s="639" t="s">
        <v>540</v>
      </c>
      <c r="G143" s="639"/>
      <c r="H143" s="639"/>
      <c r="I143" s="639"/>
      <c r="J143" s="639"/>
    </row>
    <row r="144" spans="4:10" ht="15" customHeight="1">
      <c r="D144" s="547" t="s">
        <v>547</v>
      </c>
      <c r="E144" s="545" t="s">
        <v>548</v>
      </c>
      <c r="F144" s="639" t="s">
        <v>540</v>
      </c>
      <c r="G144" s="639"/>
      <c r="H144" s="639"/>
      <c r="I144" s="639"/>
      <c r="J144" s="639"/>
    </row>
    <row r="145" spans="4:10">
      <c r="D145" s="547" t="s">
        <v>549</v>
      </c>
      <c r="E145" s="545" t="s">
        <v>550</v>
      </c>
      <c r="F145" s="639" t="s">
        <v>540</v>
      </c>
      <c r="G145" s="639"/>
      <c r="H145" s="639"/>
      <c r="I145" s="639"/>
      <c r="J145" s="639"/>
    </row>
    <row r="146" spans="4:10">
      <c r="D146" s="547" t="s">
        <v>551</v>
      </c>
      <c r="E146" s="545" t="s">
        <v>431</v>
      </c>
      <c r="F146" s="639" t="s">
        <v>537</v>
      </c>
      <c r="G146" s="639"/>
      <c r="H146" s="639"/>
      <c r="I146" s="639"/>
      <c r="J146" s="639"/>
    </row>
    <row r="147" spans="4:10">
      <c r="D147" s="547" t="s">
        <v>552</v>
      </c>
      <c r="E147" s="545" t="s">
        <v>548</v>
      </c>
      <c r="F147" s="639" t="s">
        <v>553</v>
      </c>
      <c r="G147" s="639"/>
      <c r="H147" s="639"/>
      <c r="I147" s="639"/>
      <c r="J147" s="639"/>
    </row>
    <row r="148" spans="4:10">
      <c r="D148" s="547" t="s">
        <v>554</v>
      </c>
      <c r="E148" s="545" t="s">
        <v>555</v>
      </c>
      <c r="F148" s="639" t="s">
        <v>540</v>
      </c>
      <c r="G148" s="639"/>
      <c r="H148" s="639"/>
      <c r="I148" s="639"/>
      <c r="J148" s="639"/>
    </row>
    <row r="149" spans="4:10">
      <c r="D149" s="547" t="s">
        <v>556</v>
      </c>
      <c r="E149" s="545">
        <v>0</v>
      </c>
      <c r="F149" s="639"/>
      <c r="G149" s="639"/>
      <c r="H149" s="639"/>
      <c r="I149" s="639"/>
      <c r="J149" s="639"/>
    </row>
    <row r="150" spans="4:10">
      <c r="D150" s="547" t="s">
        <v>557</v>
      </c>
      <c r="E150" s="545" t="s">
        <v>558</v>
      </c>
      <c r="F150" s="639" t="s">
        <v>540</v>
      </c>
      <c r="G150" s="639"/>
      <c r="H150" s="639"/>
      <c r="I150" s="639"/>
      <c r="J150" s="639"/>
    </row>
    <row r="151" spans="4:10">
      <c r="D151" s="547" t="s">
        <v>559</v>
      </c>
      <c r="E151" s="545" t="s">
        <v>560</v>
      </c>
      <c r="F151" s="639" t="s">
        <v>540</v>
      </c>
      <c r="G151" s="639"/>
      <c r="H151" s="639"/>
      <c r="I151" s="639"/>
      <c r="J151" s="639"/>
    </row>
    <row r="152" spans="4:10">
      <c r="D152" s="547" t="s">
        <v>561</v>
      </c>
      <c r="E152" s="545" t="s">
        <v>562</v>
      </c>
      <c r="F152" s="639" t="s">
        <v>563</v>
      </c>
      <c r="G152" s="639"/>
      <c r="H152" s="639"/>
      <c r="I152" s="639"/>
      <c r="J152" s="639"/>
    </row>
    <row r="153" spans="4:10">
      <c r="D153" s="547" t="s">
        <v>564</v>
      </c>
      <c r="E153" s="545" t="s">
        <v>565</v>
      </c>
      <c r="F153" s="639" t="s">
        <v>563</v>
      </c>
      <c r="G153" s="639"/>
      <c r="H153" s="639"/>
      <c r="I153" s="639"/>
      <c r="J153" s="639"/>
    </row>
    <row r="154" spans="4:10">
      <c r="D154" s="547" t="s">
        <v>566</v>
      </c>
      <c r="E154" s="545" t="s">
        <v>567</v>
      </c>
      <c r="F154" s="639" t="s">
        <v>563</v>
      </c>
      <c r="G154" s="639"/>
      <c r="H154" s="639"/>
      <c r="I154" s="639"/>
      <c r="J154" s="639"/>
    </row>
    <row r="155" spans="4:10">
      <c r="D155" s="547" t="s">
        <v>568</v>
      </c>
      <c r="E155" s="545" t="s">
        <v>569</v>
      </c>
      <c r="F155" s="639" t="s">
        <v>570</v>
      </c>
      <c r="G155" s="639"/>
      <c r="H155" s="639"/>
      <c r="I155" s="639"/>
      <c r="J155" s="639"/>
    </row>
    <row r="156" spans="4:10">
      <c r="D156" s="547" t="s">
        <v>571</v>
      </c>
      <c r="E156" s="545" t="s">
        <v>572</v>
      </c>
      <c r="F156" s="639" t="s">
        <v>570</v>
      </c>
      <c r="G156" s="639"/>
      <c r="H156" s="639"/>
      <c r="I156" s="639"/>
      <c r="J156" s="639"/>
    </row>
    <row r="157" spans="4:10">
      <c r="D157" s="547" t="s">
        <v>573</v>
      </c>
      <c r="E157" s="545" t="s">
        <v>574</v>
      </c>
      <c r="F157" s="639" t="s">
        <v>570</v>
      </c>
      <c r="G157" s="639"/>
      <c r="H157" s="639"/>
      <c r="I157" s="639"/>
      <c r="J157" s="639"/>
    </row>
    <row r="158" spans="4:10">
      <c r="D158" s="547" t="s">
        <v>575</v>
      </c>
      <c r="E158" s="545" t="s">
        <v>576</v>
      </c>
      <c r="F158" s="639" t="s">
        <v>577</v>
      </c>
      <c r="G158" s="639"/>
      <c r="H158" s="639"/>
      <c r="I158" s="639"/>
      <c r="J158" s="639"/>
    </row>
    <row r="159" spans="4:10">
      <c r="D159" s="547" t="s">
        <v>578</v>
      </c>
      <c r="E159" s="545" t="s">
        <v>524</v>
      </c>
      <c r="F159" s="639" t="s">
        <v>577</v>
      </c>
      <c r="G159" s="639"/>
      <c r="H159" s="639"/>
      <c r="I159" s="639"/>
      <c r="J159" s="639"/>
    </row>
    <row r="160" spans="4:10">
      <c r="D160" s="547" t="s">
        <v>579</v>
      </c>
      <c r="E160" s="545" t="s">
        <v>580</v>
      </c>
      <c r="F160" s="639" t="s">
        <v>577</v>
      </c>
      <c r="G160" s="639"/>
      <c r="H160" s="639"/>
      <c r="I160" s="639"/>
      <c r="J160" s="639"/>
    </row>
    <row r="161" spans="2:10">
      <c r="D161" s="547" t="s">
        <v>581</v>
      </c>
      <c r="E161" s="545">
        <v>0</v>
      </c>
      <c r="F161" s="639"/>
      <c r="G161" s="639"/>
      <c r="H161" s="639"/>
      <c r="I161" s="639"/>
      <c r="J161" s="639"/>
    </row>
    <row r="162" spans="2:10">
      <c r="D162" s="551"/>
      <c r="E162" s="565"/>
    </row>
    <row r="163" spans="2:10">
      <c r="D163" s="551"/>
      <c r="E163" s="565"/>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0" t="s">
        <v>449</v>
      </c>
      <c r="E176" s="631" t="s">
        <v>402</v>
      </c>
      <c r="F176" s="632" t="s">
        <v>403</v>
      </c>
      <c r="G176" s="633"/>
      <c r="H176" s="633"/>
      <c r="I176" s="633"/>
      <c r="J176" s="634"/>
    </row>
    <row r="177" spans="2:11" ht="21">
      <c r="D177" s="630"/>
      <c r="E177" s="631"/>
      <c r="F177" s="635" t="s">
        <v>631</v>
      </c>
      <c r="G177" s="636"/>
      <c r="H177" s="636"/>
      <c r="I177" s="636"/>
      <c r="J177" s="637"/>
    </row>
    <row r="178" spans="2:11">
      <c r="D178" s="549" t="s">
        <v>586</v>
      </c>
      <c r="E178" s="574" t="s">
        <v>474</v>
      </c>
      <c r="F178" s="639" t="s">
        <v>535</v>
      </c>
      <c r="G178" s="639"/>
      <c r="H178" s="639"/>
      <c r="I178" s="639"/>
      <c r="J178" s="639"/>
      <c r="K178" s="554">
        <f>+BIODIESEL!E9</f>
        <v>196.18</v>
      </c>
    </row>
    <row r="179" spans="2:11">
      <c r="D179" s="547" t="s">
        <v>587</v>
      </c>
      <c r="E179" s="574" t="s">
        <v>434</v>
      </c>
      <c r="F179" s="639" t="s">
        <v>535</v>
      </c>
      <c r="G179" s="639"/>
      <c r="H179" s="639"/>
      <c r="I179" s="639"/>
      <c r="J179" s="639"/>
      <c r="K179" s="554">
        <f>+BIODIESEL!E10</f>
        <v>4646.18</v>
      </c>
    </row>
    <row r="180" spans="2:11">
      <c r="D180" s="547" t="s">
        <v>588</v>
      </c>
      <c r="E180" s="574" t="s">
        <v>460</v>
      </c>
      <c r="F180" s="639" t="s">
        <v>535</v>
      </c>
      <c r="G180" s="639"/>
      <c r="H180" s="639"/>
      <c r="I180" s="639"/>
      <c r="J180" s="639"/>
      <c r="K180" s="554">
        <f>+BIODIESEL!E8</f>
        <v>4450</v>
      </c>
    </row>
    <row r="181" spans="2:11">
      <c r="D181" s="544" t="s">
        <v>589</v>
      </c>
      <c r="E181" s="574">
        <v>7.67</v>
      </c>
      <c r="F181" s="650"/>
      <c r="G181" s="650"/>
      <c r="H181" s="650"/>
      <c r="I181" s="650"/>
      <c r="J181" s="650"/>
      <c r="K181" s="553"/>
    </row>
    <row r="182" spans="2:11">
      <c r="D182" s="547" t="s">
        <v>590</v>
      </c>
      <c r="E182" s="574" t="s">
        <v>426</v>
      </c>
      <c r="F182" s="639" t="s">
        <v>537</v>
      </c>
      <c r="G182" s="639"/>
      <c r="H182" s="639"/>
      <c r="I182" s="639"/>
      <c r="J182" s="639"/>
      <c r="K182" s="554">
        <f>+'COMBUSTIBLES '!E7</f>
        <v>4540.82</v>
      </c>
    </row>
    <row r="183" spans="2:11">
      <c r="D183" s="547" t="s">
        <v>591</v>
      </c>
      <c r="E183" s="574" t="s">
        <v>438</v>
      </c>
      <c r="F183" s="639" t="s">
        <v>535</v>
      </c>
      <c r="G183" s="639"/>
      <c r="H183" s="639"/>
      <c r="I183" s="639"/>
      <c r="J183" s="639"/>
      <c r="K183" s="554">
        <f>+BIODIESEL!F10</f>
        <v>4751.54</v>
      </c>
    </row>
    <row r="184" spans="2:11">
      <c r="D184" s="544" t="s">
        <v>592</v>
      </c>
      <c r="E184" s="574">
        <v>7.67</v>
      </c>
      <c r="F184" s="647"/>
      <c r="G184" s="648"/>
      <c r="H184" s="648"/>
      <c r="I184" s="648"/>
      <c r="J184" s="649"/>
      <c r="K184" s="553"/>
    </row>
    <row r="185" spans="2:11">
      <c r="D185" s="547" t="s">
        <v>593</v>
      </c>
      <c r="E185" s="574" t="s">
        <v>484</v>
      </c>
      <c r="F185" s="639" t="s">
        <v>535</v>
      </c>
      <c r="G185" s="639"/>
      <c r="H185" s="639"/>
      <c r="I185" s="639"/>
      <c r="J185" s="639"/>
      <c r="K185" s="554">
        <f>+BIODIESEL!F8</f>
        <v>4359.1899999999996</v>
      </c>
    </row>
    <row r="186" spans="2:11">
      <c r="D186" s="547" t="s">
        <v>594</v>
      </c>
      <c r="E186" s="574" t="s">
        <v>486</v>
      </c>
      <c r="F186" s="639" t="s">
        <v>535</v>
      </c>
      <c r="G186" s="639"/>
      <c r="H186" s="639"/>
      <c r="I186" s="639"/>
      <c r="J186" s="639"/>
      <c r="K186" s="554">
        <f>+BIODIESEL!F9</f>
        <v>392.35</v>
      </c>
    </row>
    <row r="187" spans="2:11">
      <c r="E187" s="566"/>
    </row>
    <row r="188" spans="2:11">
      <c r="E188" s="565"/>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8" t="s">
        <v>401</v>
      </c>
      <c r="E204" s="631" t="s">
        <v>402</v>
      </c>
      <c r="F204" s="632" t="s">
        <v>403</v>
      </c>
      <c r="G204" s="633"/>
      <c r="H204" s="633"/>
      <c r="I204" s="633"/>
      <c r="J204" s="633"/>
      <c r="K204" s="634"/>
    </row>
    <row r="205" spans="4:11" ht="21">
      <c r="D205" s="638"/>
      <c r="E205" s="631"/>
      <c r="F205" s="635" t="s">
        <v>404</v>
      </c>
      <c r="G205" s="636"/>
      <c r="H205" s="636"/>
      <c r="I205" s="636"/>
      <c r="J205" s="636"/>
      <c r="K205" s="637"/>
    </row>
    <row r="206" spans="4:11">
      <c r="D206" s="549" t="s">
        <v>598</v>
      </c>
      <c r="E206" s="574" t="s">
        <v>599</v>
      </c>
      <c r="F206" s="642" t="s">
        <v>600</v>
      </c>
      <c r="G206" s="642"/>
      <c r="H206" s="642"/>
      <c r="I206" s="642"/>
      <c r="J206" s="642"/>
      <c r="K206" s="576">
        <f>+'DIESEL MARINO '!F110</f>
        <v>871.8386400000004</v>
      </c>
    </row>
    <row r="207" spans="4:11">
      <c r="D207" s="547" t="s">
        <v>601</v>
      </c>
      <c r="E207" s="574" t="s">
        <v>602</v>
      </c>
      <c r="F207" s="639" t="s">
        <v>600</v>
      </c>
      <c r="G207" s="639"/>
      <c r="H207" s="639"/>
      <c r="I207" s="639"/>
      <c r="J207" s="639"/>
      <c r="K207" s="575">
        <f>+'DIESEL MARINO '!F109</f>
        <v>908.16399999999976</v>
      </c>
    </row>
    <row r="208" spans="4:11">
      <c r="D208" s="547" t="s">
        <v>603</v>
      </c>
      <c r="E208" s="574" t="s">
        <v>602</v>
      </c>
      <c r="F208" s="639" t="s">
        <v>600</v>
      </c>
      <c r="G208" s="639"/>
      <c r="H208" s="639"/>
      <c r="I208" s="639"/>
      <c r="J208" s="639"/>
      <c r="K208" s="575">
        <f>+'DIESEL MARINO '!F109</f>
        <v>908.16399999999976</v>
      </c>
    </row>
    <row r="209" spans="2:20">
      <c r="D209" s="544" t="s">
        <v>604</v>
      </c>
      <c r="E209" s="574" t="s">
        <v>605</v>
      </c>
      <c r="F209" s="639" t="s">
        <v>600</v>
      </c>
      <c r="G209" s="639"/>
      <c r="H209" s="639"/>
      <c r="I209" s="639"/>
      <c r="J209" s="639"/>
      <c r="K209" s="575">
        <f>+'DIESEL MARINO '!F111</f>
        <v>890.00132000000031</v>
      </c>
      <c r="L209" s="533" t="s">
        <v>604</v>
      </c>
      <c r="T209" s="533" t="s">
        <v>653</v>
      </c>
    </row>
    <row r="210" spans="2:20">
      <c r="D210" s="544" t="s">
        <v>606</v>
      </c>
      <c r="E210" s="574" t="s">
        <v>607</v>
      </c>
      <c r="F210" s="639" t="s">
        <v>600</v>
      </c>
      <c r="G210" s="639"/>
      <c r="H210" s="639"/>
      <c r="I210" s="639"/>
      <c r="J210" s="639"/>
      <c r="K210" s="575">
        <f>+'DIESEL MARINO '!F111</f>
        <v>890.00132000000031</v>
      </c>
    </row>
    <row r="211" spans="2:20">
      <c r="E211" s="565"/>
    </row>
    <row r="212" spans="2:20">
      <c r="E212" s="565"/>
    </row>
    <row r="213" spans="2:20">
      <c r="E213" s="565"/>
    </row>
    <row r="214" spans="2:20" ht="36">
      <c r="B214" s="532">
        <v>6</v>
      </c>
      <c r="D214" s="537" t="s">
        <v>608</v>
      </c>
      <c r="E214" s="565"/>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0" t="s">
        <v>449</v>
      </c>
      <c r="E224" s="631" t="s">
        <v>402</v>
      </c>
      <c r="F224" s="632" t="s">
        <v>403</v>
      </c>
      <c r="G224" s="633"/>
      <c r="H224" s="633"/>
      <c r="I224" s="633"/>
      <c r="J224" s="634"/>
    </row>
    <row r="225" spans="2:10" ht="21">
      <c r="D225" s="630"/>
      <c r="E225" s="631"/>
      <c r="F225" s="635" t="s">
        <v>531</v>
      </c>
      <c r="G225" s="636"/>
      <c r="H225" s="636"/>
      <c r="I225" s="636"/>
      <c r="J225" s="637"/>
    </row>
    <row r="226" spans="2:10">
      <c r="D226" s="549" t="s">
        <v>611</v>
      </c>
      <c r="E226" s="545" t="s">
        <v>612</v>
      </c>
      <c r="F226" s="639" t="s">
        <v>613</v>
      </c>
      <c r="G226" s="639"/>
      <c r="H226" s="639"/>
      <c r="I226" s="639"/>
      <c r="J226" s="639"/>
    </row>
    <row r="227" spans="2:10">
      <c r="D227" s="547" t="s">
        <v>614</v>
      </c>
      <c r="E227" s="545" t="s">
        <v>562</v>
      </c>
      <c r="F227" s="639" t="s">
        <v>613</v>
      </c>
      <c r="G227" s="639"/>
      <c r="H227" s="639"/>
      <c r="I227" s="639"/>
      <c r="J227" s="639"/>
    </row>
    <row r="228" spans="2:10">
      <c r="D228" s="547" t="s">
        <v>615</v>
      </c>
      <c r="E228" s="545" t="s">
        <v>548</v>
      </c>
      <c r="F228" s="639" t="s">
        <v>613</v>
      </c>
      <c r="G228" s="639"/>
      <c r="H228" s="639"/>
      <c r="I228" s="639"/>
      <c r="J228" s="639"/>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7"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8" t="s">
        <v>401</v>
      </c>
      <c r="E254" s="631" t="s">
        <v>402</v>
      </c>
      <c r="F254" s="632" t="s">
        <v>403</v>
      </c>
      <c r="G254" s="633"/>
      <c r="H254" s="633"/>
      <c r="I254" s="633"/>
      <c r="J254" s="633"/>
      <c r="K254" s="634"/>
    </row>
    <row r="255" spans="2:11" ht="21">
      <c r="D255" s="638"/>
      <c r="E255" s="631"/>
      <c r="F255" s="635" t="s">
        <v>404</v>
      </c>
      <c r="G255" s="636"/>
      <c r="H255" s="636"/>
      <c r="I255" s="636"/>
      <c r="J255" s="636"/>
      <c r="K255" s="637"/>
    </row>
    <row r="256" spans="2:11">
      <c r="D256" s="549" t="s">
        <v>623</v>
      </c>
      <c r="E256" s="574" t="s">
        <v>466</v>
      </c>
      <c r="F256" s="639" t="s">
        <v>427</v>
      </c>
      <c r="G256" s="639"/>
      <c r="H256" s="639"/>
      <c r="I256" s="639"/>
      <c r="J256" s="639"/>
      <c r="K256" s="568">
        <f>+'COMBUSTIBLES '!B8</f>
        <v>7.6735000000000007</v>
      </c>
    </row>
    <row r="257" spans="2:11">
      <c r="D257" s="547" t="s">
        <v>624</v>
      </c>
      <c r="E257" s="574" t="s">
        <v>431</v>
      </c>
      <c r="F257" s="639" t="s">
        <v>427</v>
      </c>
      <c r="G257" s="639"/>
      <c r="H257" s="639"/>
      <c r="I257" s="639"/>
      <c r="J257" s="639"/>
      <c r="K257" s="568">
        <f>+'COMBUSTIBLES '!B7</f>
        <v>4612.67</v>
      </c>
    </row>
    <row r="258" spans="2:11">
      <c r="D258" s="547" t="s">
        <v>625</v>
      </c>
      <c r="E258" s="574"/>
      <c r="F258" s="641" t="s">
        <v>462</v>
      </c>
      <c r="G258" s="641"/>
      <c r="H258" s="641"/>
      <c r="I258" s="641"/>
      <c r="J258" s="641"/>
    </row>
    <row r="259" spans="2:11">
      <c r="E259" s="565"/>
    </row>
    <row r="260" spans="2:11">
      <c r="E260" s="565"/>
    </row>
    <row r="261" spans="2:11">
      <c r="E261" s="565"/>
    </row>
    <row r="262" spans="2:11" ht="36">
      <c r="B262" s="532">
        <v>9</v>
      </c>
      <c r="D262" s="537" t="s">
        <v>626</v>
      </c>
      <c r="E262" s="565"/>
    </row>
    <row r="263" spans="2:11">
      <c r="E263" s="565"/>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7" t="s">
        <v>638</v>
      </c>
    </row>
    <row r="272" spans="2:11">
      <c r="D272" s="542"/>
    </row>
    <row r="277" spans="2:6" ht="23.25">
      <c r="D277" s="552" t="s">
        <v>629</v>
      </c>
      <c r="E277" s="569" t="s">
        <v>665</v>
      </c>
      <c r="F277" s="570" t="s">
        <v>659</v>
      </c>
    </row>
    <row r="279" spans="2:6">
      <c r="B279" s="533" t="s">
        <v>639</v>
      </c>
      <c r="C279" s="533">
        <v>1</v>
      </c>
      <c r="D279" s="572" t="str">
        <f>CONCATENATE("PRECIO REGULADOS"," ",$E$277)</f>
        <v>PRECIO REGULADOS JUN 1 A JUN 30 2018</v>
      </c>
      <c r="E279" s="565"/>
    </row>
    <row r="280" spans="2:6">
      <c r="D280" s="571" t="s">
        <v>641</v>
      </c>
      <c r="E280" s="565"/>
    </row>
    <row r="281" spans="2:6">
      <c r="D281" s="571"/>
      <c r="E281" s="565"/>
    </row>
    <row r="282" spans="2:6">
      <c r="B282" s="533" t="s">
        <v>640</v>
      </c>
      <c r="C282" s="533">
        <v>2</v>
      </c>
      <c r="D282" s="572" t="str">
        <f>CONCATENATE("PRECIO NO REGULADOS"," ",$E$277)</f>
        <v>PRECIO NO REGULADOS JUN 1 A JUN 30 2018</v>
      </c>
      <c r="E282" s="565"/>
    </row>
    <row r="283" spans="2:6">
      <c r="D283" s="571" t="s">
        <v>642</v>
      </c>
      <c r="E283" s="565"/>
    </row>
    <row r="284" spans="2:6">
      <c r="D284" s="571"/>
      <c r="E284" s="565"/>
    </row>
    <row r="285" spans="2:6">
      <c r="B285" s="533" t="s">
        <v>643</v>
      </c>
      <c r="C285" s="533">
        <v>3</v>
      </c>
      <c r="D285" s="572" t="str">
        <f>CONCATENATE("PRECIO ZONAS DE FRONTERA "," ",$E$277)</f>
        <v>PRECIO ZONAS DE FRONTERA  JUN 1 A JUN 30 2018</v>
      </c>
      <c r="E285" s="565"/>
    </row>
    <row r="286" spans="2:6">
      <c r="D286" s="571" t="s">
        <v>641</v>
      </c>
      <c r="E286" s="565"/>
    </row>
    <row r="287" spans="2:6">
      <c r="D287" s="571"/>
      <c r="E287" s="565"/>
    </row>
    <row r="288" spans="2:6">
      <c r="B288" s="533" t="s">
        <v>644</v>
      </c>
      <c r="C288" s="533">
        <v>4</v>
      </c>
      <c r="D288" s="572" t="str">
        <f>CONCATENATE("PRECIO ELECTROCOMBUSTIBLE  ",," ",$E$277)</f>
        <v>PRECIO ELECTROCOMBUSTIBLE   JUN 1 A JUN 30 2018</v>
      </c>
      <c r="E288" s="565"/>
    </row>
    <row r="289" spans="2:5">
      <c r="D289" s="571" t="s">
        <v>641</v>
      </c>
      <c r="E289" s="565"/>
    </row>
    <row r="290" spans="2:5">
      <c r="D290" s="571"/>
      <c r="E290" s="565"/>
    </row>
    <row r="291" spans="2:5">
      <c r="B291" s="533" t="s">
        <v>645</v>
      </c>
      <c r="C291" s="533">
        <v>5</v>
      </c>
      <c r="D291" s="572" t="str">
        <f>CONCATENATE("PRECIO DESCUENTO PESQUEROS "," ",$E$277)</f>
        <v>PRECIO DESCUENTO PESQUEROS  JUN 1 A JUN 30 2018</v>
      </c>
      <c r="E291" s="565"/>
    </row>
    <row r="292" spans="2:5">
      <c r="D292" s="571" t="s">
        <v>641</v>
      </c>
      <c r="E292" s="565"/>
    </row>
    <row r="293" spans="2:5">
      <c r="D293" s="571"/>
      <c r="E293" s="565"/>
    </row>
    <row r="294" spans="2:5">
      <c r="B294" s="533" t="s">
        <v>646</v>
      </c>
      <c r="C294" s="533">
        <v>6</v>
      </c>
      <c r="D294" s="572" t="str">
        <f>CONCATENATE("PRECIO ESPECIAL GUAJIRA "," ",$E$277)</f>
        <v>PRECIO ESPECIAL GUAJIRA  JUN 1 A JUN 30 2018</v>
      </c>
      <c r="E294" s="565"/>
    </row>
    <row r="295" spans="2:5">
      <c r="D295" s="571" t="s">
        <v>641</v>
      </c>
      <c r="E295" s="565"/>
    </row>
    <row r="296" spans="2:5">
      <c r="D296" s="571"/>
      <c r="E296" s="565"/>
    </row>
    <row r="297" spans="2:5">
      <c r="B297" s="533" t="s">
        <v>647</v>
      </c>
      <c r="C297" s="533">
        <v>7</v>
      </c>
      <c r="D297" s="582" t="str">
        <f>CONCATENATE("PRECIO ESTRUCTURA TARIFA BIOS "," ",$E$277)</f>
        <v>PRECIO ESTRUCTURA TARIFA BIOS  JUN 1 A JUN 30 2018</v>
      </c>
      <c r="E297" s="565"/>
    </row>
    <row r="298" spans="2:5">
      <c r="D298" s="571" t="s">
        <v>641</v>
      </c>
      <c r="E298" s="565"/>
    </row>
    <row r="299" spans="2:5">
      <c r="D299" s="571"/>
      <c r="E299" s="565"/>
    </row>
    <row r="300" spans="2:5">
      <c r="B300" s="533" t="s">
        <v>648</v>
      </c>
      <c r="C300" s="533">
        <v>8</v>
      </c>
      <c r="D300" s="572" t="str">
        <f>CONCATENATE("PRECIO GASOLINA  IMPORTADA "," ",$E$277)</f>
        <v>PRECIO GASOLINA  IMPORTADA  JUN 1 A JUN 30 2018</v>
      </c>
      <c r="E300" s="565"/>
    </row>
    <row r="301" spans="2:5">
      <c r="D301" s="571" t="s">
        <v>641</v>
      </c>
      <c r="E301" s="565"/>
    </row>
    <row r="302" spans="2:5">
      <c r="D302" s="571"/>
      <c r="E302" s="565"/>
    </row>
    <row r="303" spans="2:5">
      <c r="B303" s="533" t="s">
        <v>649</v>
      </c>
      <c r="C303" s="533">
        <v>9</v>
      </c>
      <c r="D303" s="582" t="str">
        <f>CONCATENATE("BALANCE VOLUMETRICO REFICAR A ",," ",$E$277)</f>
        <v>BALANCE VOLUMETRICO REFICAR A  JUN 1 A JUN 30 2018</v>
      </c>
      <c r="E303" s="565"/>
    </row>
    <row r="304" spans="2:5">
      <c r="D304" s="571" t="s">
        <v>641</v>
      </c>
    </row>
  </sheetData>
  <mergeCells count="146">
    <mergeCell ref="D224:D225"/>
    <mergeCell ref="E224:E225"/>
    <mergeCell ref="F224:J224"/>
    <mergeCell ref="F225:J225"/>
    <mergeCell ref="D254:D255"/>
    <mergeCell ref="E254:E255"/>
    <mergeCell ref="F254:K254"/>
    <mergeCell ref="F255:K255"/>
    <mergeCell ref="F228:J228"/>
    <mergeCell ref="F256:J256"/>
    <mergeCell ref="F257:J257"/>
    <mergeCell ref="F258:J258"/>
    <mergeCell ref="F207:J207"/>
    <mergeCell ref="F208:J208"/>
    <mergeCell ref="F209:J209"/>
    <mergeCell ref="F210:J210"/>
    <mergeCell ref="F226:J226"/>
    <mergeCell ref="F227:J227"/>
    <mergeCell ref="F182:J182"/>
    <mergeCell ref="F183:J183"/>
    <mergeCell ref="F184:J184"/>
    <mergeCell ref="F185:J185"/>
    <mergeCell ref="F186:J186"/>
    <mergeCell ref="F206:J206"/>
    <mergeCell ref="F160:J160"/>
    <mergeCell ref="F161:J161"/>
    <mergeCell ref="F178:J178"/>
    <mergeCell ref="F179:J179"/>
    <mergeCell ref="F180:J180"/>
    <mergeCell ref="F181:J18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02:J102"/>
    <mergeCell ref="F103:J103"/>
    <mergeCell ref="F104:J104"/>
    <mergeCell ref="F105:J105"/>
    <mergeCell ref="F106:J106"/>
    <mergeCell ref="F107:J107"/>
    <mergeCell ref="F70:J70"/>
    <mergeCell ref="F71:J71"/>
    <mergeCell ref="F80:J80"/>
    <mergeCell ref="F81:J81"/>
    <mergeCell ref="F82:J82"/>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46:J46"/>
    <mergeCell ref="F58:J58"/>
    <mergeCell ref="F59:J59"/>
    <mergeCell ref="F60:J60"/>
    <mergeCell ref="F61:J61"/>
    <mergeCell ref="F62:J62"/>
    <mergeCell ref="F63:J63"/>
    <mergeCell ref="F52:J52"/>
    <mergeCell ref="F53:J53"/>
    <mergeCell ref="F54:J54"/>
    <mergeCell ref="F55:J55"/>
    <mergeCell ref="F56:J56"/>
    <mergeCell ref="F57:J57"/>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tabSelected="1"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664</v>
      </c>
      <c r="B1" s="4"/>
      <c r="C1" s="4">
        <v>7.2405999999999997</v>
      </c>
      <c r="D1" s="6"/>
      <c r="E1" s="7"/>
      <c r="F1" s="5"/>
    </row>
    <row r="2" spans="1:9" s="62" customFormat="1" ht="21.75" customHeight="1" thickTop="1">
      <c r="A2" s="653" t="str">
        <f>CONCATENATE("ESTRUCTURAS DE PRECIOS DE COMBUSTIBLES LIQUIDOS VIGENTES A PARTIR DE ",$A$1)</f>
        <v>ESTRUCTURAS DE PRECIOS DE COMBUSTIBLES LIQUIDOS VIGENTES A PARTIR DE 1° DE JUNIO 2018</v>
      </c>
      <c r="B2" s="654"/>
      <c r="C2" s="654"/>
      <c r="D2" s="654"/>
      <c r="E2" s="654"/>
      <c r="F2" s="655"/>
    </row>
    <row r="3" spans="1:9" s="62" customFormat="1" ht="21.75" customHeight="1">
      <c r="A3" s="333" t="s">
        <v>0</v>
      </c>
      <c r="B3" s="193"/>
      <c r="C3" s="193"/>
      <c r="D3" s="193"/>
      <c r="E3" s="193"/>
      <c r="F3" s="334"/>
    </row>
    <row r="4" spans="1:9" s="56" customFormat="1" ht="24" customHeight="1">
      <c r="A4" s="659" t="s">
        <v>1</v>
      </c>
      <c r="B4" s="661" t="s">
        <v>25</v>
      </c>
      <c r="C4" s="663" t="s">
        <v>10</v>
      </c>
      <c r="D4" s="664"/>
      <c r="E4" s="661" t="s">
        <v>216</v>
      </c>
      <c r="F4" s="335" t="s">
        <v>375</v>
      </c>
    </row>
    <row r="5" spans="1:9" s="56" customFormat="1" ht="24" customHeight="1">
      <c r="A5" s="659"/>
      <c r="B5" s="662"/>
      <c r="C5" s="71" t="s">
        <v>51</v>
      </c>
      <c r="D5" s="71" t="s">
        <v>52</v>
      </c>
      <c r="E5" s="662"/>
      <c r="F5" s="336" t="s">
        <v>183</v>
      </c>
    </row>
    <row r="6" spans="1:9" s="56" customFormat="1" ht="24" customHeight="1" thickBot="1">
      <c r="A6" s="660"/>
      <c r="B6" s="194" t="str">
        <f>+A1</f>
        <v>1° DE JUNIO 2018</v>
      </c>
      <c r="C6" s="195" t="str">
        <f>+B6</f>
        <v>1° DE JUNIO 2018</v>
      </c>
      <c r="D6" s="194" t="str">
        <f>+C6</f>
        <v>1° DE JUNIO 2018</v>
      </c>
      <c r="E6" s="194" t="str">
        <f>+D6</f>
        <v>1° DE JUNIO 2018</v>
      </c>
      <c r="F6" s="337" t="str">
        <f>+C6</f>
        <v>1° DE JUNIO 2018</v>
      </c>
    </row>
    <row r="7" spans="1:9" ht="22.5" customHeight="1" thickTop="1">
      <c r="A7" s="80" t="s">
        <v>3</v>
      </c>
      <c r="B7" s="190">
        <v>4612.67</v>
      </c>
      <c r="C7" s="190">
        <v>6120</v>
      </c>
      <c r="D7" s="190">
        <f>+C7</f>
        <v>6120</v>
      </c>
      <c r="E7" s="190">
        <v>4540.82</v>
      </c>
      <c r="F7" s="577">
        <v>7070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7"/>
      <c r="B22" s="658"/>
      <c r="C22" s="658"/>
      <c r="D22" s="658"/>
      <c r="E22" s="658"/>
      <c r="F22" s="658"/>
    </row>
    <row r="23" spans="1:6" s="70" customFormat="1" ht="30" customHeight="1">
      <c r="A23" s="651" t="s">
        <v>228</v>
      </c>
      <c r="B23" s="651"/>
      <c r="C23" s="651"/>
      <c r="D23" s="651"/>
      <c r="E23" s="651"/>
      <c r="F23" s="651"/>
    </row>
    <row r="24" spans="1:6" s="70" customFormat="1" ht="11.25" customHeight="1">
      <c r="A24" s="330"/>
      <c r="B24" s="330"/>
      <c r="C24" s="330"/>
      <c r="D24" s="330"/>
      <c r="E24" s="330"/>
      <c r="F24" s="330"/>
    </row>
    <row r="25" spans="1:6" s="70" customFormat="1" ht="31.5" customHeight="1">
      <c r="A25" s="651" t="s">
        <v>224</v>
      </c>
      <c r="B25" s="651"/>
      <c r="C25" s="651"/>
      <c r="D25" s="651"/>
      <c r="E25" s="651"/>
      <c r="F25" s="651"/>
    </row>
    <row r="26" spans="1:6" s="70" customFormat="1" ht="7.5" customHeight="1">
      <c r="A26" s="16"/>
      <c r="B26" s="331"/>
      <c r="C26" s="331"/>
      <c r="D26" s="331"/>
      <c r="E26" s="331"/>
      <c r="F26" s="331"/>
    </row>
    <row r="27" spans="1:6" ht="43.5" customHeight="1">
      <c r="A27" s="656" t="s">
        <v>225</v>
      </c>
      <c r="B27" s="656"/>
      <c r="C27" s="656"/>
      <c r="D27" s="656"/>
      <c r="E27" s="656"/>
      <c r="F27" s="656"/>
    </row>
    <row r="28" spans="1:6" s="11" customFormat="1" ht="8.25" customHeight="1">
      <c r="A28" s="332"/>
      <c r="B28" s="332"/>
      <c r="C28" s="332"/>
      <c r="D28" s="332"/>
      <c r="E28" s="332"/>
      <c r="F28" s="332"/>
    </row>
    <row r="29" spans="1:6" ht="18" customHeight="1">
      <c r="A29" s="651" t="s">
        <v>226</v>
      </c>
      <c r="B29" s="651"/>
      <c r="C29" s="651"/>
      <c r="D29" s="651"/>
      <c r="E29" s="651"/>
      <c r="F29" s="651"/>
    </row>
    <row r="30" spans="1:6" ht="7.5" customHeight="1">
      <c r="A30" s="657"/>
      <c r="B30" s="658"/>
      <c r="C30" s="658"/>
      <c r="D30" s="658"/>
      <c r="E30" s="658"/>
      <c r="F30" s="658"/>
    </row>
    <row r="31" spans="1:6" ht="29.25" customHeight="1">
      <c r="A31" s="651" t="s">
        <v>311</v>
      </c>
      <c r="B31" s="651"/>
      <c r="C31" s="651"/>
      <c r="D31" s="651"/>
      <c r="E31" s="651"/>
      <c r="F31" s="651"/>
    </row>
    <row r="32" spans="1:6" s="12" customFormat="1" ht="18" customHeight="1">
      <c r="A32" s="651" t="s">
        <v>319</v>
      </c>
      <c r="B32" s="651"/>
      <c r="C32" s="651"/>
      <c r="D32" s="651"/>
      <c r="E32" s="651"/>
      <c r="F32" s="651"/>
    </row>
    <row r="33" spans="1:6" s="12" customFormat="1">
      <c r="A33" s="651" t="s">
        <v>376</v>
      </c>
      <c r="B33" s="651"/>
      <c r="C33" s="651"/>
      <c r="D33" s="651"/>
      <c r="E33" s="651"/>
      <c r="F33" s="651"/>
    </row>
    <row r="34" spans="1:6" s="12" customFormat="1">
      <c r="A34" s="523"/>
      <c r="B34" s="523"/>
      <c r="C34" s="523"/>
      <c r="D34" s="523"/>
      <c r="E34" s="523"/>
      <c r="F34" s="523"/>
    </row>
    <row r="35" spans="1:6" s="12" customFormat="1">
      <c r="A35" s="651" t="s">
        <v>398</v>
      </c>
      <c r="B35" s="651"/>
      <c r="C35" s="651"/>
      <c r="D35" s="651"/>
      <c r="E35" s="651"/>
      <c r="F35" s="651"/>
    </row>
    <row r="36" spans="1:6" s="12" customFormat="1" ht="14.25" customHeight="1">
      <c r="A36" s="651" t="s">
        <v>396</v>
      </c>
      <c r="B36" s="651"/>
      <c r="C36" s="651"/>
      <c r="D36" s="651"/>
      <c r="E36" s="651"/>
      <c r="F36" s="651"/>
    </row>
    <row r="37" spans="1:6" s="12" customFormat="1">
      <c r="A37" s="651" t="s">
        <v>397</v>
      </c>
      <c r="B37" s="651"/>
      <c r="C37" s="651"/>
      <c r="D37" s="651"/>
      <c r="E37" s="651"/>
      <c r="F37" s="651"/>
    </row>
    <row r="38" spans="1:6" s="12" customFormat="1" ht="90" customHeight="1">
      <c r="A38" s="652" t="s">
        <v>352</v>
      </c>
      <c r="B38" s="652"/>
      <c r="C38" s="652"/>
      <c r="D38" s="652"/>
      <c r="E38" s="652"/>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2:F32"/>
    <mergeCell ref="A2:F2"/>
    <mergeCell ref="A23:F23"/>
    <mergeCell ref="A25:F25"/>
    <mergeCell ref="A27:F27"/>
    <mergeCell ref="A29:F29"/>
    <mergeCell ref="A22:F22"/>
    <mergeCell ref="A30:F30"/>
    <mergeCell ref="A31:F31"/>
    <mergeCell ref="A4:A6"/>
    <mergeCell ref="B4:B5"/>
    <mergeCell ref="E4:E5"/>
    <mergeCell ref="C4:D4"/>
    <mergeCell ref="A33:F33"/>
    <mergeCell ref="A36:F36"/>
    <mergeCell ref="A35:F35"/>
    <mergeCell ref="A37:F37"/>
    <mergeCell ref="A38:E38"/>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5" t="str">
        <f>CONCATENATE("ESTRUCTURAS DE PRECIOS PARA GASOLINA MOTOR CORRIENTE OXIGENADA VIGENTES A PARTIR DE ",'COMBUSTIBLES '!$A$1)</f>
        <v>ESTRUCTURAS DE PRECIOS PARA GASOLINA MOTOR CORRIENTE OXIGENADA VIGENTES A PARTIR DE 1° DE JUNIO 2018</v>
      </c>
      <c r="B2" s="666"/>
      <c r="C2" s="666"/>
      <c r="D2" s="666"/>
      <c r="E2" s="666"/>
      <c r="F2" s="666"/>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7" t="s">
        <v>0</v>
      </c>
      <c r="B3" s="668"/>
      <c r="C3" s="668"/>
      <c r="D3" s="668"/>
      <c r="E3" s="668"/>
      <c r="F3" s="668"/>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0" t="s">
        <v>1</v>
      </c>
      <c r="B4" s="669" t="s">
        <v>27</v>
      </c>
      <c r="C4" s="669"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59"/>
      <c r="B5" s="662"/>
      <c r="C5" s="662"/>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0"/>
      <c r="B6" s="196" t="str">
        <f>+'COMBUSTIBLES '!B6</f>
        <v>1° DE JUNIO 2018</v>
      </c>
      <c r="C6" s="195" t="str">
        <f>'COMBUSTIBLES '!B6</f>
        <v>1° DE JUNIO 2018</v>
      </c>
      <c r="D6" s="195" t="str">
        <f>+C6</f>
        <v>1° DE JUNIO 2018</v>
      </c>
      <c r="E6" s="195" t="str">
        <f>+D6</f>
        <v>1° DE JUNIO 2018</v>
      </c>
      <c r="F6" s="195" t="str">
        <f>+B6</f>
        <v>1° DE JUNIO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80">
        <v>7145.58</v>
      </c>
      <c r="C7" s="316">
        <f>+'COMBUSTIBLES '!B7</f>
        <v>4612.67</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4243.66</v>
      </c>
      <c r="E8" s="338">
        <f>ROUND($C$7*(1-E5),2)</f>
        <v>4151.3999999999996</v>
      </c>
      <c r="F8" s="338">
        <f>ROUND($C$7*(1-F5),2)</f>
        <v>4335.91</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571.65</v>
      </c>
      <c r="E9" s="338">
        <f>+ROUND(B7*E5,2)</f>
        <v>714.56</v>
      </c>
      <c r="F9" s="338">
        <f>+ROUND(B7*F5,2)</f>
        <v>428.73</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4815.3099999999995</v>
      </c>
      <c r="E10" s="338">
        <f>E8+E9</f>
        <v>4865.9599999999991</v>
      </c>
      <c r="F10" s="338">
        <f>F8+F9</f>
        <v>4764.6399999999994</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1" t="s">
        <v>263</v>
      </c>
      <c r="B27" s="671"/>
      <c r="C27" s="671"/>
      <c r="D27" s="671"/>
      <c r="E27" s="671"/>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2" t="s">
        <v>264</v>
      </c>
      <c r="B29" s="672"/>
      <c r="C29" s="672"/>
      <c r="D29" s="672"/>
      <c r="E29" s="672"/>
    </row>
    <row r="30" spans="1:61" s="350" customFormat="1" ht="12.75">
      <c r="A30" s="353"/>
      <c r="B30" s="353"/>
      <c r="C30" s="354"/>
      <c r="D30" s="354"/>
      <c r="E30" s="354"/>
      <c r="F30" s="354"/>
    </row>
    <row r="31" spans="1:61" s="350" customFormat="1" ht="35.25" customHeight="1">
      <c r="A31" s="672" t="s">
        <v>233</v>
      </c>
      <c r="B31" s="672"/>
      <c r="C31" s="672"/>
      <c r="D31" s="672"/>
      <c r="E31" s="672"/>
    </row>
    <row r="32" spans="1:61" s="350" customFormat="1" ht="12.75">
      <c r="A32" s="353"/>
      <c r="B32" s="353"/>
      <c r="C32" s="354"/>
      <c r="D32" s="354"/>
      <c r="E32" s="354"/>
      <c r="F32" s="354"/>
    </row>
    <row r="33" spans="1:7" s="393" customFormat="1" ht="36.75" customHeight="1">
      <c r="A33" s="673" t="s">
        <v>234</v>
      </c>
      <c r="B33" s="673"/>
      <c r="C33" s="673"/>
      <c r="D33" s="673"/>
      <c r="E33" s="673"/>
    </row>
    <row r="34" spans="1:7" s="350" customFormat="1" ht="9" customHeight="1">
      <c r="A34" s="353"/>
      <c r="B34" s="353"/>
      <c r="C34" s="354"/>
      <c r="D34" s="354"/>
      <c r="E34" s="354"/>
      <c r="F34" s="354"/>
    </row>
    <row r="35" spans="1:7" s="350" customFormat="1" ht="12.75">
      <c r="A35" s="672" t="s">
        <v>235</v>
      </c>
      <c r="B35" s="672"/>
      <c r="C35" s="672"/>
      <c r="D35" s="672"/>
      <c r="E35" s="672"/>
    </row>
    <row r="36" spans="1:7" s="350" customFormat="1" ht="10.5" customHeight="1">
      <c r="A36" s="355"/>
      <c r="B36" s="355"/>
      <c r="C36" s="355"/>
      <c r="D36" s="511"/>
      <c r="E36" s="355"/>
      <c r="F36" s="489"/>
    </row>
    <row r="37" spans="1:7" s="350" customFormat="1" ht="30.75" customHeight="1">
      <c r="A37" s="651" t="s">
        <v>311</v>
      </c>
      <c r="B37" s="651"/>
      <c r="C37" s="651"/>
      <c r="D37" s="651"/>
      <c r="E37" s="651"/>
      <c r="F37" s="651"/>
      <c r="G37" s="651"/>
    </row>
    <row r="38" spans="1:7" s="350" customFormat="1" ht="12.75">
      <c r="A38" s="651" t="s">
        <v>398</v>
      </c>
      <c r="B38" s="651"/>
      <c r="C38" s="651"/>
      <c r="D38" s="651"/>
      <c r="E38" s="651"/>
      <c r="F38" s="651"/>
      <c r="G38" s="523"/>
    </row>
    <row r="39" spans="1:7" s="350" customFormat="1" ht="12.75">
      <c r="A39" s="651" t="s">
        <v>396</v>
      </c>
      <c r="B39" s="651"/>
      <c r="C39" s="651"/>
      <c r="D39" s="651"/>
      <c r="E39" s="651"/>
      <c r="F39" s="651"/>
      <c r="G39" s="523"/>
    </row>
    <row r="40" spans="1:7">
      <c r="A40" s="651" t="s">
        <v>397</v>
      </c>
      <c r="B40" s="651"/>
      <c r="C40" s="651"/>
      <c r="D40" s="651"/>
      <c r="E40" s="651"/>
      <c r="F40" s="651"/>
    </row>
    <row r="42" spans="1:7" ht="98.25" customHeight="1">
      <c r="A42" s="652" t="s">
        <v>352</v>
      </c>
      <c r="B42" s="652"/>
      <c r="C42" s="652"/>
      <c r="D42" s="652"/>
      <c r="E42" s="652"/>
      <c r="F42" s="652"/>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4" t="s">
        <v>320</v>
      </c>
      <c r="B4" s="675"/>
      <c r="C4" s="675"/>
      <c r="D4" s="675"/>
      <c r="E4" s="675"/>
      <c r="F4" s="675"/>
      <c r="G4" s="675"/>
      <c r="H4" s="675"/>
      <c r="I4" s="675"/>
      <c r="J4" s="675"/>
      <c r="K4" s="675"/>
      <c r="L4" s="675"/>
      <c r="M4" s="675"/>
      <c r="N4" s="675"/>
      <c r="O4" s="675"/>
      <c r="P4" s="676"/>
    </row>
    <row r="5" spans="1:16" ht="18" customHeight="1">
      <c r="A5" s="677"/>
      <c r="B5" s="678"/>
      <c r="C5" s="678"/>
      <c r="D5" s="678"/>
      <c r="E5" s="678"/>
      <c r="F5" s="678"/>
      <c r="G5" s="678"/>
      <c r="H5" s="678"/>
      <c r="I5" s="678"/>
      <c r="J5" s="678"/>
      <c r="K5" s="678"/>
      <c r="L5" s="678"/>
      <c r="M5" s="678"/>
      <c r="N5" s="678"/>
      <c r="O5" s="678"/>
      <c r="P5" s="679"/>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0" t="s">
        <v>351</v>
      </c>
      <c r="B21" s="681"/>
      <c r="C21" s="681"/>
      <c r="D21" s="681"/>
      <c r="E21" s="681"/>
      <c r="F21" s="681"/>
      <c r="G21" s="681"/>
      <c r="H21" s="681"/>
      <c r="I21" s="681"/>
      <c r="J21" s="681"/>
      <c r="K21" s="681"/>
      <c r="L21" s="681"/>
      <c r="M21" s="681"/>
      <c r="N21" s="681"/>
      <c r="O21" s="681"/>
      <c r="P21" s="681"/>
    </row>
    <row r="22" spans="1:16" ht="15">
      <c r="A22" s="477"/>
      <c r="B22" s="478"/>
      <c r="C22" s="478"/>
      <c r="D22" s="478"/>
      <c r="E22" s="478"/>
      <c r="F22" s="478"/>
      <c r="G22" s="478"/>
      <c r="H22" s="478"/>
      <c r="I22" s="478"/>
      <c r="J22" s="478"/>
      <c r="K22" s="478"/>
      <c r="L22" s="478"/>
      <c r="M22" s="478"/>
      <c r="N22" s="478"/>
      <c r="O22" s="478"/>
      <c r="P22" s="478"/>
    </row>
    <row r="23" spans="1:16">
      <c r="A23" s="651" t="s">
        <v>228</v>
      </c>
      <c r="B23" s="651"/>
      <c r="C23" s="651"/>
      <c r="D23" s="651"/>
      <c r="E23" s="651"/>
      <c r="F23" s="651"/>
    </row>
    <row r="24" spans="1:16">
      <c r="A24" s="473"/>
      <c r="B24" s="473"/>
      <c r="C24" s="473"/>
      <c r="D24" s="473"/>
      <c r="E24" s="473"/>
      <c r="F24" s="473"/>
    </row>
    <row r="25" spans="1:16">
      <c r="A25" s="651" t="s">
        <v>224</v>
      </c>
      <c r="B25" s="651"/>
      <c r="C25" s="651"/>
      <c r="D25" s="651"/>
      <c r="E25" s="651"/>
      <c r="F25" s="651"/>
    </row>
    <row r="26" spans="1:16" ht="15">
      <c r="A26" s="16"/>
      <c r="B26" s="331"/>
      <c r="C26" s="331"/>
      <c r="D26" s="331"/>
      <c r="E26" s="331"/>
      <c r="F26" s="331"/>
    </row>
    <row r="27" spans="1:16">
      <c r="A27" s="656" t="s">
        <v>225</v>
      </c>
      <c r="B27" s="656"/>
      <c r="C27" s="656"/>
      <c r="D27" s="656"/>
      <c r="E27" s="656"/>
      <c r="F27" s="656"/>
    </row>
    <row r="28" spans="1:16">
      <c r="A28" s="474"/>
      <c r="B28" s="474"/>
      <c r="C28" s="474"/>
      <c r="D28" s="474"/>
      <c r="E28" s="474"/>
      <c r="F28" s="474"/>
    </row>
    <row r="29" spans="1:16">
      <c r="A29" s="651" t="s">
        <v>226</v>
      </c>
      <c r="B29" s="651"/>
      <c r="C29" s="651"/>
      <c r="D29" s="651"/>
      <c r="E29" s="651"/>
      <c r="F29" s="651"/>
    </row>
    <row r="30" spans="1:16" ht="15">
      <c r="A30" s="657"/>
      <c r="B30" s="658"/>
      <c r="C30" s="658"/>
      <c r="D30" s="658"/>
      <c r="E30" s="658"/>
      <c r="F30" s="658"/>
    </row>
    <row r="31" spans="1:16">
      <c r="A31" s="651" t="s">
        <v>311</v>
      </c>
      <c r="B31" s="651"/>
      <c r="C31" s="651"/>
      <c r="D31" s="651"/>
      <c r="E31" s="651"/>
      <c r="F31" s="651"/>
    </row>
    <row r="32" spans="1:16">
      <c r="A32" s="651" t="s">
        <v>319</v>
      </c>
      <c r="B32" s="651"/>
      <c r="C32" s="651"/>
      <c r="D32" s="651"/>
      <c r="E32" s="651"/>
      <c r="F32" s="651"/>
    </row>
    <row r="35" spans="1:5" ht="114.75" customHeight="1">
      <c r="A35" s="652" t="s">
        <v>352</v>
      </c>
      <c r="B35" s="652"/>
      <c r="C35" s="652"/>
      <c r="D35" s="652"/>
      <c r="E35" s="652"/>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2" t="str">
        <f>CONCATENATE("ESTRUCTURA DE PRECIOS DE GASOLINA EXTRA OXIGENADA VIGENTE A PARTIR DE ",'COMBUSTIBLES '!$A$1)</f>
        <v>ESTRUCTURA DE PRECIOS DE GASOLINA EXTRA OXIGENADA VIGENTE A PARTIR DE 1° DE JUNIO 2018</v>
      </c>
      <c r="B2" s="683"/>
      <c r="C2" s="683"/>
      <c r="D2" s="683"/>
      <c r="E2" s="683"/>
      <c r="F2" s="683"/>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4" t="s">
        <v>0</v>
      </c>
      <c r="B3" s="685"/>
      <c r="C3" s="685"/>
      <c r="D3" s="685"/>
      <c r="E3" s="685"/>
      <c r="F3" s="685"/>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0" t="s">
        <v>1</v>
      </c>
      <c r="B4" s="669" t="s">
        <v>27</v>
      </c>
      <c r="C4" s="669" t="s">
        <v>56</v>
      </c>
      <c r="D4" s="102" t="s">
        <v>29</v>
      </c>
      <c r="E4" s="102" t="s">
        <v>29</v>
      </c>
      <c r="F4" s="102" t="s">
        <v>29</v>
      </c>
    </row>
    <row r="5" spans="1:53" ht="21.75" customHeight="1">
      <c r="A5" s="659"/>
      <c r="B5" s="662"/>
      <c r="C5" s="662"/>
      <c r="D5" s="103">
        <v>0.08</v>
      </c>
      <c r="E5" s="103">
        <v>0.1</v>
      </c>
      <c r="F5" s="103">
        <v>0.06</v>
      </c>
    </row>
    <row r="6" spans="1:53" ht="35.25" customHeight="1" thickBot="1">
      <c r="A6" s="660"/>
      <c r="B6" s="81" t="str">
        <f>C6</f>
        <v>1° DE JUNIO 2018</v>
      </c>
      <c r="C6" s="81" t="str">
        <f>+'COMBUSTIBLES '!C6</f>
        <v>1° DE JUNIO 2018</v>
      </c>
      <c r="D6" s="82" t="str">
        <f>B6</f>
        <v>1° DE JUNIO 2018</v>
      </c>
      <c r="E6" s="82" t="str">
        <f>C6</f>
        <v>1° DE JUNIO 2018</v>
      </c>
      <c r="F6" s="82" t="str">
        <f>D6</f>
        <v>1° DE JUNIO 2018</v>
      </c>
    </row>
    <row r="7" spans="1:53" ht="22.5" customHeight="1" thickTop="1">
      <c r="A7" s="80" t="s">
        <v>3</v>
      </c>
      <c r="B7" s="106">
        <f>+'GASOLINA CORRIENTE OXIGENADA'!B7</f>
        <v>7145.58</v>
      </c>
      <c r="C7" s="106">
        <f>'COMBUSTIBLES '!C7</f>
        <v>6120</v>
      </c>
      <c r="D7" s="107">
        <f>+ROUND((C7*(1-D5))+($B$7*D5),2)</f>
        <v>6202.05</v>
      </c>
      <c r="E7" s="107">
        <f>+ROUND((C7*(1-E5))+($B$7*E5),2)</f>
        <v>6222.56</v>
      </c>
      <c r="F7" s="107">
        <f>+ROUND((C7*(1-F5))+($B$7*F5),2)</f>
        <v>6181.53</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1" t="s">
        <v>223</v>
      </c>
      <c r="B23" s="651"/>
      <c r="C23" s="651"/>
      <c r="D23" s="651"/>
    </row>
    <row r="24" spans="1:6" ht="10.5" customHeight="1">
      <c r="A24" s="330"/>
      <c r="B24" s="330"/>
      <c r="C24" s="330"/>
      <c r="D24" s="330"/>
      <c r="E24" s="487"/>
    </row>
    <row r="25" spans="1:6" ht="31.5" customHeight="1">
      <c r="A25" s="651" t="s">
        <v>238</v>
      </c>
      <c r="B25" s="651"/>
      <c r="C25" s="651"/>
      <c r="D25" s="651"/>
    </row>
    <row r="26" spans="1:6" ht="12.75" customHeight="1">
      <c r="A26" s="330"/>
      <c r="B26" s="330"/>
      <c r="C26" s="330"/>
      <c r="D26" s="330"/>
      <c r="E26" s="487"/>
    </row>
    <row r="27" spans="1:6" ht="57" customHeight="1">
      <c r="A27" s="651" t="s">
        <v>311</v>
      </c>
      <c r="B27" s="651"/>
      <c r="C27" s="651"/>
      <c r="D27" s="651"/>
      <c r="E27" s="651"/>
      <c r="F27" s="651"/>
    </row>
    <row r="28" spans="1:6">
      <c r="A28" s="651" t="s">
        <v>398</v>
      </c>
      <c r="B28" s="651"/>
      <c r="C28" s="651"/>
      <c r="D28" s="651"/>
      <c r="E28" s="651"/>
      <c r="F28" s="651"/>
    </row>
    <row r="29" spans="1:6">
      <c r="A29" s="651" t="s">
        <v>396</v>
      </c>
      <c r="B29" s="651"/>
      <c r="C29" s="651"/>
      <c r="D29" s="651"/>
      <c r="E29" s="651"/>
      <c r="F29" s="651"/>
    </row>
    <row r="30" spans="1:6">
      <c r="A30" s="651" t="s">
        <v>397</v>
      </c>
      <c r="B30" s="651"/>
      <c r="C30" s="651"/>
      <c r="D30" s="651"/>
      <c r="E30" s="651"/>
      <c r="F30" s="651"/>
    </row>
    <row r="31" spans="1:6" ht="103.5" customHeight="1">
      <c r="A31" s="652" t="s">
        <v>352</v>
      </c>
      <c r="B31" s="652"/>
      <c r="C31" s="652"/>
      <c r="D31" s="652"/>
      <c r="E31" s="652"/>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6" t="str">
        <f>CONCATENATE("ESTRUCTURAS DE PRECIOS PARA LA MEZCLA DE BIOCOMBUSTIBLE PARA USO EN MOTORES DIESEL CON EL ACPM VIGENTES A PARTIR DE ",'COMBUSTIBLES '!$A$1)</f>
        <v>ESTRUCTURAS DE PRECIOS PARA LA MEZCLA DE BIOCOMBUSTIBLE PARA USO EN MOTORES DIESEL CON EL ACPM VIGENTES A PARTIR DE 1° DE JUNIO 2018</v>
      </c>
      <c r="B2" s="687"/>
      <c r="C2" s="687"/>
      <c r="D2" s="687"/>
      <c r="E2" s="687"/>
      <c r="F2" s="687"/>
      <c r="G2" s="687"/>
      <c r="H2" s="687"/>
      <c r="I2" s="68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8" t="s">
        <v>0</v>
      </c>
      <c r="B3" s="689"/>
      <c r="C3" s="689"/>
      <c r="D3" s="689"/>
      <c r="E3" s="689"/>
      <c r="F3" s="689"/>
      <c r="G3" s="689"/>
      <c r="H3" s="689"/>
      <c r="I3" s="689"/>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0" t="s">
        <v>1</v>
      </c>
      <c r="B4" s="92" t="s">
        <v>166</v>
      </c>
      <c r="C4" s="693" t="s">
        <v>65</v>
      </c>
      <c r="D4" s="693"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1"/>
      <c r="B5" s="94">
        <v>1</v>
      </c>
      <c r="C5" s="694"/>
      <c r="D5" s="694"/>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2"/>
      <c r="B6" s="191" t="str">
        <f>+'COMBUSTIBLES '!C6</f>
        <v>1° DE JUNIO 2018</v>
      </c>
      <c r="C6" s="191" t="str">
        <f>+B6</f>
        <v>1° DE JUNIO 2018</v>
      </c>
      <c r="D6" s="191" t="str">
        <f>+C6</f>
        <v>1° DE JUNIO 2018</v>
      </c>
      <c r="E6" s="192" t="str">
        <f>+G6</f>
        <v>1° DE JUNIO 2018</v>
      </c>
      <c r="F6" s="192" t="str">
        <f>+H6</f>
        <v>1° DE JUNIO 2018</v>
      </c>
      <c r="G6" s="192" t="str">
        <f>+D6</f>
        <v>1° DE JUNIO 2018</v>
      </c>
      <c r="H6" s="192" t="str">
        <f>+G6</f>
        <v>1° DE JUNIO 2018</v>
      </c>
      <c r="I6" s="192" t="str">
        <f>+G6</f>
        <v>1° DE JUNIO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9808.7900000000009</v>
      </c>
      <c r="C7" s="467">
        <f>+'COMBUSTIBLES '!E7</f>
        <v>4540.82</v>
      </c>
      <c r="D7" s="467">
        <f>+C7</f>
        <v>4540.82</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4450</v>
      </c>
      <c r="F8" s="96">
        <f>+ROUND(C7*(1-F5), 2)</f>
        <v>4359.1899999999996</v>
      </c>
      <c r="G8" s="96">
        <f>+ROUND(D7*(1-G5),2)</f>
        <v>4177.55</v>
      </c>
      <c r="H8" s="96">
        <f>+ROUND(+C7*(1-H5),2)</f>
        <v>4086.74</v>
      </c>
      <c r="I8" s="96">
        <f>+ROUND($D$7*(1-I5),2)</f>
        <v>4132.1499999999996</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196.18</v>
      </c>
      <c r="F9" s="96">
        <f>+ROUND($B$7*F5,2)</f>
        <v>392.35</v>
      </c>
      <c r="G9" s="96">
        <f>+ROUND($B$7*G5,2)</f>
        <v>784.7</v>
      </c>
      <c r="H9" s="96">
        <f>+ROUND($B$7*H5,2)</f>
        <v>980.88</v>
      </c>
      <c r="I9" s="96">
        <f>+ROUND($B$7*I5,2)</f>
        <v>882.79</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4646.18</v>
      </c>
      <c r="F10" s="96">
        <f>+F9+F8</f>
        <v>4751.54</v>
      </c>
      <c r="G10" s="96">
        <f>+G9+G8</f>
        <v>4962.25</v>
      </c>
      <c r="H10" s="96">
        <f>+H9+H8</f>
        <v>5067.62</v>
      </c>
      <c r="I10" s="96">
        <f>+I9+I8</f>
        <v>5014.9399999999996</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1" t="s">
        <v>311</v>
      </c>
      <c r="B38" s="651"/>
      <c r="C38" s="651"/>
      <c r="D38" s="651"/>
      <c r="E38" s="651"/>
      <c r="F38" s="651"/>
      <c r="G38" s="404"/>
      <c r="H38" s="91"/>
      <c r="I38" s="404"/>
    </row>
    <row r="39" spans="1:9" s="61" customFormat="1">
      <c r="A39" s="651" t="s">
        <v>398</v>
      </c>
      <c r="B39" s="651"/>
      <c r="C39" s="651"/>
      <c r="D39" s="651"/>
      <c r="E39" s="651"/>
      <c r="F39" s="651"/>
      <c r="G39" s="404"/>
      <c r="H39" s="91"/>
      <c r="I39" s="404"/>
    </row>
    <row r="40" spans="1:9" s="61" customFormat="1">
      <c r="A40" s="651" t="s">
        <v>396</v>
      </c>
      <c r="B40" s="651"/>
      <c r="C40" s="651"/>
      <c r="D40" s="651"/>
      <c r="E40" s="651"/>
      <c r="F40" s="651"/>
      <c r="G40" s="404"/>
      <c r="H40" s="91"/>
      <c r="I40" s="404"/>
    </row>
    <row r="41" spans="1:9" s="61" customFormat="1">
      <c r="A41" s="651" t="s">
        <v>397</v>
      </c>
      <c r="B41" s="651"/>
      <c r="C41" s="651"/>
      <c r="D41" s="651"/>
      <c r="E41" s="651"/>
      <c r="F41" s="651"/>
      <c r="G41" s="404"/>
      <c r="H41" s="91"/>
      <c r="I41" s="404"/>
    </row>
    <row r="42" spans="1:9" s="61" customFormat="1">
      <c r="A42" s="91"/>
      <c r="B42" s="91"/>
      <c r="C42" s="91"/>
      <c r="D42" s="91"/>
      <c r="E42" s="91"/>
      <c r="F42" s="91"/>
      <c r="G42" s="91"/>
      <c r="H42" s="91"/>
      <c r="I42" s="91"/>
    </row>
    <row r="43" spans="1:9" s="61" customFormat="1" ht="93.75" customHeight="1">
      <c r="A43" s="652" t="s">
        <v>352</v>
      </c>
      <c r="B43" s="652"/>
      <c r="C43" s="652"/>
      <c r="D43" s="652"/>
      <c r="E43" s="652"/>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5" t="s">
        <v>330</v>
      </c>
      <c r="B4" s="696"/>
      <c r="C4" s="696"/>
      <c r="D4" s="696"/>
      <c r="E4" s="696"/>
      <c r="F4" s="696"/>
      <c r="G4" s="696"/>
      <c r="H4" s="696"/>
      <c r="I4" s="696"/>
      <c r="J4" s="696"/>
      <c r="K4" s="696"/>
      <c r="L4" s="696"/>
      <c r="M4" s="696"/>
      <c r="N4" s="696"/>
      <c r="O4" s="696"/>
      <c r="P4" s="697"/>
    </row>
    <row r="5" spans="1:17" ht="18" customHeight="1">
      <c r="A5" s="698"/>
      <c r="B5" s="699"/>
      <c r="C5" s="699"/>
      <c r="D5" s="699"/>
      <c r="E5" s="699"/>
      <c r="F5" s="699"/>
      <c r="G5" s="699"/>
      <c r="H5" s="699"/>
      <c r="I5" s="699"/>
      <c r="J5" s="699"/>
      <c r="K5" s="699"/>
      <c r="L5" s="699"/>
      <c r="M5" s="699"/>
      <c r="N5" s="699"/>
      <c r="O5" s="699"/>
      <c r="P5" s="700"/>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196.18</v>
      </c>
      <c r="C9" s="450">
        <f>+B9</f>
        <v>196.18</v>
      </c>
      <c r="D9" s="450">
        <f>+BIODIESEL!F9</f>
        <v>392.35</v>
      </c>
      <c r="E9" s="450">
        <f>+D9</f>
        <v>392.35</v>
      </c>
      <c r="F9" s="450">
        <f>+B9</f>
        <v>196.18</v>
      </c>
      <c r="G9" s="450">
        <f>+B9</f>
        <v>196.18</v>
      </c>
      <c r="H9" s="450">
        <f>+B9</f>
        <v>196.18</v>
      </c>
      <c r="I9" s="450">
        <f>+C9</f>
        <v>196.18</v>
      </c>
      <c r="J9" s="450">
        <f>+B9</f>
        <v>196.18</v>
      </c>
      <c r="K9" s="450">
        <f>+B9</f>
        <v>196.18</v>
      </c>
      <c r="L9" s="450">
        <f>+B9</f>
        <v>196.18</v>
      </c>
      <c r="M9" s="450">
        <f>+C9</f>
        <v>196.18</v>
      </c>
      <c r="N9" s="450">
        <f>+M9</f>
        <v>196.18</v>
      </c>
      <c r="O9" s="450">
        <f>+N9</f>
        <v>196.18</v>
      </c>
      <c r="P9" s="451">
        <f>+B9</f>
        <v>196.18</v>
      </c>
      <c r="Q9" s="464"/>
    </row>
    <row r="10" spans="1:17" ht="21" customHeight="1">
      <c r="A10" s="83" t="s">
        <v>304</v>
      </c>
      <c r="B10" s="452">
        <f>+B8+B9</f>
        <v>5576.87</v>
      </c>
      <c r="C10" s="452">
        <f t="shared" ref="C10:P10" si="1">+C8+C9</f>
        <v>5578.6830000000009</v>
      </c>
      <c r="D10" s="452">
        <f t="shared" si="1"/>
        <v>5681.902</v>
      </c>
      <c r="E10" s="452">
        <f t="shared" si="1"/>
        <v>5677.2076000000006</v>
      </c>
      <c r="F10" s="452">
        <f t="shared" si="1"/>
        <v>5634.6116000000002</v>
      </c>
      <c r="G10" s="452">
        <f t="shared" si="1"/>
        <v>5646.107</v>
      </c>
      <c r="H10" s="452">
        <f t="shared" si="1"/>
        <v>5643.951</v>
      </c>
      <c r="I10" s="452">
        <f t="shared" si="1"/>
        <v>5635.915</v>
      </c>
      <c r="J10" s="452">
        <f t="shared" si="1"/>
        <v>5645.3818000000001</v>
      </c>
      <c r="K10" s="452">
        <f t="shared" si="1"/>
        <v>5639.3940000000002</v>
      </c>
      <c r="L10" s="452">
        <f t="shared" si="1"/>
        <v>5626.8206</v>
      </c>
      <c r="M10" s="452">
        <f t="shared" si="1"/>
        <v>5626.85</v>
      </c>
      <c r="N10" s="452">
        <f t="shared" si="1"/>
        <v>5627.8202000000001</v>
      </c>
      <c r="O10" s="452">
        <f t="shared" si="1"/>
        <v>5637.1890000000003</v>
      </c>
      <c r="P10" s="452">
        <f t="shared" si="1"/>
        <v>5632.1517999999996</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0" t="s">
        <v>350</v>
      </c>
      <c r="B24" s="681"/>
      <c r="C24" s="681"/>
      <c r="D24" s="681"/>
      <c r="E24" s="681"/>
      <c r="F24" s="681"/>
      <c r="G24" s="681"/>
      <c r="H24" s="681"/>
      <c r="I24" s="681"/>
      <c r="J24" s="681"/>
      <c r="K24" s="681"/>
      <c r="L24" s="681"/>
      <c r="M24" s="681"/>
      <c r="N24" s="681"/>
      <c r="O24" s="681"/>
      <c r="P24" s="681"/>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52" t="s">
        <v>352</v>
      </c>
      <c r="B34" s="652"/>
      <c r="C34" s="652"/>
      <c r="D34" s="652"/>
      <c r="E34" s="652"/>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2020-03-05T13:48:01Z</dcterms:modified>
</cp:coreProperties>
</file>