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petrol.sharepoint.com/sites/FRI/Documentos compartidos/1. Financiación/Informes PFI/Informe Condiciones de Deuda/1. Año Actual/2023/2023 4T/"/>
    </mc:Choice>
  </mc:AlternateContent>
  <xr:revisionPtr revIDLastSave="1" documentId="8_{D33DF5C2-61DF-4FBA-AF47-308B9A9D513F}" xr6:coauthVersionLast="47" xr6:coauthVersionMax="47" xr10:uidLastSave="{07BE1E8C-2D5C-4CCD-A327-A37492B823A7}"/>
  <bookViews>
    <workbookView xWindow="28680" yWindow="-120" windowWidth="29040" windowHeight="15720" xr2:uid="{F6BDF4E1-301F-4ED2-8C74-3F10876C87D9}"/>
  </bookViews>
  <sheets>
    <sheet name="PagWeb" sheetId="1" r:id="rId1"/>
  </sheets>
  <definedNames>
    <definedName name="_xlnm.Print_Area" localSheetId="0">PagWeb!$B$1:$Q$113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"12/19/2022 14:51:57"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7" i="1" l="1"/>
  <c r="J97" i="1"/>
  <c r="F97" i="1"/>
  <c r="B97" i="1"/>
  <c r="B95" i="1"/>
  <c r="B68" i="1"/>
  <c r="O62" i="1"/>
  <c r="N62" i="1"/>
  <c r="M62" i="1"/>
  <c r="L62" i="1"/>
  <c r="H62" i="1"/>
  <c r="G62" i="1"/>
  <c r="E62" i="1"/>
  <c r="C62" i="1"/>
  <c r="K60" i="1"/>
  <c r="B60" i="1"/>
  <c r="F57" i="1"/>
  <c r="F56" i="1"/>
  <c r="F55" i="1"/>
  <c r="F54" i="1"/>
  <c r="F53" i="1"/>
  <c r="N52" i="1"/>
  <c r="K52" i="1"/>
  <c r="J52" i="1"/>
  <c r="H52" i="1"/>
  <c r="F52" i="1"/>
  <c r="B49" i="1"/>
  <c r="O37" i="1"/>
  <c r="N37" i="1"/>
  <c r="M37" i="1"/>
  <c r="L37" i="1"/>
  <c r="H37" i="1"/>
  <c r="G37" i="1"/>
  <c r="E37" i="1"/>
  <c r="C37" i="1"/>
  <c r="K34" i="1"/>
  <c r="B34" i="1"/>
  <c r="G31" i="1"/>
  <c r="G30" i="1"/>
  <c r="G29" i="1"/>
  <c r="G28" i="1"/>
  <c r="G24" i="1"/>
  <c r="G22" i="1"/>
  <c r="M15" i="1"/>
  <c r="M14" i="1"/>
  <c r="K14" i="1"/>
  <c r="J14" i="1"/>
  <c r="I14" i="1"/>
  <c r="G14" i="1"/>
  <c r="B11" i="1"/>
  <c r="B9" i="1"/>
  <c r="G27" i="1"/>
  <c r="B8" i="1"/>
  <c r="C3" i="1"/>
</calcChain>
</file>

<file path=xl/sharedStrings.xml><?xml version="1.0" encoding="utf-8"?>
<sst xmlns="http://schemas.openxmlformats.org/spreadsheetml/2006/main" count="14" uniqueCount="13">
  <si>
    <t>Español</t>
  </si>
  <si>
    <t>Total</t>
  </si>
  <si>
    <t>(USD $MM)</t>
  </si>
  <si>
    <t>(COP $MM)</t>
  </si>
  <si>
    <t>(USD $ MM)</t>
  </si>
  <si>
    <t>Ecopetrol*</t>
  </si>
  <si>
    <t>Ocensa</t>
  </si>
  <si>
    <t>Bicentenario</t>
  </si>
  <si>
    <t>ODL</t>
  </si>
  <si>
    <t>Invercolsa</t>
  </si>
  <si>
    <t>ISA</t>
  </si>
  <si>
    <t xml:space="preserve"> </t>
  </si>
  <si>
    <t>Perfil de Vencimientos por Tipo de Intrumento (USD MM) - Grupo Ecopetrol - No Incluye Préstamos Intercompañía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</si>
</sst>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#,##0.00_ ;\-#,##0.00\ "/>
    <numFmt numFmtId="165" formatCode="_-* #,##0_-;\-* #,##0_-;_-* &quot;-&quot;??_-;_-@_-"/>
    <numFmt numFmtId="166" formatCode="_-* #,##0.00_-;\-* #,##0.00_-;_-* &quot;-&quot;_-;_-@_-"/>
    <numFmt numFmtId="167" formatCode="0.0"/>
    <numFmt numFmtId="168" formatCode="0.000%"/>
    <numFmt numFmtId="169" formatCode="&quot;IBR + &quot;0.00%"/>
    <numFmt numFmtId="170" formatCode="&quot;SOFR + &quot;0.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9" tint="-0.49998474074526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9" tint="-0.499984740745262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26"/>
      <color theme="9" tint="-0.499984740745262"/>
      <name val="Arial"/>
      <family val="2"/>
    </font>
    <font>
      <b/>
      <sz val="12"/>
      <color theme="1"/>
      <name val="Calibri"/>
      <family val="2"/>
      <scheme val="minor"/>
    </font>
    <font>
      <sz val="12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2" borderId="0" xfId="0" applyFill="1"/>
    <xf numFmtId="0" fontId="4" fillId="0" borderId="0" xfId="0" applyFont="1"/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41" fontId="8" fillId="0" borderId="3" xfId="2" applyFont="1" applyBorder="1" applyAlignment="1">
      <alignment vertical="center"/>
    </xf>
    <xf numFmtId="2" fontId="8" fillId="0" borderId="4" xfId="0" applyNumberFormat="1" applyFont="1" applyBorder="1" applyAlignment="1">
      <alignment horizontal="center" vertical="center"/>
    </xf>
    <xf numFmtId="166" fontId="8" fillId="0" borderId="3" xfId="2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41" fontId="10" fillId="4" borderId="3" xfId="2" applyFont="1" applyFill="1" applyBorder="1" applyAlignment="1">
      <alignment vertical="center"/>
    </xf>
    <xf numFmtId="41" fontId="10" fillId="4" borderId="4" xfId="2" applyFont="1" applyFill="1" applyBorder="1" applyAlignment="1">
      <alignment vertical="center"/>
    </xf>
    <xf numFmtId="165" fontId="10" fillId="4" borderId="4" xfId="1" applyNumberFormat="1" applyFont="1" applyFill="1" applyBorder="1" applyAlignment="1">
      <alignment vertical="center"/>
    </xf>
    <xf numFmtId="2" fontId="10" fillId="4" borderId="4" xfId="0" applyNumberFormat="1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/>
    <xf numFmtId="41" fontId="0" fillId="0" borderId="0" xfId="0" applyNumberFormat="1"/>
    <xf numFmtId="43" fontId="0" fillId="0" borderId="0" xfId="0" applyNumberFormat="1"/>
    <xf numFmtId="0" fontId="12" fillId="0" borderId="0" xfId="0" applyFont="1" applyAlignment="1">
      <alignment horizontal="center" vertical="center" wrapText="1"/>
    </xf>
    <xf numFmtId="41" fontId="12" fillId="0" borderId="0" xfId="2" applyFont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6" fillId="0" borderId="0" xfId="0" applyFont="1"/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67" fontId="8" fillId="0" borderId="4" xfId="0" applyNumberFormat="1" applyFont="1" applyBorder="1" applyAlignment="1">
      <alignment horizontal="center" vertical="center"/>
    </xf>
    <xf numFmtId="168" fontId="16" fillId="0" borderId="3" xfId="0" applyNumberFormat="1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 vertical="center"/>
    </xf>
    <xf numFmtId="15" fontId="8" fillId="0" borderId="4" xfId="0" applyNumberFormat="1" applyFont="1" applyBorder="1" applyAlignment="1">
      <alignment horizontal="center" vertical="center"/>
    </xf>
    <xf numFmtId="169" fontId="8" fillId="0" borderId="4" xfId="3" applyNumberFormat="1" applyFont="1" applyBorder="1" applyAlignment="1">
      <alignment horizontal="center" vertical="center"/>
    </xf>
    <xf numFmtId="168" fontId="16" fillId="0" borderId="3" xfId="3" applyNumberFormat="1" applyFont="1" applyFill="1" applyBorder="1" applyAlignment="1">
      <alignment horizontal="center" vertical="center"/>
    </xf>
    <xf numFmtId="41" fontId="16" fillId="0" borderId="4" xfId="0" applyNumberFormat="1" applyFont="1" applyBorder="1" applyAlignment="1">
      <alignment horizontal="center" vertical="center"/>
    </xf>
    <xf numFmtId="41" fontId="8" fillId="0" borderId="4" xfId="0" applyNumberFormat="1" applyFont="1" applyBorder="1" applyAlignment="1">
      <alignment vertical="center"/>
    </xf>
    <xf numFmtId="170" fontId="8" fillId="0" borderId="4" xfId="3" applyNumberFormat="1" applyFont="1" applyBorder="1" applyAlignment="1">
      <alignment horizontal="center" vertical="center"/>
    </xf>
    <xf numFmtId="169" fontId="8" fillId="0" borderId="4" xfId="3" applyNumberFormat="1" applyFont="1" applyFill="1" applyBorder="1" applyAlignment="1">
      <alignment horizontal="center" vertical="center"/>
    </xf>
    <xf numFmtId="0" fontId="18" fillId="0" borderId="0" xfId="0" applyFont="1"/>
    <xf numFmtId="41" fontId="0" fillId="0" borderId="0" xfId="2" applyFont="1"/>
    <xf numFmtId="0" fontId="13" fillId="0" borderId="0" xfId="0" applyFont="1"/>
    <xf numFmtId="0" fontId="19" fillId="0" borderId="0" xfId="0" applyFont="1"/>
    <xf numFmtId="0" fontId="12" fillId="0" borderId="0" xfId="0" applyFont="1"/>
    <xf numFmtId="0" fontId="0" fillId="0" borderId="0" xfId="0" quotePrefix="1"/>
    <xf numFmtId="0" fontId="17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15" fontId="8" fillId="0" borderId="7" xfId="0" applyNumberFormat="1" applyFont="1" applyBorder="1" applyAlignment="1">
      <alignment horizontal="center" vertical="center"/>
    </xf>
    <xf numFmtId="15" fontId="8" fillId="0" borderId="3" xfId="0" applyNumberFormat="1" applyFont="1" applyBorder="1" applyAlignment="1">
      <alignment horizontal="center" vertical="center"/>
    </xf>
    <xf numFmtId="167" fontId="8" fillId="0" borderId="7" xfId="0" applyNumberFormat="1" applyFont="1" applyBorder="1" applyAlignment="1">
      <alignment horizontal="center" vertical="center"/>
    </xf>
    <xf numFmtId="167" fontId="8" fillId="0" borderId="3" xfId="0" applyNumberFormat="1" applyFont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41" fontId="8" fillId="0" borderId="7" xfId="0" applyNumberFormat="1" applyFont="1" applyBorder="1" applyAlignment="1">
      <alignment horizontal="center" vertical="center"/>
    </xf>
    <xf numFmtId="41" fontId="8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5" fontId="8" fillId="0" borderId="4" xfId="0" applyNumberFormat="1" applyFont="1" applyBorder="1" applyAlignment="1">
      <alignment horizontal="center" vertical="center"/>
    </xf>
    <xf numFmtId="170" fontId="8" fillId="0" borderId="7" xfId="3" applyNumberFormat="1" applyFont="1" applyBorder="1" applyAlignment="1">
      <alignment horizontal="center" vertical="center"/>
    </xf>
    <xf numFmtId="170" fontId="8" fillId="0" borderId="11" xfId="3" applyNumberFormat="1" applyFont="1" applyBorder="1" applyAlignment="1">
      <alignment horizontal="center" vertical="center"/>
    </xf>
    <xf numFmtId="170" fontId="8" fillId="0" borderId="3" xfId="3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10" fontId="8" fillId="0" borderId="7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7" fontId="8" fillId="0" borderId="4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5" fontId="5" fillId="0" borderId="0" xfId="0" applyNumberFormat="1" applyFont="1" applyAlignment="1">
      <alignment horizontal="left"/>
    </xf>
    <xf numFmtId="164" fontId="5" fillId="0" borderId="0" xfId="1" applyNumberFormat="1" applyFont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41" fontId="8" fillId="0" borderId="4" xfId="2" applyFont="1" applyFill="1" applyBorder="1" applyAlignment="1">
      <alignment horizontal="center" vertical="center"/>
    </xf>
    <xf numFmtId="41" fontId="8" fillId="0" borderId="4" xfId="2" applyFont="1" applyBorder="1" applyAlignment="1">
      <alignment horizontal="center" vertic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218838</xdr:colOff>
      <xdr:row>1</xdr:row>
      <xdr:rowOff>37313</xdr:rowOff>
    </xdr:from>
    <xdr:to>
      <xdr:col>3</xdr:col>
      <xdr:colOff>67292</xdr:colOff>
      <xdr:row>4</xdr:row>
      <xdr:rowOff>126862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2F8DC73-CCD1-4242-8C33-FC0853FD7A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58" b="14373"/>
        <a:stretch/>
      </xdr:blipFill>
      <xdr:spPr>
        <a:xfrm>
          <a:off x="222013" y="218288"/>
          <a:ext cx="1464529" cy="632474"/>
        </a:xfrm>
        <a:prstGeom prst="rect">
          <a:avLst/>
        </a:prstGeom>
      </xdr:spPr>
    </xdr:pic>
    <xdr:clientData/>
  </xdr:twoCellAnchor>
  <xdr:twoCellAnchor>
    <xdr:from>
      <xdr:col>1</xdr:col>
      <xdr:colOff>17106</xdr:colOff>
      <xdr:row>94</xdr:row>
      <xdr:rowOff>86046</xdr:rowOff>
    </xdr:from>
    <xdr:to>
      <xdr:col>1</xdr:col>
      <xdr:colOff>118368</xdr:colOff>
      <xdr:row>94</xdr:row>
      <xdr:rowOff>174811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6914B77D-210D-42B0-B451-DA856DD5E845}"/>
            </a:ext>
          </a:extLst>
        </xdr:cNvPr>
        <xdr:cNvSpPr/>
      </xdr:nvSpPr>
      <xdr:spPr>
        <a:xfrm>
          <a:off x="264756" y="17370746"/>
          <a:ext cx="104437" cy="9511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O"/>
        </a:p>
      </xdr:txBody>
    </xdr:sp>
    <xdr:clientData/>
  </xdr:twoCellAnchor>
  <xdr:twoCellAnchor editAs="oneCell">
    <xdr:from>
      <xdr:col>1</xdr:col>
      <xdr:colOff>22412</xdr:colOff>
      <xdr:row>73</xdr:row>
      <xdr:rowOff>89646</xdr:rowOff>
    </xdr:from>
    <xdr:to>
      <xdr:col>16</xdr:col>
      <xdr:colOff>679224</xdr:colOff>
      <xdr:row>92</xdr:row>
      <xdr:rowOff>83481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A5AFD48-4926-61A2-D3FD-1E2FF734D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941" y="14197852"/>
          <a:ext cx="14720195" cy="2728070"/>
        </a:xfrm>
        <a:prstGeom prst="rect">
          <a:avLst/>
        </a:prstGeom>
      </xdr:spPr>
    </xdr:pic>
    <xdr:clientData/>
  </xdr:twoCellAnchor>
  <xdr:twoCellAnchor editAs="oneCell">
    <xdr:from>
      <xdr:col>0</xdr:col>
      <xdr:colOff>168089</xdr:colOff>
      <xdr:row>98</xdr:row>
      <xdr:rowOff>160058</xdr:rowOff>
    </xdr:from>
    <xdr:to>
      <xdr:col>16</xdr:col>
      <xdr:colOff>618126</xdr:colOff>
      <xdr:row>113</xdr:row>
      <xdr:rowOff>6548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1EF47728-A32C-2FBB-8C5A-C0259000B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8089" y="18145499"/>
          <a:ext cx="14759949" cy="2535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38D52-C96D-43D1-8240-1FFD587D5496}">
  <sheetPr codeName="Hoja72">
    <tabColor rgb="FF92D050"/>
  </sheetPr>
  <dimension ref="A1:R112"/>
  <sheetViews>
    <sheetView showGridLines="0" tabSelected="1" topLeftCell="A33" zoomScale="85" zoomScaleNormal="85" zoomScaleSheetLayoutView="100" workbookViewId="0">
      <selection activeCell="G64" sqref="G64"/>
    </sheetView>
  </sheetViews>
  <sheetFormatPr baseColWidth="10" defaultColWidth="11.453125" defaultRowHeight="14.5" x14ac:dyDescent="0.35"/>
  <cols>
    <col min="1" max="1" width="3.54296875" customWidth="1"/>
    <col min="2" max="4" width="9.81640625" customWidth="1"/>
    <col min="5" max="5" width="8.54296875" customWidth="1"/>
    <col min="6" max="6" width="7" customWidth="1"/>
    <col min="7" max="7" width="15.453125" customWidth="1"/>
    <col min="8" max="8" width="23" customWidth="1"/>
    <col min="9" max="9" width="16.453125" bestFit="1" customWidth="1"/>
    <col min="10" max="10" width="14.1796875" bestFit="1" customWidth="1"/>
    <col min="11" max="11" width="16.6328125" bestFit="1" customWidth="1"/>
    <col min="12" max="12" width="14.453125" customWidth="1"/>
    <col min="13" max="13" width="15.7265625" customWidth="1"/>
    <col min="14" max="14" width="15.1796875" customWidth="1"/>
    <col min="15" max="15" width="15.81640625" customWidth="1"/>
    <col min="16" max="16" width="9.453125" customWidth="1"/>
    <col min="17" max="17" width="9.81640625" customWidth="1"/>
    <col min="18" max="18" width="3.54296875" customWidth="1"/>
  </cols>
  <sheetData>
    <row r="1" spans="1:17" x14ac:dyDescent="0.35">
      <c r="A1" s="1" t="s">
        <v>0</v>
      </c>
    </row>
    <row r="2" spans="1:17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35">
      <c r="B3" s="2"/>
      <c r="C3" s="79" t="str">
        <f>IF($A$1="Español","INFORME DE CONDICIONES DE DEUDA GRUPO ECOPETROL 4T23",IF($A$1="Inglés","DEBT PORTFOLIO ECOPETROL GROUP 4Q23"))</f>
        <v>INFORME DE CONDICIONES DE DEUDA GRUPO ECOPETROL 4T23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2"/>
    </row>
    <row r="4" spans="1:17" x14ac:dyDescent="0.35">
      <c r="B4" s="2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2"/>
    </row>
    <row r="5" spans="1:17" x14ac:dyDescent="0.3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8" spans="1:17" ht="18" customHeight="1" x14ac:dyDescent="0.35">
      <c r="B8" s="3" t="str">
        <f>IF($A$1="Español","Fecha",IF($A$1="Inglés","Date"))</f>
        <v>Fecha</v>
      </c>
      <c r="C8" s="80">
        <v>45291</v>
      </c>
      <c r="D8" s="80"/>
    </row>
    <row r="9" spans="1:17" ht="18" customHeight="1" x14ac:dyDescent="0.35">
      <c r="B9" s="3" t="str">
        <f>IF($A$1="Español","TRM",IF($A$1="Inglés","FX Rate"))</f>
        <v>TRM</v>
      </c>
      <c r="C9" s="81">
        <v>3844.81</v>
      </c>
      <c r="D9" s="81"/>
    </row>
    <row r="11" spans="1:17" ht="15.5" x14ac:dyDescent="0.35">
      <c r="B11" s="51" t="str">
        <f>IF($A$1="Español","Deuda Vigente por Compañía",IF($A$1="Inglés","Outstanding Debt by Company"))</f>
        <v>Deuda Vigente por Compañía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</row>
    <row r="14" spans="1:17" ht="15" customHeight="1" x14ac:dyDescent="0.35">
      <c r="G14" s="82" t="str">
        <f>IF($A$1="Español","Compañía",IF($A$1="Inglés","Company"))</f>
        <v>Compañía</v>
      </c>
      <c r="H14" s="83"/>
      <c r="I14" s="4" t="str">
        <f>IF($A$1="Español","Dólares",IF($A$1="Inglés","Dollars"))</f>
        <v>Dólares</v>
      </c>
      <c r="J14" s="5" t="str">
        <f>IF($A$1="Español","Pesos",IF($A$1="Inglés","Pesos"))</f>
        <v>Pesos</v>
      </c>
      <c r="K14" s="5" t="str">
        <f>IF($A$1="Español","Otras Monedas",IF($A$1="Inglés","Other Currencies"))</f>
        <v>Otras Monedas</v>
      </c>
      <c r="L14" s="5" t="s">
        <v>1</v>
      </c>
      <c r="M14" s="5" t="str">
        <f>IF($A$1="Español","Vida Media",IF($A$1="Inglés","Average Life"))</f>
        <v>Vida Media</v>
      </c>
    </row>
    <row r="15" spans="1:17" ht="15" customHeight="1" x14ac:dyDescent="0.35">
      <c r="G15" s="71"/>
      <c r="H15" s="72"/>
      <c r="I15" s="4" t="s">
        <v>2</v>
      </c>
      <c r="J15" s="5" t="s">
        <v>3</v>
      </c>
      <c r="K15" s="4" t="s">
        <v>2</v>
      </c>
      <c r="L15" s="5" t="s">
        <v>4</v>
      </c>
      <c r="M15" s="5" t="str">
        <f>IF($A$1="Español","(Años)",IF($A$1="Inglés","(Years)"))</f>
        <v>(Años)</v>
      </c>
    </row>
    <row r="16" spans="1:17" s="6" customFormat="1" ht="15" customHeight="1" x14ac:dyDescent="0.35">
      <c r="G16" s="7" t="s">
        <v>5</v>
      </c>
      <c r="H16" s="8"/>
      <c r="I16" s="9">
        <v>17677.369791480487</v>
      </c>
      <c r="J16" s="9">
        <v>1894750</v>
      </c>
      <c r="K16" s="9">
        <v>0</v>
      </c>
      <c r="L16" s="9">
        <v>18170.176978311571</v>
      </c>
      <c r="M16" s="10">
        <v>8.2315995777151585</v>
      </c>
    </row>
    <row r="17" spans="6:16" s="6" customFormat="1" ht="15" customHeight="1" x14ac:dyDescent="0.35">
      <c r="G17" s="7" t="s">
        <v>6</v>
      </c>
      <c r="H17" s="8"/>
      <c r="I17" s="9">
        <v>400</v>
      </c>
      <c r="J17" s="9">
        <v>0</v>
      </c>
      <c r="K17" s="9">
        <v>0</v>
      </c>
      <c r="L17" s="9">
        <v>400</v>
      </c>
      <c r="M17" s="10">
        <v>3.536986301369863</v>
      </c>
    </row>
    <row r="18" spans="6:16" s="6" customFormat="1" ht="15" customHeight="1" x14ac:dyDescent="0.35">
      <c r="G18" s="7" t="s">
        <v>7</v>
      </c>
      <c r="H18" s="8"/>
      <c r="I18" s="11">
        <v>0</v>
      </c>
      <c r="J18" s="9">
        <v>148399.99999999951</v>
      </c>
      <c r="K18" s="9">
        <v>0</v>
      </c>
      <c r="L18" s="9">
        <v>38.597485961594856</v>
      </c>
      <c r="M18" s="10">
        <v>0.21597311966916527</v>
      </c>
    </row>
    <row r="19" spans="6:16" s="6" customFormat="1" ht="15" customHeight="1" x14ac:dyDescent="0.35">
      <c r="G19" s="7" t="s">
        <v>8</v>
      </c>
      <c r="H19" s="8"/>
      <c r="I19" s="11">
        <v>0</v>
      </c>
      <c r="J19" s="9">
        <v>165586.53740945959</v>
      </c>
      <c r="K19" s="11">
        <v>0</v>
      </c>
      <c r="L19" s="9">
        <v>43.06754752756563</v>
      </c>
      <c r="M19" s="10">
        <v>4.8762409544117959</v>
      </c>
    </row>
    <row r="20" spans="6:16" s="6" customFormat="1" ht="15" customHeight="1" x14ac:dyDescent="0.35">
      <c r="G20" s="7" t="s">
        <v>9</v>
      </c>
      <c r="H20" s="8"/>
      <c r="I20" s="11">
        <v>0</v>
      </c>
      <c r="J20" s="9">
        <v>410294.39595878334</v>
      </c>
      <c r="K20" s="11">
        <v>0</v>
      </c>
      <c r="L20" s="9">
        <v>106.71382876105275</v>
      </c>
      <c r="M20" s="10">
        <v>1.2785801343254553</v>
      </c>
    </row>
    <row r="21" spans="6:16" s="6" customFormat="1" ht="15" customHeight="1" x14ac:dyDescent="0.35">
      <c r="G21" s="7" t="s">
        <v>10</v>
      </c>
      <c r="H21" s="12"/>
      <c r="I21" s="9">
        <v>3022.1568004085093</v>
      </c>
      <c r="J21" s="9">
        <v>6049179.9548375988</v>
      </c>
      <c r="K21" s="9">
        <v>3521.7786167065105</v>
      </c>
      <c r="L21" s="9">
        <v>8117.2719291500998</v>
      </c>
      <c r="M21" s="10">
        <v>12.6829506174195</v>
      </c>
    </row>
    <row r="22" spans="6:16" s="6" customFormat="1" ht="15" customHeight="1" x14ac:dyDescent="0.35">
      <c r="G22" s="13" t="str">
        <f>IF($A$1="Español","Grupo Ecopetrol",IF($A$1="Inglés","Ecopetrol Group"))</f>
        <v>Grupo Ecopetrol</v>
      </c>
      <c r="H22" s="14"/>
      <c r="I22" s="15">
        <v>21099.526591888996</v>
      </c>
      <c r="J22" s="16">
        <v>8668210.8882058412</v>
      </c>
      <c r="K22" s="15">
        <v>3521.7786167065105</v>
      </c>
      <c r="L22" s="17">
        <v>26875.827769711883</v>
      </c>
      <c r="M22" s="18">
        <v>9.4616680389061738</v>
      </c>
    </row>
    <row r="23" spans="6:16" ht="6.65" customHeight="1" x14ac:dyDescent="0.35">
      <c r="G23" s="19"/>
      <c r="H23" s="19"/>
      <c r="I23" s="19"/>
      <c r="J23" s="19"/>
      <c r="K23" s="19"/>
      <c r="L23" s="19"/>
      <c r="M23" s="20"/>
      <c r="N23" s="21"/>
      <c r="P23" s="22"/>
    </row>
    <row r="24" spans="6:16" ht="15" customHeight="1" x14ac:dyDescent="0.35">
      <c r="G24" s="84" t="str">
        <f>IF($A$1="Español","Deuda Intercompañía (US$ MM)",IF($A$1="Inglés","Intercompany Debt (US$ MM)"))</f>
        <v>Deuda Intercompañía (US$ MM)</v>
      </c>
      <c r="H24" s="84"/>
      <c r="I24" s="85">
        <v>1405.0648558199998</v>
      </c>
      <c r="J24" s="85">
        <v>0</v>
      </c>
      <c r="K24" s="86">
        <v>0</v>
      </c>
      <c r="L24" s="85">
        <v>1405.0648558199998</v>
      </c>
      <c r="M24" s="77">
        <v>15.4718279909653</v>
      </c>
    </row>
    <row r="25" spans="6:16" ht="15" customHeight="1" x14ac:dyDescent="0.35">
      <c r="G25" s="84"/>
      <c r="H25" s="84"/>
      <c r="I25" s="85"/>
      <c r="J25" s="85"/>
      <c r="K25" s="86"/>
      <c r="L25" s="85"/>
      <c r="M25" s="77"/>
    </row>
    <row r="26" spans="6:16" ht="8.5" customHeight="1" x14ac:dyDescent="0.35">
      <c r="F26" s="23"/>
      <c r="G26" s="24"/>
      <c r="H26" s="24"/>
      <c r="I26" s="24"/>
      <c r="J26" s="25"/>
    </row>
    <row r="27" spans="6:16" x14ac:dyDescent="0.35">
      <c r="G27" s="26" t="str">
        <f>IF($A$1="Español","Valores nominales y cifras convertidas a USD con la TRM con corte a "&amp; TEXT(C8,"d-mmm-yy"),IF($A$1="Inglés","Nominal values, figures converted to USD with the exchange rate as of "&amp; TEXT(C8,"d-mmm-yy")))</f>
        <v>Valores nominales y cifras convertidas a USD con la TRM con corte a 31-dic-23</v>
      </c>
      <c r="H27" s="26"/>
      <c r="I27" s="26"/>
      <c r="J27" s="26"/>
      <c r="K27" s="27"/>
      <c r="L27" s="27"/>
      <c r="M27" s="27"/>
    </row>
    <row r="28" spans="6:16" x14ac:dyDescent="0.35">
      <c r="G28" s="78" t="str">
        <f>IF($A$1="Español","No incluye causación de intereses",IF($A$1="Inglés","Accrued interests not included"))</f>
        <v>No incluye causación de intereses</v>
      </c>
      <c r="H28" s="78"/>
      <c r="I28" s="78"/>
      <c r="J28" s="78"/>
    </row>
    <row r="29" spans="6:16" x14ac:dyDescent="0.35">
      <c r="G29" s="78" t="str">
        <f>IF($A$1="Español","Deuda intercompañía no consolida en los EEFF de Ecopetrol. No incluye ISA",IF($A$1="Inglés","Intercompany debt does not consolidate in Ecopetrol's Financial Statements. Excluding ISA"))</f>
        <v>Deuda intercompañía no consolida en los EEFF de Ecopetrol. No incluye ISA</v>
      </c>
      <c r="H29" s="78"/>
      <c r="I29" s="78"/>
      <c r="J29" s="78"/>
      <c r="K29" s="78"/>
      <c r="L29" s="78"/>
    </row>
    <row r="30" spans="6:16" x14ac:dyDescent="0.35">
      <c r="G30" s="78" t="str">
        <f>IF($A$1="Español","MM: Millones",IF($A$1="Inglés","MM: Million"))</f>
        <v>MM: Millones</v>
      </c>
      <c r="H30" s="78"/>
      <c r="I30" s="78"/>
      <c r="J30" s="78"/>
    </row>
    <row r="31" spans="6:16" x14ac:dyDescent="0.35">
      <c r="G31" s="28" t="str">
        <f>IF($A$1="Español","Nota: Costo de la deuda de ISA en construcción, por lo que las cifras de Grupo Ecopetrol no incluyen ISA",IF($A$1="Inglés","Note: Cost of ISA's debt under construction, therefore the Ecopetrol Group figures do not include ISA"))</f>
        <v>Nota: Costo de la deuda de ISA en construcción, por lo que las cifras de Grupo Ecopetrol no incluyen ISA</v>
      </c>
      <c r="H31" s="29"/>
      <c r="I31" s="29"/>
      <c r="J31" s="29"/>
    </row>
    <row r="32" spans="6:16" x14ac:dyDescent="0.35">
      <c r="F32" s="26"/>
      <c r="G32" s="26"/>
      <c r="H32" s="26"/>
      <c r="I32" s="26"/>
    </row>
    <row r="33" spans="2:17" x14ac:dyDescent="0.35">
      <c r="F33" s="30"/>
    </row>
    <row r="34" spans="2:17" ht="15.5" x14ac:dyDescent="0.35">
      <c r="B34" s="51" t="str">
        <f>IF($A$1="Español","Bonos Internacionales Ecopetrol S.A.",IF($A$1="Inglés","International Bonds Ecopetrol S.A."))</f>
        <v>Bonos Internacionales Ecopetrol S.A.</v>
      </c>
      <c r="C34" s="51"/>
      <c r="D34" s="51"/>
      <c r="E34" s="51"/>
      <c r="F34" s="51"/>
      <c r="G34" s="51"/>
      <c r="H34" s="51"/>
      <c r="I34" s="51"/>
      <c r="J34" s="31"/>
      <c r="K34" s="56" t="str">
        <f>IF($A$1="Español","Bonos Locales Ecopetrol S.A.",IF($A$1="Inglés","Local Bonds Ecopetrol S.A."))</f>
        <v>Bonos Locales Ecopetrol S.A.</v>
      </c>
      <c r="L34" s="56"/>
      <c r="M34" s="56"/>
      <c r="N34" s="56"/>
      <c r="O34" s="56"/>
      <c r="P34" s="56"/>
      <c r="Q34" s="56"/>
    </row>
    <row r="35" spans="2:17" x14ac:dyDescent="0.35">
      <c r="F35" s="30"/>
    </row>
    <row r="36" spans="2:17" x14ac:dyDescent="0.35">
      <c r="F36" s="30"/>
    </row>
    <row r="37" spans="2:17" ht="31.5" customHeight="1" x14ac:dyDescent="0.35">
      <c r="C37" s="57" t="str">
        <f>IF($A$1="Español","Vencimiento",IF($A$1="Inglés","Maturity Date"))</f>
        <v>Vencimiento</v>
      </c>
      <c r="D37" s="58"/>
      <c r="E37" s="57" t="str">
        <f>IF($A$1="Español","Vida Media (Años)",IF($A$1="Inglés","Average Life (Years)"))</f>
        <v>Vida Media (Años)</v>
      </c>
      <c r="F37" s="58"/>
      <c r="G37" s="33" t="str">
        <f>IF($A$1="Español","Cupón",IF($A$1="Inglés","Coupon"))</f>
        <v>Cupón</v>
      </c>
      <c r="H37" s="33" t="str">
        <f>IF($A$1="Español","Monto Vigente (USD $MM)",IF($A$1="Inglés","Outstanding Amount (USD $MM)"))</f>
        <v>Monto Vigente (USD $MM)</v>
      </c>
      <c r="L37" s="5" t="str">
        <f>IF($A$1="Español","Vencimiento",IF($A$1="Inglés","Maturity Date"))</f>
        <v>Vencimiento</v>
      </c>
      <c r="M37" s="33" t="str">
        <f>IF($A$1="Español","Vida Media (Años)",IF($A$1="Inglés","Average Life (Years)"))</f>
        <v>Vida Media (Años)</v>
      </c>
      <c r="N37" s="5" t="str">
        <f>IF($A$1="Español","Cupón",IF($A$1="Inglés","Coupon"))</f>
        <v>Cupón</v>
      </c>
      <c r="O37" s="57" t="str">
        <f>IF($A$1="Español","Monto Vigente (COP $MM)",IF($A$1="Inglés","Outstanding Amount (COP $MM)"))</f>
        <v>Monto Vigente (COP $MM)</v>
      </c>
      <c r="P37" s="59"/>
    </row>
    <row r="38" spans="2:17" x14ac:dyDescent="0.35">
      <c r="C38" s="52">
        <v>45673</v>
      </c>
      <c r="D38" s="53"/>
      <c r="E38" s="76">
        <v>1.0465753424657533</v>
      </c>
      <c r="F38" s="76"/>
      <c r="G38" s="35">
        <v>4.1250000000000002E-2</v>
      </c>
      <c r="H38" s="36">
        <v>1200</v>
      </c>
      <c r="J38" s="6"/>
      <c r="K38" s="6"/>
      <c r="L38" s="37">
        <v>46992</v>
      </c>
      <c r="M38" s="34">
        <v>4.6602739726027398</v>
      </c>
      <c r="N38" s="38">
        <v>4.9000000000000002E-2</v>
      </c>
      <c r="O38" s="60">
        <v>347500</v>
      </c>
      <c r="P38" s="61"/>
    </row>
    <row r="39" spans="2:17" x14ac:dyDescent="0.35">
      <c r="C39" s="52">
        <v>46199</v>
      </c>
      <c r="D39" s="53"/>
      <c r="E39" s="76">
        <v>2.4876712328767123</v>
      </c>
      <c r="F39" s="76"/>
      <c r="G39" s="39">
        <v>5.3749999999999999E-2</v>
      </c>
      <c r="H39" s="36">
        <v>1500</v>
      </c>
      <c r="J39" s="6"/>
      <c r="K39" s="6"/>
      <c r="L39" s="37">
        <v>51471</v>
      </c>
      <c r="M39" s="34">
        <v>16.931506849315067</v>
      </c>
      <c r="N39" s="38">
        <v>4.9000000000000002E-2</v>
      </c>
      <c r="O39" s="60">
        <v>284300</v>
      </c>
      <c r="P39" s="61"/>
    </row>
    <row r="40" spans="2:17" x14ac:dyDescent="0.35">
      <c r="C40" s="52">
        <v>47137</v>
      </c>
      <c r="D40" s="53"/>
      <c r="E40" s="76">
        <v>5.0575342465753428</v>
      </c>
      <c r="F40" s="76"/>
      <c r="G40" s="39">
        <v>8.6249999999999993E-2</v>
      </c>
      <c r="H40" s="36">
        <v>1200</v>
      </c>
      <c r="J40" s="6"/>
      <c r="K40" s="6"/>
      <c r="L40" s="37">
        <v>52470</v>
      </c>
      <c r="M40" s="34">
        <v>19.668493150684931</v>
      </c>
      <c r="N40" s="38">
        <v>5.1499999999999997E-2</v>
      </c>
      <c r="O40" s="60">
        <v>262950</v>
      </c>
      <c r="P40" s="61"/>
    </row>
    <row r="41" spans="2:17" x14ac:dyDescent="0.35">
      <c r="C41" s="52">
        <v>47602</v>
      </c>
      <c r="D41" s="53"/>
      <c r="E41" s="76">
        <v>6.3315068493150681</v>
      </c>
      <c r="F41" s="76"/>
      <c r="G41" s="39">
        <v>6.8750000000000006E-2</v>
      </c>
      <c r="H41" s="36">
        <v>2000</v>
      </c>
      <c r="J41" s="6"/>
      <c r="K41" s="6"/>
      <c r="L41" s="6"/>
      <c r="M41" s="6"/>
      <c r="N41" s="6"/>
      <c r="O41" s="6"/>
      <c r="P41" s="6"/>
    </row>
    <row r="42" spans="2:17" x14ac:dyDescent="0.35">
      <c r="C42" s="52">
        <v>48154</v>
      </c>
      <c r="D42" s="53"/>
      <c r="E42" s="54">
        <v>7.8438356164383558</v>
      </c>
      <c r="F42" s="55"/>
      <c r="G42" s="39">
        <v>4.6249999999999999E-2</v>
      </c>
      <c r="H42" s="36">
        <v>1250</v>
      </c>
      <c r="J42" s="6"/>
      <c r="K42" s="6"/>
      <c r="L42" s="6"/>
      <c r="M42" s="6"/>
      <c r="N42" s="6"/>
      <c r="O42" s="6"/>
      <c r="P42" s="6"/>
    </row>
    <row r="43" spans="2:17" x14ac:dyDescent="0.35">
      <c r="C43" s="52">
        <v>48592</v>
      </c>
      <c r="D43" s="53"/>
      <c r="E43" s="54">
        <v>9.043835616438356</v>
      </c>
      <c r="F43" s="55"/>
      <c r="G43" s="39">
        <v>8.8749999999999996E-2</v>
      </c>
      <c r="H43" s="36">
        <v>2300</v>
      </c>
      <c r="J43" s="6"/>
      <c r="K43" s="6"/>
      <c r="L43" s="6"/>
      <c r="M43" s="6"/>
      <c r="N43" s="6"/>
      <c r="O43" s="6"/>
      <c r="P43" s="6"/>
    </row>
    <row r="44" spans="2:17" x14ac:dyDescent="0.35">
      <c r="C44" s="52">
        <v>52492</v>
      </c>
      <c r="D44" s="53"/>
      <c r="E44" s="76">
        <v>19.728767123287671</v>
      </c>
      <c r="F44" s="76"/>
      <c r="G44" s="39">
        <v>7.3749999999999996E-2</v>
      </c>
      <c r="H44" s="40">
        <v>850</v>
      </c>
      <c r="J44" s="6"/>
      <c r="K44" s="6"/>
      <c r="L44" s="6"/>
      <c r="M44" s="6"/>
      <c r="N44" s="6"/>
      <c r="O44" s="6"/>
      <c r="P44" s="6"/>
    </row>
    <row r="45" spans="2:17" x14ac:dyDescent="0.35">
      <c r="C45" s="52">
        <v>53110</v>
      </c>
      <c r="D45" s="53"/>
      <c r="E45" s="76">
        <v>21.421917808219177</v>
      </c>
      <c r="F45" s="76"/>
      <c r="G45" s="39">
        <v>5.8749999999999997E-2</v>
      </c>
      <c r="H45" s="40">
        <v>2000</v>
      </c>
      <c r="J45" s="6"/>
      <c r="K45" s="6"/>
      <c r="L45" s="6"/>
      <c r="M45" s="6"/>
      <c r="N45" s="6"/>
      <c r="O45" s="6"/>
      <c r="P45" s="6"/>
    </row>
    <row r="46" spans="2:17" x14ac:dyDescent="0.35">
      <c r="C46" s="52">
        <v>55459</v>
      </c>
      <c r="D46" s="53"/>
      <c r="E46" s="76">
        <v>27.857534246575341</v>
      </c>
      <c r="F46" s="76"/>
      <c r="G46" s="39">
        <v>5.8749999999999997E-2</v>
      </c>
      <c r="H46" s="40">
        <v>750</v>
      </c>
      <c r="J46" s="6"/>
      <c r="K46" s="6"/>
      <c r="L46" s="6"/>
      <c r="M46" s="6"/>
      <c r="N46" s="6"/>
      <c r="O46" s="6"/>
      <c r="P46" s="6"/>
    </row>
    <row r="49" spans="2:17" ht="15.5" x14ac:dyDescent="0.35">
      <c r="B49" s="51" t="str">
        <f>IF($A$1="Español","ECAs y Deuda Bancaria Largo Plazo",IF($A$1="Inglés","Long-Term ECAs and Bank Debt"))</f>
        <v>ECAs y Deuda Bancaria Largo Plazo</v>
      </c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</row>
    <row r="52" spans="2:17" ht="26" x14ac:dyDescent="0.35">
      <c r="F52" s="71" t="str">
        <f>IF($A$1="Español","Facilidad",IF($A$1="Inglés","Facility"))</f>
        <v>Facilidad</v>
      </c>
      <c r="G52" s="72"/>
      <c r="H52" s="71" t="str">
        <f>IF($A$1="Español","Vencimiento",IF($A$1="Inglés","Maturity Date"))</f>
        <v>Vencimiento</v>
      </c>
      <c r="I52" s="72"/>
      <c r="J52" s="32" t="str">
        <f>IF($A$1="Español","Vida Media (Años)",IF($A$1="Inglés","Average Life (Years)"))</f>
        <v>Vida Media (Años)</v>
      </c>
      <c r="K52" s="73" t="str">
        <f>IF($A$1="Español","Cupón",IF($A$1="Inglés","Coupon"))</f>
        <v>Cupón</v>
      </c>
      <c r="L52" s="74"/>
      <c r="M52" s="75"/>
      <c r="N52" s="33" t="str">
        <f>IF($A$1="Español","Monto Vigente (USD $MM)",IF($A$1="Inglés","Outstanding Amount (USD $MM)"))</f>
        <v>Monto Vigente (USD $MM)</v>
      </c>
    </row>
    <row r="53" spans="2:17" x14ac:dyDescent="0.35">
      <c r="F53" s="67" t="str">
        <f>IF($A$1="Español","US EXIM Directo",IF($A$1="Inglés","US EXIM Direct Facility"))</f>
        <v>US EXIM Directo</v>
      </c>
      <c r="G53" s="67"/>
      <c r="H53" s="63">
        <v>46741</v>
      </c>
      <c r="I53" s="63"/>
      <c r="J53" s="10">
        <v>1.5762456721360831</v>
      </c>
      <c r="K53" s="68">
        <v>2.7799999999999998E-2</v>
      </c>
      <c r="L53" s="69"/>
      <c r="M53" s="70"/>
      <c r="N53" s="41">
        <v>602.875</v>
      </c>
    </row>
    <row r="54" spans="2:17" x14ac:dyDescent="0.35">
      <c r="F54" s="67" t="str">
        <f>IF($A$1="Español","US EXIM Grantizado",IF($A$1="Inglés","US EXIM Guaranteed Facility"))</f>
        <v>US EXIM Grantizado</v>
      </c>
      <c r="G54" s="67"/>
      <c r="H54" s="63">
        <v>46741</v>
      </c>
      <c r="I54" s="63"/>
      <c r="J54" s="10">
        <v>1.5762456721360831</v>
      </c>
      <c r="K54" s="64">
        <v>8.5000000000000006E-3</v>
      </c>
      <c r="L54" s="65"/>
      <c r="M54" s="66"/>
      <c r="N54" s="41">
        <v>22.75</v>
      </c>
    </row>
    <row r="55" spans="2:17" x14ac:dyDescent="0.35">
      <c r="F55" s="67" t="str">
        <f>IF($A$1="Español","EKN",IF($A$1="Inglés","EKN Facility"))</f>
        <v>EKN</v>
      </c>
      <c r="G55" s="67"/>
      <c r="H55" s="63">
        <v>46741</v>
      </c>
      <c r="I55" s="63"/>
      <c r="J55" s="10">
        <v>1.5762456721360834</v>
      </c>
      <c r="K55" s="68">
        <v>4.0599999999999997E-2</v>
      </c>
      <c r="L55" s="69"/>
      <c r="M55" s="70"/>
      <c r="N55" s="41">
        <v>21.969791489590005</v>
      </c>
    </row>
    <row r="56" spans="2:17" ht="26.25" customHeight="1" x14ac:dyDescent="0.35">
      <c r="F56" s="62" t="str">
        <f>IF($A$1="Español","SACE",IF($A$1="Inglés","SACE Facility"))</f>
        <v>SACE</v>
      </c>
      <c r="G56" s="62"/>
      <c r="H56" s="63">
        <v>46741</v>
      </c>
      <c r="I56" s="63"/>
      <c r="J56" s="10">
        <v>1.5762456721360827</v>
      </c>
      <c r="K56" s="64">
        <v>2.0250000000000001E-2</v>
      </c>
      <c r="L56" s="65"/>
      <c r="M56" s="66"/>
      <c r="N56" s="41">
        <v>47.774999990900014</v>
      </c>
    </row>
    <row r="57" spans="2:17" ht="27.25" customHeight="1" x14ac:dyDescent="0.35">
      <c r="F57" s="62" t="str">
        <f>IF($A$1="Español","Comercial",IF($A$1="Inglés","Commercial Facility"))</f>
        <v>Comercial</v>
      </c>
      <c r="G57" s="62"/>
      <c r="H57" s="63">
        <v>46011</v>
      </c>
      <c r="I57" s="63"/>
      <c r="J57" s="10">
        <v>1.5885844748858449</v>
      </c>
      <c r="K57" s="64">
        <v>3.0249999999999999E-2</v>
      </c>
      <c r="L57" s="65"/>
      <c r="M57" s="66"/>
      <c r="N57" s="41">
        <v>132</v>
      </c>
    </row>
    <row r="60" spans="2:17" ht="15.5" x14ac:dyDescent="0.35">
      <c r="B60" s="51" t="str">
        <f>IF($A$1="Español","Créditos Internacionales",IF($A$1="Inglés","International Credits"))</f>
        <v>Créditos Internacionales</v>
      </c>
      <c r="C60" s="51"/>
      <c r="D60" s="51"/>
      <c r="E60" s="51"/>
      <c r="F60" s="51"/>
      <c r="G60" s="51"/>
      <c r="H60" s="51"/>
      <c r="I60" s="51"/>
      <c r="J60" s="31"/>
      <c r="K60" s="56" t="str">
        <f>IF($A$1="Español","Crédito Local",IF($A$1="Inglés","Local Credit"))</f>
        <v>Crédito Local</v>
      </c>
      <c r="L60" s="56"/>
      <c r="M60" s="56"/>
      <c r="N60" s="56"/>
      <c r="O60" s="56"/>
      <c r="P60" s="56"/>
      <c r="Q60" s="56"/>
    </row>
    <row r="62" spans="2:17" ht="26" x14ac:dyDescent="0.35">
      <c r="C62" s="57" t="str">
        <f>IF($A$1="Español","Vencimiento",IF($A$1="Inglés","Maturity Date"))</f>
        <v>Vencimiento</v>
      </c>
      <c r="D62" s="58"/>
      <c r="E62" s="57" t="str">
        <f>IF($A$1="Español","Vida Media (Años)",IF($A$1="Inglés","Average Life (Years)"))</f>
        <v>Vida Media (Años)</v>
      </c>
      <c r="F62" s="58"/>
      <c r="G62" s="33" t="str">
        <f>IF($A$1="Español","Cupón",IF($A$1="Inglés","Coupon"))</f>
        <v>Cupón</v>
      </c>
      <c r="H62" s="33" t="str">
        <f>IF($A$1="Español","Monto Vigente (USD $MM)",IF($A$1="Inglés","Outstanding Amount (USD $MM)"))</f>
        <v>Monto Vigente (USD $MM)</v>
      </c>
      <c r="L62" s="5" t="str">
        <f>IF($A$1="Español","Vencimiento",IF($A$1="Inglés","Maturity Date"))</f>
        <v>Vencimiento</v>
      </c>
      <c r="M62" s="33" t="str">
        <f>IF($A$1="Español","Vida Media (Años)",IF($A$1="Inglés","Average Life (Years)"))</f>
        <v>Vida Media (Años)</v>
      </c>
      <c r="N62" s="5" t="str">
        <f>IF($A$1="Español","Cupón",IF($A$1="Inglés","Coupon"))</f>
        <v>Cupón</v>
      </c>
      <c r="O62" s="57" t="str">
        <f>IF($A$1="Español","Monto Vigente (COP $MM)",IF($A$1="Inglés","Outstanding Amount (COP $MM)"))</f>
        <v>Monto Vigente (COP $MM)</v>
      </c>
      <c r="P62" s="59"/>
    </row>
    <row r="63" spans="2:17" x14ac:dyDescent="0.35">
      <c r="C63" s="52">
        <v>45521</v>
      </c>
      <c r="D63" s="53"/>
      <c r="E63" s="54">
        <v>0.63013698630136983</v>
      </c>
      <c r="F63" s="55"/>
      <c r="G63" s="42">
        <v>1.4999999999999999E-2</v>
      </c>
      <c r="H63" s="40">
        <v>1200</v>
      </c>
      <c r="L63" s="37">
        <v>46920</v>
      </c>
      <c r="M63" s="34">
        <v>0.50136986301369868</v>
      </c>
      <c r="N63" s="43">
        <v>4.9000000000000002E-2</v>
      </c>
      <c r="O63" s="60">
        <v>1000000</v>
      </c>
      <c r="P63" s="61"/>
    </row>
    <row r="64" spans="2:17" x14ac:dyDescent="0.35">
      <c r="C64" s="52">
        <v>46741</v>
      </c>
      <c r="D64" s="53"/>
      <c r="E64" s="54">
        <v>3.2219178082191782</v>
      </c>
      <c r="F64" s="55"/>
      <c r="G64" s="42">
        <v>2.1000000000000001E-2</v>
      </c>
      <c r="H64" s="40">
        <v>999.99999999999989</v>
      </c>
    </row>
    <row r="65" spans="2:18" x14ac:dyDescent="0.35">
      <c r="C65" s="52">
        <v>46889</v>
      </c>
      <c r="D65" s="53"/>
      <c r="E65" s="54">
        <v>4.3780821917808215</v>
      </c>
      <c r="F65" s="55"/>
      <c r="G65" s="42">
        <v>3.7999999999999999E-2</v>
      </c>
      <c r="H65" s="40">
        <v>400</v>
      </c>
      <c r="R65" s="49"/>
    </row>
    <row r="66" spans="2:18" x14ac:dyDescent="0.35">
      <c r="C66" s="52">
        <v>47734</v>
      </c>
      <c r="D66" s="53"/>
      <c r="E66" s="54">
        <v>4.4399999999999995</v>
      </c>
      <c r="F66" s="55"/>
      <c r="G66" s="42">
        <v>4.7500000000000001E-2</v>
      </c>
      <c r="H66" s="40">
        <v>1000</v>
      </c>
      <c r="R66" s="49"/>
    </row>
    <row r="67" spans="2:18" x14ac:dyDescent="0.35">
      <c r="R67" s="49"/>
    </row>
    <row r="68" spans="2:18" x14ac:dyDescent="0.35">
      <c r="B68" s="50" t="str">
        <f>IF($A$1="Español","GRUPO ECOPETROL",IF($A$1="Inglés","ECOPETROL GROUP"))</f>
        <v>GRUPO ECOPETROL</v>
      </c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49"/>
    </row>
    <row r="69" spans="2:18" x14ac:dyDescent="0.35"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49"/>
    </row>
    <row r="70" spans="2:18" x14ac:dyDescent="0.35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</row>
    <row r="72" spans="2:18" ht="15.5" x14ac:dyDescent="0.35">
      <c r="B72" s="51" t="s">
        <v>12</v>
      </c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</row>
    <row r="74" spans="2:18" ht="15.5" x14ac:dyDescent="0.35">
      <c r="B74" s="44"/>
    </row>
    <row r="75" spans="2:18" ht="15.5" x14ac:dyDescent="0.35">
      <c r="B75" s="44"/>
    </row>
    <row r="76" spans="2:18" hidden="1" x14ac:dyDescent="0.35"/>
    <row r="77" spans="2:18" hidden="1" x14ac:dyDescent="0.35"/>
    <row r="78" spans="2:18" hidden="1" x14ac:dyDescent="0.35"/>
    <row r="79" spans="2:18" hidden="1" x14ac:dyDescent="0.35"/>
    <row r="84" spans="2:17" x14ac:dyDescent="0.35">
      <c r="I84" s="45"/>
    </row>
    <row r="85" spans="2:17" x14ac:dyDescent="0.35">
      <c r="I85" s="45"/>
    </row>
    <row r="86" spans="2:17" x14ac:dyDescent="0.35">
      <c r="I86" s="45"/>
    </row>
    <row r="87" spans="2:17" x14ac:dyDescent="0.35">
      <c r="I87" s="45"/>
    </row>
    <row r="88" spans="2:17" x14ac:dyDescent="0.35">
      <c r="I88" s="45"/>
    </row>
    <row r="93" spans="2:17" x14ac:dyDescent="0.35">
      <c r="B93" s="46"/>
    </row>
    <row r="94" spans="2:17" x14ac:dyDescent="0.35">
      <c r="M94" t="s">
        <v>11</v>
      </c>
    </row>
    <row r="95" spans="2:17" ht="15.5" x14ac:dyDescent="0.35">
      <c r="B95" s="51" t="str">
        <f>IF($A$1="Español","Composición de la Deuda - Grupo Ecopetrol",IF($A$1="Inglés","Debt Composition - Ecopetrol Group"))</f>
        <v>Composición de la Deuda - Grupo Ecopetrol</v>
      </c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</row>
    <row r="97" spans="2:17" ht="15.5" x14ac:dyDescent="0.35">
      <c r="B97" s="31" t="str">
        <f>IF($A$1="Español","Vencimiento",IF($A$1="Inglés","Maturity"))</f>
        <v>Vencimiento</v>
      </c>
      <c r="C97" s="47"/>
      <c r="D97" s="47"/>
      <c r="E97" s="47"/>
      <c r="F97" s="31" t="str">
        <f>IF($A$1="Español","Tasa de Interés",IF($A$1="Inglés","Interest Rate"))</f>
        <v>Tasa de Interés</v>
      </c>
      <c r="G97" s="47"/>
      <c r="H97" s="47"/>
      <c r="I97" s="47"/>
      <c r="J97" s="31" t="str">
        <f>IF($A$1="Español","Moneda",IF($A$1="Inglés","Currency"))</f>
        <v>Moneda</v>
      </c>
      <c r="K97" s="47"/>
      <c r="L97" s="47"/>
      <c r="M97" s="31" t="str">
        <f>IF($A$1="Español","Instrumento",IF($A$1="Inglés","Instrument"))</f>
        <v>Instrumento</v>
      </c>
      <c r="O97" s="48"/>
      <c r="P97" s="48"/>
      <c r="Q97" s="48"/>
    </row>
    <row r="98" spans="2:17" ht="15.5" x14ac:dyDescent="0.35">
      <c r="F98" s="44"/>
      <c r="J98" s="44"/>
      <c r="N98" s="44"/>
    </row>
    <row r="112" spans="2:17" x14ac:dyDescent="0.35">
      <c r="B112" s="46"/>
    </row>
  </sheetData>
  <mergeCells count="76">
    <mergeCell ref="C3:P4"/>
    <mergeCell ref="C8:D8"/>
    <mergeCell ref="C9:D9"/>
    <mergeCell ref="B11:Q11"/>
    <mergeCell ref="G14:H15"/>
    <mergeCell ref="M24:M25"/>
    <mergeCell ref="G28:J28"/>
    <mergeCell ref="G29:L29"/>
    <mergeCell ref="G30:J30"/>
    <mergeCell ref="B34:I34"/>
    <mergeCell ref="K34:Q34"/>
    <mergeCell ref="G24:H25"/>
    <mergeCell ref="I24:I25"/>
    <mergeCell ref="J24:J25"/>
    <mergeCell ref="K24:K25"/>
    <mergeCell ref="L24:L25"/>
    <mergeCell ref="C37:D37"/>
    <mergeCell ref="E37:F37"/>
    <mergeCell ref="O37:P37"/>
    <mergeCell ref="C38:D38"/>
    <mergeCell ref="E38:F38"/>
    <mergeCell ref="O38:P38"/>
    <mergeCell ref="C39:D39"/>
    <mergeCell ref="E39:F39"/>
    <mergeCell ref="O39:P39"/>
    <mergeCell ref="C40:D40"/>
    <mergeCell ref="E40:F40"/>
    <mergeCell ref="O40:P40"/>
    <mergeCell ref="C41:D41"/>
    <mergeCell ref="E41:F41"/>
    <mergeCell ref="C42:D42"/>
    <mergeCell ref="E42:F42"/>
    <mergeCell ref="C43:D43"/>
    <mergeCell ref="E43:F43"/>
    <mergeCell ref="C44:D44"/>
    <mergeCell ref="E44:F44"/>
    <mergeCell ref="C45:D45"/>
    <mergeCell ref="E45:F45"/>
    <mergeCell ref="C46:D46"/>
    <mergeCell ref="E46:F46"/>
    <mergeCell ref="B49:Q49"/>
    <mergeCell ref="F52:G52"/>
    <mergeCell ref="H52:I52"/>
    <mergeCell ref="K52:M52"/>
    <mergeCell ref="F53:G53"/>
    <mergeCell ref="H53:I53"/>
    <mergeCell ref="K53:M53"/>
    <mergeCell ref="F54:G54"/>
    <mergeCell ref="H54:I54"/>
    <mergeCell ref="K54:M54"/>
    <mergeCell ref="F55:G55"/>
    <mergeCell ref="H55:I55"/>
    <mergeCell ref="K55:M55"/>
    <mergeCell ref="C63:D63"/>
    <mergeCell ref="E63:F63"/>
    <mergeCell ref="O63:P63"/>
    <mergeCell ref="F56:G56"/>
    <mergeCell ref="H56:I56"/>
    <mergeCell ref="K56:M56"/>
    <mergeCell ref="F57:G57"/>
    <mergeCell ref="H57:I57"/>
    <mergeCell ref="K57:M57"/>
    <mergeCell ref="B60:I60"/>
    <mergeCell ref="K60:Q60"/>
    <mergeCell ref="C62:D62"/>
    <mergeCell ref="E62:F62"/>
    <mergeCell ref="O62:P62"/>
    <mergeCell ref="B68:Q70"/>
    <mergeCell ref="B72:Q72"/>
    <mergeCell ref="B95:Q95"/>
    <mergeCell ref="C64:D64"/>
    <mergeCell ref="E64:F64"/>
    <mergeCell ref="C65:D65"/>
    <mergeCell ref="E65:F65"/>
    <mergeCell ref="C66:D66"/>
    <mergeCell ref="E66:F66"/>
  </mergeCells>
  <dataValidations count="1">
    <dataValidation type="list" allowBlank="1" showInputMessage="1" showErrorMessage="1" sqref="A1" xr:uid="{2F9ABF06-77B2-4CD9-B5B4-D51070E39D3A}">
      <formula1>#REF!</formula1>
    </dataValidation>
  </dataValidations>
  <printOptions horizontalCentered="1"/>
  <pageMargins left="0.23622047244094491" right="0.23622047244094491" top="0.23622047244094491" bottom="0.23622047244094491" header="0.31496062992125984" footer="0.31496062992125984"/>
  <pageSetup scale="42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A3E303E08F2647985BC0D13C4156EF" ma:contentTypeVersion="18" ma:contentTypeDescription="Crear nuevo documento." ma:contentTypeScope="" ma:versionID="a51d103405479319117464582703af54">
  <xsd:schema xmlns:xsd="http://www.w3.org/2001/XMLSchema" xmlns:xs="http://www.w3.org/2001/XMLSchema" xmlns:p="http://schemas.microsoft.com/office/2006/metadata/properties" xmlns:ns2="247d58dc-788c-4b54-ac08-41654dafcd1e" xmlns:ns3="2d73fbfb-6129-4f26-8e7c-207f895f6b1b" targetNamespace="http://schemas.microsoft.com/office/2006/metadata/properties" ma:root="true" ma:fieldsID="9c636cc51b56c61ae6b9e05b9af1a63c" ns2:_="" ns3:_="">
    <xsd:import namespace="247d58dc-788c-4b54-ac08-41654dafcd1e"/>
    <xsd:import namespace="2d73fbfb-6129-4f26-8e7c-207f895f6b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d58dc-788c-4b54-ac08-41654dafcd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3fbfb-6129-4f26-8e7c-207f895f6b1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06255cd-72d6-4258-b81c-e655a43528a2}" ma:internalName="TaxCatchAll" ma:showField="CatchAllData" ma:web="2d73fbfb-6129-4f26-8e7c-207f895f6b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73fbfb-6129-4f26-8e7c-207f895f6b1b" xsi:nil="true"/>
    <lcf76f155ced4ddcb4097134ff3c332f xmlns="247d58dc-788c-4b54-ac08-41654dafcd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4E6D8F-494B-479C-A6AE-A555F728A0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4F08A-6CCF-4416-9BE2-764AE797AF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7d58dc-788c-4b54-ac08-41654dafcd1e"/>
    <ds:schemaRef ds:uri="2d73fbfb-6129-4f26-8e7c-207f895f6b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23B831-7500-46B1-A15A-8F69FB99FA25}">
  <ds:schemaRefs>
    <ds:schemaRef ds:uri="http://schemas.microsoft.com/office/2006/metadata/properties"/>
    <ds:schemaRef ds:uri="http://schemas.microsoft.com/office/infopath/2007/PartnerControls"/>
    <ds:schemaRef ds:uri="2d73fbfb-6129-4f26-8e7c-207f895f6b1b"/>
    <ds:schemaRef ds:uri="247d58dc-788c-4b54-ac08-41654dafcd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PagWeb</vt:lpstr>
      <vt:lpstr>PagWeb!Área_de_impresión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Zornosa Torres</dc:creator>
  <cp:lastModifiedBy>Lina Maria Zornosa Torres</cp:lastModifiedBy>
  <dcterms:created xsi:type="dcterms:W3CDTF">2024-02-29T15:41:33Z</dcterms:created>
  <dcterms:modified xsi:type="dcterms:W3CDTF">2024-02-29T20:31:28Z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0x010100D5A3E303E08F2647985BC0D13C4156EF</vt:lpwstr>
  </property>
  <property fmtid="{D5CDD505-2E9C-101B-9397-08002B2CF9AE}" pid="3" name="MediaServiceImageTags">
    <vt:lpwstr/>
  </property>
</Properties>
</file>