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07 Julio 2022/Publicaciones/Publicacion 16 Julio 2022/"/>
    </mc:Choice>
  </mc:AlternateContent>
  <xr:revisionPtr revIDLastSave="5059" documentId="8_{965459BF-C611-4183-B5E8-4156ED93EA57}" xr6:coauthVersionLast="47" xr6:coauthVersionMax="47" xr10:uidLastSave="{544E7C21-C56A-447C-AC46-6720F750521E}"/>
  <workbookProtection workbookAlgorithmName="SHA-512" workbookHashValue="nKxSANaZrxAQTp6BXxsEW7q2Bu9kLMYaZfBpeddZZ6/uhvfOKq9vqm2bZFica4O9u/0ckdIgXVjO46sQLnlLbA==" workbookSaltValue="4aicsaNED7ckt+4Zq/5dzA==" workbookSpinCount="100000" lockStructure="1"/>
  <bookViews>
    <workbookView xWindow="-108" yWindow="-108" windowWidth="23256" windowHeight="12576" tabRatio="965" firstSheet="8" activeTab="9"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NARIÑO" sheetId="20" r:id="rId14"/>
    <sheet name="GUAINIA" sheetId="17" r:id="rId15"/>
    <sheet name="LA GUAJIRA" sheetId="19"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2">#REF!</definedName>
    <definedName name="\A" localSheetId="14">#REF!</definedName>
    <definedName name="\A" localSheetId="15">#REF!</definedName>
    <definedName name="\A" localSheetId="13">#REF!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4">#REF!</definedName>
    <definedName name="\L" localSheetId="15">#REF!</definedName>
    <definedName name="\L" localSheetId="13">#REF!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4">#REF!</definedName>
    <definedName name="\P" localSheetId="15">#REF!</definedName>
    <definedName name="\P" localSheetId="13">#REF!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4">[1]TARIF2002!#REF!</definedName>
    <definedName name="a" localSheetId="15">[1]TARIF2002!#REF!</definedName>
    <definedName name="a" localSheetId="13">[1]TARIF2002!#REF!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4">#REF!</definedName>
    <definedName name="A_IMPRESIÓN_IM" localSheetId="15">#REF!</definedName>
    <definedName name="A_IMPRESIÓN_IM" localSheetId="13">#REF!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4">#REF!</definedName>
    <definedName name="ADI" localSheetId="15">#REF!</definedName>
    <definedName name="ADI" localSheetId="13">#REF!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4">#REF!</definedName>
    <definedName name="base" localSheetId="15">#REF!</definedName>
    <definedName name="base" localSheetId="13">#REF!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4">#REF!</definedName>
    <definedName name="base_VaR" localSheetId="15">#REF!</definedName>
    <definedName name="base_VaR" localSheetId="13">#REF!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4">#REF!</definedName>
    <definedName name="CONTADO" localSheetId="15">#REF!</definedName>
    <definedName name="CONTADO" localSheetId="13">#REF!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4">#REF!</definedName>
    <definedName name="CREDITO" localSheetId="15">#REF!</definedName>
    <definedName name="CREDITO" localSheetId="13">#REF!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4">#REF!</definedName>
    <definedName name="DAT" localSheetId="15">#REF!</definedName>
    <definedName name="DAT" localSheetId="13">#REF!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4">#REF!</definedName>
    <definedName name="E_03" localSheetId="15">#REF!</definedName>
    <definedName name="E_03" localSheetId="13">#REF!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4">[2]TARIF2002!#REF!</definedName>
    <definedName name="ERR" localSheetId="15">[2]TARIF2002!#REF!</definedName>
    <definedName name="ERR" localSheetId="13">[2]TARIF2002!#REF!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4">#REF!</definedName>
    <definedName name="ERROR" localSheetId="15">#REF!</definedName>
    <definedName name="ERROR" localSheetId="13">#REF!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4">#REF!</definedName>
    <definedName name="ERROR1" localSheetId="15">#REF!</definedName>
    <definedName name="ERROR1" localSheetId="13">#REF!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4">#REF!</definedName>
    <definedName name="ERROR2" localSheetId="15">#REF!</definedName>
    <definedName name="ERROR2" localSheetId="13">#REF!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4">[2]TARIF2002!#REF!</definedName>
    <definedName name="ERROR3" localSheetId="15">[2]TARIF2002!#REF!</definedName>
    <definedName name="ERROR3" localSheetId="13">[2]TARIF2002!#REF!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4">[2]TARIF2002!#REF!</definedName>
    <definedName name="ERROR5" localSheetId="15">[2]TARIF2002!#REF!</definedName>
    <definedName name="ERROR5" localSheetId="13">[2]TARIF2002!#REF!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4">#REF!</definedName>
    <definedName name="j" localSheetId="15">#REF!</definedName>
    <definedName name="j" localSheetId="13">#REF!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4">#REF!</definedName>
    <definedName name="JA" localSheetId="15">#REF!</definedName>
    <definedName name="JA" localSheetId="13">#REF!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4">#REF!</definedName>
    <definedName name="MES" localSheetId="15">#REF!</definedName>
    <definedName name="MES" localSheetId="13">#REF!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4">#REF!</definedName>
    <definedName name="NTE" localSheetId="15">#REF!</definedName>
    <definedName name="NTE" localSheetId="13">#REF!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4">[3]TARIF2002!#REF!</definedName>
    <definedName name="Q" localSheetId="15">[3]TARIF2002!#REF!</definedName>
    <definedName name="Q" localSheetId="13">[3]TARIF2002!#REF!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4">[2]TARIF2002!#REF!</definedName>
    <definedName name="QE" localSheetId="15">[2]TARIF2002!#REF!</definedName>
    <definedName name="QE" localSheetId="13">[2]TARIF2002!#REF!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4">[2]TARIF2002!#REF!</definedName>
    <definedName name="QE_TE" localSheetId="15">[2]TARIF2002!#REF!</definedName>
    <definedName name="QE_TE" localSheetId="13">[2]TARIF2002!#REF!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4">[2]TARIF2002!#REF!</definedName>
    <definedName name="QI" localSheetId="15">[2]TARIF2002!#REF!</definedName>
    <definedName name="QI" localSheetId="13">[2]TARIF2002!#REF!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4">[2]TARIF2002!#REF!</definedName>
    <definedName name="QI_TI" localSheetId="15">[2]TARIF2002!#REF!</definedName>
    <definedName name="QI_TI" localSheetId="13">[2]TARIF2002!#REF!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4">[2]TARIF2002!#REF!</definedName>
    <definedName name="QN" localSheetId="15">[2]TARIF2002!#REF!</definedName>
    <definedName name="QN" localSheetId="13">[2]TARIF2002!#REF!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4">[2]TARIF2002!#REF!</definedName>
    <definedName name="QN_QI" localSheetId="15">[2]TARIF2002!#REF!</definedName>
    <definedName name="QN_QI" localSheetId="13">[2]TARIF2002!#REF!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4">[3]TARIF2002!#REF!</definedName>
    <definedName name="QNS" localSheetId="15">[3]TARIF2002!#REF!</definedName>
    <definedName name="QNS" localSheetId="13">[3]TARIF2002!#REF!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4">#REF!</definedName>
    <definedName name="REG" localSheetId="15">#REF!</definedName>
    <definedName name="REG" localSheetId="13">#REF!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4">#REF!</definedName>
    <definedName name="REGULAR" localSheetId="15">#REF!</definedName>
    <definedName name="REGULAR" localSheetId="13">#REF!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4">#REF!</definedName>
    <definedName name="SOL" localSheetId="15">#REF!</definedName>
    <definedName name="SOL" localSheetId="13">#REF!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4">[2]TARIF2002!#REF!</definedName>
    <definedName name="TE" localSheetId="15">[2]TARIF2002!#REF!</definedName>
    <definedName name="TE" localSheetId="13">[2]TARIF2002!#REF!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4">[2]TARIF2002!#REF!</definedName>
    <definedName name="TI" localSheetId="15">[2]TARIF2002!#REF!</definedName>
    <definedName name="TI" localSheetId="13">[2]TARIF2002!#REF!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4">#REF!</definedName>
    <definedName name="TITU" localSheetId="15">#REF!</definedName>
    <definedName name="TITU" localSheetId="13">#REF!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4">#REF!</definedName>
    <definedName name="TOT" localSheetId="15">#REF!</definedName>
    <definedName name="TOT" localSheetId="13">#REF!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4">#REF!</definedName>
    <definedName name="VAUPES2" localSheetId="15">#REF!</definedName>
    <definedName name="VAUPES2" localSheetId="13">#REF!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2" i="28" l="1"/>
  <c r="G8" i="28"/>
  <c r="G8" i="23"/>
  <c r="G8" i="17"/>
  <c r="G11" i="10"/>
  <c r="G8" i="10"/>
  <c r="G32" i="3" l="1"/>
  <c r="L55" i="19" l="1"/>
  <c r="L54" i="19"/>
  <c r="L60" i="19"/>
  <c r="L58" i="19"/>
  <c r="L57" i="19"/>
  <c r="H57" i="19"/>
  <c r="J21" i="34"/>
  <c r="J17" i="34"/>
  <c r="D17" i="34"/>
  <c r="D21" i="34" s="1"/>
  <c r="J15" i="34"/>
  <c r="J14" i="34"/>
  <c r="J9" i="34"/>
  <c r="J8" i="34"/>
  <c r="D15" i="34"/>
  <c r="D14" i="34"/>
  <c r="D8" i="34"/>
  <c r="J6" i="34"/>
  <c r="K21" i="20"/>
  <c r="K17" i="20"/>
  <c r="K15" i="20"/>
  <c r="K14" i="20"/>
  <c r="K13" i="20"/>
  <c r="L13" i="20"/>
  <c r="N13" i="20"/>
  <c r="M13" i="20"/>
  <c r="K11" i="20"/>
  <c r="K9" i="20"/>
  <c r="K8" i="20"/>
  <c r="K6" i="20"/>
  <c r="D22" i="20"/>
  <c r="D11" i="20"/>
  <c r="D8" i="20"/>
  <c r="K20" i="15"/>
  <c r="K16" i="15"/>
  <c r="K14" i="15"/>
  <c r="K13" i="15"/>
  <c r="K9" i="15"/>
  <c r="K8" i="15"/>
  <c r="K6" i="15"/>
  <c r="D21" i="15"/>
  <c r="D19" i="15"/>
  <c r="D8" i="15"/>
  <c r="J24" i="11"/>
  <c r="J23" i="11"/>
  <c r="J22" i="11"/>
  <c r="J21" i="11"/>
  <c r="J20" i="11"/>
  <c r="J19" i="11"/>
  <c r="J18" i="11"/>
  <c r="J17" i="11"/>
  <c r="J15" i="11"/>
  <c r="J14" i="11"/>
  <c r="J11" i="11"/>
  <c r="J9" i="11"/>
  <c r="J8" i="11"/>
  <c r="J7" i="11"/>
  <c r="J6" i="11"/>
  <c r="J5" i="11"/>
  <c r="D24" i="11"/>
  <c r="D23" i="11"/>
  <c r="D20" i="11"/>
  <c r="D19" i="11"/>
  <c r="D11" i="11"/>
  <c r="D8" i="11"/>
  <c r="K6" i="9"/>
  <c r="K9" i="9"/>
  <c r="K8" i="9"/>
  <c r="J45" i="12"/>
  <c r="J41" i="12"/>
  <c r="J36" i="12"/>
  <c r="J35" i="12"/>
  <c r="J33" i="12"/>
  <c r="J32" i="12"/>
  <c r="J30" i="12"/>
  <c r="J11" i="12"/>
  <c r="J9" i="12"/>
  <c r="J8" i="12"/>
  <c r="J6" i="12"/>
  <c r="E47" i="12"/>
  <c r="E46" i="12"/>
  <c r="E45" i="12"/>
  <c r="E43" i="12"/>
  <c r="E39" i="12"/>
  <c r="E38" i="12"/>
  <c r="E37" i="12"/>
  <c r="E36" i="12"/>
  <c r="E35" i="12"/>
  <c r="E20" i="12"/>
  <c r="E16" i="12"/>
  <c r="E14" i="12"/>
  <c r="E13" i="12"/>
  <c r="E11" i="12"/>
  <c r="E8" i="12"/>
  <c r="J47" i="28"/>
  <c r="J46" i="28"/>
  <c r="J45" i="28"/>
  <c r="J44" i="28"/>
  <c r="J40" i="28"/>
  <c r="J38" i="28"/>
  <c r="J37" i="28"/>
  <c r="J36" i="28"/>
  <c r="J35" i="28"/>
  <c r="J34" i="28"/>
  <c r="J33" i="28"/>
  <c r="J32" i="28"/>
  <c r="J23" i="28"/>
  <c r="J22" i="28"/>
  <c r="J21" i="28"/>
  <c r="J20" i="28"/>
  <c r="J16" i="28"/>
  <c r="J14" i="28"/>
  <c r="J13" i="28"/>
  <c r="J9" i="28"/>
  <c r="J8" i="28"/>
  <c r="D46" i="28"/>
  <c r="D42" i="28"/>
  <c r="D22" i="28"/>
  <c r="D18" i="28"/>
  <c r="D32" i="28"/>
  <c r="D8" i="28"/>
  <c r="I9" i="23"/>
  <c r="I8" i="23"/>
  <c r="D23" i="23"/>
  <c r="D22" i="23"/>
  <c r="D20" i="23"/>
  <c r="D19" i="23"/>
  <c r="D18" i="23"/>
  <c r="D16" i="23"/>
  <c r="D14" i="23"/>
  <c r="D13" i="23"/>
  <c r="D8" i="23"/>
  <c r="I13" i="23"/>
  <c r="I14" i="23"/>
  <c r="J24" i="21"/>
  <c r="J23" i="21"/>
  <c r="J22" i="21"/>
  <c r="J21" i="21"/>
  <c r="J20" i="21"/>
  <c r="J19" i="21"/>
  <c r="J18" i="21"/>
  <c r="J17" i="21"/>
  <c r="J15" i="21"/>
  <c r="J14" i="21"/>
  <c r="J13" i="21"/>
  <c r="J11" i="21"/>
  <c r="J9" i="21"/>
  <c r="J8" i="21"/>
  <c r="E11" i="21"/>
  <c r="J9" i="19"/>
  <c r="J8" i="19"/>
  <c r="D11" i="19"/>
  <c r="D8" i="19"/>
  <c r="J25" i="17"/>
  <c r="J24" i="17"/>
  <c r="J23" i="17"/>
  <c r="J22" i="17"/>
  <c r="J20" i="17"/>
  <c r="J18" i="17"/>
  <c r="J16" i="17"/>
  <c r="J15" i="17"/>
  <c r="J14" i="17"/>
  <c r="J9" i="17"/>
  <c r="J8" i="17"/>
  <c r="D25" i="17"/>
  <c r="D24" i="17"/>
  <c r="D21" i="17"/>
  <c r="D20" i="17"/>
  <c r="D18" i="17"/>
  <c r="D22" i="17" s="1"/>
  <c r="D16" i="17"/>
  <c r="D15" i="17"/>
  <c r="D14" i="17"/>
  <c r="D8" i="17"/>
  <c r="I24" i="10"/>
  <c r="I23" i="10"/>
  <c r="I22" i="10"/>
  <c r="I21" i="10"/>
  <c r="I20" i="10"/>
  <c r="I19" i="10"/>
  <c r="I18" i="10"/>
  <c r="I17" i="10"/>
  <c r="I15" i="10"/>
  <c r="I14" i="10"/>
  <c r="I13" i="10"/>
  <c r="I12" i="10"/>
  <c r="D12" i="10"/>
  <c r="I11" i="10"/>
  <c r="I9" i="10"/>
  <c r="I8" i="10"/>
  <c r="D24" i="10"/>
  <c r="D23" i="10"/>
  <c r="D20" i="10"/>
  <c r="D19" i="10"/>
  <c r="D11" i="10"/>
  <c r="D8" i="10"/>
  <c r="D24" i="9"/>
  <c r="D22" i="9"/>
  <c r="D21" i="9"/>
  <c r="D20" i="9"/>
  <c r="D18" i="9"/>
  <c r="D17" i="9"/>
  <c r="D14" i="9"/>
  <c r="D13" i="9"/>
  <c r="D16" i="9" s="1"/>
  <c r="D8" i="9"/>
  <c r="AC13" i="2"/>
  <c r="D35" i="12"/>
  <c r="C1" i="9"/>
  <c r="K11" i="21"/>
  <c r="K9" i="21"/>
  <c r="F11" i="21"/>
  <c r="L47" i="28"/>
  <c r="L46" i="28"/>
  <c r="L34" i="28"/>
  <c r="L23" i="28"/>
  <c r="L22" i="28"/>
  <c r="L14" i="28"/>
  <c r="L38" i="28" s="1"/>
  <c r="L13" i="28"/>
  <c r="L37" i="28" s="1"/>
  <c r="L9" i="28"/>
  <c r="L33" i="28" s="1"/>
  <c r="K12" i="23"/>
  <c r="K9" i="23"/>
  <c r="L24" i="19"/>
  <c r="L23" i="19"/>
  <c r="L20" i="19"/>
  <c r="L19" i="19"/>
  <c r="L18" i="19"/>
  <c r="L22" i="19" s="1"/>
  <c r="L15" i="19"/>
  <c r="L14" i="19"/>
  <c r="L13" i="19"/>
  <c r="L12" i="19"/>
  <c r="L11" i="19"/>
  <c r="L9" i="19"/>
  <c r="F11" i="19"/>
  <c r="L24" i="17"/>
  <c r="L23" i="17"/>
  <c r="L20" i="17"/>
  <c r="L15" i="17"/>
  <c r="L14" i="17"/>
  <c r="K15" i="17"/>
  <c r="K14" i="17"/>
  <c r="K10" i="17"/>
  <c r="L10" i="17"/>
  <c r="L9" i="17"/>
  <c r="K23" i="10" l="1"/>
  <c r="K19" i="10"/>
  <c r="K14" i="10"/>
  <c r="K13" i="10"/>
  <c r="J14" i="10"/>
  <c r="J13" i="10"/>
  <c r="K9" i="10"/>
  <c r="E11" i="10" l="1"/>
  <c r="F11" i="10"/>
  <c r="K11" i="10" s="1"/>
  <c r="C6" i="5"/>
  <c r="C6" i="7"/>
  <c r="B6" i="7"/>
  <c r="E7" i="4"/>
  <c r="B7" i="4"/>
  <c r="B6" i="5"/>
  <c r="H8" i="5" s="1"/>
  <c r="H12" i="5"/>
  <c r="G12" i="5"/>
  <c r="H10" i="5"/>
  <c r="G10" i="5"/>
  <c r="F8" i="5"/>
  <c r="G8" i="5" l="1"/>
  <c r="E12" i="7"/>
  <c r="H35" i="12"/>
  <c r="K35" i="12"/>
  <c r="K33" i="12"/>
  <c r="H12" i="7"/>
  <c r="G13" i="7"/>
  <c r="L11" i="21"/>
  <c r="L9" i="21"/>
  <c r="H13" i="21"/>
  <c r="C13" i="21"/>
  <c r="H11" i="21"/>
  <c r="N39" i="28"/>
  <c r="N38" i="28"/>
  <c r="N36" i="28"/>
  <c r="N14" i="28"/>
  <c r="M14" i="28"/>
  <c r="K14" i="28"/>
  <c r="K13" i="28"/>
  <c r="N13" i="28"/>
  <c r="N37" i="28" s="1"/>
  <c r="M13" i="28"/>
  <c r="N10" i="28"/>
  <c r="N34" i="28" s="1"/>
  <c r="N9" i="28"/>
  <c r="N33" i="28" s="1"/>
  <c r="M14" i="34"/>
  <c r="L14" i="34"/>
  <c r="C14" i="34"/>
  <c r="M10" i="23"/>
  <c r="M9" i="23"/>
  <c r="M6" i="23"/>
  <c r="M5" i="23"/>
  <c r="H73" i="19"/>
  <c r="H72" i="19"/>
  <c r="H60" i="19"/>
  <c r="N14" i="19"/>
  <c r="N13" i="19"/>
  <c r="N11" i="19"/>
  <c r="N9" i="19"/>
  <c r="N6" i="19"/>
  <c r="N5" i="19"/>
  <c r="H11" i="19"/>
  <c r="J12" i="19"/>
  <c r="N14" i="17"/>
  <c r="N9" i="17"/>
  <c r="N6" i="17"/>
  <c r="N5" i="17"/>
  <c r="M11" i="10"/>
  <c r="M22" i="10"/>
  <c r="K22" i="10" s="1"/>
  <c r="D1" i="3"/>
  <c r="D25" i="3"/>
  <c r="B28" i="23"/>
  <c r="B29" i="10"/>
  <c r="L9" i="38"/>
  <c r="AY42" i="2"/>
  <c r="G18" i="38" l="1"/>
  <c r="E21" i="38"/>
  <c r="E23" i="38" s="1"/>
  <c r="E25" i="38" s="1"/>
  <c r="K9" i="12" l="1"/>
  <c r="H11" i="12"/>
  <c r="L9" i="9"/>
  <c r="M20" i="34"/>
  <c r="M9" i="34"/>
  <c r="M6" i="34"/>
  <c r="M5" i="34"/>
  <c r="N14" i="20"/>
  <c r="O13" i="20"/>
  <c r="N9" i="20"/>
  <c r="N6" i="20"/>
  <c r="N5" i="20"/>
  <c r="H11" i="20"/>
  <c r="N11" i="20" s="1"/>
  <c r="N12" i="15"/>
  <c r="N9" i="15"/>
  <c r="K46" i="12"/>
  <c r="L52" i="12"/>
  <c r="M55" i="12"/>
  <c r="M63" i="12" s="1"/>
  <c r="M67" i="12" s="1"/>
  <c r="L56" i="12"/>
  <c r="M56" i="12"/>
  <c r="L57" i="12"/>
  <c r="M57" i="12"/>
  <c r="M58" i="12"/>
  <c r="L60" i="12"/>
  <c r="M60" i="12"/>
  <c r="M62" i="12"/>
  <c r="M69" i="12"/>
  <c r="L70" i="12"/>
  <c r="M70" i="12"/>
  <c r="L76" i="12"/>
  <c r="M79" i="12"/>
  <c r="M87" i="12" s="1"/>
  <c r="M91" i="12" s="1"/>
  <c r="L80" i="12"/>
  <c r="M80" i="12"/>
  <c r="L81" i="12"/>
  <c r="M81" i="12"/>
  <c r="M82" i="12"/>
  <c r="L84" i="12"/>
  <c r="M84" i="12"/>
  <c r="M86" i="12"/>
  <c r="M93" i="12"/>
  <c r="L94" i="12"/>
  <c r="M94" i="12"/>
  <c r="M10" i="11"/>
  <c r="M9" i="11"/>
  <c r="M6" i="11"/>
  <c r="M5" i="11"/>
  <c r="H13" i="11"/>
  <c r="H10" i="7"/>
  <c r="H11" i="11"/>
  <c r="M11" i="11" s="1"/>
  <c r="G14" i="9"/>
  <c r="G13" i="9"/>
  <c r="N7" i="5"/>
  <c r="N9" i="5" s="1"/>
  <c r="N8" i="5"/>
  <c r="I8" i="7"/>
  <c r="J8" i="7"/>
  <c r="J7" i="7"/>
  <c r="I7" i="7"/>
  <c r="C13" i="28"/>
  <c r="D13" i="28" s="1"/>
  <c r="C13" i="23"/>
  <c r="F13" i="23" s="1"/>
  <c r="K13" i="23" s="1"/>
  <c r="H14" i="34"/>
  <c r="C14" i="21"/>
  <c r="O14" i="20"/>
  <c r="M14" i="20"/>
  <c r="C14" i="20"/>
  <c r="D14" i="20" s="1"/>
  <c r="AA54" i="2"/>
  <c r="C13" i="20"/>
  <c r="M14" i="19"/>
  <c r="K14" i="19"/>
  <c r="C14" i="19"/>
  <c r="M13" i="19"/>
  <c r="K13" i="19"/>
  <c r="C13" i="19"/>
  <c r="C15" i="17"/>
  <c r="F15" i="17" s="1"/>
  <c r="M14" i="17"/>
  <c r="C14" i="17"/>
  <c r="M13" i="15"/>
  <c r="C13" i="15"/>
  <c r="C38" i="12"/>
  <c r="K38" i="12" s="1"/>
  <c r="C37" i="12"/>
  <c r="J13" i="12"/>
  <c r="C13" i="12"/>
  <c r="L14" i="11"/>
  <c r="K14" i="11"/>
  <c r="C14" i="11"/>
  <c r="D14" i="11" s="1"/>
  <c r="AU28" i="2"/>
  <c r="C14" i="10"/>
  <c r="K13" i="9"/>
  <c r="J13" i="9"/>
  <c r="C13" i="10"/>
  <c r="C13" i="9"/>
  <c r="E10" i="7"/>
  <c r="H13" i="20" l="1"/>
  <c r="D13" i="20"/>
  <c r="H13" i="15"/>
  <c r="D13" i="15"/>
  <c r="D37" i="28"/>
  <c r="F14" i="10"/>
  <c r="D14" i="10"/>
  <c r="F13" i="10"/>
  <c r="D13" i="10"/>
  <c r="J13" i="19"/>
  <c r="F13" i="19"/>
  <c r="J14" i="19"/>
  <c r="F14" i="19"/>
  <c r="H14" i="17"/>
  <c r="F14" i="17"/>
  <c r="N13" i="15"/>
  <c r="H13" i="23"/>
  <c r="G13" i="23"/>
  <c r="J9" i="7"/>
  <c r="L55" i="12" s="1"/>
  <c r="I9" i="7"/>
  <c r="O8" i="15" s="1"/>
  <c r="J12" i="7"/>
  <c r="I12" i="7"/>
  <c r="I11" i="20" s="1"/>
  <c r="D12" i="7"/>
  <c r="J10" i="7"/>
  <c r="I10" i="7"/>
  <c r="D10" i="7"/>
  <c r="D12" i="5"/>
  <c r="D10" i="5"/>
  <c r="O7" i="7"/>
  <c r="H8" i="7"/>
  <c r="H7" i="7"/>
  <c r="N9" i="34"/>
  <c r="O9" i="20"/>
  <c r="O9" i="15"/>
  <c r="K12" i="7"/>
  <c r="N9" i="11"/>
  <c r="E8" i="7"/>
  <c r="D8" i="5"/>
  <c r="L23" i="34"/>
  <c r="L22" i="34"/>
  <c r="L19" i="34"/>
  <c r="L18" i="34"/>
  <c r="L6" i="34"/>
  <c r="L79" i="12" l="1"/>
  <c r="O8" i="20"/>
  <c r="N8" i="34"/>
  <c r="N8" i="11"/>
  <c r="H9" i="7"/>
  <c r="I11" i="11"/>
  <c r="M6" i="20"/>
  <c r="M6" i="15"/>
  <c r="L23" i="11"/>
  <c r="L22" i="11"/>
  <c r="L6" i="11"/>
  <c r="AX41" i="2"/>
  <c r="AX40" i="2"/>
  <c r="AW41" i="2"/>
  <c r="AW40" i="2"/>
  <c r="AV41" i="2"/>
  <c r="AV40" i="2"/>
  <c r="C13" i="7"/>
  <c r="D13" i="7" s="1"/>
  <c r="E13" i="7" s="1"/>
  <c r="F13" i="7" s="1"/>
  <c r="H13" i="7" s="1"/>
  <c r="J13" i="7" s="1"/>
  <c r="D13" i="5"/>
  <c r="E8" i="4"/>
  <c r="C14" i="28"/>
  <c r="D14" i="28" s="1"/>
  <c r="C14" i="23"/>
  <c r="C15" i="34"/>
  <c r="C15" i="21"/>
  <c r="C15" i="20"/>
  <c r="C15" i="19"/>
  <c r="F15" i="19" s="1"/>
  <c r="C16" i="17"/>
  <c r="C14" i="15"/>
  <c r="C14" i="12"/>
  <c r="C15" i="11"/>
  <c r="C15" i="10"/>
  <c r="C14" i="9"/>
  <c r="AP28" i="2"/>
  <c r="AC40" i="2"/>
  <c r="AC41" i="2"/>
  <c r="AD40" i="2"/>
  <c r="AD41" i="2"/>
  <c r="AL40" i="2"/>
  <c r="F12" i="7"/>
  <c r="D10" i="24" s="1"/>
  <c r="F10" i="7"/>
  <c r="F8" i="7"/>
  <c r="F7" i="7"/>
  <c r="B36" i="3"/>
  <c r="L3" i="7"/>
  <c r="H15" i="20" l="1"/>
  <c r="D15" i="20"/>
  <c r="D17" i="20" s="1"/>
  <c r="D21" i="20" s="1"/>
  <c r="H14" i="15"/>
  <c r="D14" i="15"/>
  <c r="D16" i="15" s="1"/>
  <c r="D20" i="15" s="1"/>
  <c r="H15" i="11"/>
  <c r="D15" i="11"/>
  <c r="D17" i="11" s="1"/>
  <c r="D21" i="11" s="1"/>
  <c r="D38" i="28"/>
  <c r="D40" i="28" s="1"/>
  <c r="D44" i="28" s="1"/>
  <c r="D16" i="28"/>
  <c r="D20" i="28" s="1"/>
  <c r="F16" i="17"/>
  <c r="L16" i="17"/>
  <c r="F15" i="10"/>
  <c r="K15" i="10" s="1"/>
  <c r="D15" i="10"/>
  <c r="D17" i="10" s="1"/>
  <c r="D21" i="10" s="1"/>
  <c r="H14" i="23"/>
  <c r="F14" i="23"/>
  <c r="K14" i="23" s="1"/>
  <c r="M8" i="23"/>
  <c r="N8" i="19"/>
  <c r="N8" i="28"/>
  <c r="M8" i="10"/>
  <c r="N8" i="17"/>
  <c r="L8" i="9"/>
  <c r="K8" i="12"/>
  <c r="H15" i="34"/>
  <c r="M15" i="34"/>
  <c r="M15" i="19"/>
  <c r="J15" i="19"/>
  <c r="N8" i="15"/>
  <c r="M8" i="11"/>
  <c r="N8" i="20"/>
  <c r="M8" i="34"/>
  <c r="H36" i="3"/>
  <c r="I36" i="3"/>
  <c r="F8" i="20" s="1"/>
  <c r="F9" i="7"/>
  <c r="D8" i="24" s="1"/>
  <c r="N32" i="28" l="1"/>
  <c r="K47" i="28"/>
  <c r="N47" i="28" s="1"/>
  <c r="K46" i="28"/>
  <c r="K45" i="28"/>
  <c r="I47" i="28"/>
  <c r="K38" i="28"/>
  <c r="K37" i="28"/>
  <c r="K34" i="28"/>
  <c r="K23" i="28"/>
  <c r="N23" i="28" s="1"/>
  <c r="K22" i="28"/>
  <c r="K21" i="28"/>
  <c r="I14" i="28"/>
  <c r="E39" i="28"/>
  <c r="E34" i="28"/>
  <c r="E33" i="28"/>
  <c r="E14" i="28"/>
  <c r="E38" i="28" s="1"/>
  <c r="E13" i="28"/>
  <c r="E37" i="28" s="1"/>
  <c r="J21" i="23"/>
  <c r="I21" i="23"/>
  <c r="J17" i="23"/>
  <c r="J14" i="23"/>
  <c r="J13" i="23"/>
  <c r="M13" i="23" s="1"/>
  <c r="I12" i="23"/>
  <c r="E21" i="23"/>
  <c r="K21" i="23" s="1"/>
  <c r="E17" i="23"/>
  <c r="K68" i="19"/>
  <c r="K67" i="19"/>
  <c r="J67" i="19"/>
  <c r="E68" i="19"/>
  <c r="E67" i="19"/>
  <c r="H67" i="19" s="1"/>
  <c r="K24" i="19"/>
  <c r="K23" i="19"/>
  <c r="K20" i="19"/>
  <c r="K19" i="19"/>
  <c r="K18" i="19"/>
  <c r="K22" i="19" s="1"/>
  <c r="J18" i="19"/>
  <c r="K12" i="19"/>
  <c r="E24" i="19"/>
  <c r="E23" i="19"/>
  <c r="E20" i="19"/>
  <c r="E19" i="19"/>
  <c r="E18" i="19"/>
  <c r="E22" i="19" s="1"/>
  <c r="K23" i="17"/>
  <c r="K24" i="17"/>
  <c r="K20" i="17"/>
  <c r="K16" i="17"/>
  <c r="E23" i="17"/>
  <c r="F23" i="17" s="1"/>
  <c r="E19" i="17"/>
  <c r="H17" i="23" l="1"/>
  <c r="K17" i="23"/>
  <c r="F19" i="17"/>
  <c r="H19" i="17"/>
  <c r="E11" i="17"/>
  <c r="H11" i="17" s="1"/>
  <c r="L11" i="17" s="1"/>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D21" i="2"/>
  <c r="AD20" i="2"/>
  <c r="AD19" i="2"/>
  <c r="AD18" i="2"/>
  <c r="AD17" i="2"/>
  <c r="AD16" i="2"/>
  <c r="AD15" i="2"/>
  <c r="AC21" i="2"/>
  <c r="AC20" i="2"/>
  <c r="AC19" i="2"/>
  <c r="AC18" i="2"/>
  <c r="AC17" i="2"/>
  <c r="AC16" i="2"/>
  <c r="AC15" i="2"/>
  <c r="AC14" i="2"/>
  <c r="AD14" i="2"/>
  <c r="AD13" i="2"/>
  <c r="M9" i="28"/>
  <c r="L9" i="23"/>
  <c r="G60" i="19"/>
  <c r="G8" i="7"/>
  <c r="G12" i="7"/>
  <c r="M11" i="19" s="1"/>
  <c r="G10" i="7"/>
  <c r="L9" i="10" s="1"/>
  <c r="J6" i="19"/>
  <c r="J11" i="10"/>
  <c r="J6" i="10"/>
  <c r="E10" i="5"/>
  <c r="E12" i="5"/>
  <c r="E8" i="5"/>
  <c r="I30" i="28"/>
  <c r="I6" i="28"/>
  <c r="F10" i="5"/>
  <c r="F12" i="5"/>
  <c r="C36" i="3"/>
  <c r="C29" i="3"/>
  <c r="K58" i="19" l="1"/>
  <c r="K9" i="17"/>
  <c r="K33" i="28"/>
  <c r="K9" i="28"/>
  <c r="K9" i="19"/>
  <c r="J9" i="10"/>
  <c r="J9" i="23"/>
  <c r="J11" i="19"/>
  <c r="E11" i="19"/>
  <c r="K11" i="19" s="1"/>
  <c r="E60" i="19"/>
  <c r="K60" i="19" s="1"/>
  <c r="K36" i="3"/>
  <c r="L36" i="3"/>
  <c r="H8" i="20" s="1"/>
  <c r="M11" i="20"/>
  <c r="F11" i="12"/>
  <c r="F11" i="20"/>
  <c r="F11" i="11"/>
  <c r="L11" i="11"/>
  <c r="E11" i="20"/>
  <c r="K11" i="11"/>
  <c r="E11" i="11"/>
  <c r="L9" i="34"/>
  <c r="M9" i="15"/>
  <c r="L9" i="11"/>
  <c r="M9" i="20"/>
  <c r="I9" i="28"/>
  <c r="K9" i="34"/>
  <c r="L9" i="20"/>
  <c r="L9" i="15"/>
  <c r="K9" i="11"/>
  <c r="J9" i="9"/>
  <c r="I33" i="28"/>
  <c r="L11" i="10"/>
  <c r="M9" i="17"/>
  <c r="M9" i="19"/>
  <c r="J6" i="9"/>
  <c r="K6" i="34"/>
  <c r="L6" i="20"/>
  <c r="L6" i="15"/>
  <c r="K6" i="11"/>
  <c r="AA52" i="2" l="1"/>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5" i="2"/>
  <c r="Z13" i="2"/>
  <c r="O12" i="7" l="1"/>
  <c r="P12" i="7" s="1"/>
  <c r="O10" i="7"/>
  <c r="P10" i="7" s="1"/>
  <c r="R10" i="7"/>
  <c r="O8" i="7"/>
  <c r="P8" i="7" s="1"/>
  <c r="O9" i="7" l="1"/>
  <c r="B28" i="3"/>
  <c r="I28" i="3" s="1"/>
  <c r="H28" i="3" l="1"/>
  <c r="F8" i="9"/>
  <c r="G28" i="3"/>
  <c r="M30" i="28"/>
  <c r="M29" i="28"/>
  <c r="W50" i="2" l="1"/>
  <c r="M6" i="28"/>
  <c r="M5" i="28"/>
  <c r="L6" i="23"/>
  <c r="L5" i="23"/>
  <c r="M6" i="19"/>
  <c r="M5" i="19"/>
  <c r="M6" i="17"/>
  <c r="M5" i="17"/>
  <c r="L6" i="10" l="1"/>
  <c r="L5" i="10"/>
  <c r="N5" i="11"/>
  <c r="I9" i="21"/>
  <c r="I11" i="21"/>
  <c r="D11" i="21"/>
  <c r="L10" i="7"/>
  <c r="M10" i="7" s="1"/>
  <c r="D6" i="7"/>
  <c r="R12" i="7"/>
  <c r="S12" i="7" s="1"/>
  <c r="L12" i="7"/>
  <c r="M12" i="7" s="1"/>
  <c r="R8" i="7"/>
  <c r="S8" i="7" s="1"/>
  <c r="R7" i="7"/>
  <c r="S7" i="7" s="1"/>
  <c r="L8" i="7"/>
  <c r="M8" i="7" s="1"/>
  <c r="L12" i="5"/>
  <c r="M12" i="5" s="1"/>
  <c r="L10" i="5"/>
  <c r="M10" i="5" s="1"/>
  <c r="L8" i="5"/>
  <c r="M8" i="5" s="1"/>
  <c r="J10" i="5"/>
  <c r="K10" i="5" s="1"/>
  <c r="J12" i="5"/>
  <c r="K12" i="5" s="1"/>
  <c r="I14" i="5"/>
  <c r="E7" i="7" l="1"/>
  <c r="E9" i="7" s="1"/>
  <c r="G7" i="7"/>
  <c r="L7" i="7"/>
  <c r="M7" i="7" s="1"/>
  <c r="R9" i="7"/>
  <c r="S9" i="7" s="1"/>
  <c r="G9" i="7" l="1"/>
  <c r="P7" i="7"/>
  <c r="I8" i="5"/>
  <c r="J48" i="19"/>
  <c r="I48" i="19"/>
  <c r="G48" i="19"/>
  <c r="E48" i="19"/>
  <c r="D48" i="19"/>
  <c r="D47" i="19"/>
  <c r="I47" i="19" s="1"/>
  <c r="C46" i="19"/>
  <c r="J44" i="19"/>
  <c r="I44" i="19"/>
  <c r="G44" i="19"/>
  <c r="E44" i="19"/>
  <c r="D44" i="19"/>
  <c r="J43" i="19"/>
  <c r="I43" i="19"/>
  <c r="G43" i="19"/>
  <c r="E43" i="19"/>
  <c r="D43" i="19"/>
  <c r="J42" i="19"/>
  <c r="J46" i="19" s="1"/>
  <c r="D42" i="19"/>
  <c r="D46" i="19" s="1"/>
  <c r="C39" i="19"/>
  <c r="I39" i="19" s="1"/>
  <c r="J39" i="19" s="1"/>
  <c r="C38" i="19"/>
  <c r="G38" i="19" s="1"/>
  <c r="C37" i="19"/>
  <c r="D37" i="19" s="1"/>
  <c r="I36" i="19"/>
  <c r="G36" i="19"/>
  <c r="E36" i="19"/>
  <c r="D36" i="19"/>
  <c r="J35" i="19"/>
  <c r="G35" i="19"/>
  <c r="E35" i="19"/>
  <c r="D35" i="19"/>
  <c r="C35" i="19"/>
  <c r="I35" i="19" s="1"/>
  <c r="J34" i="19"/>
  <c r="J33" i="19"/>
  <c r="I33" i="19"/>
  <c r="J32" i="19"/>
  <c r="G32" i="19"/>
  <c r="G30" i="19"/>
  <c r="J30" i="19" s="1"/>
  <c r="G29" i="19"/>
  <c r="J29" i="19" s="1"/>
  <c r="G11" i="19"/>
  <c r="C11" i="19"/>
  <c r="K94" i="12"/>
  <c r="J94" i="12"/>
  <c r="I94" i="12"/>
  <c r="G94" i="12"/>
  <c r="D94" i="12"/>
  <c r="I93" i="12"/>
  <c r="D93" i="12"/>
  <c r="J90" i="12"/>
  <c r="G90" i="12"/>
  <c r="I90" i="12" s="1"/>
  <c r="K89" i="12"/>
  <c r="L89" i="12" s="1"/>
  <c r="M89" i="12" s="1"/>
  <c r="J89" i="12"/>
  <c r="I89" i="12"/>
  <c r="G89" i="12"/>
  <c r="D89" i="12"/>
  <c r="G88" i="12"/>
  <c r="D88" i="12"/>
  <c r="C85" i="12"/>
  <c r="C84" i="12"/>
  <c r="J83" i="12"/>
  <c r="I83" i="12"/>
  <c r="G83" i="12"/>
  <c r="D83" i="12"/>
  <c r="L83" i="12" s="1"/>
  <c r="K82" i="12"/>
  <c r="J82" i="12"/>
  <c r="I82" i="12"/>
  <c r="L82" i="12" s="1"/>
  <c r="L87" i="12" s="1"/>
  <c r="L91" i="12" s="1"/>
  <c r="G82" i="12"/>
  <c r="D82" i="12"/>
  <c r="C82" i="12"/>
  <c r="K81" i="12"/>
  <c r="C81" i="12"/>
  <c r="K80" i="12"/>
  <c r="C80" i="12"/>
  <c r="I77" i="12"/>
  <c r="L77" i="12" s="1"/>
  <c r="K58" i="12"/>
  <c r="J58" i="12"/>
  <c r="I58" i="12"/>
  <c r="L58" i="12" s="1"/>
  <c r="G58" i="12"/>
  <c r="D58" i="12"/>
  <c r="C58" i="12"/>
  <c r="K56" i="12"/>
  <c r="C61" i="12"/>
  <c r="C60" i="12"/>
  <c r="C44" i="3"/>
  <c r="D44" i="3" s="1"/>
  <c r="E44" i="3"/>
  <c r="B44" i="3"/>
  <c r="C32" i="19" s="1"/>
  <c r="E43" i="3"/>
  <c r="C43" i="3"/>
  <c r="K43" i="3" s="1"/>
  <c r="C42" i="3"/>
  <c r="K42" i="3" s="1"/>
  <c r="E42" i="3"/>
  <c r="B43" i="3"/>
  <c r="G43" i="3" s="1"/>
  <c r="D79" i="12" s="1"/>
  <c r="B42" i="3"/>
  <c r="C55" i="12" s="1"/>
  <c r="K70" i="12"/>
  <c r="J70" i="12"/>
  <c r="I70" i="12"/>
  <c r="G70" i="12"/>
  <c r="D70" i="12"/>
  <c r="I69" i="12"/>
  <c r="D69" i="12"/>
  <c r="J66" i="12"/>
  <c r="G66" i="12"/>
  <c r="I66" i="12" s="1"/>
  <c r="K65" i="12"/>
  <c r="L65" i="12" s="1"/>
  <c r="M65" i="12" s="1"/>
  <c r="J65" i="12"/>
  <c r="I65" i="12"/>
  <c r="G65" i="12"/>
  <c r="D65" i="12"/>
  <c r="G64" i="12"/>
  <c r="D64" i="12"/>
  <c r="J59" i="12"/>
  <c r="I59" i="12"/>
  <c r="G59" i="12"/>
  <c r="D59" i="12"/>
  <c r="L59" i="12" s="1"/>
  <c r="C57" i="12"/>
  <c r="C56" i="12"/>
  <c r="I53" i="12"/>
  <c r="L53" i="12" s="1"/>
  <c r="L8" i="21" l="1"/>
  <c r="K32" i="12"/>
  <c r="G92" i="12"/>
  <c r="C92" i="12" s="1"/>
  <c r="M88" i="12"/>
  <c r="L63" i="12"/>
  <c r="L67" i="12" s="1"/>
  <c r="M59" i="12"/>
  <c r="K59" i="12" s="1"/>
  <c r="M83" i="12"/>
  <c r="K83" i="12" s="1"/>
  <c r="J64" i="12"/>
  <c r="M64" i="12"/>
  <c r="G57" i="19"/>
  <c r="L8" i="10"/>
  <c r="M8" i="19"/>
  <c r="M8" i="17"/>
  <c r="M8" i="28"/>
  <c r="L8" i="23"/>
  <c r="P9" i="7"/>
  <c r="E13" i="19"/>
  <c r="E14" i="19"/>
  <c r="K15" i="19"/>
  <c r="E15" i="19"/>
  <c r="G37" i="19"/>
  <c r="I37" i="19"/>
  <c r="I61" i="12"/>
  <c r="I85" i="12"/>
  <c r="C41" i="19"/>
  <c r="C45" i="19" s="1"/>
  <c r="J38" i="19"/>
  <c r="F44" i="3"/>
  <c r="E32" i="19" s="1"/>
  <c r="J88" i="12"/>
  <c r="G84" i="12"/>
  <c r="J85" i="12"/>
  <c r="I88" i="12"/>
  <c r="N43" i="3"/>
  <c r="I79" i="12" s="1"/>
  <c r="E42" i="19"/>
  <c r="E46" i="19" s="1"/>
  <c r="C79" i="12"/>
  <c r="C87" i="12" s="1"/>
  <c r="C91" i="12" s="1"/>
  <c r="G42" i="3"/>
  <c r="D55" i="12" s="1"/>
  <c r="D43" i="3"/>
  <c r="F43" i="3" s="1"/>
  <c r="G79" i="12" s="1"/>
  <c r="J55" i="12"/>
  <c r="J79" i="12"/>
  <c r="N42" i="3"/>
  <c r="I55" i="12" s="1"/>
  <c r="G44" i="3"/>
  <c r="D32" i="19" s="1"/>
  <c r="E37" i="19"/>
  <c r="I38" i="19"/>
  <c r="J37" i="19"/>
  <c r="D39" i="19"/>
  <c r="E39" i="19"/>
  <c r="J36" i="19"/>
  <c r="J41" i="19" s="1"/>
  <c r="J45" i="19" s="1"/>
  <c r="D38" i="19"/>
  <c r="G39" i="19"/>
  <c r="E38" i="19"/>
  <c r="D92" i="12"/>
  <c r="I92" i="12"/>
  <c r="K84" i="12"/>
  <c r="D84" i="12"/>
  <c r="K85" i="12"/>
  <c r="C90" i="12"/>
  <c r="K90" i="12" s="1"/>
  <c r="M90" i="12" s="1"/>
  <c r="L90" i="12" s="1"/>
  <c r="D90" i="12"/>
  <c r="I84" i="12"/>
  <c r="D85" i="12"/>
  <c r="J84" i="12"/>
  <c r="G85" i="12"/>
  <c r="I64" i="12"/>
  <c r="G68" i="12"/>
  <c r="C68" i="12" s="1"/>
  <c r="G60" i="12"/>
  <c r="C63" i="12"/>
  <c r="C67" i="12" s="1"/>
  <c r="K44" i="3"/>
  <c r="D42" i="3"/>
  <c r="F42" i="3" s="1"/>
  <c r="G55" i="12" s="1"/>
  <c r="J68" i="12"/>
  <c r="K69" i="12"/>
  <c r="J61" i="12"/>
  <c r="D60" i="12"/>
  <c r="K61" i="12"/>
  <c r="C66" i="12"/>
  <c r="K66" i="12" s="1"/>
  <c r="M66" i="12" s="1"/>
  <c r="L66" i="12" s="1"/>
  <c r="D66" i="12"/>
  <c r="I60" i="12"/>
  <c r="D61" i="12"/>
  <c r="J60" i="12"/>
  <c r="G61" i="12"/>
  <c r="L64" i="12" l="1"/>
  <c r="M68" i="12"/>
  <c r="L68" i="12" s="1"/>
  <c r="L85" i="12"/>
  <c r="M85" i="12"/>
  <c r="K64" i="12"/>
  <c r="M92" i="12"/>
  <c r="L92" i="12" s="1"/>
  <c r="L88" i="12"/>
  <c r="L61" i="12"/>
  <c r="M61" i="12"/>
  <c r="G41" i="19"/>
  <c r="G45" i="19" s="1"/>
  <c r="K93" i="12"/>
  <c r="J92" i="12"/>
  <c r="I87" i="12"/>
  <c r="I91" i="12" s="1"/>
  <c r="D87" i="12"/>
  <c r="D91" i="12" s="1"/>
  <c r="I68" i="12"/>
  <c r="D68" i="12"/>
  <c r="J87" i="12"/>
  <c r="J91" i="12" s="1"/>
  <c r="D41" i="19"/>
  <c r="D45" i="19" s="1"/>
  <c r="G42" i="19"/>
  <c r="G46" i="19" s="1"/>
  <c r="E41" i="19"/>
  <c r="E45" i="19" s="1"/>
  <c r="G87" i="12"/>
  <c r="G91" i="12" s="1"/>
  <c r="K88" i="12"/>
  <c r="G63" i="12"/>
  <c r="G67" i="12" s="1"/>
  <c r="J63" i="12"/>
  <c r="J67" i="12" s="1"/>
  <c r="K60" i="12"/>
  <c r="L11" i="20"/>
  <c r="I42" i="19" l="1"/>
  <c r="I46" i="19" s="1"/>
  <c r="K68" i="12"/>
  <c r="K92" i="12"/>
  <c r="J8" i="5" l="1"/>
  <c r="K8" i="5" s="1"/>
  <c r="W9" i="2" l="1"/>
  <c r="H7" i="5" l="1"/>
  <c r="H9" i="5" s="1"/>
  <c r="G7" i="5"/>
  <c r="G9" i="5" s="1"/>
  <c r="D7" i="5"/>
  <c r="D9" i="5" s="1"/>
  <c r="K79" i="12" s="1"/>
  <c r="K87" i="12" s="1"/>
  <c r="K91" i="12" s="1"/>
  <c r="F7" i="5"/>
  <c r="F9" i="5" s="1"/>
  <c r="I32" i="19"/>
  <c r="K55" i="12"/>
  <c r="L7" i="5"/>
  <c r="E7" i="5"/>
  <c r="E9" i="5" s="1"/>
  <c r="K8" i="21" s="1"/>
  <c r="I8" i="21"/>
  <c r="J7" i="5"/>
  <c r="K7" i="5" s="1"/>
  <c r="E9" i="38"/>
  <c r="E11" i="38" s="1"/>
  <c r="E13" i="38" s="1"/>
  <c r="O12" i="38"/>
  <c r="I11" i="38"/>
  <c r="J11" i="38" s="1"/>
  <c r="K11" i="38" s="1"/>
  <c r="L11" i="38" s="1"/>
  <c r="M11" i="38" s="1"/>
  <c r="N11" i="38" s="1"/>
  <c r="O11" i="38" s="1"/>
  <c r="P11" i="38" s="1"/>
  <c r="I10" i="38"/>
  <c r="J10" i="38" s="1"/>
  <c r="K10" i="38" s="1"/>
  <c r="L10" i="38" s="1"/>
  <c r="M10" i="38" s="1"/>
  <c r="N10" i="38" s="1"/>
  <c r="O10" i="38" s="1"/>
  <c r="P10" i="38" s="1"/>
  <c r="I9" i="38"/>
  <c r="J9" i="38" s="1"/>
  <c r="K9" i="38" s="1"/>
  <c r="L8" i="28" l="1"/>
  <c r="K8" i="23"/>
  <c r="K16" i="23" s="1"/>
  <c r="K20" i="23" s="1"/>
  <c r="L8" i="19"/>
  <c r="L17" i="19" s="1"/>
  <c r="L21" i="19" s="1"/>
  <c r="L8" i="17"/>
  <c r="K8" i="10"/>
  <c r="K17" i="10" s="1"/>
  <c r="K21" i="10" s="1"/>
  <c r="E57" i="19"/>
  <c r="K8" i="17"/>
  <c r="K32" i="28"/>
  <c r="K8" i="28"/>
  <c r="J8" i="23"/>
  <c r="K8" i="19"/>
  <c r="K17" i="19" s="1"/>
  <c r="K21" i="19" s="1"/>
  <c r="J8" i="10"/>
  <c r="M9" i="38"/>
  <c r="N9" i="38" s="1"/>
  <c r="L8" i="34"/>
  <c r="M8" i="20"/>
  <c r="M8" i="15"/>
  <c r="L8" i="11"/>
  <c r="K57" i="19"/>
  <c r="K8" i="34"/>
  <c r="L8" i="20"/>
  <c r="L8" i="15"/>
  <c r="K8" i="11"/>
  <c r="J8" i="9"/>
  <c r="I8" i="28"/>
  <c r="I32" i="28"/>
  <c r="M7" i="5"/>
  <c r="L9" i="5"/>
  <c r="M9" i="5" s="1"/>
  <c r="L32" i="28" l="1"/>
  <c r="O9" i="38"/>
  <c r="P9" i="38" s="1"/>
  <c r="J9" i="5"/>
  <c r="K9" i="5" s="1"/>
  <c r="L9" i="7" l="1"/>
  <c r="M9" i="7" s="1"/>
  <c r="E8" i="9" l="1"/>
  <c r="B1" i="34"/>
  <c r="V12" i="30" l="1"/>
  <c r="V15" i="30" s="1"/>
  <c r="V25" i="30" s="1"/>
  <c r="V28" i="30" s="1"/>
  <c r="V37" i="30" s="1"/>
  <c r="V2" i="30"/>
  <c r="G24" i="34" l="1"/>
  <c r="I24" i="34" s="1"/>
  <c r="C24" i="34"/>
  <c r="K23" i="34"/>
  <c r="C23" i="34"/>
  <c r="K22" i="34"/>
  <c r="E22" i="34"/>
  <c r="G20" i="34"/>
  <c r="I20" i="34" s="1"/>
  <c r="N20" i="34" s="1"/>
  <c r="C20" i="34"/>
  <c r="K19" i="34"/>
  <c r="C19" i="34"/>
  <c r="K18" i="34"/>
  <c r="I18" i="34"/>
  <c r="G18" i="34"/>
  <c r="E18" i="34"/>
  <c r="F18" i="34" s="1"/>
  <c r="I13" i="34"/>
  <c r="N13" i="34" s="1"/>
  <c r="C13" i="34"/>
  <c r="K12" i="34"/>
  <c r="L12" i="34" s="1"/>
  <c r="C12" i="34"/>
  <c r="C11" i="34"/>
  <c r="N10" i="34"/>
  <c r="K10" i="34"/>
  <c r="L10" i="34" s="1"/>
  <c r="C10" i="34"/>
  <c r="C9" i="34"/>
  <c r="K24" i="34" l="1"/>
  <c r="M24" i="34"/>
  <c r="N24" i="34"/>
  <c r="L24" i="34"/>
  <c r="G22" i="34"/>
  <c r="I22" i="34" s="1"/>
  <c r="F22" i="34"/>
  <c r="I11" i="34"/>
  <c r="N11" i="34" s="1"/>
  <c r="C11" i="23"/>
  <c r="E11" i="23" s="1"/>
  <c r="E11" i="34"/>
  <c r="G11" i="34"/>
  <c r="K20" i="34"/>
  <c r="L20" i="34" s="1"/>
  <c r="B1" i="10"/>
  <c r="H11" i="23" l="1"/>
  <c r="M11" i="23"/>
  <c r="K11" i="34"/>
  <c r="F11" i="34"/>
  <c r="L11" i="34" s="1"/>
  <c r="U2" i="30"/>
  <c r="Y41" i="30" l="1"/>
  <c r="L29" i="2" l="1"/>
  <c r="B29" i="11"/>
  <c r="B103" i="12" s="1"/>
  <c r="B29" i="15" s="1"/>
  <c r="B30" i="17" s="1"/>
  <c r="B78" i="19" s="1"/>
  <c r="B29" i="20" l="1"/>
  <c r="B29" i="21" s="1"/>
  <c r="B53" i="28"/>
  <c r="M5" i="30"/>
  <c r="O46" i="30"/>
  <c r="M44" i="30"/>
  <c r="M45" i="30" s="1"/>
  <c r="M46" i="30" s="1"/>
  <c r="B29" i="34" l="1"/>
  <c r="C12" i="17"/>
  <c r="I11" i="17"/>
  <c r="G11" i="17"/>
  <c r="K11" i="17" s="1"/>
  <c r="C10" i="17"/>
  <c r="I11" i="9"/>
  <c r="H11" i="9"/>
  <c r="E11" i="9"/>
  <c r="F11" i="9" s="1"/>
  <c r="C11" i="20"/>
  <c r="K11" i="9" l="1"/>
  <c r="G11" i="9"/>
  <c r="I11" i="23"/>
  <c r="G11" i="23"/>
  <c r="L11" i="23"/>
  <c r="C11" i="15"/>
  <c r="N11" i="15" s="1"/>
  <c r="M11" i="28" l="1"/>
  <c r="L11" i="28"/>
  <c r="K11" i="28"/>
  <c r="H11" i="28"/>
  <c r="G11" i="15"/>
  <c r="E11" i="15"/>
  <c r="J11" i="15"/>
  <c r="I11" i="15"/>
  <c r="F11" i="28"/>
  <c r="G11" i="28"/>
  <c r="I11" i="28"/>
  <c r="L35" i="28" l="1"/>
  <c r="E35" i="28"/>
  <c r="N11" i="28"/>
  <c r="F11" i="15"/>
  <c r="M11" i="15"/>
  <c r="K35" i="28"/>
  <c r="L6" i="9"/>
  <c r="L5" i="9"/>
  <c r="N35" i="28" l="1"/>
  <c r="N40" i="28" s="1"/>
  <c r="N44" i="28" s="1"/>
  <c r="N16" i="28"/>
  <c r="N20" i="28" s="1"/>
  <c r="P43" i="30"/>
  <c r="Y43" i="30" s="1"/>
  <c r="I60" i="19" l="1"/>
  <c r="I57" i="19"/>
  <c r="G55" i="19"/>
  <c r="G54" i="19"/>
  <c r="I11" i="19"/>
  <c r="N6" i="11"/>
  <c r="K6" i="12" l="1"/>
  <c r="I6" i="17"/>
  <c r="O6" i="15"/>
  <c r="K5" i="12"/>
  <c r="I6" i="19" l="1"/>
  <c r="O5" i="15"/>
  <c r="I5" i="17"/>
  <c r="I6" i="20" l="1"/>
  <c r="I5" i="19"/>
  <c r="M13" i="29"/>
  <c r="M12" i="29"/>
  <c r="O6" i="20" l="1"/>
  <c r="I5" i="20"/>
  <c r="I54" i="19"/>
  <c r="I6" i="34" l="1"/>
  <c r="N6" i="34" s="1"/>
  <c r="L6" i="21"/>
  <c r="O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N5" i="34" s="1"/>
  <c r="M11" i="29"/>
  <c r="M21" i="29" s="1"/>
  <c r="M22" i="29" s="1"/>
  <c r="U12" i="30"/>
  <c r="U13" i="30" s="1"/>
  <c r="U14" i="30" s="1"/>
  <c r="M9" i="29"/>
  <c r="M19" i="29" s="1"/>
  <c r="M14" i="29"/>
  <c r="M10" i="29"/>
  <c r="M20" i="29" s="1"/>
  <c r="M15" i="29"/>
  <c r="L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M36" i="28"/>
  <c r="H36" i="28"/>
  <c r="G36" i="28"/>
  <c r="F36" i="28"/>
  <c r="F34" i="28"/>
  <c r="F33" i="28"/>
  <c r="G47" i="28"/>
  <c r="C47" i="28"/>
  <c r="I46" i="28"/>
  <c r="C46" i="28"/>
  <c r="F45" i="28"/>
  <c r="L45" i="28" s="1"/>
  <c r="G43" i="28"/>
  <c r="C43" i="28"/>
  <c r="I42" i="28"/>
  <c r="C42" i="28"/>
  <c r="I41" i="28"/>
  <c r="H41" i="28"/>
  <c r="G41" i="28"/>
  <c r="F41" i="28"/>
  <c r="M32" i="28"/>
  <c r="G23" i="28"/>
  <c r="C23" i="28"/>
  <c r="I22" i="28"/>
  <c r="C22" i="28"/>
  <c r="F21" i="28"/>
  <c r="L21" i="28" s="1"/>
  <c r="G19" i="28"/>
  <c r="C19" i="28"/>
  <c r="I18" i="28"/>
  <c r="C18" i="28"/>
  <c r="I17" i="28"/>
  <c r="H17" i="28"/>
  <c r="G17" i="28"/>
  <c r="F17" i="28"/>
  <c r="H39" i="28"/>
  <c r="I12" i="28"/>
  <c r="I36" i="28" s="1"/>
  <c r="M35" i="28"/>
  <c r="I35" i="28"/>
  <c r="H35" i="28"/>
  <c r="G35" i="28"/>
  <c r="F35" i="28"/>
  <c r="C35" i="28"/>
  <c r="M10" i="28"/>
  <c r="M34" i="28" s="1"/>
  <c r="I10" i="28"/>
  <c r="I34" i="28" s="1"/>
  <c r="C10" i="28"/>
  <c r="C34" i="28" s="1"/>
  <c r="M33" i="28"/>
  <c r="C9" i="28"/>
  <c r="C33" i="28" s="1"/>
  <c r="B1" i="28"/>
  <c r="H23" i="28" l="1"/>
  <c r="I23" i="28" s="1"/>
  <c r="M23" i="28" s="1"/>
  <c r="D23" i="28"/>
  <c r="H19" i="28"/>
  <c r="M19" i="28" s="1"/>
  <c r="D19" i="28"/>
  <c r="H43" i="28"/>
  <c r="M43" i="28" s="1"/>
  <c r="D43" i="28"/>
  <c r="H47" i="28"/>
  <c r="M47" i="28" s="1"/>
  <c r="D47" i="28"/>
  <c r="G21" i="28"/>
  <c r="H21" i="28" s="1"/>
  <c r="I21" i="28"/>
  <c r="G45" i="28"/>
  <c r="H45" i="28" s="1"/>
  <c r="I45" i="28"/>
  <c r="C36" i="28"/>
  <c r="K12" i="28"/>
  <c r="U25" i="30"/>
  <c r="U26" i="30" s="1"/>
  <c r="U27" i="30" s="1"/>
  <c r="C39" i="28"/>
  <c r="I39" i="28"/>
  <c r="F39" i="28"/>
  <c r="I19" i="28"/>
  <c r="N19" i="28" s="1"/>
  <c r="G39" i="28"/>
  <c r="I43" i="28" l="1"/>
  <c r="N43" i="28" s="1"/>
  <c r="E36" i="28"/>
  <c r="L12" i="28"/>
  <c r="K36" i="28"/>
  <c r="K40" i="28" s="1"/>
  <c r="K44" i="28" s="1"/>
  <c r="K16" i="28"/>
  <c r="K20" i="28" s="1"/>
  <c r="U28" i="30"/>
  <c r="U29" i="30" s="1"/>
  <c r="U30" i="30" s="1"/>
  <c r="U31" i="30" s="1"/>
  <c r="U32" i="30" s="1"/>
  <c r="U33" i="30" s="1"/>
  <c r="U34" i="30" s="1"/>
  <c r="U35" i="30" s="1"/>
  <c r="U36" i="30" s="1"/>
  <c r="M39" i="28"/>
  <c r="L36" i="28" l="1"/>
  <c r="L40" i="28" s="1"/>
  <c r="L44" i="28" s="1"/>
  <c r="L16" i="28"/>
  <c r="L20" i="28" s="1"/>
  <c r="U37" i="30"/>
  <c r="U38" i="30" s="1"/>
  <c r="U39" i="30" s="1"/>
  <c r="U40" i="30" s="1"/>
  <c r="U41" i="30" s="1"/>
  <c r="U42" i="30" s="1"/>
  <c r="U43" i="30" s="1"/>
  <c r="U44" i="30" s="1"/>
  <c r="U45" i="30" s="1"/>
  <c r="U46" i="30" s="1"/>
  <c r="G57" i="20"/>
  <c r="E57" i="20"/>
  <c r="I57" i="20" s="1"/>
  <c r="I56" i="20"/>
  <c r="E56" i="20"/>
  <c r="G56" i="20" s="1"/>
  <c r="C35" i="12" l="1"/>
  <c r="I50" i="20" l="1"/>
  <c r="G50" i="20"/>
  <c r="L10" i="9"/>
  <c r="L12" i="9"/>
  <c r="J12" i="9"/>
  <c r="I12" i="9"/>
  <c r="H12" i="9"/>
  <c r="E12" i="9"/>
  <c r="B10" i="24"/>
  <c r="B11" i="24"/>
  <c r="B8" i="24"/>
  <c r="C8" i="24"/>
  <c r="C10" i="24"/>
  <c r="C11" i="24"/>
  <c r="D11" i="24" s="1"/>
  <c r="A5" i="24"/>
  <c r="G23" i="23"/>
  <c r="C23" i="23"/>
  <c r="C22" i="23"/>
  <c r="F21" i="23"/>
  <c r="G21" i="23" s="1"/>
  <c r="H21" i="23" s="1"/>
  <c r="G19" i="23"/>
  <c r="H19" i="23" s="1"/>
  <c r="C19" i="23"/>
  <c r="I18" i="23"/>
  <c r="C18" i="23"/>
  <c r="I17" i="23"/>
  <c r="G17" i="23"/>
  <c r="F17" i="23"/>
  <c r="J12" i="23"/>
  <c r="J16" i="23" s="1"/>
  <c r="J20" i="23" s="1"/>
  <c r="L10" i="23"/>
  <c r="I10" i="23"/>
  <c r="C10" i="23"/>
  <c r="C9" i="23"/>
  <c r="B1" i="23"/>
  <c r="G24" i="21"/>
  <c r="H24" i="21" s="1"/>
  <c r="I24" i="21" s="1"/>
  <c r="L24" i="21" s="1"/>
  <c r="C24" i="21"/>
  <c r="I23" i="21"/>
  <c r="C23" i="21"/>
  <c r="I22" i="21"/>
  <c r="K22" i="21" s="1"/>
  <c r="D22" i="21"/>
  <c r="E22" i="21" s="1"/>
  <c r="G20" i="21"/>
  <c r="H20" i="21" s="1"/>
  <c r="L20" i="21" s="1"/>
  <c r="C20" i="21"/>
  <c r="I19" i="21"/>
  <c r="C19" i="21"/>
  <c r="I18" i="21"/>
  <c r="K18" i="21" s="1"/>
  <c r="H18" i="21"/>
  <c r="G18" i="21"/>
  <c r="D18" i="21"/>
  <c r="I12" i="21"/>
  <c r="C12" i="21"/>
  <c r="G11" i="21"/>
  <c r="C11" i="21"/>
  <c r="L10" i="21"/>
  <c r="I10" i="21"/>
  <c r="C10" i="21"/>
  <c r="C9" i="21"/>
  <c r="B1" i="21"/>
  <c r="F18" i="21" l="1"/>
  <c r="E18" i="21"/>
  <c r="G22" i="21"/>
  <c r="H22" i="21" s="1"/>
  <c r="F22" i="21"/>
  <c r="E19" i="23"/>
  <c r="K19" i="23" s="1"/>
  <c r="I19" i="23"/>
  <c r="J19" i="23"/>
  <c r="H23" i="23"/>
  <c r="I23" i="23" s="1"/>
  <c r="L23" i="23" s="1"/>
  <c r="E22" i="23"/>
  <c r="K22" i="23" s="1"/>
  <c r="J22" i="23"/>
  <c r="I22" i="23"/>
  <c r="E18" i="23"/>
  <c r="K18" i="23" s="1"/>
  <c r="J18" i="23"/>
  <c r="E23" i="23"/>
  <c r="K23" i="23" s="1"/>
  <c r="J23" i="23"/>
  <c r="M23" i="23" s="1"/>
  <c r="F12" i="9"/>
  <c r="G12" i="9" s="1"/>
  <c r="K12" i="9"/>
  <c r="I20" i="21"/>
  <c r="E50" i="20"/>
  <c r="C50" i="20"/>
  <c r="B43" i="20"/>
  <c r="C58" i="20" l="1"/>
  <c r="E58" i="20"/>
  <c r="O24" i="20" l="1"/>
  <c r="L24" i="20"/>
  <c r="J24" i="20"/>
  <c r="I24" i="20"/>
  <c r="G24" i="20"/>
  <c r="E24" i="20"/>
  <c r="I23" i="20"/>
  <c r="E23" i="20"/>
  <c r="J20" i="20"/>
  <c r="G20" i="20"/>
  <c r="J19" i="20"/>
  <c r="L19" i="20" s="1"/>
  <c r="I19" i="20"/>
  <c r="G19" i="20"/>
  <c r="E19" i="20"/>
  <c r="F19" i="20" s="1"/>
  <c r="G18" i="20"/>
  <c r="G22" i="20" s="1"/>
  <c r="E22" i="20" s="1"/>
  <c r="E18" i="20"/>
  <c r="F18" i="20" s="1"/>
  <c r="J12" i="20"/>
  <c r="L12" i="20" s="1"/>
  <c r="M12" i="20" s="1"/>
  <c r="I12" i="20"/>
  <c r="G12" i="20"/>
  <c r="E12" i="20"/>
  <c r="J11" i="20"/>
  <c r="O11" i="20"/>
  <c r="G11" i="20"/>
  <c r="C10" i="20"/>
  <c r="C9" i="20"/>
  <c r="B1" i="20"/>
  <c r="J68" i="19"/>
  <c r="L68" i="19" s="1"/>
  <c r="C60" i="19"/>
  <c r="J58" i="19"/>
  <c r="D57" i="19"/>
  <c r="J57" i="19" s="1"/>
  <c r="C57" i="19"/>
  <c r="C22" i="19"/>
  <c r="M20" i="19"/>
  <c r="I20" i="19"/>
  <c r="D20" i="19"/>
  <c r="M19" i="19"/>
  <c r="J19" i="19"/>
  <c r="M18" i="19"/>
  <c r="M22" i="19" s="1"/>
  <c r="C73" i="19"/>
  <c r="L72" i="19"/>
  <c r="I72" i="19"/>
  <c r="C72" i="19"/>
  <c r="C71" i="19"/>
  <c r="I68" i="19"/>
  <c r="G68" i="19"/>
  <c r="D68" i="19"/>
  <c r="H68" i="19" s="1"/>
  <c r="D67" i="19"/>
  <c r="G67" i="19" s="1"/>
  <c r="C61" i="19"/>
  <c r="D60" i="19"/>
  <c r="J60" i="19" s="1"/>
  <c r="M24" i="19"/>
  <c r="L73" i="19" s="1"/>
  <c r="J24" i="19"/>
  <c r="J73" i="19" s="1"/>
  <c r="I24" i="19"/>
  <c r="I73" i="19" s="1"/>
  <c r="G24" i="19"/>
  <c r="G73" i="19" s="1"/>
  <c r="D24" i="19"/>
  <c r="F24" i="19" s="1"/>
  <c r="G72" i="19"/>
  <c r="D23" i="19"/>
  <c r="I19" i="19"/>
  <c r="D19" i="19"/>
  <c r="D18" i="19"/>
  <c r="F18" i="19" s="1"/>
  <c r="F22" i="19" s="1"/>
  <c r="I12" i="19"/>
  <c r="G12" i="19"/>
  <c r="D12" i="19"/>
  <c r="B1" i="19"/>
  <c r="G25" i="17"/>
  <c r="C25" i="17"/>
  <c r="C24" i="17"/>
  <c r="G23" i="17"/>
  <c r="G21" i="17"/>
  <c r="C21" i="17"/>
  <c r="C20" i="17"/>
  <c r="I19" i="17"/>
  <c r="G19" i="17"/>
  <c r="I13" i="17"/>
  <c r="M13" i="17" s="1"/>
  <c r="C13" i="17"/>
  <c r="K12" i="17"/>
  <c r="M11" i="17"/>
  <c r="M10" i="17"/>
  <c r="C9" i="17"/>
  <c r="B1" i="17"/>
  <c r="L18" i="15"/>
  <c r="K18" i="17" l="1"/>
  <c r="K22" i="17" s="1"/>
  <c r="L12" i="17"/>
  <c r="L18" i="17" s="1"/>
  <c r="L22" i="17" s="1"/>
  <c r="J23" i="19"/>
  <c r="J72" i="19" s="1"/>
  <c r="F23" i="19"/>
  <c r="N19" i="19"/>
  <c r="F19" i="19"/>
  <c r="N20" i="19"/>
  <c r="F20" i="19"/>
  <c r="D73" i="19"/>
  <c r="N24" i="19"/>
  <c r="D22" i="19"/>
  <c r="N18" i="19"/>
  <c r="N22" i="19" s="1"/>
  <c r="I21" i="17"/>
  <c r="M21" i="17" s="1"/>
  <c r="H21" i="17"/>
  <c r="I25" i="17"/>
  <c r="M25" i="17" s="1"/>
  <c r="H25" i="17"/>
  <c r="I23" i="17"/>
  <c r="H23" i="17"/>
  <c r="L71" i="19"/>
  <c r="E71" i="19"/>
  <c r="K71" i="19"/>
  <c r="E72" i="19"/>
  <c r="K72" i="19"/>
  <c r="E73" i="19"/>
  <c r="K73" i="19"/>
  <c r="I61" i="19"/>
  <c r="K61" i="19"/>
  <c r="E61" i="19"/>
  <c r="K25" i="17"/>
  <c r="O19" i="20"/>
  <c r="M19" i="20"/>
  <c r="F24" i="20"/>
  <c r="M24" i="20"/>
  <c r="O12" i="20"/>
  <c r="F12" i="20"/>
  <c r="L23" i="20"/>
  <c r="F23" i="20"/>
  <c r="M23" i="20" s="1"/>
  <c r="M12" i="19"/>
  <c r="E12" i="19"/>
  <c r="J59" i="19"/>
  <c r="L59" i="19" s="1"/>
  <c r="I34" i="19"/>
  <c r="I41" i="19" s="1"/>
  <c r="I45" i="19" s="1"/>
  <c r="I18" i="19"/>
  <c r="D71" i="19"/>
  <c r="H71" i="19" s="1"/>
  <c r="C22" i="20"/>
  <c r="E20" i="20"/>
  <c r="M20" i="20" s="1"/>
  <c r="C20" i="20"/>
  <c r="I22" i="20"/>
  <c r="F22" i="20" s="1"/>
  <c r="J18" i="20"/>
  <c r="L18" i="20" s="1"/>
  <c r="I18" i="20"/>
  <c r="I20" i="20"/>
  <c r="F20" i="20" s="1"/>
  <c r="L67" i="19"/>
  <c r="I67" i="19"/>
  <c r="I71" i="19" s="1"/>
  <c r="I22" i="19"/>
  <c r="J22" i="19"/>
  <c r="J61" i="19"/>
  <c r="G71" i="19"/>
  <c r="J71" i="19"/>
  <c r="G22" i="19"/>
  <c r="D61" i="19"/>
  <c r="L61" i="19" s="1"/>
  <c r="G61" i="19"/>
  <c r="D72" i="19"/>
  <c r="N21" i="17"/>
  <c r="L12" i="15"/>
  <c r="O23" i="15"/>
  <c r="L23" i="15"/>
  <c r="J23" i="15"/>
  <c r="I23" i="15"/>
  <c r="G23" i="15"/>
  <c r="E23" i="15"/>
  <c r="I22" i="15"/>
  <c r="E22" i="15"/>
  <c r="J19" i="15"/>
  <c r="G19" i="15"/>
  <c r="E19" i="15" s="1"/>
  <c r="J18" i="15"/>
  <c r="O18" i="15" s="1"/>
  <c r="I18" i="15"/>
  <c r="G18" i="15"/>
  <c r="E18" i="15"/>
  <c r="G17" i="15"/>
  <c r="J17" i="15" s="1"/>
  <c r="O17" i="15" s="1"/>
  <c r="E17" i="15"/>
  <c r="F17" i="15" s="1"/>
  <c r="J12" i="15"/>
  <c r="I12" i="15"/>
  <c r="G12" i="15"/>
  <c r="E12" i="15"/>
  <c r="M12" i="15" s="1"/>
  <c r="O11" i="15"/>
  <c r="L11" i="15"/>
  <c r="C10" i="15"/>
  <c r="C9" i="15"/>
  <c r="B1" i="15"/>
  <c r="C47" i="12"/>
  <c r="K23" i="12"/>
  <c r="K47" i="12" s="1"/>
  <c r="J23" i="12"/>
  <c r="J47" i="12" s="1"/>
  <c r="I23" i="12"/>
  <c r="I47" i="12" s="1"/>
  <c r="H23" i="12"/>
  <c r="H47" i="12" s="1"/>
  <c r="G23" i="12"/>
  <c r="G47" i="12" s="1"/>
  <c r="F23" i="12"/>
  <c r="D47" i="12" s="1"/>
  <c r="I46" i="12"/>
  <c r="G46" i="12"/>
  <c r="C46" i="12"/>
  <c r="F22" i="12"/>
  <c r="G17" i="12"/>
  <c r="F17" i="12"/>
  <c r="G41" i="12"/>
  <c r="D41" i="12"/>
  <c r="H41" i="12" s="1"/>
  <c r="H45" i="12" s="1"/>
  <c r="C45" i="12"/>
  <c r="I42" i="12"/>
  <c r="G42" i="12"/>
  <c r="D42" i="12"/>
  <c r="I18" i="12"/>
  <c r="H18" i="12"/>
  <c r="J18" i="12" s="1"/>
  <c r="G18" i="12"/>
  <c r="F18" i="12"/>
  <c r="C36" i="12"/>
  <c r="I12" i="12"/>
  <c r="H12" i="12"/>
  <c r="G12" i="12"/>
  <c r="F12" i="12"/>
  <c r="I35" i="12"/>
  <c r="G35" i="12"/>
  <c r="C34" i="12"/>
  <c r="C33" i="12"/>
  <c r="B1" i="12"/>
  <c r="I11" i="12"/>
  <c r="K11" i="12"/>
  <c r="G11" i="12"/>
  <c r="C11" i="12"/>
  <c r="B1" i="11"/>
  <c r="H22" i="12"/>
  <c r="H46" i="12" s="1"/>
  <c r="I19" i="12"/>
  <c r="G19" i="12"/>
  <c r="F19" i="12" s="1"/>
  <c r="K57" i="12"/>
  <c r="K63" i="12" s="1"/>
  <c r="K67" i="12" s="1"/>
  <c r="C10" i="12"/>
  <c r="C9" i="12"/>
  <c r="N11" i="11"/>
  <c r="G11" i="11"/>
  <c r="C11" i="11"/>
  <c r="G24" i="11"/>
  <c r="I24" i="11" s="1"/>
  <c r="K24" i="11" s="1"/>
  <c r="C24" i="11"/>
  <c r="K23" i="11"/>
  <c r="C23" i="11"/>
  <c r="K22" i="11"/>
  <c r="E22" i="11"/>
  <c r="G20" i="11"/>
  <c r="I20" i="11" s="1"/>
  <c r="N20" i="11" s="1"/>
  <c r="C20" i="11"/>
  <c r="K19" i="11"/>
  <c r="L19" i="11" s="1"/>
  <c r="C19" i="11"/>
  <c r="K18" i="11"/>
  <c r="L18" i="11" s="1"/>
  <c r="I18" i="11"/>
  <c r="G18" i="11"/>
  <c r="E18" i="11"/>
  <c r="F18" i="11" s="1"/>
  <c r="I13" i="11"/>
  <c r="N13" i="11" s="1"/>
  <c r="C13" i="11"/>
  <c r="K12" i="11"/>
  <c r="L12" i="11" s="1"/>
  <c r="C12" i="11"/>
  <c r="N10" i="11"/>
  <c r="K10" i="11"/>
  <c r="L10" i="11" s="1"/>
  <c r="C10" i="11"/>
  <c r="C9" i="11"/>
  <c r="H11" i="10"/>
  <c r="C11" i="10"/>
  <c r="J42" i="12" l="1"/>
  <c r="K42" i="12" s="1"/>
  <c r="H42" i="12"/>
  <c r="N25" i="17"/>
  <c r="L25" i="17"/>
  <c r="N12" i="19"/>
  <c r="F12" i="19"/>
  <c r="O18" i="20"/>
  <c r="M18" i="20"/>
  <c r="F18" i="15"/>
  <c r="M18" i="15"/>
  <c r="F19" i="15"/>
  <c r="M19" i="15"/>
  <c r="F23" i="15"/>
  <c r="M23" i="15"/>
  <c r="I36" i="12"/>
  <c r="N24" i="11"/>
  <c r="L24" i="11"/>
  <c r="O12" i="15"/>
  <c r="F12" i="15"/>
  <c r="L22" i="15"/>
  <c r="F22" i="15"/>
  <c r="M22" i="15" s="1"/>
  <c r="G22" i="11"/>
  <c r="I22" i="11" s="1"/>
  <c r="F22" i="11"/>
  <c r="J22" i="12"/>
  <c r="D46" i="12"/>
  <c r="J12" i="12"/>
  <c r="K18" i="12"/>
  <c r="I58" i="20"/>
  <c r="G58" i="20"/>
  <c r="J22" i="20"/>
  <c r="L22" i="20" s="1"/>
  <c r="L20" i="20"/>
  <c r="O20" i="20" s="1"/>
  <c r="C69" i="19"/>
  <c r="J20" i="19"/>
  <c r="L17" i="15"/>
  <c r="M17" i="15" s="1"/>
  <c r="I17" i="15"/>
  <c r="G21" i="15"/>
  <c r="E21" i="15" s="1"/>
  <c r="J21" i="15"/>
  <c r="L21" i="15" s="1"/>
  <c r="M21" i="15" s="1"/>
  <c r="I19" i="15"/>
  <c r="C19" i="15"/>
  <c r="D36" i="12"/>
  <c r="G36" i="12"/>
  <c r="I41" i="12"/>
  <c r="G45" i="12"/>
  <c r="C19" i="12"/>
  <c r="J34" i="12"/>
  <c r="J17" i="12"/>
  <c r="H19" i="12"/>
  <c r="H17" i="12"/>
  <c r="G21" i="12"/>
  <c r="I17" i="12"/>
  <c r="K20" i="11"/>
  <c r="L20" i="11" s="1"/>
  <c r="K36" i="12" l="1"/>
  <c r="H36" i="12"/>
  <c r="E69" i="19"/>
  <c r="K69" i="19"/>
  <c r="O22" i="20"/>
  <c r="M22" i="20"/>
  <c r="K34" i="12"/>
  <c r="K45" i="12"/>
  <c r="K41" i="12"/>
  <c r="I45" i="12"/>
  <c r="C21" i="15"/>
  <c r="O21" i="15" s="1"/>
  <c r="L69" i="19"/>
  <c r="G69" i="19"/>
  <c r="D69" i="19"/>
  <c r="H69" i="19" s="1"/>
  <c r="I69" i="19"/>
  <c r="J69" i="19"/>
  <c r="I21" i="15"/>
  <c r="F21" i="15" s="1"/>
  <c r="L19" i="15"/>
  <c r="O19" i="15" s="1"/>
  <c r="J46" i="12"/>
  <c r="J19" i="12"/>
  <c r="C43" i="12"/>
  <c r="K21" i="12"/>
  <c r="K17" i="12"/>
  <c r="D45" i="12"/>
  <c r="I21" i="12"/>
  <c r="H21" i="12"/>
  <c r="F21" i="12"/>
  <c r="C21" i="12"/>
  <c r="K19" i="12" l="1"/>
  <c r="J21" i="12"/>
  <c r="I43" i="12"/>
  <c r="G43" i="12"/>
  <c r="J43" i="12"/>
  <c r="K43" i="12" s="1"/>
  <c r="D43" i="12"/>
  <c r="H43" i="12" s="1"/>
  <c r="K12" i="12"/>
  <c r="L11" i="9" l="1"/>
  <c r="J11" i="9"/>
  <c r="G24" i="10" l="1"/>
  <c r="H24" i="10" s="1"/>
  <c r="J24" i="10" s="1"/>
  <c r="G20" i="10"/>
  <c r="H20" i="10" s="1"/>
  <c r="J23" i="10"/>
  <c r="E23" i="9"/>
  <c r="E22" i="10"/>
  <c r="H18" i="10"/>
  <c r="M18" i="10" s="1"/>
  <c r="K18" i="10" s="1"/>
  <c r="G18" i="10"/>
  <c r="E18" i="10"/>
  <c r="F18" i="10" s="1"/>
  <c r="J12" i="10"/>
  <c r="L10" i="10"/>
  <c r="J10" i="10"/>
  <c r="C24" i="10"/>
  <c r="C23" i="10"/>
  <c r="J22" i="10"/>
  <c r="C20" i="10"/>
  <c r="J19" i="10"/>
  <c r="C19" i="10"/>
  <c r="J18" i="10"/>
  <c r="C12" i="10"/>
  <c r="C10" i="10"/>
  <c r="C9" i="10"/>
  <c r="L24" i="10" l="1"/>
  <c r="M24" i="10" s="1"/>
  <c r="K24" i="10"/>
  <c r="G22" i="10"/>
  <c r="H22" i="10" s="1"/>
  <c r="F22" i="10"/>
  <c r="F23" i="9"/>
  <c r="G23" i="9" s="1"/>
  <c r="K23" i="9"/>
  <c r="C41" i="3"/>
  <c r="Q41" i="3" s="1"/>
  <c r="E30" i="3"/>
  <c r="E34" i="3"/>
  <c r="E38" i="3"/>
  <c r="E28" i="3"/>
  <c r="E29" i="3"/>
  <c r="E41" i="3"/>
  <c r="E31" i="3"/>
  <c r="E35" i="3"/>
  <c r="P20" i="29" s="1"/>
  <c r="E39" i="3"/>
  <c r="E37" i="3"/>
  <c r="E32" i="3"/>
  <c r="E36" i="3"/>
  <c r="E40" i="3"/>
  <c r="E33" i="3"/>
  <c r="B41" i="3"/>
  <c r="B29" i="3"/>
  <c r="B38" i="3"/>
  <c r="I38" i="3" s="1"/>
  <c r="C38" i="3"/>
  <c r="C32" i="3"/>
  <c r="Q32" i="3" s="1"/>
  <c r="H32" i="12" s="1"/>
  <c r="C30" i="3"/>
  <c r="C39" i="3"/>
  <c r="Q39" i="3" s="1"/>
  <c r="C34" i="3"/>
  <c r="Q34" i="3" s="1"/>
  <c r="L20" i="10"/>
  <c r="M20" i="10" s="1"/>
  <c r="J20" i="10"/>
  <c r="K20" i="10" s="1"/>
  <c r="C28" i="3"/>
  <c r="B39" i="3"/>
  <c r="B34" i="3"/>
  <c r="B32" i="3"/>
  <c r="D32" i="12" s="1"/>
  <c r="B30" i="3"/>
  <c r="I30" i="3" s="1"/>
  <c r="C40" i="3"/>
  <c r="C37" i="3"/>
  <c r="Q37" i="3" s="1"/>
  <c r="H8" i="21" s="1"/>
  <c r="C35" i="3"/>
  <c r="Q35" i="3" s="1"/>
  <c r="G8" i="19" s="1"/>
  <c r="C33" i="3"/>
  <c r="C31" i="3"/>
  <c r="B40" i="3"/>
  <c r="B37" i="3"/>
  <c r="H37" i="3" s="1"/>
  <c r="F8" i="21" s="1"/>
  <c r="B35" i="3"/>
  <c r="J35" i="3" s="1"/>
  <c r="F8" i="19" s="1"/>
  <c r="F17" i="19" s="1"/>
  <c r="F21" i="19" s="1"/>
  <c r="B33" i="3"/>
  <c r="I33" i="3" s="1"/>
  <c r="B31" i="3"/>
  <c r="I31" i="3" s="1"/>
  <c r="H34" i="3" l="1"/>
  <c r="E8" i="17" s="1"/>
  <c r="J34" i="3"/>
  <c r="F8" i="17" s="1"/>
  <c r="F18" i="17" s="1"/>
  <c r="F22" i="17" s="1"/>
  <c r="H29" i="3"/>
  <c r="J29" i="3"/>
  <c r="F8" i="10" s="1"/>
  <c r="F17" i="10" s="1"/>
  <c r="F21" i="10" s="1"/>
  <c r="H39" i="3"/>
  <c r="E8" i="23" s="1"/>
  <c r="J39" i="3"/>
  <c r="F8" i="23" s="1"/>
  <c r="F16" i="23" s="1"/>
  <c r="F20" i="23" s="1"/>
  <c r="H41" i="3"/>
  <c r="E32" i="28" s="1"/>
  <c r="E40" i="28" s="1"/>
  <c r="E44" i="28" s="1"/>
  <c r="J41" i="3"/>
  <c r="F32" i="28" s="1"/>
  <c r="I40" i="3"/>
  <c r="J40" i="3"/>
  <c r="F8" i="28" s="1"/>
  <c r="E8" i="10"/>
  <c r="H35" i="3"/>
  <c r="E8" i="19" s="1"/>
  <c r="E17" i="19" s="1"/>
  <c r="E21" i="19" s="1"/>
  <c r="G8" i="9"/>
  <c r="G16" i="9" s="1"/>
  <c r="G21" i="9" s="1"/>
  <c r="L28" i="3"/>
  <c r="I8" i="9" s="1"/>
  <c r="K32" i="3"/>
  <c r="L32" i="3"/>
  <c r="K30" i="3"/>
  <c r="I8" i="11" s="1"/>
  <c r="L30" i="3"/>
  <c r="H8" i="11" s="1"/>
  <c r="K38" i="3"/>
  <c r="L38" i="3"/>
  <c r="H8" i="34" s="1"/>
  <c r="H17" i="34" s="1"/>
  <c r="H21" i="34" s="1"/>
  <c r="K33" i="3"/>
  <c r="I8" i="15" s="1"/>
  <c r="L33" i="3"/>
  <c r="H8" i="15" s="1"/>
  <c r="H16" i="15" s="1"/>
  <c r="H20" i="15" s="1"/>
  <c r="K31" i="3"/>
  <c r="L31" i="3"/>
  <c r="H8" i="12" s="1"/>
  <c r="D28" i="3"/>
  <c r="F28" i="3" s="1"/>
  <c r="K28" i="3"/>
  <c r="H38" i="3"/>
  <c r="E8" i="34" s="1"/>
  <c r="F8" i="34"/>
  <c r="H31" i="3"/>
  <c r="F8" i="12"/>
  <c r="H30" i="3"/>
  <c r="E8" i="11" s="1"/>
  <c r="F8" i="11"/>
  <c r="H33" i="3"/>
  <c r="E8" i="15" s="1"/>
  <c r="F8" i="15"/>
  <c r="P29" i="3"/>
  <c r="P34" i="3"/>
  <c r="P39" i="3"/>
  <c r="P41" i="3"/>
  <c r="H40" i="3"/>
  <c r="E8" i="28" s="1"/>
  <c r="E16" i="28" s="1"/>
  <c r="E20" i="28" s="1"/>
  <c r="L40" i="3"/>
  <c r="H8" i="28" s="1"/>
  <c r="Q40" i="3"/>
  <c r="L29" i="3"/>
  <c r="H8" i="10" s="1"/>
  <c r="Q29" i="3"/>
  <c r="P35" i="3"/>
  <c r="P40" i="3"/>
  <c r="G37" i="3"/>
  <c r="E8" i="21" s="1"/>
  <c r="D8" i="21"/>
  <c r="G34" i="3"/>
  <c r="G39" i="3"/>
  <c r="G29" i="3"/>
  <c r="G41" i="3"/>
  <c r="E8" i="20"/>
  <c r="G40" i="3"/>
  <c r="G38" i="3"/>
  <c r="G30" i="3"/>
  <c r="G35" i="3"/>
  <c r="C8" i="19"/>
  <c r="L37" i="3"/>
  <c r="D37" i="3"/>
  <c r="D38" i="3"/>
  <c r="P12" i="30" s="1"/>
  <c r="Y12" i="30" s="1"/>
  <c r="L34" i="3"/>
  <c r="H8" i="17" s="1"/>
  <c r="D34" i="3"/>
  <c r="G36" i="3"/>
  <c r="L39" i="3"/>
  <c r="H8" i="23" s="1"/>
  <c r="H16" i="23" s="1"/>
  <c r="H20" i="23" s="1"/>
  <c r="D39" i="3"/>
  <c r="D36" i="3"/>
  <c r="D33" i="3"/>
  <c r="D32" i="3"/>
  <c r="L35" i="3"/>
  <c r="D35" i="3"/>
  <c r="P15" i="29" s="1"/>
  <c r="N31" i="3"/>
  <c r="D31" i="3"/>
  <c r="N30" i="3"/>
  <c r="L41" i="3"/>
  <c r="H32" i="28" s="1"/>
  <c r="D41" i="3"/>
  <c r="G31" i="3"/>
  <c r="G33" i="3"/>
  <c r="E32" i="12"/>
  <c r="E40" i="12" s="1"/>
  <c r="E44" i="12" s="1"/>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C8" i="28"/>
  <c r="C32" i="28"/>
  <c r="I32" i="12"/>
  <c r="K48" i="1"/>
  <c r="C8" i="15"/>
  <c r="I8" i="12"/>
  <c r="C8" i="17"/>
  <c r="J8" i="15"/>
  <c r="C8" i="9"/>
  <c r="C8" i="20"/>
  <c r="C8" i="21"/>
  <c r="C8" i="11"/>
  <c r="C8" i="23"/>
  <c r="J8" i="20"/>
  <c r="C8" i="12"/>
  <c r="C32" i="12"/>
  <c r="I8" i="19" l="1"/>
  <c r="H8" i="19"/>
  <c r="D63" i="12"/>
  <c r="D67" i="12" s="1"/>
  <c r="I63" i="12"/>
  <c r="I67" i="12" s="1"/>
  <c r="I8" i="34"/>
  <c r="I8" i="20"/>
  <c r="P2" i="30"/>
  <c r="Y2" i="30" s="1"/>
  <c r="P11" i="30"/>
  <c r="Y11" i="30" s="1"/>
  <c r="P13" i="30"/>
  <c r="Y13" i="30" s="1"/>
  <c r="P4" i="30"/>
  <c r="Y4" i="30" s="1"/>
  <c r="F33" i="3"/>
  <c r="G8" i="15" s="1"/>
  <c r="P3" i="30"/>
  <c r="Y3" i="30" s="1"/>
  <c r="P14" i="30"/>
  <c r="Y14" i="30" s="1"/>
  <c r="F41" i="3"/>
  <c r="P44" i="30"/>
  <c r="Y44" i="30" s="1"/>
  <c r="F39" i="3"/>
  <c r="F37" i="3"/>
  <c r="G8" i="21" s="1"/>
  <c r="G8" i="11"/>
  <c r="F38" i="3"/>
  <c r="P5" i="30"/>
  <c r="Y5" i="30" s="1"/>
  <c r="P12" i="29"/>
  <c r="P7" i="30"/>
  <c r="Y7" i="30" s="1"/>
  <c r="P14" i="29"/>
  <c r="P8" i="30"/>
  <c r="Y8" i="30" s="1"/>
  <c r="F34" i="3"/>
  <c r="F40" i="3"/>
  <c r="P6" i="30"/>
  <c r="Y6" i="30" s="1"/>
  <c r="P13" i="29"/>
  <c r="P9" i="30"/>
  <c r="P16" i="29"/>
  <c r="F31" i="3"/>
  <c r="G8" i="12" s="1"/>
  <c r="F36" i="3"/>
  <c r="F32" i="3"/>
  <c r="F35" i="3"/>
  <c r="I8" i="17"/>
  <c r="H24" i="9"/>
  <c r="I24" i="9" s="1"/>
  <c r="I23" i="9"/>
  <c r="H20" i="9"/>
  <c r="I20" i="9" s="1"/>
  <c r="H19" i="9"/>
  <c r="I19" i="9" s="1"/>
  <c r="H18" i="9"/>
  <c r="C18" i="9" s="1"/>
  <c r="H17" i="9"/>
  <c r="C20" i="9" l="1"/>
  <c r="G8" i="34"/>
  <c r="H8" i="9"/>
  <c r="P10" i="30"/>
  <c r="Y10" i="30" s="1"/>
  <c r="Y9" i="30"/>
  <c r="G8" i="20"/>
  <c r="G32" i="12"/>
  <c r="E20" i="9"/>
  <c r="J20" i="9"/>
  <c r="L20" i="9"/>
  <c r="L19" i="9"/>
  <c r="J19" i="9"/>
  <c r="E19" i="9"/>
  <c r="J24" i="9"/>
  <c r="E24" i="9"/>
  <c r="L24" i="9"/>
  <c r="I17" i="9"/>
  <c r="C17" i="9"/>
  <c r="H22" i="9"/>
  <c r="J23" i="9"/>
  <c r="C24" i="9"/>
  <c r="I18" i="9"/>
  <c r="B5" i="7"/>
  <c r="H5" i="7" s="1"/>
  <c r="A1" i="6"/>
  <c r="F20" i="9" l="1"/>
  <c r="K20" i="9"/>
  <c r="F24" i="9"/>
  <c r="K24" i="9"/>
  <c r="G24" i="9" s="1"/>
  <c r="F19" i="9"/>
  <c r="K19" i="9"/>
  <c r="E5" i="7"/>
  <c r="L18" i="9"/>
  <c r="L22" i="9" s="1"/>
  <c r="J18" i="9"/>
  <c r="K18" i="9" s="1"/>
  <c r="K22" i="9" s="1"/>
  <c r="G22" i="9" s="1"/>
  <c r="L17" i="9"/>
  <c r="J17" i="9"/>
  <c r="E18" i="9"/>
  <c r="E17" i="9"/>
  <c r="I22" i="9"/>
  <c r="E22" i="9" s="1"/>
  <c r="C22" i="9"/>
  <c r="C5" i="7"/>
  <c r="I5" i="7" l="1"/>
  <c r="F5" i="7"/>
  <c r="F17" i="9"/>
  <c r="K17" i="9"/>
  <c r="J22" i="9"/>
  <c r="F22" i="9" s="1"/>
  <c r="F18" i="9"/>
  <c r="D5" i="7"/>
  <c r="G5" i="7" s="1"/>
  <c r="J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E15" i="17" s="1"/>
  <c r="N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L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E16" i="17" s="1"/>
  <c r="N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I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E14" i="17" s="1"/>
  <c r="E18" i="17" s="1"/>
  <c r="E22" i="17" s="1"/>
  <c r="G15" i="2"/>
  <c r="J15" i="2" s="1"/>
  <c r="M15" i="2" s="1"/>
  <c r="P15" i="2" s="1"/>
  <c r="S15" i="2" s="1"/>
  <c r="V15" i="2" s="1"/>
  <c r="Y15" i="2" s="1"/>
  <c r="F15" i="2"/>
  <c r="I15" i="2" s="1"/>
  <c r="L15" i="2" s="1"/>
  <c r="O15" i="2" s="1"/>
  <c r="R15" i="2" s="1"/>
  <c r="U15" i="2" s="1"/>
  <c r="X15" i="2" s="1"/>
  <c r="E15" i="2"/>
  <c r="H15" i="2" s="1"/>
  <c r="K15" i="2" s="1"/>
  <c r="N15" i="2" s="1"/>
  <c r="Q15" i="2" s="1"/>
  <c r="T15" i="2" s="1"/>
  <c r="W15" i="2" s="1"/>
  <c r="E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N18" i="17" l="1"/>
  <c r="N22" i="17" s="1"/>
  <c r="G14" i="11"/>
  <c r="F14" i="11"/>
  <c r="AT45" i="2"/>
  <c r="E13" i="23"/>
  <c r="C39" i="12"/>
  <c r="H14" i="12"/>
  <c r="I14" i="12"/>
  <c r="F14" i="12"/>
  <c r="J14" i="12"/>
  <c r="G14" i="12"/>
  <c r="I14" i="17"/>
  <c r="G14" i="17"/>
  <c r="C18" i="17"/>
  <c r="C22" i="17" s="1"/>
  <c r="N14" i="11"/>
  <c r="M14" i="11" s="1"/>
  <c r="C37" i="28"/>
  <c r="F13" i="28"/>
  <c r="C16" i="28"/>
  <c r="C20" i="28" s="1"/>
  <c r="C62" i="19"/>
  <c r="H62" i="19" s="1"/>
  <c r="I13" i="19"/>
  <c r="G13" i="19"/>
  <c r="H13" i="19" s="1"/>
  <c r="D13" i="19"/>
  <c r="C17" i="19"/>
  <c r="C21" i="19" s="1"/>
  <c r="E13" i="10"/>
  <c r="AF40" i="2"/>
  <c r="AK40" i="2" s="1"/>
  <c r="AP40" i="2" s="1"/>
  <c r="AA40" i="2"/>
  <c r="J37" i="12"/>
  <c r="K37" i="12" s="1"/>
  <c r="L14" i="9"/>
  <c r="I14" i="9"/>
  <c r="J14" i="9"/>
  <c r="K14" i="9" s="1"/>
  <c r="K16" i="9" s="1"/>
  <c r="K21" i="9" s="1"/>
  <c r="H14" i="9"/>
  <c r="E14" i="9"/>
  <c r="F14" i="9" s="1"/>
  <c r="AH40" i="2"/>
  <c r="AM40" i="2" s="1"/>
  <c r="C64" i="19"/>
  <c r="H64" i="19" s="1"/>
  <c r="G15" i="19"/>
  <c r="H15" i="19" s="1"/>
  <c r="D15" i="19"/>
  <c r="N15" i="19" s="1"/>
  <c r="N17" i="19" s="1"/>
  <c r="N21" i="19" s="1"/>
  <c r="I15" i="19"/>
  <c r="H14" i="21"/>
  <c r="G14" i="21"/>
  <c r="I14" i="21"/>
  <c r="L14" i="21" s="1"/>
  <c r="D14" i="21"/>
  <c r="G14" i="28"/>
  <c r="G38" i="28" s="1"/>
  <c r="C38" i="28"/>
  <c r="I38" i="28"/>
  <c r="H14" i="28"/>
  <c r="H38" i="28" s="1"/>
  <c r="F14" i="28"/>
  <c r="F38" i="28" s="1"/>
  <c r="M38" i="28"/>
  <c r="AF29" i="2"/>
  <c r="AK29" i="2" s="1"/>
  <c r="AP29" i="2" s="1"/>
  <c r="E15" i="11" s="1"/>
  <c r="AA29" i="2"/>
  <c r="I15" i="17"/>
  <c r="G15" i="17"/>
  <c r="H15" i="17" s="1"/>
  <c r="M15" i="17"/>
  <c r="AA41" i="2"/>
  <c r="AF41" i="2" s="1"/>
  <c r="AK41" i="2" s="1"/>
  <c r="AP41" i="2" s="1"/>
  <c r="I37" i="28"/>
  <c r="M16" i="17"/>
  <c r="G16" i="17"/>
  <c r="H16" i="17" s="1"/>
  <c r="I16" i="17"/>
  <c r="D14" i="19"/>
  <c r="I14" i="19"/>
  <c r="G14" i="19"/>
  <c r="H14" i="19" s="1"/>
  <c r="C63" i="19"/>
  <c r="H63" i="19" s="1"/>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I40" i="28" l="1"/>
  <c r="I44" i="28" s="1"/>
  <c r="F14" i="21"/>
  <c r="K14" i="21" s="1"/>
  <c r="E14" i="21"/>
  <c r="H17" i="19"/>
  <c r="H21" i="19" s="1"/>
  <c r="H66" i="19"/>
  <c r="H70" i="19" s="1"/>
  <c r="H18" i="17"/>
  <c r="H22" i="17" s="1"/>
  <c r="I14" i="11"/>
  <c r="H14" i="11"/>
  <c r="H17" i="11" s="1"/>
  <c r="H21" i="11" s="1"/>
  <c r="K63" i="19"/>
  <c r="E63" i="19"/>
  <c r="E62" i="19"/>
  <c r="K62" i="19"/>
  <c r="E17" i="11"/>
  <c r="E21" i="11" s="1"/>
  <c r="F15" i="11"/>
  <c r="F17" i="11"/>
  <c r="F21" i="11" s="1"/>
  <c r="K64" i="19"/>
  <c r="E64" i="19"/>
  <c r="C40" i="28"/>
  <c r="C44" i="28" s="1"/>
  <c r="D17" i="19"/>
  <c r="D21" i="19" s="1"/>
  <c r="E14" i="23"/>
  <c r="G13" i="10"/>
  <c r="J64" i="19"/>
  <c r="L64" i="19" s="1"/>
  <c r="I64" i="19"/>
  <c r="D64" i="19"/>
  <c r="G64" i="19"/>
  <c r="E14" i="10"/>
  <c r="G14" i="10"/>
  <c r="H14" i="10"/>
  <c r="M14" i="10" s="1"/>
  <c r="G13" i="28"/>
  <c r="F37" i="28"/>
  <c r="F40" i="28" s="1"/>
  <c r="F44" i="28" s="1"/>
  <c r="F16" i="28"/>
  <c r="F20" i="28" s="1"/>
  <c r="G18" i="17"/>
  <c r="G22" i="17" s="1"/>
  <c r="L13" i="9"/>
  <c r="L16" i="9" s="1"/>
  <c r="L21" i="9" s="1"/>
  <c r="J16" i="9"/>
  <c r="J21" i="9" s="1"/>
  <c r="I15" i="11"/>
  <c r="I17" i="11" s="1"/>
  <c r="I21" i="11" s="1"/>
  <c r="E14" i="20"/>
  <c r="L14" i="20"/>
  <c r="J17" i="19"/>
  <c r="J21" i="19" s="1"/>
  <c r="L13" i="10"/>
  <c r="M13" i="10" s="1"/>
  <c r="D39" i="12"/>
  <c r="H39" i="12" s="1"/>
  <c r="I39" i="12"/>
  <c r="G39" i="12"/>
  <c r="J39" i="12"/>
  <c r="G37" i="12"/>
  <c r="D37" i="12"/>
  <c r="H37" i="12" s="1"/>
  <c r="I37" i="12"/>
  <c r="I18" i="17"/>
  <c r="I22" i="17" s="1"/>
  <c r="G17" i="19"/>
  <c r="G21" i="19" s="1"/>
  <c r="G15" i="11"/>
  <c r="G17" i="11" s="1"/>
  <c r="G21" i="11" s="1"/>
  <c r="G14" i="15"/>
  <c r="I14" i="15"/>
  <c r="L14" i="15"/>
  <c r="N14" i="15" s="1"/>
  <c r="N16" i="15" s="1"/>
  <c r="N20" i="15" s="1"/>
  <c r="J14" i="15"/>
  <c r="E14" i="15"/>
  <c r="F14" i="15" s="1"/>
  <c r="G15" i="21"/>
  <c r="L15" i="21"/>
  <c r="H15" i="21"/>
  <c r="I15" i="21"/>
  <c r="D15" i="21"/>
  <c r="K15" i="11"/>
  <c r="L15" i="11" s="1"/>
  <c r="L17" i="11" s="1"/>
  <c r="L21" i="11" s="1"/>
  <c r="I13" i="9"/>
  <c r="I16" i="9" s="1"/>
  <c r="I21" i="9" s="1"/>
  <c r="H13" i="9"/>
  <c r="H16" i="9" s="1"/>
  <c r="H21" i="9" s="1"/>
  <c r="E13" i="9"/>
  <c r="C16" i="9"/>
  <c r="C21" i="9" s="1"/>
  <c r="I16" i="28"/>
  <c r="I20" i="28" s="1"/>
  <c r="I17" i="19"/>
  <c r="I21" i="19" s="1"/>
  <c r="M18" i="17"/>
  <c r="M22" i="17" s="1"/>
  <c r="H15" i="10"/>
  <c r="M15" i="10" s="1"/>
  <c r="G15" i="10"/>
  <c r="J15" i="10"/>
  <c r="L15" i="10" s="1"/>
  <c r="E15" i="10"/>
  <c r="I13" i="12"/>
  <c r="I16" i="12" s="1"/>
  <c r="I20" i="12" s="1"/>
  <c r="H13" i="12"/>
  <c r="F13" i="12"/>
  <c r="G13" i="12"/>
  <c r="G16" i="12" s="1"/>
  <c r="G20" i="12" s="1"/>
  <c r="C16" i="12"/>
  <c r="C20" i="12" s="1"/>
  <c r="M37" i="28"/>
  <c r="M40" i="28" s="1"/>
  <c r="M44" i="28" s="1"/>
  <c r="M16" i="28"/>
  <c r="M20" i="28" s="1"/>
  <c r="M17" i="19"/>
  <c r="M21" i="19" s="1"/>
  <c r="E13" i="20"/>
  <c r="F13" i="20" s="1"/>
  <c r="J13" i="20"/>
  <c r="G13" i="20"/>
  <c r="I13" i="20"/>
  <c r="C17" i="20"/>
  <c r="C21" i="20" s="1"/>
  <c r="G62" i="19"/>
  <c r="D62" i="19"/>
  <c r="I62" i="19"/>
  <c r="J62" i="19"/>
  <c r="L62" i="19" s="1"/>
  <c r="C66" i="19"/>
  <c r="C70" i="19" s="1"/>
  <c r="K14" i="34"/>
  <c r="M17" i="34" s="1"/>
  <c r="M21" i="34" s="1"/>
  <c r="I14" i="34"/>
  <c r="G14" i="34"/>
  <c r="E14" i="34"/>
  <c r="C17" i="34"/>
  <c r="C21" i="34" s="1"/>
  <c r="J38" i="12"/>
  <c r="J63" i="19"/>
  <c r="L63" i="19"/>
  <c r="G63" i="19"/>
  <c r="I63" i="19"/>
  <c r="D63" i="19"/>
  <c r="L13" i="15"/>
  <c r="E13" i="15"/>
  <c r="O13" i="15"/>
  <c r="J13" i="15"/>
  <c r="I13" i="15"/>
  <c r="G13" i="15"/>
  <c r="C16" i="15"/>
  <c r="C20" i="15" s="1"/>
  <c r="C17" i="10"/>
  <c r="C21" i="10" s="1"/>
  <c r="K14" i="12"/>
  <c r="F15" i="21" l="1"/>
  <c r="K15" i="21" s="1"/>
  <c r="E15" i="21"/>
  <c r="E16" i="23"/>
  <c r="E20" i="23" s="1"/>
  <c r="M14" i="23"/>
  <c r="M16" i="23" s="1"/>
  <c r="M20" i="23" s="1"/>
  <c r="I66" i="19"/>
  <c r="M17" i="10"/>
  <c r="M21" i="10" s="1"/>
  <c r="K66" i="19"/>
  <c r="K70" i="19" s="1"/>
  <c r="E17" i="10"/>
  <c r="E21" i="10" s="1"/>
  <c r="E66" i="19"/>
  <c r="E70" i="19" s="1"/>
  <c r="O14" i="15"/>
  <c r="O16" i="15" s="1"/>
  <c r="O20" i="15" s="1"/>
  <c r="M14" i="15"/>
  <c r="M16" i="15" s="1"/>
  <c r="M20" i="15" s="1"/>
  <c r="K39" i="12"/>
  <c r="K40" i="12" s="1"/>
  <c r="K44" i="12" s="1"/>
  <c r="K17" i="11"/>
  <c r="K21" i="11" s="1"/>
  <c r="N15" i="11"/>
  <c r="F14" i="34"/>
  <c r="L17" i="10"/>
  <c r="L21" i="10" s="1"/>
  <c r="G14" i="20"/>
  <c r="F14" i="20"/>
  <c r="E16" i="15"/>
  <c r="E20" i="15" s="1"/>
  <c r="F13" i="15"/>
  <c r="F16" i="15" s="1"/>
  <c r="F20" i="15" s="1"/>
  <c r="I16" i="15"/>
  <c r="I20" i="15" s="1"/>
  <c r="E16" i="9"/>
  <c r="E21" i="9" s="1"/>
  <c r="F13" i="9"/>
  <c r="F16" i="9" s="1"/>
  <c r="F21" i="9" s="1"/>
  <c r="L16" i="15"/>
  <c r="L20" i="15" s="1"/>
  <c r="F16" i="12"/>
  <c r="F20" i="12" s="1"/>
  <c r="K13" i="12"/>
  <c r="K16" i="12" s="1"/>
  <c r="K20" i="12" s="1"/>
  <c r="J16" i="12"/>
  <c r="J20" i="12" s="1"/>
  <c r="H16" i="12"/>
  <c r="H20" i="12" s="1"/>
  <c r="C40" i="12"/>
  <c r="C44" i="12" s="1"/>
  <c r="D66" i="19"/>
  <c r="D70" i="19" s="1"/>
  <c r="J17" i="10"/>
  <c r="J21" i="10" s="1"/>
  <c r="G14" i="23"/>
  <c r="L14" i="23"/>
  <c r="I16" i="23"/>
  <c r="I20" i="23" s="1"/>
  <c r="C16" i="23"/>
  <c r="C20" i="23" s="1"/>
  <c r="I70" i="19"/>
  <c r="D13" i="21"/>
  <c r="I13" i="21"/>
  <c r="C17" i="21"/>
  <c r="C21" i="21" s="1"/>
  <c r="L13" i="23"/>
  <c r="G16" i="15"/>
  <c r="G20" i="15" s="1"/>
  <c r="G66" i="19"/>
  <c r="G70" i="19" s="1"/>
  <c r="L66" i="19"/>
  <c r="L70" i="19" s="1"/>
  <c r="H13" i="28"/>
  <c r="G37" i="28"/>
  <c r="G40" i="28" s="1"/>
  <c r="G44" i="28" s="1"/>
  <c r="G16" i="28"/>
  <c r="G20" i="28" s="1"/>
  <c r="J66" i="19"/>
  <c r="J70" i="19" s="1"/>
  <c r="E15" i="20"/>
  <c r="L15" i="20"/>
  <c r="J15" i="20"/>
  <c r="I15" i="20"/>
  <c r="G15" i="20"/>
  <c r="H13" i="10"/>
  <c r="H17" i="10" s="1"/>
  <c r="H21" i="10" s="1"/>
  <c r="G17" i="10"/>
  <c r="G21" i="10" s="1"/>
  <c r="N14" i="34"/>
  <c r="J16" i="15"/>
  <c r="J20" i="15" s="1"/>
  <c r="I38" i="12"/>
  <c r="I40" i="12" s="1"/>
  <c r="I44" i="12" s="1"/>
  <c r="D38" i="12"/>
  <c r="G38" i="12"/>
  <c r="G40" i="12" s="1"/>
  <c r="G44" i="12" s="1"/>
  <c r="G15" i="34"/>
  <c r="G17" i="34" s="1"/>
  <c r="G21" i="34" s="1"/>
  <c r="E15" i="34"/>
  <c r="L15" i="34" s="1"/>
  <c r="N15" i="34"/>
  <c r="K15" i="34"/>
  <c r="K17" i="34" s="1"/>
  <c r="K21" i="34" s="1"/>
  <c r="I15" i="34"/>
  <c r="I17" i="34" s="1"/>
  <c r="I21" i="34" s="1"/>
  <c r="D40" i="12" l="1"/>
  <c r="D44" i="12" s="1"/>
  <c r="H38" i="12"/>
  <c r="H40" i="12" s="1"/>
  <c r="H44" i="12" s="1"/>
  <c r="F13" i="21"/>
  <c r="E13" i="21"/>
  <c r="E17" i="21" s="1"/>
  <c r="E21" i="21" s="1"/>
  <c r="F17" i="21"/>
  <c r="F21" i="21" s="1"/>
  <c r="K13" i="21"/>
  <c r="K17" i="21" s="1"/>
  <c r="K21" i="21" s="1"/>
  <c r="M15" i="20"/>
  <c r="M17" i="20" s="1"/>
  <c r="M21" i="20" s="1"/>
  <c r="N15" i="20"/>
  <c r="N17" i="20" s="1"/>
  <c r="N21" i="20" s="1"/>
  <c r="N17" i="11"/>
  <c r="N21" i="11" s="1"/>
  <c r="M15" i="11"/>
  <c r="M17" i="11" s="1"/>
  <c r="M21" i="11" s="1"/>
  <c r="L17" i="34"/>
  <c r="L21" i="34" s="1"/>
  <c r="I14" i="20"/>
  <c r="J14" i="20" s="1"/>
  <c r="J17" i="20" s="1"/>
  <c r="J21" i="20" s="1"/>
  <c r="H14" i="20"/>
  <c r="H17" i="20" s="1"/>
  <c r="H21" i="20" s="1"/>
  <c r="G17" i="20"/>
  <c r="G21" i="20" s="1"/>
  <c r="E17" i="34"/>
  <c r="E21" i="34" s="1"/>
  <c r="F15" i="34"/>
  <c r="F17" i="34" s="1"/>
  <c r="F21" i="34" s="1"/>
  <c r="E17" i="20"/>
  <c r="E21" i="20" s="1"/>
  <c r="F15" i="20"/>
  <c r="F17" i="20" s="1"/>
  <c r="F21" i="20" s="1"/>
  <c r="L16" i="23"/>
  <c r="L20" i="23" s="1"/>
  <c r="J40" i="12"/>
  <c r="J44" i="12" s="1"/>
  <c r="L13" i="21"/>
  <c r="L17" i="21" s="1"/>
  <c r="L21" i="21" s="1"/>
  <c r="I17" i="21"/>
  <c r="I21" i="21" s="1"/>
  <c r="G16" i="23"/>
  <c r="G20" i="23" s="1"/>
  <c r="H37" i="28"/>
  <c r="H40" i="28" s="1"/>
  <c r="H44" i="28" s="1"/>
  <c r="H16" i="28"/>
  <c r="H20" i="28" s="1"/>
  <c r="G13" i="21"/>
  <c r="D17" i="21"/>
  <c r="D21" i="21" s="1"/>
  <c r="N17" i="34"/>
  <c r="N21" i="34" s="1"/>
  <c r="O15" i="20"/>
  <c r="O17" i="20" s="1"/>
  <c r="O21" i="20" s="1"/>
  <c r="L17" i="20"/>
  <c r="L21" i="20" s="1"/>
  <c r="I17" i="20" l="1"/>
  <c r="I21" i="20" s="1"/>
  <c r="H17" i="21"/>
  <c r="H21" i="21" s="1"/>
  <c r="G17" i="21"/>
  <c r="G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P27" authorId="0" shapeId="0" xr:uid="{4F7B621E-63D5-48B5-8621-A5A267EFC692}">
      <text>
        <r>
          <rPr>
            <b/>
            <sz val="8"/>
            <color indexed="81"/>
            <rFont val="Tahoma"/>
            <family val="2"/>
          </rPr>
          <t>De acuerdo con la Resolución 40261 Tabla 2</t>
        </r>
      </text>
    </comment>
    <comment ref="Q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<sst xmlns="http://schemas.openxmlformats.org/spreadsheetml/2006/main" count="3691" uniqueCount="521">
  <si>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</si>
  <si>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</si>
  <si>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</si>
  <si>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</si>
  <si>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</si>
  <si>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</si>
  <si>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</si>
  <si>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</si>
  <si>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</si>
  <si>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</si>
  <si>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</si>
  <si>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</si>
  <si>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</si>
  <si>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</si>
  <si>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</si>
  <si>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</si>
  <si>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</si>
  <si>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</si>
  <si>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</si>
  <si>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</si>
  <si>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</si>
  <si>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</si>
  <si>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</si>
  <si>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</si>
  <si>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</si>
  <si>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</si>
  <si>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</si>
  <si>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</si>
  <si>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</si>
  <si>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</si>
  <si>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</si>
  <si>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</si>
  <si>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</si>
  <si>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</si>
  <si>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</si>
  <si>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</si>
  <si>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</si>
  <si>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</si>
  <si>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</si>
  <si>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</si>
  <si>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</si>
  <si>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</si>
  <si>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</si>
  <si>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</si>
  <si>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</si>
  <si>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</si>
  <si>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</si>
  <si>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</si>
  <si>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</si>
  <si>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</si>
  <si>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</si>
  <si>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</si>
  <si>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</si>
  <si>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</si>
  <si>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</si>
  <si>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</si>
  <si>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</si>
  <si>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</si>
  <si>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</si>
  <si>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</si>
  <si>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</si>
  <si>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</si>
  <si>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</si>
  <si>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</si>
  <si>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</si>
  <si>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</si>
  <si>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</si>
  <si>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</si>
  <si>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</si>
  <si>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</si>
  <si>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</si>
  <si>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</si>
  <si>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</si>
  <si>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</si>
  <si>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</si>
  <si>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</si>
  <si>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</si>
  <si>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</si>
  <si>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</si>
  <si>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</si>
  <si>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</si>
  <si>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</si>
  <si>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</si>
  <si>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</si>
  <si>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</si>
  <si>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</si>
  <si>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</si>
  <si>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</si>
  <si>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</si>
  <si>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</si>
  <si>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</si>
  <si>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</si>
  <si>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</si>
  <si>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</si>
  <si>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</si>
  <si>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</si>
  <si>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</si>
  <si>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</si>
  <si>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</si>
  <si>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</si>
  <si>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</si>
  <si>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</si>
  <si>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</si>
  <si>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</si>
  <si>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</si>
  <si>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</si>
  <si>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</si>
  <si>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</si>
  <si>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</si>
  <si>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</si>
  <si>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</si>
  <si>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</si>
  <si>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</si>
  <si>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</si>
  <si>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</si>
  <si>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</si>
  <si>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</si>
  <si>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</si>
  <si>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</si>
  <si>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</si>
  <si>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</si>
  <si>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</si>
  <si>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</si>
  <si>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</si>
  <si>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</si>
  <si>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</si>
  <si>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</si>
  <si>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</si>
  <si>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</si>
  <si>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</si>
  <si>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</si>
  <si>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</si>
  <si>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</si>
  <si>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</si>
  <si>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</si>
  <si>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</si>
  <si>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</si>
  <si>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</si>
  <si>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</si>
  <si>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</si>
  <si>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</si>
  <si>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</si>
  <si>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</si>
  <si>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</si>
  <si>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</si>
  <si>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</si>
  <si>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</si>
  <si>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</si>
  <si>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</si>
  <si>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</si>
  <si>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</si>
  <si>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</si>
  <si>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</si>
  <si>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</si>
  <si>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</si>
  <si>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</si>
  <si>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</si>
  <si>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</si>
  <si>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</si>
  <si>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</si>
  <si>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</si>
  <si>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</si>
  <si>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</si>
  <si>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</si>
  <si>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</si>
  <si>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</si>
  <si>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</si>
  <si>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</si>
  <si>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</si>
  <si>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</si>
  <si>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</si>
  <si>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</si>
  <si>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</si>
  <si>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</si>
  <si>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</si>
  <si>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</si>
  <si>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</si>
  <si>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</si>
  <si>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</si>
  <si>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</si>
  <si>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</si>
  <si>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</si>
  <si>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</si>
  <si>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</si>
  <si>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</si>
  <si>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</si>
  <si>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</si>
  <si>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</si>
  <si>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</si>
  <si>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</si>
  <si>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</si>
  <si>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</si>
  <si>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</si>
  <si>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</si>
  <si>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</si>
  <si>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</si>
  <si>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</si>
  <si>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</si>
  <si>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</si>
  <si>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</si>
  <si>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</si>
  <si>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</si>
  <si>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</si>
  <si>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</si>
  <si>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</si>
  <si>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</si>
  <si>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</si>
  <si>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</si>
  <si>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</si>
  <si>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</si>
  <si>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</si>
  <si>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</si>
  <si>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</si>
  <si>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</si>
  <si>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</si>
  <si>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</si>
  <si>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</si>
  <si>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</si>
  <si>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</si>
  <si>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</si>
  <si>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</si>
  <si>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</si>
  <si>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</si>
  <si>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</si>
  <si>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</si>
  <si>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</si>
  <si>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</si>
  <si>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</si>
  <si>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</si>
  <si>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</si>
  <si>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</si>
  <si>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</si>
  <si>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</si>
  <si>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</si>
  <si>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</si>
  <si>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</si>
  <si>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</si>
  <si>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</si>
  <si>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</si>
  <si>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</si>
  <si>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</si>
  <si>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</si>
  <si>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</si>
  <si>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</si>
  <si>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</si>
  <si>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</si>
  <si>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</si>
  <si>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</si>
  <si>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</si>
  <si>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</si>
  <si>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</si>
  <si>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</si>
  <si>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</si>
  <si>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</si>
  <si>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</si>
  <si>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</si>
  <si>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</si>
  <si>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</si>
  <si>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</si>
  <si>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</si>
  <si>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</si>
  <si>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</si>
  <si>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</si>
  <si>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</si>
  <si>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</si>
  <si>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</si>
  <si>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</si>
  <si>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</si>
  <si>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</si>
  <si>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</si>
  <si>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</si>
  <si>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</si>
  <si>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</si>
  <si>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</si>
  <si>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</si>
  <si>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</si>
  <si>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</si>
  <si>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</si>
  <si>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</si>
  <si>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</si>
  <si>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</si>
  <si>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</si>
  <si>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</si>
  <si>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</si>
  <si>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</si>
  <si>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</si>
  <si>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</si>
  <si>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</si>
  <si>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</si>
  <si>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</si>
  <si>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</si>
  <si>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</si>
  <si>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</si>
  <si>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</si>
  <si>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</si>
  <si>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</si>
  <si>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</si>
  <si>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</si>
  <si>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</si>
  <si>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</si>
  <si>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</si>
  <si>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</si>
  <si>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</si>
  <si>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</si>
  <si>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</si>
  <si>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</si>
  <si>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</si>
  <si>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</si>
  <si>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</si>
  <si>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</si>
  <si>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</si>
  <si>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</si>
  <si>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</si>
  <si>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</si>
  <si>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</si>
  <si>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</si>
  <si>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</si>
  <si>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</si>
  <si>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</si>
  <si>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</si>
  <si>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</si>
  <si>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</si>
  <si>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</si>
  <si>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</si>
  <si>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</si>
  <si>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</si>
  <si>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</si>
  <si>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</si>
  <si>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</si>
  <si>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</si>
  <si>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</si>
  <si>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</si>
  <si>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</si>
  <si>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</si>
  <si>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</si>
  <si>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</si>
  <si>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</si>
  <si>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</si>
  <si>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</si>
  <si>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</si>
  <si>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</si>
  <si>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</si>
  <si>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</si>
  <si>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</si>
  <si>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</si>
  <si>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</si>
  <si>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</si>
  <si>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</si>
  <si>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</si>
  <si>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</si>
  <si>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</si>
  <si>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</si>
  <si>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</si>
  <si>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</si>
  <si>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</si>
  <si>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</si>
  <si>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</si>
  <si>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</si>
  <si>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</si>
  <si>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</si>
  <si>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</si>
  <si>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</si>
  <si>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</si>
  <si>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</si>
  <si>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</si>
  <si>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</si>
  <si>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</si>
  <si>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</si>
  <si>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</si>
  <si>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</si>
  <si>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</si>
  <si>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</si>
  <si>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</si>
  <si>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</si>
  <si>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</si>
  <si>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</si>
  <si>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</si>
  <si>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</si>
  <si>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</si>
  <si>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</si>
  <si>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</si>
  <si>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</si>
  <si>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</si>
  <si>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</si>
  <si>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</si>
  <si>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</si>
  <si>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</si>
  <si>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</si>
  <si>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</si>
  <si>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</si>
  <si>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</si>
  <si>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</si>
  <si>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</si>
  <si>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</si>
  <si>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</si>
  <si>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</si>
  <si>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</si>
  <si>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</si>
  <si>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</si>
  <si>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</si>
  <si>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</si>
  <si>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</si>
  <si>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OJO!!!!</t>
  </si>
  <si>
    <t>ACTUALIZAR</t>
  </si>
  <si>
    <t>CAMBIA CON EL IP FOSÍL</t>
  </si>
  <si>
    <t>IP GASOLINA</t>
  </si>
  <si>
    <t>BIODIESEL B2B EXTRA</t>
  </si>
  <si>
    <t>GASOLINA MOTOR REGULAR IAD81</t>
  </si>
  <si>
    <t>GASOLINA MOTOR REGULAR</t>
  </si>
  <si>
    <t>ESTRUCTURAS DE PRECIOS PARA GASOLINA MOTOR CORRIENTE OXIGENADA VIGENTES A PARTIR DE 10 DE NOVIEMBRE 2020</t>
  </si>
  <si>
    <t>16 DE DICIEMBRE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</si>
  <si>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</si>
  <si>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</si>
  <si>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</si>
  <si>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</si>
  <si>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</si>
  <si>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</si>
  <si>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</si>
  <si>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</si>
  <si>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</si>
  <si>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</si>
  <si>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</si>
  <si>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</si>
  <si>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</si>
  <si>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</si>
  <si>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</si>
  <si>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</si>
  <si>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</si>
  <si>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</si>
  <si>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</si>
  <si>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</si>
  <si>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</si>
  <si>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</si>
  <si>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</si>
  <si>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</si>
  <si>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</si>
  <si>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</si>
  <si>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</si>
  <si>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</si>
  <si>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</si>
  <si>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</si>
  <si>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</si>
  <si>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</si>
  <si>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</si>
  <si>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</si>
  <si>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</si>
  <si>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</si>
  <si>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</si>
  <si>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</si>
  <si>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</si>
  <si>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</si>
  <si>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</si>
  <si>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</si>
  <si>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</si>
  <si>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</si>
  <si>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</si>
  <si>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</si>
  <si>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</si>
  <si>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</si>
  <si>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</si>
  <si>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</si>
  <si>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</si>
  <si>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</si>
  <si>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</si>
  <si>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</si>
  <si>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</si>
  <si>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</si>
  <si>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</si>
  <si>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</si>
  <si>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</si>
  <si>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Z75 (ECP) / Z51 (MNAL)</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</si>
  <si>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</si>
  <si>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</si>
  <si>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</si>
  <si>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</si>
  <si>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</si>
  <si>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</si>
  <si>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Oxigenada 5%</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</si>
  <si>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</si>
  <si>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</si>
  <si>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</si>
  <si>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</si>
  <si>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</si>
  <si>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</si>
  <si>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</si>
  <si>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</si>
  <si>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</si>
  <si>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</si>
  <si>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</si>
  <si>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</si>
  <si>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</si>
  <si>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</si>
  <si>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</si>
  <si>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</si>
  <si>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</si>
  <si>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</si>
  <si>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</si>
  <si>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</si>
  <si>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</si>
  <si>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</si>
  <si>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</si>
  <si>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</si>
  <si>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</si>
  <si>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23.06.2022</t>
  </si>
  <si>
    <t>22.07.2022</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</si>
  <si>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</si>
  <si>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</si>
  <si>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</si>
  <si>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</si>
  <si>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</si>
  <si>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</si>
  <si>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</si>
  <si>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</si>
  <si>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</si>
  <si>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</si>
  <si>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RESOLUCION VIGENTE 40421 VIGENTE A PARTIR DEL 2 JUL 2022</t>
  </si>
  <si>
    <t>Gasolina Corriente E4</t>
  </si>
  <si>
    <t>Oxigena 4%</t>
  </si>
  <si>
    <t>RESOLUCION VIGENTE 40242 VIGENTE A PARTIR DEL 2 JUL 2022</t>
  </si>
  <si>
    <t>Vigencia: 16 de Julio de 2022; 00:00 horas</t>
  </si>
  <si>
    <t>DEPARTAMENTO DE CESAR (Rió de Oro)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</si>
</sst>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s>
  <fonts count="97"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b/>
      <sz val="10"/>
      <color theme="2" tint="-0.249977111117893"/>
      <name val="Calibri"/>
      <family val="2"/>
      <scheme val="minor"/>
    </font>
    <font>
      <b/>
      <sz val="10"/>
      <color theme="0" tint="-0.249977111117893"/>
      <name val="Calibri"/>
      <family val="2"/>
      <scheme val="minor"/>
    </font>
  </fonts>
  <fills count="35">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2" fillId="0" borderId="0"/>
    <xf numFmtId="41" fontId="1" fillId="0" borderId="0" applyFont="0" applyFill="0" applyBorder="0" applyAlignment="0" applyProtection="0"/>
    <xf numFmtId="0" fontId="89" fillId="0" borderId="0" applyNumberFormat="0" applyFill="0" applyBorder="0" applyAlignment="0" applyProtection="0"/>
    <xf numFmtId="9" fontId="9" fillId="0" borderId="0" applyFont="0" applyFill="0" applyBorder="0" applyAlignment="0" applyProtection="0"/>
  </cellStyleXfs>
  <cellXfs count="97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0" borderId="51" xfId="4" applyNumberFormat="1" applyFont="1" applyBorder="1" applyAlignment="1" applyProtection="1">
      <alignment horizontal="left" vertical="center" wrapText="1"/>
      <protection hidden="1"/>
    </xf>
    <xf numFmtId="43" fontId="30" fillId="9"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0" fontId="18" fillId="8" borderId="30" xfId="0" applyFont="1" applyFill="1" applyBorder="1" applyAlignment="1" applyProtection="1">
      <alignment horizontal="left" vertical="center" wrapText="1"/>
      <protection hidden="1"/>
    </xf>
    <xf numFmtId="167" fontId="30" fillId="8" borderId="51" xfId="4" applyNumberFormat="1" applyFont="1" applyFill="1" applyBorder="1" applyAlignment="1" applyProtection="1">
      <alignment horizontal="left" vertical="center" wrapText="1"/>
      <protection hidden="1"/>
    </xf>
    <xf numFmtId="167" fontId="30" fillId="3" borderId="51" xfId="4" applyNumberFormat="1" applyFont="1" applyFill="1" applyBorder="1" applyAlignment="1" applyProtection="1">
      <alignment horizontal="left"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3" borderId="24" xfId="8" applyFont="1" applyFill="1" applyBorder="1" applyAlignment="1" applyProtection="1">
      <alignment horizontal="center" vertical="center" wrapText="1"/>
      <protection hidden="1"/>
    </xf>
    <xf numFmtId="43" fontId="35" fillId="23"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3"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2"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4" borderId="76" xfId="3" applyFont="1" applyFill="1" applyBorder="1" applyAlignment="1" applyProtection="1">
      <alignment horizontal="center" vertical="center" wrapText="1"/>
      <protection hidden="1"/>
    </xf>
    <xf numFmtId="0" fontId="36" fillId="24" borderId="77" xfId="3" applyFont="1" applyFill="1" applyBorder="1" applyAlignment="1" applyProtection="1">
      <alignment horizontal="center" vertical="center" wrapText="1"/>
      <protection hidden="1"/>
    </xf>
    <xf numFmtId="168" fontId="47" fillId="24" borderId="68" xfId="3" quotePrefix="1" applyNumberFormat="1" applyFont="1" applyFill="1" applyBorder="1" applyAlignment="1" applyProtection="1">
      <alignment horizontal="center" vertical="center" wrapText="1"/>
      <protection hidden="1"/>
    </xf>
    <xf numFmtId="9" fontId="47" fillId="24" borderId="25" xfId="7" applyFont="1" applyFill="1" applyBorder="1" applyAlignment="1" applyProtection="1">
      <alignment horizontal="center" vertical="center" wrapText="1"/>
      <protection hidden="1"/>
    </xf>
    <xf numFmtId="0" fontId="36" fillId="24" borderId="68" xfId="3" applyFont="1" applyFill="1" applyBorder="1" applyAlignment="1" applyProtection="1">
      <alignment horizontal="center" vertical="center" wrapText="1"/>
      <protection hidden="1"/>
    </xf>
    <xf numFmtId="0" fontId="36" fillId="24"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8" fillId="0" borderId="0" xfId="0" applyFont="1" applyFill="1" applyBorder="1" applyAlignment="1" applyProtection="1">
      <alignment horizontal="left" vertical="center" wrapText="1"/>
      <protection hidden="1"/>
    </xf>
    <xf numFmtId="43" fontId="48"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49" fillId="0" borderId="0" xfId="0" applyFont="1" applyAlignment="1" applyProtection="1">
      <alignment horizontal="centerContinuous" vertical="center"/>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49" fillId="0" borderId="0" xfId="0" quotePrefix="1" applyFont="1" applyAlignment="1" applyProtection="1">
      <alignment horizontal="left" vertical="center"/>
      <protection hidden="1"/>
    </xf>
    <xf numFmtId="4" fontId="49" fillId="0" borderId="0" xfId="10" applyNumberFormat="1" applyFont="1" applyFill="1" applyBorder="1" applyAlignment="1" applyProtection="1">
      <alignment horizontal="center" vertical="center"/>
      <protection hidden="1"/>
    </xf>
    <xf numFmtId="0" fontId="53" fillId="0" borderId="0" xfId="2" applyFont="1" applyFill="1" applyBorder="1" applyAlignment="1" applyProtection="1">
      <alignment vertical="center"/>
      <protection hidden="1"/>
    </xf>
    <xf numFmtId="0" fontId="53" fillId="0" borderId="0" xfId="2" applyFont="1" applyFill="1" applyBorder="1" applyAlignment="1" applyProtection="1">
      <alignment vertical="center" wrapText="1"/>
      <protection hidden="1"/>
    </xf>
    <xf numFmtId="0" fontId="54" fillId="0" borderId="0" xfId="0" applyFont="1" applyFill="1" applyAlignment="1" applyProtection="1">
      <alignment vertical="center"/>
      <protection hidden="1"/>
    </xf>
    <xf numFmtId="4" fontId="55" fillId="0" borderId="0" xfId="1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0" fontId="55" fillId="0" borderId="0" xfId="0" applyFont="1" applyAlignment="1" applyProtection="1">
      <alignment vertical="center"/>
      <protection hidden="1"/>
    </xf>
    <xf numFmtId="0" fontId="56" fillId="0" borderId="0" xfId="2" applyFont="1" applyFill="1" applyBorder="1" applyAlignment="1" applyProtection="1">
      <alignment vertical="center"/>
      <protection hidden="1"/>
    </xf>
    <xf numFmtId="2" fontId="49" fillId="0" borderId="30" xfId="0" applyNumberFormat="1" applyFont="1" applyFill="1" applyBorder="1" applyAlignment="1" applyProtection="1">
      <alignment vertical="center"/>
      <protection hidden="1"/>
    </xf>
    <xf numFmtId="2" fontId="49" fillId="0" borderId="24" xfId="0" applyNumberFormat="1" applyFont="1" applyFill="1" applyBorder="1" applyAlignment="1" applyProtection="1">
      <alignment horizontal="center" vertical="center"/>
      <protection hidden="1"/>
    </xf>
    <xf numFmtId="4" fontId="49" fillId="0" borderId="24" xfId="0" applyNumberFormat="1" applyFont="1" applyFill="1" applyBorder="1" applyAlignment="1" applyProtection="1">
      <alignment horizontal="center" vertical="center"/>
      <protection hidden="1"/>
    </xf>
    <xf numFmtId="4" fontId="49" fillId="0" borderId="25" xfId="0" applyNumberFormat="1" applyFont="1" applyFill="1" applyBorder="1" applyAlignment="1" applyProtection="1">
      <alignment horizontal="center" vertical="center"/>
      <protection hidden="1"/>
    </xf>
    <xf numFmtId="4" fontId="49" fillId="0" borderId="24" xfId="0" quotePrefix="1" applyNumberFormat="1" applyFont="1" applyFill="1" applyBorder="1" applyAlignment="1" applyProtection="1">
      <alignment horizontal="center" vertical="center"/>
      <protection hidden="1"/>
    </xf>
    <xf numFmtId="4" fontId="49" fillId="0" borderId="25" xfId="0" quotePrefix="1" applyNumberFormat="1" applyFont="1" applyFill="1" applyBorder="1" applyAlignment="1" applyProtection="1">
      <alignment horizontal="center" vertical="center"/>
      <protection hidden="1"/>
    </xf>
    <xf numFmtId="2" fontId="49" fillId="0" borderId="30" xfId="0" applyNumberFormat="1" applyFont="1" applyBorder="1" applyAlignment="1" applyProtection="1">
      <alignment horizontal="left" vertical="center"/>
      <protection hidden="1"/>
    </xf>
    <xf numFmtId="3" fontId="49" fillId="0" borderId="24" xfId="0" quotePrefix="1" applyNumberFormat="1" applyFont="1" applyFill="1" applyBorder="1" applyAlignment="1" applyProtection="1">
      <alignment horizontal="center" vertical="center"/>
      <protection hidden="1"/>
    </xf>
    <xf numFmtId="3" fontId="49" fillId="0" borderId="25" xfId="0" quotePrefix="1" applyNumberFormat="1" applyFont="1" applyFill="1" applyBorder="1" applyAlignment="1" applyProtection="1">
      <alignment horizontal="center" vertical="center"/>
      <protection hidden="1"/>
    </xf>
    <xf numFmtId="2" fontId="49" fillId="0" borderId="30" xfId="0" applyNumberFormat="1" applyFont="1" applyBorder="1" applyAlignment="1" applyProtection="1">
      <alignment vertical="center"/>
      <protection hidden="1"/>
    </xf>
    <xf numFmtId="2" fontId="49" fillId="0" borderId="31" xfId="0" applyNumberFormat="1" applyFont="1" applyBorder="1" applyAlignment="1" applyProtection="1">
      <alignment horizontal="left" vertical="center"/>
      <protection hidden="1"/>
    </xf>
    <xf numFmtId="3" fontId="49" fillId="0" borderId="27" xfId="0" quotePrefix="1" applyNumberFormat="1" applyFont="1" applyFill="1" applyBorder="1" applyAlignment="1" applyProtection="1">
      <alignment horizontal="center" vertical="center"/>
      <protection hidden="1"/>
    </xf>
    <xf numFmtId="3" fontId="49"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7"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58" fillId="0" borderId="0" xfId="0" applyFont="1"/>
    <xf numFmtId="0" fontId="59"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0" fillId="0" borderId="0" xfId="0" applyFont="1"/>
    <xf numFmtId="10" fontId="61" fillId="8" borderId="1" xfId="0" applyNumberFormat="1" applyFont="1" applyFill="1" applyBorder="1" applyAlignment="1">
      <alignment horizontal="center"/>
    </xf>
    <xf numFmtId="0" fontId="61" fillId="8" borderId="1" xfId="0" applyFont="1" applyFill="1" applyBorder="1" applyAlignment="1">
      <alignment horizontal="center"/>
    </xf>
    <xf numFmtId="0" fontId="62"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4" fillId="5" borderId="1" xfId="1" applyNumberFormat="1" applyFont="1" applyFill="1" applyBorder="1" applyAlignment="1">
      <alignment horizontal="center" vertical="center" wrapText="1"/>
    </xf>
    <xf numFmtId="0" fontId="65" fillId="0" borderId="0" xfId="0" applyFont="1" applyFill="1" applyBorder="1"/>
    <xf numFmtId="0" fontId="65" fillId="0" borderId="0" xfId="0" applyNumberFormat="1" applyFont="1" applyFill="1" applyBorder="1"/>
    <xf numFmtId="4" fontId="65" fillId="0" borderId="0" xfId="0" applyNumberFormat="1" applyFont="1" applyFill="1" applyBorder="1"/>
    <xf numFmtId="171" fontId="65" fillId="0" borderId="0" xfId="0" applyNumberFormat="1" applyFont="1" applyFill="1" applyBorder="1"/>
    <xf numFmtId="171" fontId="65" fillId="3" borderId="0" xfId="0" applyNumberFormat="1" applyFont="1" applyFill="1" applyBorder="1"/>
    <xf numFmtId="0" fontId="66" fillId="3" borderId="0" xfId="0" applyNumberFormat="1" applyFont="1" applyFill="1"/>
    <xf numFmtId="43" fontId="65" fillId="0" borderId="0" xfId="0" applyNumberFormat="1" applyFont="1" applyFill="1" applyBorder="1"/>
    <xf numFmtId="164" fontId="0" fillId="0" borderId="1" xfId="1" applyNumberFormat="1" applyFont="1" applyFill="1" applyBorder="1"/>
    <xf numFmtId="0" fontId="63" fillId="0" borderId="1" xfId="0" applyFont="1" applyBorder="1"/>
    <xf numFmtId="164" fontId="0" fillId="5" borderId="1" xfId="1" applyNumberFormat="1" applyFont="1" applyFill="1" applyBorder="1"/>
    <xf numFmtId="164" fontId="64"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3" fillId="0" borderId="1" xfId="0" applyFont="1" applyBorder="1" applyAlignment="1">
      <alignment horizontal="right"/>
    </xf>
    <xf numFmtId="0" fontId="65" fillId="8" borderId="0" xfId="0" applyFont="1" applyFill="1" applyBorder="1"/>
    <xf numFmtId="43" fontId="65" fillId="8" borderId="0" xfId="0" applyNumberFormat="1" applyFont="1" applyFill="1" applyBorder="1"/>
    <xf numFmtId="0" fontId="66" fillId="8" borderId="0" xfId="0" applyNumberFormat="1" applyFont="1" applyFill="1" applyAlignment="1">
      <alignment horizontal="center"/>
    </xf>
    <xf numFmtId="0" fontId="65" fillId="8" borderId="0" xfId="0" applyNumberFormat="1" applyFont="1" applyFill="1" applyBorder="1"/>
    <xf numFmtId="171" fontId="65" fillId="8" borderId="0" xfId="0" applyNumberFormat="1" applyFont="1" applyFill="1" applyBorder="1"/>
    <xf numFmtId="0" fontId="66" fillId="8" borderId="0" xfId="0" applyNumberFormat="1" applyFont="1" applyFill="1"/>
    <xf numFmtId="4" fontId="65" fillId="8" borderId="0" xfId="0" applyNumberFormat="1" applyFont="1" applyFill="1" applyBorder="1"/>
    <xf numFmtId="0" fontId="0" fillId="26" borderId="1" xfId="0" applyFill="1" applyBorder="1" applyAlignment="1">
      <alignment horizontal="center"/>
    </xf>
    <xf numFmtId="0" fontId="65" fillId="3" borderId="0" xfId="0" applyFont="1" applyFill="1" applyBorder="1"/>
    <xf numFmtId="4" fontId="67"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4"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4"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6"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164" fontId="0" fillId="0" borderId="0" xfId="1" applyNumberFormat="1" applyFont="1"/>
    <xf numFmtId="0" fontId="68" fillId="19" borderId="0" xfId="0" applyFont="1" applyFill="1" applyBorder="1"/>
    <xf numFmtId="0" fontId="69"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1" fillId="19" borderId="1" xfId="1" applyNumberFormat="1" applyFont="1" applyFill="1" applyBorder="1"/>
    <xf numFmtId="43" fontId="67" fillId="0" borderId="0" xfId="0" applyNumberFormat="1" applyFont="1" applyFill="1" applyBorder="1"/>
    <xf numFmtId="0" fontId="67" fillId="0" borderId="0" xfId="0" applyFont="1" applyFill="1" applyBorder="1"/>
    <xf numFmtId="0" fontId="72" fillId="3" borderId="0" xfId="0" applyNumberFormat="1" applyFont="1" applyFill="1"/>
    <xf numFmtId="0" fontId="67" fillId="0" borderId="0" xfId="0" applyNumberFormat="1" applyFont="1" applyFill="1" applyBorder="1"/>
    <xf numFmtId="171" fontId="67" fillId="3" borderId="0" xfId="0" applyNumberFormat="1" applyFont="1" applyFill="1" applyBorder="1"/>
    <xf numFmtId="0" fontId="71" fillId="0" borderId="1" xfId="0" applyFont="1" applyBorder="1"/>
    <xf numFmtId="2" fontId="71" fillId="0" borderId="1" xfId="0" applyNumberFormat="1" applyFont="1" applyBorder="1"/>
    <xf numFmtId="43" fontId="65" fillId="3" borderId="0" xfId="0" applyNumberFormat="1" applyFont="1" applyFill="1" applyBorder="1"/>
    <xf numFmtId="0" fontId="65" fillId="3" borderId="0" xfId="0" applyNumberFormat="1" applyFont="1" applyFill="1" applyBorder="1"/>
    <xf numFmtId="4" fontId="65"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3" fillId="3" borderId="0" xfId="0" applyFont="1" applyFill="1" applyAlignment="1">
      <alignment horizontal="right"/>
    </xf>
    <xf numFmtId="0" fontId="36" fillId="0" borderId="0" xfId="3" applyFont="1" applyFill="1" applyAlignment="1" applyProtection="1">
      <alignment horizontal="left" vertical="center"/>
      <protection hidden="1"/>
    </xf>
    <xf numFmtId="4" fontId="67" fillId="3" borderId="0" xfId="0" applyNumberFormat="1" applyFont="1" applyFill="1" applyBorder="1"/>
    <xf numFmtId="0" fontId="0" fillId="3" borderId="0" xfId="0" applyFill="1"/>
    <xf numFmtId="0" fontId="33" fillId="3" borderId="0" xfId="0" applyFont="1" applyFill="1"/>
    <xf numFmtId="0" fontId="33" fillId="27" borderId="0" xfId="0" applyFont="1" applyFill="1"/>
    <xf numFmtId="0" fontId="75" fillId="19" borderId="0" xfId="0" applyFont="1" applyFill="1" applyBorder="1"/>
    <xf numFmtId="0" fontId="65" fillId="7" borderId="0" xfId="0" applyFont="1" applyFill="1" applyBorder="1"/>
    <xf numFmtId="172" fontId="50"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57" fillId="0" borderId="1" xfId="0" applyNumberFormat="1" applyFont="1" applyFill="1" applyBorder="1"/>
    <xf numFmtId="10" fontId="0" fillId="28" borderId="1" xfId="0" applyNumberFormat="1" applyFill="1" applyBorder="1"/>
    <xf numFmtId="0" fontId="71" fillId="0" borderId="0" xfId="0" applyFont="1"/>
    <xf numFmtId="2" fontId="33"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2" fontId="0" fillId="27" borderId="11" xfId="0" applyNumberFormat="1" applyFill="1" applyBorder="1"/>
    <xf numFmtId="0" fontId="76" fillId="0" borderId="0" xfId="0" applyFont="1" applyBorder="1" applyAlignment="1" applyProtection="1">
      <alignment vertical="center"/>
      <protection hidden="1"/>
    </xf>
    <xf numFmtId="0" fontId="63"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38" fillId="21" borderId="14"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5" fontId="0" fillId="0" borderId="0" xfId="0" applyNumberFormat="1"/>
    <xf numFmtId="176" fontId="0" fillId="0" borderId="0" xfId="0" applyNumberFormat="1"/>
    <xf numFmtId="174" fontId="71" fillId="3" borderId="1" xfId="0" applyNumberFormat="1" applyFont="1" applyFill="1" applyBorder="1"/>
    <xf numFmtId="2" fontId="71" fillId="3" borderId="1" xfId="0" applyNumberFormat="1" applyFont="1" applyFill="1" applyBorder="1"/>
    <xf numFmtId="0" fontId="77" fillId="0" borderId="0" xfId="0" applyFont="1"/>
    <xf numFmtId="0" fontId="78" fillId="0" borderId="94" xfId="0" applyFont="1" applyBorder="1" applyAlignment="1">
      <alignment horizontal="left" vertical="center"/>
    </xf>
    <xf numFmtId="0" fontId="0" fillId="27" borderId="93" xfId="0" applyFill="1" applyBorder="1" applyAlignment="1">
      <alignment vertical="center" wrapText="1"/>
    </xf>
    <xf numFmtId="175" fontId="0" fillId="7" borderId="88" xfId="0" applyNumberFormat="1" applyFill="1" applyBorder="1"/>
    <xf numFmtId="174" fontId="0" fillId="0" borderId="0" xfId="0" applyNumberFormat="1"/>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82" fillId="0" borderId="1" xfId="0" applyFont="1" applyFill="1" applyBorder="1"/>
    <xf numFmtId="164" fontId="82" fillId="0" borderId="1" xfId="1" applyNumberFormat="1" applyFont="1" applyFill="1" applyBorder="1"/>
    <xf numFmtId="43" fontId="82" fillId="0" borderId="0" xfId="0" applyNumberFormat="1" applyFont="1" applyFill="1" applyBorder="1" applyAlignment="1">
      <alignment horizontal="center"/>
    </xf>
    <xf numFmtId="43" fontId="82" fillId="0" borderId="0" xfId="0" applyNumberFormat="1" applyFont="1" applyFill="1"/>
    <xf numFmtId="0" fontId="82" fillId="0" borderId="0" xfId="0" applyFont="1" applyFill="1"/>
    <xf numFmtId="171" fontId="65" fillId="19" borderId="0" xfId="0" applyNumberFormat="1" applyFont="1" applyFill="1" applyBorder="1"/>
    <xf numFmtId="0" fontId="65" fillId="19" borderId="0" xfId="0" applyFont="1" applyFill="1" applyBorder="1"/>
    <xf numFmtId="43" fontId="65" fillId="19" borderId="0" xfId="0" applyNumberFormat="1" applyFont="1" applyFill="1" applyBorder="1"/>
    <xf numFmtId="0" fontId="65" fillId="22" borderId="0" xfId="0" applyFont="1" applyFill="1" applyBorder="1"/>
    <xf numFmtId="43" fontId="65" fillId="22" borderId="0" xfId="0" applyNumberFormat="1" applyFont="1" applyFill="1" applyBorder="1"/>
    <xf numFmtId="171" fontId="65" fillId="22" borderId="0" xfId="0" applyNumberFormat="1" applyFont="1" applyFill="1" applyBorder="1"/>
    <xf numFmtId="43" fontId="65" fillId="25" borderId="0" xfId="0" applyNumberFormat="1" applyFont="1" applyFill="1" applyBorder="1"/>
    <xf numFmtId="0" fontId="65" fillId="25" borderId="0" xfId="0" applyFont="1" applyFill="1" applyBorder="1"/>
    <xf numFmtId="0" fontId="65" fillId="15" borderId="0" xfId="0" applyFont="1" applyFill="1" applyBorder="1"/>
    <xf numFmtId="43" fontId="65" fillId="15" borderId="0" xfId="0" applyNumberFormat="1" applyFont="1" applyFill="1" applyBorder="1"/>
    <xf numFmtId="171" fontId="65" fillId="15" borderId="0" xfId="0" applyNumberFormat="1" applyFont="1" applyFill="1" applyBorder="1"/>
    <xf numFmtId="0" fontId="57"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7" borderId="0" xfId="0" applyNumberFormat="1" applyFont="1" applyFill="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178" fontId="36" fillId="12" borderId="24" xfId="3" quotePrefix="1" applyNumberFormat="1" applyFont="1" applyFill="1" applyBorder="1" applyAlignment="1" applyProtection="1">
      <alignment horizontal="center" vertical="center" wrapText="1"/>
      <protection hidden="1"/>
    </xf>
    <xf numFmtId="0" fontId="83" fillId="0" borderId="0" xfId="0" applyFont="1" applyFill="1" applyBorder="1"/>
    <xf numFmtId="43" fontId="83" fillId="19" borderId="0" xfId="0" applyNumberFormat="1" applyFont="1" applyFill="1" applyBorder="1"/>
    <xf numFmtId="0" fontId="83" fillId="0" borderId="0" xfId="0" applyNumberFormat="1" applyFont="1" applyFill="1" applyBorder="1"/>
    <xf numFmtId="171" fontId="83" fillId="0" borderId="0" xfId="0" applyNumberFormat="1" applyFont="1" applyFill="1" applyBorder="1"/>
    <xf numFmtId="0" fontId="10" fillId="0" borderId="0" xfId="0" applyFont="1" applyFill="1"/>
    <xf numFmtId="0" fontId="0" fillId="0" borderId="0" xfId="0" applyFill="1"/>
    <xf numFmtId="0" fontId="10" fillId="0" borderId="84" xfId="0" applyFont="1" applyFill="1" applyBorder="1" applyAlignment="1">
      <alignment horizontal="left"/>
    </xf>
    <xf numFmtId="164" fontId="64" fillId="20" borderId="1" xfId="1" applyNumberFormat="1" applyFont="1" applyFill="1" applyBorder="1" applyAlignment="1">
      <alignment horizontal="center" vertical="center" wrapText="1"/>
    </xf>
    <xf numFmtId="43" fontId="33" fillId="0" borderId="1" xfId="0" applyNumberFormat="1" applyFont="1" applyBorder="1" applyAlignment="1">
      <alignment horizont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164" fontId="85" fillId="29" borderId="1" xfId="1" applyNumberFormat="1" applyFont="1" applyFill="1" applyBorder="1" applyAlignment="1">
      <alignment horizontal="center" vertical="center" wrapText="1"/>
    </xf>
    <xf numFmtId="164" fontId="8" fillId="0" borderId="0" xfId="1" applyNumberFormat="1" applyFont="1" applyBorder="1"/>
    <xf numFmtId="2" fontId="33" fillId="2" borderId="0" xfId="0" applyNumberFormat="1" applyFont="1" applyFill="1"/>
    <xf numFmtId="173" fontId="36" fillId="12" borderId="24" xfId="3" quotePrefix="1" applyNumberFormat="1" applyFont="1" applyFill="1" applyBorder="1" applyAlignment="1" applyProtection="1">
      <alignment horizontal="center" vertical="center" wrapText="1"/>
      <protection hidden="1"/>
    </xf>
    <xf numFmtId="166" fontId="18" fillId="30" borderId="22" xfId="4" applyNumberFormat="1" applyFont="1" applyFill="1" applyBorder="1" applyAlignment="1" applyProtection="1">
      <alignment horizontal="center" vertical="center" wrapText="1"/>
      <protection hidden="1"/>
    </xf>
    <xf numFmtId="167" fontId="30" fillId="30" borderId="47" xfId="4" applyNumberFormat="1" applyFont="1" applyFill="1" applyBorder="1" applyAlignment="1" applyProtection="1">
      <alignment horizontal="center" vertical="center" wrapText="1"/>
      <protection hidden="1"/>
    </xf>
    <xf numFmtId="167" fontId="74" fillId="30" borderId="47" xfId="4" applyNumberFormat="1" applyFont="1" applyFill="1" applyBorder="1" applyAlignment="1" applyProtection="1">
      <alignment horizontal="center" vertical="center" wrapText="1"/>
      <protection hidden="1"/>
    </xf>
    <xf numFmtId="43" fontId="30" fillId="30" borderId="44" xfId="4" applyFont="1" applyFill="1" applyBorder="1" applyAlignment="1" applyProtection="1">
      <alignment horizontal="center" wrapText="1"/>
      <protection hidden="1"/>
    </xf>
    <xf numFmtId="43" fontId="30" fillId="30" borderId="44" xfId="4" applyFont="1" applyFill="1" applyBorder="1" applyAlignment="1" applyProtection="1">
      <alignment horizontal="center" vertical="center" wrapText="1"/>
      <protection hidden="1"/>
    </xf>
    <xf numFmtId="43" fontId="18" fillId="0" borderId="24" xfId="4" quotePrefix="1" applyFont="1" applyFill="1" applyBorder="1" applyAlignment="1" applyProtection="1">
      <alignment horizontal="center" vertical="center" wrapText="1"/>
      <protection hidden="1"/>
    </xf>
    <xf numFmtId="43" fontId="18" fillId="28" borderId="24" xfId="4" applyFont="1" applyFill="1" applyBorder="1" applyAlignment="1" applyProtection="1">
      <alignment horizontal="center" vertical="center" wrapText="1"/>
      <protection hidden="1"/>
    </xf>
    <xf numFmtId="2" fontId="20" fillId="28" borderId="24" xfId="0" applyNumberFormat="1" applyFont="1" applyFill="1" applyBorder="1" applyAlignment="1" applyProtection="1">
      <alignment horizontal="right" vertical="center" wrapText="1"/>
      <protection hidden="1"/>
    </xf>
    <xf numFmtId="43" fontId="18" fillId="28" borderId="24" xfId="4" applyFont="1" applyFill="1" applyBorder="1" applyAlignment="1" applyProtection="1">
      <alignment vertical="center" wrapText="1"/>
      <protection hidden="1"/>
    </xf>
    <xf numFmtId="43" fontId="18" fillId="28" borderId="24" xfId="4" quotePrefix="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2" fontId="65" fillId="3" borderId="0" xfId="0" applyNumberFormat="1" applyFont="1" applyFill="1" applyBorder="1"/>
    <xf numFmtId="0" fontId="81" fillId="3" borderId="0" xfId="0" applyFont="1" applyFill="1"/>
    <xf numFmtId="171" fontId="87" fillId="28" borderId="1" xfId="0" applyNumberFormat="1" applyFont="1" applyFill="1" applyBorder="1" applyAlignment="1">
      <alignment horizontal="center"/>
    </xf>
    <xf numFmtId="43" fontId="18" fillId="3" borderId="25"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57"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60" xfId="0" applyNumberFormat="1" applyFont="1" applyBorder="1" applyAlignment="1" applyProtection="1">
      <alignment horizontal="center" vertical="center" wrapText="1"/>
      <protection hidden="1"/>
    </xf>
    <xf numFmtId="43" fontId="35" fillId="0" borderId="33" xfId="0" applyNumberFormat="1" applyFont="1" applyBorder="1" applyAlignment="1" applyProtection="1">
      <alignment horizontal="center" vertical="center" wrapText="1"/>
      <protection hidden="1"/>
    </xf>
    <xf numFmtId="43" fontId="35" fillId="17" borderId="59" xfId="8" applyFont="1" applyFill="1" applyBorder="1" applyAlignment="1" applyProtection="1">
      <alignment horizontal="center" vertical="center" wrapText="1"/>
      <protection hidden="1"/>
    </xf>
    <xf numFmtId="43" fontId="35" fillId="0" borderId="60" xfId="8" applyFont="1" applyFill="1" applyBorder="1" applyAlignment="1" applyProtection="1">
      <alignment horizontal="center" vertical="center" wrapText="1"/>
      <protection hidden="1"/>
    </xf>
    <xf numFmtId="43" fontId="35" fillId="13" borderId="33" xfId="8" applyFont="1" applyFill="1" applyBorder="1" applyAlignment="1" applyProtection="1">
      <alignment horizontal="center" vertical="center" wrapText="1"/>
      <protection hidden="1"/>
    </xf>
    <xf numFmtId="43" fontId="35" fillId="31" borderId="58" xfId="0" applyNumberFormat="1" applyFont="1" applyFill="1" applyBorder="1" applyAlignment="1" applyProtection="1">
      <alignment horizontal="right" vertical="center" wrapText="1"/>
      <protection hidden="1"/>
    </xf>
    <xf numFmtId="43" fontId="35" fillId="31" borderId="24" xfId="8" applyFont="1" applyFill="1" applyBorder="1" applyAlignment="1" applyProtection="1">
      <alignment horizontal="center" vertical="center" wrapText="1"/>
      <protection hidden="1"/>
    </xf>
    <xf numFmtId="43" fontId="35" fillId="31" borderId="68" xfId="8" applyFont="1" applyFill="1" applyBorder="1" applyAlignment="1" applyProtection="1">
      <alignment horizontal="center" vertical="center" wrapText="1"/>
      <protection hidden="1"/>
    </xf>
    <xf numFmtId="43" fontId="35" fillId="31" borderId="69"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170" fontId="0" fillId="0" borderId="0" xfId="0" applyNumberFormat="1" applyAlignment="1">
      <alignment horizontal="center"/>
    </xf>
    <xf numFmtId="43" fontId="35" fillId="31" borderId="58" xfId="8" applyFont="1" applyFill="1" applyBorder="1" applyAlignment="1" applyProtection="1">
      <alignment horizontal="center" vertical="center" wrapText="1"/>
      <protection hidden="1"/>
    </xf>
    <xf numFmtId="43" fontId="35" fillId="31" borderId="0" xfId="8" applyFont="1" applyFill="1" applyBorder="1" applyAlignment="1" applyProtection="1">
      <alignment horizontal="center" vertical="center" wrapText="1"/>
      <protection hidden="1"/>
    </xf>
    <xf numFmtId="165" fontId="35" fillId="31" borderId="58" xfId="0" applyNumberFormat="1" applyFont="1" applyFill="1" applyBorder="1" applyAlignment="1" applyProtection="1">
      <alignment horizontal="center" vertical="center" wrapText="1"/>
      <protection hidden="1"/>
    </xf>
    <xf numFmtId="43" fontId="35" fillId="31" borderId="38" xfId="8" applyFont="1" applyFill="1" applyBorder="1" applyAlignment="1" applyProtection="1">
      <alignment horizontal="center" vertical="center" wrapText="1"/>
      <protection hidden="1"/>
    </xf>
    <xf numFmtId="43" fontId="35" fillId="0" borderId="37" xfId="8" quotePrefix="1" applyFont="1" applyFill="1" applyBorder="1" applyAlignment="1" applyProtection="1">
      <alignment horizontal="center" vertical="center" wrapText="1"/>
      <protection hidden="1"/>
    </xf>
    <xf numFmtId="43" fontId="35" fillId="30" borderId="58" xfId="8" applyFont="1" applyFill="1" applyBorder="1" applyAlignment="1" applyProtection="1">
      <alignment horizontal="center" vertical="center" wrapText="1"/>
      <protection hidden="1"/>
    </xf>
    <xf numFmtId="43" fontId="35" fillId="30" borderId="58" xfId="8" applyNumberFormat="1" applyFont="1" applyFill="1" applyBorder="1" applyAlignment="1" applyProtection="1">
      <alignment horizontal="center" vertical="center" wrapText="1"/>
      <protection hidden="1"/>
    </xf>
    <xf numFmtId="2" fontId="63" fillId="0" borderId="0" xfId="0" applyNumberFormat="1" applyFont="1"/>
    <xf numFmtId="0" fontId="88"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0" fillId="0" borderId="0" xfId="0"/>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4" xfId="3" applyFont="1" applyFill="1" applyBorder="1" applyAlignment="1" applyProtection="1">
      <alignment horizontal="center" vertical="center"/>
      <protection hidden="1"/>
    </xf>
    <xf numFmtId="0" fontId="41"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90" fillId="8" borderId="1" xfId="1" applyNumberFormat="1" applyFont="1" applyFill="1" applyBorder="1" applyAlignment="1">
      <alignment horizontal="center" vertical="center" wrapText="1"/>
    </xf>
    <xf numFmtId="43" fontId="35" fillId="8" borderId="24" xfId="8" applyFont="1" applyFill="1" applyBorder="1" applyAlignment="1" applyProtection="1">
      <alignment horizontal="center" vertical="center" wrapText="1"/>
      <protection hidden="1"/>
    </xf>
    <xf numFmtId="43" fontId="35" fillId="8" borderId="24" xfId="8" quotePrefix="1" applyFont="1" applyFill="1" applyBorder="1" applyAlignment="1" applyProtection="1">
      <alignment horizontal="center" vertical="center" wrapText="1"/>
      <protection hidden="1"/>
    </xf>
    <xf numFmtId="43" fontId="35" fillId="8" borderId="58" xfId="8" applyFont="1" applyFill="1" applyBorder="1" applyAlignment="1" applyProtection="1">
      <alignment horizontal="center" vertical="center" wrapText="1"/>
      <protection hidden="1"/>
    </xf>
    <xf numFmtId="43" fontId="35" fillId="8" borderId="57" xfId="8" applyFont="1" applyFill="1" applyBorder="1" applyAlignment="1" applyProtection="1">
      <alignment horizontal="center" vertical="center" wrapText="1"/>
      <protection hidden="1"/>
    </xf>
    <xf numFmtId="43" fontId="35" fillId="8" borderId="37" xfId="8" applyFont="1" applyFill="1" applyBorder="1" applyAlignment="1" applyProtection="1">
      <alignment horizontal="center" vertical="center" wrapText="1"/>
      <protection hidden="1"/>
    </xf>
    <xf numFmtId="43" fontId="35" fillId="8" borderId="58" xfId="8" applyNumberFormat="1" applyFont="1" applyFill="1" applyBorder="1" applyAlignment="1" applyProtection="1">
      <alignment horizontal="center" vertical="center" wrapText="1"/>
      <protection hidden="1"/>
    </xf>
    <xf numFmtId="2" fontId="35" fillId="8" borderId="58" xfId="0" applyNumberFormat="1" applyFont="1" applyFill="1" applyBorder="1" applyAlignment="1" applyProtection="1">
      <alignment horizontal="right" vertical="center" wrapText="1"/>
      <protection hidden="1"/>
    </xf>
    <xf numFmtId="43" fontId="35" fillId="8" borderId="58" xfId="0" applyNumberFormat="1" applyFont="1" applyFill="1" applyBorder="1" applyAlignment="1" applyProtection="1">
      <alignment horizontal="center" vertical="center" wrapText="1"/>
      <protection hidden="1"/>
    </xf>
    <xf numFmtId="43" fontId="35" fillId="8" borderId="58" xfId="0" applyNumberFormat="1" applyFont="1" applyFill="1" applyBorder="1" applyAlignment="1" applyProtection="1">
      <alignment horizontal="right" vertical="center" wrapText="1"/>
      <protection hidden="1"/>
    </xf>
    <xf numFmtId="43" fontId="35" fillId="17" borderId="98" xfId="8" applyFont="1" applyFill="1" applyBorder="1" applyAlignment="1" applyProtection="1">
      <alignment horizontal="center" vertical="center" wrapText="1"/>
      <protection hidden="1"/>
    </xf>
    <xf numFmtId="43" fontId="35" fillId="8" borderId="32" xfId="8" applyFont="1" applyFill="1" applyBorder="1" applyAlignment="1" applyProtection="1">
      <alignment horizontal="center" vertical="center" wrapText="1"/>
      <protection hidden="1"/>
    </xf>
    <xf numFmtId="43" fontId="35" fillId="8" borderId="68" xfId="8" applyFont="1" applyFill="1" applyBorder="1" applyAlignment="1" applyProtection="1">
      <alignment horizontal="center" vertical="center" wrapText="1"/>
      <protection hidden="1"/>
    </xf>
    <xf numFmtId="0" fontId="36" fillId="24" borderId="99" xfId="3" applyFont="1" applyFill="1" applyBorder="1" applyAlignment="1" applyProtection="1">
      <alignment horizontal="center" vertical="center" wrapText="1"/>
      <protection hidden="1"/>
    </xf>
    <xf numFmtId="9" fontId="47" fillId="24" borderId="58" xfId="7" applyFont="1" applyFill="1" applyBorder="1" applyAlignment="1" applyProtection="1">
      <alignment horizontal="center" vertical="center" wrapText="1"/>
      <protection hidden="1"/>
    </xf>
    <xf numFmtId="0" fontId="36" fillId="24" borderId="58" xfId="3" applyFont="1" applyFill="1" applyBorder="1" applyAlignment="1" applyProtection="1">
      <alignment horizontal="center" vertical="center" wrapText="1"/>
      <protection hidden="1"/>
    </xf>
    <xf numFmtId="49" fontId="35" fillId="0" borderId="68" xfId="6" applyNumberFormat="1" applyFont="1" applyFill="1" applyBorder="1" applyAlignment="1" applyProtection="1">
      <alignment horizontal="center" vertical="center" wrapText="1"/>
      <protection hidden="1"/>
    </xf>
    <xf numFmtId="166" fontId="18" fillId="7" borderId="22" xfId="4" applyNumberFormat="1" applyFont="1" applyFill="1" applyBorder="1" applyAlignment="1" applyProtection="1">
      <alignment horizontal="center" vertical="center" wrapText="1"/>
      <protection hidden="1"/>
    </xf>
    <xf numFmtId="43" fontId="35" fillId="13" borderId="24" xfId="6" quotePrefix="1" applyFont="1" applyFill="1" applyBorder="1" applyAlignment="1" applyProtection="1">
      <alignment horizontal="center" vertical="center" wrapText="1"/>
      <protection hidden="1"/>
    </xf>
    <xf numFmtId="43" fontId="35" fillId="13" borderId="30" xfId="6" quotePrefix="1" applyFont="1" applyFill="1" applyBorder="1" applyAlignment="1" applyProtection="1">
      <alignment horizontal="center" vertical="center" wrapText="1"/>
      <protection hidden="1"/>
    </xf>
    <xf numFmtId="0" fontId="32" fillId="11" borderId="0" xfId="0" applyFont="1" applyFill="1" applyBorder="1" applyAlignment="1" applyProtection="1">
      <alignment horizontal="center" vertical="center" wrapText="1"/>
      <protection hidden="1"/>
    </xf>
    <xf numFmtId="177" fontId="0" fillId="33" borderId="1" xfId="1" applyNumberFormat="1" applyFont="1" applyFill="1" applyBorder="1"/>
    <xf numFmtId="164" fontId="0" fillId="33" borderId="1" xfId="1" applyNumberFormat="1" applyFont="1" applyFill="1" applyBorder="1"/>
    <xf numFmtId="164" fontId="0" fillId="22" borderId="1" xfId="1" applyNumberFormat="1" applyFont="1" applyFill="1" applyBorder="1"/>
    <xf numFmtId="0" fontId="10" fillId="0" borderId="1" xfId="0" applyFont="1" applyFill="1" applyBorder="1" applyAlignment="1">
      <alignment vertical="center"/>
    </xf>
    <xf numFmtId="9" fontId="0" fillId="0" borderId="0" xfId="0" applyNumberFormat="1" applyFill="1" applyAlignment="1">
      <alignment horizontal="center"/>
    </xf>
    <xf numFmtId="0" fontId="0" fillId="0" borderId="1" xfId="0" applyFill="1" applyBorder="1" applyAlignment="1">
      <alignment horizontal="center" vertical="center" wrapText="1"/>
    </xf>
    <xf numFmtId="174" fontId="0" fillId="0" borderId="1" xfId="0" applyNumberFormat="1" applyFill="1" applyBorder="1"/>
    <xf numFmtId="175" fontId="0" fillId="0" borderId="1" xfId="0" applyNumberFormat="1" applyFill="1" applyBorder="1"/>
    <xf numFmtId="2" fontId="0" fillId="0" borderId="11" xfId="0" applyNumberFormat="1" applyFill="1" applyBorder="1"/>
    <xf numFmtId="0" fontId="70" fillId="0" borderId="0" xfId="3" applyFont="1" applyFill="1" applyBorder="1" applyAlignment="1" applyProtection="1">
      <alignment vertical="center" wrapText="1"/>
      <protection hidden="1"/>
    </xf>
    <xf numFmtId="165" fontId="35" fillId="0" borderId="58" xfId="0" applyNumberFormat="1"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41" fillId="3"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58" xfId="8" quotePrefix="1" applyFont="1" applyFill="1" applyBorder="1" applyAlignment="1" applyProtection="1">
      <alignment horizontal="center" vertical="center" wrapText="1"/>
      <protection hidden="1"/>
    </xf>
    <xf numFmtId="164" fontId="82" fillId="0" borderId="0" xfId="1" applyNumberFormat="1" applyFont="1" applyFill="1" applyBorder="1"/>
    <xf numFmtId="177" fontId="0" fillId="0" borderId="1" xfId="1" applyNumberFormat="1" applyFont="1" applyFill="1" applyBorder="1"/>
    <xf numFmtId="164" fontId="92" fillId="27" borderId="1" xfId="1" applyNumberFormat="1" applyFont="1" applyFill="1" applyBorder="1"/>
    <xf numFmtId="168" fontId="47" fillId="24" borderId="58" xfId="3" quotePrefix="1" applyNumberFormat="1" applyFont="1" applyFill="1" applyBorder="1" applyAlignment="1" applyProtection="1">
      <alignment horizontal="center" vertical="center" wrapText="1"/>
      <protection hidden="1"/>
    </xf>
    <xf numFmtId="43" fontId="35" fillId="13" borderId="58" xfId="8" quotePrefix="1" applyFont="1" applyFill="1" applyBorder="1" applyAlignment="1" applyProtection="1">
      <alignment horizontal="center" vertical="center" wrapText="1"/>
      <protection hidden="1"/>
    </xf>
    <xf numFmtId="43" fontId="0" fillId="34" borderId="1" xfId="0" applyNumberFormat="1" applyFill="1" applyBorder="1"/>
    <xf numFmtId="43" fontId="35" fillId="0" borderId="33" xfId="8" applyFont="1" applyFill="1" applyBorder="1" applyAlignment="1" applyProtection="1">
      <alignment horizontal="center" vertical="center" wrapText="1"/>
      <protection hidden="1"/>
    </xf>
    <xf numFmtId="2" fontId="65" fillId="0" borderId="0" xfId="0" applyNumberFormat="1" applyFont="1" applyFill="1" applyBorder="1"/>
    <xf numFmtId="0" fontId="8" fillId="0" borderId="0" xfId="0" applyFont="1"/>
    <xf numFmtId="9" fontId="8" fillId="0" borderId="0" xfId="0" applyNumberFormat="1" applyFont="1"/>
    <xf numFmtId="2" fontId="8" fillId="0" borderId="0" xfId="0" applyNumberFormat="1" applyFont="1"/>
    <xf numFmtId="0" fontId="93" fillId="0" borderId="100" xfId="0" applyFont="1" applyBorder="1" applyAlignment="1">
      <alignment horizontal="center"/>
    </xf>
    <xf numFmtId="2" fontId="8" fillId="0" borderId="101" xfId="0" applyNumberFormat="1" applyFont="1" applyBorder="1"/>
    <xf numFmtId="2" fontId="8" fillId="0" borderId="102" xfId="0" applyNumberFormat="1" applyFont="1" applyBorder="1"/>
    <xf numFmtId="2" fontId="71" fillId="0" borderId="101" xfId="0" applyNumberFormat="1" applyFont="1" applyBorder="1"/>
    <xf numFmtId="0" fontId="36" fillId="16" borderId="0"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0" fontId="24" fillId="0" borderId="0" xfId="0" applyFont="1" applyBorder="1" applyAlignment="1" applyProtection="1">
      <alignment horizontal="justify" vertical="top" wrapText="1"/>
      <protection hidden="1"/>
    </xf>
    <xf numFmtId="0" fontId="13" fillId="12" borderId="35" xfId="0" quotePrefix="1"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3" borderId="25" xfId="8" applyFont="1" applyFill="1" applyBorder="1" applyAlignment="1" applyProtection="1">
      <alignment horizontal="center" vertical="center" wrapText="1"/>
      <protection hidden="1"/>
    </xf>
    <xf numFmtId="43" fontId="35" fillId="3" borderId="58" xfId="8" applyFont="1" applyFill="1" applyBorder="1" applyAlignment="1" applyProtection="1">
      <alignment horizontal="center" vertical="center" wrapText="1"/>
      <protection hidden="1"/>
    </xf>
    <xf numFmtId="43" fontId="35" fillId="3" borderId="60" xfId="8" applyFont="1" applyFill="1" applyBorder="1" applyAlignment="1" applyProtection="1">
      <alignment horizontal="center" vertical="center" wrapText="1"/>
      <protection hidden="1"/>
    </xf>
    <xf numFmtId="0" fontId="27" fillId="3" borderId="0"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4" xfId="3" quotePrefix="1" applyNumberFormat="1" applyFont="1" applyFill="1" applyBorder="1" applyAlignment="1" applyProtection="1">
      <alignment horizontal="center" vertical="center" wrapText="1"/>
      <protection hidden="1"/>
    </xf>
    <xf numFmtId="43" fontId="35" fillId="3" borderId="61" xfId="8" quotePrefix="1" applyFont="1" applyFill="1" applyBorder="1" applyAlignment="1" applyProtection="1">
      <alignment horizontal="center" vertical="center" wrapText="1"/>
      <protection hidden="1"/>
    </xf>
    <xf numFmtId="43" fontId="35" fillId="3" borderId="37" xfId="8" quotePrefix="1" applyFont="1" applyFill="1" applyBorder="1" applyAlignment="1" applyProtection="1">
      <alignment horizontal="center" vertical="center" wrapText="1"/>
      <protection hidden="1"/>
    </xf>
    <xf numFmtId="43" fontId="35" fillId="3" borderId="37" xfId="8" applyFont="1" applyFill="1" applyBorder="1" applyAlignment="1" applyProtection="1">
      <alignment horizontal="center" vertical="center" wrapText="1"/>
      <protection hidden="1"/>
    </xf>
    <xf numFmtId="0" fontId="36" fillId="12" borderId="37" xfId="3" applyFont="1" applyFill="1" applyBorder="1" applyAlignment="1" applyProtection="1">
      <alignment horizontal="center" vertical="center" wrapText="1"/>
      <protection hidden="1"/>
    </xf>
    <xf numFmtId="9" fontId="36" fillId="12" borderId="58" xfId="3" quotePrefix="1" applyNumberFormat="1" applyFont="1" applyFill="1" applyBorder="1" applyAlignment="1" applyProtection="1">
      <alignment horizontal="center" vertical="center" wrapText="1"/>
      <protection hidden="1"/>
    </xf>
    <xf numFmtId="43" fontId="35" fillId="23" borderId="58" xfId="8" applyFont="1" applyFill="1" applyBorder="1" applyAlignment="1" applyProtection="1">
      <alignment horizontal="center" vertical="center" wrapText="1"/>
      <protection hidden="1"/>
    </xf>
    <xf numFmtId="9" fontId="36" fillId="12" borderId="57" xfId="3" quotePrefix="1" applyNumberFormat="1" applyFont="1" applyFill="1" applyBorder="1" applyAlignment="1" applyProtection="1">
      <alignment horizontal="center" vertical="center" wrapText="1"/>
      <protection hidden="1"/>
    </xf>
    <xf numFmtId="43" fontId="35" fillId="3" borderId="58" xfId="0" applyNumberFormat="1" applyFont="1" applyFill="1" applyBorder="1" applyAlignment="1" applyProtection="1">
      <alignment horizontal="right" vertical="center" wrapText="1"/>
      <protection hidden="1"/>
    </xf>
    <xf numFmtId="43" fontId="35" fillId="3" borderId="58" xfId="0" applyNumberFormat="1" applyFont="1" applyFill="1" applyBorder="1" applyAlignment="1" applyProtection="1">
      <alignment horizontal="center" vertical="center" wrapText="1"/>
      <protection hidden="1"/>
    </xf>
    <xf numFmtId="0" fontId="38" fillId="21" borderId="32" xfId="3" applyFont="1" applyFill="1" applyBorder="1" applyAlignment="1" applyProtection="1">
      <alignment vertical="center" wrapText="1"/>
      <protection hidden="1"/>
    </xf>
    <xf numFmtId="43" fontId="30" fillId="0" borderId="44" xfId="4" applyFont="1" applyFill="1" applyBorder="1" applyAlignment="1" applyProtection="1">
      <alignment horizontal="center" vertical="center" wrapText="1"/>
      <protection hidden="1"/>
    </xf>
    <xf numFmtId="43" fontId="30" fillId="0" borderId="49" xfId="4" applyFont="1" applyFill="1" applyBorder="1" applyAlignment="1" applyProtection="1">
      <alignment horizontal="center" vertical="center" wrapText="1"/>
      <protection hidden="1"/>
    </xf>
    <xf numFmtId="43" fontId="74" fillId="0" borderId="49" xfId="4" applyFont="1" applyFill="1" applyBorder="1" applyAlignment="1" applyProtection="1">
      <alignment horizontal="center" vertical="center" wrapText="1"/>
      <protection hidden="1"/>
    </xf>
    <xf numFmtId="43" fontId="15" fillId="0" borderId="44" xfId="4" applyNumberFormat="1" applyFont="1" applyFill="1" applyBorder="1" applyAlignment="1" applyProtection="1">
      <alignment horizontal="center" vertical="center" wrapText="1"/>
      <protection hidden="1"/>
    </xf>
    <xf numFmtId="43" fontId="15" fillId="0" borderId="44" xfId="4" applyFont="1" applyFill="1" applyBorder="1" applyAlignment="1" applyProtection="1">
      <alignment horizontal="center" vertical="center" wrapText="1"/>
      <protection hidden="1"/>
    </xf>
    <xf numFmtId="167" fontId="15" fillId="0" borderId="44" xfId="4" applyNumberFormat="1" applyFont="1" applyFill="1" applyBorder="1" applyAlignment="1" applyProtection="1">
      <alignment horizontal="center" vertical="center" wrapText="1"/>
      <protection hidden="1"/>
    </xf>
    <xf numFmtId="167" fontId="15" fillId="0" borderId="0" xfId="4" applyNumberFormat="1" applyFont="1" applyFill="1" applyBorder="1" applyAlignment="1" applyProtection="1">
      <alignment horizontal="center" vertical="center" wrapText="1"/>
      <protection hidden="1"/>
    </xf>
    <xf numFmtId="43" fontId="15" fillId="0" borderId="24" xfId="4" applyFont="1" applyFill="1" applyBorder="1" applyAlignment="1" applyProtection="1">
      <alignment horizontal="center" vertical="center" wrapText="1"/>
      <protection hidden="1"/>
    </xf>
    <xf numFmtId="43" fontId="18" fillId="28" borderId="44" xfId="4" applyFont="1" applyFill="1" applyBorder="1" applyAlignment="1" applyProtection="1">
      <alignment horizontal="center" vertical="center" wrapText="1"/>
      <protection hidden="1"/>
    </xf>
    <xf numFmtId="0" fontId="38" fillId="21" borderId="13" xfId="3" applyFont="1" applyFill="1" applyBorder="1" applyAlignment="1" applyProtection="1">
      <alignment vertical="center" wrapText="1"/>
      <protection hidden="1"/>
    </xf>
    <xf numFmtId="43" fontId="18" fillId="0" borderId="24" xfId="4" applyNumberFormat="1"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43" fontId="15" fillId="0" borderId="25" xfId="4" applyFont="1" applyFill="1" applyBorder="1" applyAlignment="1" applyProtection="1">
      <alignment horizontal="center" vertical="center" wrapText="1"/>
      <protection hidden="1"/>
    </xf>
    <xf numFmtId="43" fontId="15" fillId="0" borderId="24" xfId="4" applyNumberFormat="1" applyFont="1" applyFill="1" applyBorder="1" applyAlignment="1" applyProtection="1">
      <alignment horizontal="right" vertical="center" wrapText="1"/>
      <protection hidden="1"/>
    </xf>
    <xf numFmtId="43" fontId="15" fillId="0" borderId="24" xfId="4" applyNumberFormat="1" applyFont="1" applyFill="1" applyBorder="1" applyAlignment="1" applyProtection="1">
      <alignment horizontal="center" vertical="center" wrapText="1"/>
      <protection hidden="1"/>
    </xf>
    <xf numFmtId="0" fontId="15" fillId="0" borderId="29" xfId="0" applyFont="1" applyFill="1" applyBorder="1" applyAlignment="1" applyProtection="1">
      <alignment horizontal="left" vertical="center" wrapText="1"/>
      <protection hidden="1"/>
    </xf>
    <xf numFmtId="0" fontId="15" fillId="0" borderId="30" xfId="0" applyFont="1" applyFill="1" applyBorder="1" applyAlignment="1" applyProtection="1">
      <alignment horizontal="left" vertical="center" wrapText="1"/>
      <protection hidden="1"/>
    </xf>
    <xf numFmtId="0" fontId="15" fillId="22" borderId="30" xfId="0" applyFont="1" applyFill="1" applyBorder="1" applyAlignment="1" applyProtection="1">
      <alignment horizontal="left" vertical="center" wrapText="1"/>
      <protection hidden="1"/>
    </xf>
    <xf numFmtId="0" fontId="15" fillId="3" borderId="30" xfId="0" applyFont="1" applyFill="1" applyBorder="1" applyAlignment="1" applyProtection="1">
      <alignment horizontal="left" vertical="center" wrapText="1"/>
      <protection hidden="1"/>
    </xf>
    <xf numFmtId="15" fontId="17" fillId="12" borderId="103" xfId="0" quotePrefix="1" applyNumberFormat="1" applyFont="1" applyFill="1" applyBorder="1" applyAlignment="1" applyProtection="1">
      <alignment horizontal="center" vertical="center" wrapText="1"/>
      <protection hidden="1"/>
    </xf>
    <xf numFmtId="15" fontId="17" fillId="12" borderId="0" xfId="0" quotePrefix="1" applyNumberFormat="1" applyFont="1" applyFill="1" applyBorder="1" applyAlignment="1" applyProtection="1">
      <alignment horizontal="center" vertical="center" wrapText="1"/>
      <protection hidden="1"/>
    </xf>
    <xf numFmtId="166" fontId="18" fillId="30" borderId="0" xfId="4" applyNumberFormat="1" applyFont="1" applyFill="1" applyBorder="1" applyAlignment="1" applyProtection="1">
      <alignment horizontal="center" vertical="center" wrapText="1"/>
      <protection hidden="1"/>
    </xf>
    <xf numFmtId="43" fontId="18" fillId="0" borderId="0" xfId="4" applyFont="1" applyFill="1" applyBorder="1" applyAlignment="1" applyProtection="1">
      <alignment horizontal="center" vertical="center" wrapText="1"/>
      <protection hidden="1"/>
    </xf>
    <xf numFmtId="43" fontId="18" fillId="0" borderId="0" xfId="4" applyFont="1" applyFill="1" applyBorder="1" applyAlignment="1" applyProtection="1">
      <alignment horizontal="right" vertical="center" wrapText="1"/>
      <protection hidden="1"/>
    </xf>
    <xf numFmtId="43" fontId="18" fillId="13" borderId="0" xfId="4" applyFont="1" applyFill="1" applyBorder="1" applyAlignment="1" applyProtection="1">
      <alignment horizontal="right" vertical="center" wrapText="1"/>
      <protection hidden="1"/>
    </xf>
    <xf numFmtId="2" fontId="18" fillId="0" borderId="0" xfId="0" applyNumberFormat="1" applyFont="1" applyFill="1" applyBorder="1" applyAlignment="1" applyProtection="1">
      <alignment horizontal="right" vertical="center" wrapText="1"/>
      <protection hidden="1"/>
    </xf>
    <xf numFmtId="9" fontId="13" fillId="12" borderId="104" xfId="5" quotePrefix="1" applyFont="1" applyFill="1" applyBorder="1" applyAlignment="1" applyProtection="1">
      <alignment horizontal="center" vertical="center" wrapText="1"/>
      <protection hidden="1"/>
    </xf>
    <xf numFmtId="9" fontId="13" fillId="12" borderId="105" xfId="5" quotePrefix="1" applyFont="1" applyFill="1" applyBorder="1" applyAlignment="1" applyProtection="1">
      <alignment horizontal="center" vertical="center" wrapText="1"/>
      <protection hidden="1"/>
    </xf>
    <xf numFmtId="9" fontId="13" fillId="12" borderId="106" xfId="5" quotePrefix="1" applyFont="1" applyFill="1" applyBorder="1" applyAlignment="1" applyProtection="1">
      <alignment horizontal="center" vertical="center" wrapText="1"/>
      <protection hidden="1"/>
    </xf>
    <xf numFmtId="43" fontId="18" fillId="28" borderId="23" xfId="4" applyFont="1" applyFill="1" applyBorder="1" applyAlignment="1" applyProtection="1">
      <alignment horizontal="right" vertical="center" wrapText="1"/>
      <protection hidden="1"/>
    </xf>
    <xf numFmtId="43" fontId="19" fillId="28" borderId="23" xfId="4" applyFont="1" applyFill="1" applyBorder="1" applyAlignment="1" applyProtection="1">
      <alignment horizontal="center" vertical="center" wrapText="1"/>
      <protection hidden="1"/>
    </xf>
    <xf numFmtId="43" fontId="18" fillId="28" borderId="23" xfId="4" applyFont="1" applyFill="1" applyBorder="1" applyAlignment="1" applyProtection="1">
      <alignment horizontal="center" vertical="center" wrapText="1"/>
      <protection hidden="1"/>
    </xf>
    <xf numFmtId="43" fontId="30" fillId="28" borderId="47" xfId="4" applyFont="1" applyFill="1" applyBorder="1" applyAlignment="1" applyProtection="1">
      <alignment horizontal="center" vertical="center" wrapText="1"/>
      <protection hidden="1"/>
    </xf>
    <xf numFmtId="43" fontId="18" fillId="28" borderId="47" xfId="4" applyFont="1" applyFill="1" applyBorder="1" applyAlignment="1" applyProtection="1">
      <alignment horizontal="center" vertical="center" wrapText="1"/>
      <protection hidden="1"/>
    </xf>
    <xf numFmtId="43" fontId="94" fillId="28" borderId="25"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85" fillId="8" borderId="1" xfId="1" applyNumberFormat="1" applyFont="1" applyFill="1" applyBorder="1" applyAlignment="1">
      <alignment horizontal="center" vertical="center" wrapText="1"/>
    </xf>
    <xf numFmtId="164" fontId="8" fillId="27" borderId="1" xfId="1" applyNumberFormat="1" applyFont="1" applyFill="1" applyBorder="1"/>
    <xf numFmtId="178" fontId="36" fillId="12" borderId="57" xfId="3" quotePrefix="1" applyNumberFormat="1" applyFont="1" applyFill="1" applyBorder="1" applyAlignment="1" applyProtection="1">
      <alignment horizontal="center" vertical="center" wrapText="1"/>
      <protection hidden="1"/>
    </xf>
    <xf numFmtId="43" fontId="35" fillId="3" borderId="58" xfId="8" applyNumberFormat="1" applyFont="1" applyFill="1" applyBorder="1" applyAlignment="1" applyProtection="1">
      <alignment horizontal="center" vertical="center" wrapText="1"/>
      <protection hidden="1"/>
    </xf>
    <xf numFmtId="43" fontId="35" fillId="3" borderId="57" xfId="8" applyFont="1" applyFill="1" applyBorder="1" applyAlignment="1" applyProtection="1">
      <alignment horizontal="center" vertical="center" wrapText="1"/>
      <protection hidden="1"/>
    </xf>
    <xf numFmtId="0" fontId="38" fillId="16" borderId="13" xfId="3" applyFont="1" applyFill="1" applyBorder="1" applyAlignment="1" applyProtection="1">
      <alignment vertical="center" wrapText="1"/>
      <protection hidden="1"/>
    </xf>
    <xf numFmtId="0" fontId="38" fillId="16" borderId="14" xfId="3" applyFont="1" applyFill="1" applyBorder="1" applyAlignment="1" applyProtection="1">
      <alignment vertical="center" wrapText="1"/>
      <protection hidden="1"/>
    </xf>
    <xf numFmtId="0" fontId="38" fillId="16" borderId="15" xfId="3" applyFont="1" applyFill="1" applyBorder="1" applyAlignment="1" applyProtection="1">
      <alignment vertical="center" wrapText="1"/>
      <protection hidden="1"/>
    </xf>
    <xf numFmtId="0" fontId="38" fillId="16" borderId="32"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16" borderId="56" xfId="3" applyFont="1" applyFill="1" applyBorder="1" applyAlignment="1" applyProtection="1">
      <alignment vertical="center" wrapText="1"/>
      <protection hidden="1"/>
    </xf>
    <xf numFmtId="2" fontId="35" fillId="3" borderId="58" xfId="0" applyNumberFormat="1" applyFont="1" applyFill="1" applyBorder="1" applyAlignment="1" applyProtection="1">
      <alignment horizontal="right" vertical="center" wrapText="1"/>
      <protection hidden="1"/>
    </xf>
    <xf numFmtId="0" fontId="38" fillId="21" borderId="16" xfId="3" applyFont="1" applyFill="1" applyBorder="1" applyAlignment="1" applyProtection="1">
      <alignment vertical="center" wrapText="1"/>
      <protection hidden="1"/>
    </xf>
    <xf numFmtId="43" fontId="35" fillId="3" borderId="68" xfId="8" applyFont="1" applyFill="1" applyBorder="1" applyAlignment="1" applyProtection="1">
      <alignment horizontal="center" vertical="center" wrapText="1"/>
      <protection hidden="1"/>
    </xf>
    <xf numFmtId="43" fontId="35" fillId="31" borderId="25" xfId="8" applyFont="1" applyFill="1" applyBorder="1" applyAlignment="1" applyProtection="1">
      <alignment horizontal="center" vertical="center" wrapText="1"/>
      <protection hidden="1"/>
    </xf>
    <xf numFmtId="43" fontId="35" fillId="31" borderId="61" xfId="8" applyFont="1" applyFill="1" applyBorder="1" applyAlignment="1" applyProtection="1">
      <alignment horizontal="center" vertical="center" wrapText="1"/>
      <protection hidden="1"/>
    </xf>
    <xf numFmtId="43" fontId="35" fillId="31" borderId="17" xfId="8" applyFont="1" applyFill="1" applyBorder="1" applyAlignment="1" applyProtection="1">
      <alignment horizontal="center" vertical="center" wrapText="1"/>
      <protection hidden="1"/>
    </xf>
    <xf numFmtId="165" fontId="35" fillId="31" borderId="61" xfId="0" applyNumberFormat="1" applyFont="1" applyFill="1" applyBorder="1" applyAlignment="1" applyProtection="1">
      <alignment horizontal="center" vertical="center" wrapText="1"/>
      <protection hidden="1"/>
    </xf>
    <xf numFmtId="164" fontId="8" fillId="3" borderId="1" xfId="1" applyNumberFormat="1" applyFont="1" applyFill="1" applyBorder="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8" fillId="27" borderId="1" xfId="0" applyNumberFormat="1" applyFont="1" applyFill="1" applyBorder="1"/>
    <xf numFmtId="43" fontId="35" fillId="30" borderId="60" xfId="8" applyFont="1" applyFill="1" applyBorder="1" applyAlignment="1" applyProtection="1">
      <alignment horizontal="center" vertical="center" wrapText="1"/>
      <protection hidden="1"/>
    </xf>
    <xf numFmtId="0" fontId="38" fillId="16" borderId="13" xfId="3" applyFont="1" applyFill="1" applyBorder="1" applyAlignment="1" applyProtection="1">
      <alignment vertical="center"/>
      <protection hidden="1"/>
    </xf>
    <xf numFmtId="0" fontId="38" fillId="16" borderId="14" xfId="3" applyFont="1" applyFill="1" applyBorder="1" applyAlignment="1" applyProtection="1">
      <alignment vertical="center"/>
      <protection hidden="1"/>
    </xf>
    <xf numFmtId="0" fontId="38" fillId="16" borderId="15" xfId="3" applyFont="1" applyFill="1" applyBorder="1" applyAlignment="1" applyProtection="1">
      <alignment vertical="center"/>
      <protection hidden="1"/>
    </xf>
    <xf numFmtId="0" fontId="38" fillId="16" borderId="32" xfId="3" applyFont="1" applyFill="1" applyBorder="1" applyAlignment="1" applyProtection="1">
      <alignment vertical="center"/>
      <protection hidden="1"/>
    </xf>
    <xf numFmtId="0" fontId="38" fillId="16" borderId="33" xfId="3" applyFont="1" applyFill="1" applyBorder="1" applyAlignment="1" applyProtection="1">
      <alignment vertical="center"/>
      <protection hidden="1"/>
    </xf>
    <xf numFmtId="0" fontId="38" fillId="16" borderId="56" xfId="3" applyFont="1" applyFill="1" applyBorder="1" applyAlignment="1" applyProtection="1">
      <alignment vertical="center"/>
      <protection hidden="1"/>
    </xf>
    <xf numFmtId="0" fontId="95" fillId="12" borderId="24" xfId="3" applyFont="1" applyFill="1" applyBorder="1" applyAlignment="1" applyProtection="1">
      <alignment horizontal="center" vertical="center" wrapText="1"/>
      <protection hidden="1"/>
    </xf>
    <xf numFmtId="2" fontId="95" fillId="0" borderId="58" xfId="0" applyNumberFormat="1" applyFont="1" applyBorder="1" applyAlignment="1" applyProtection="1">
      <alignment horizontal="right" vertical="center" wrapText="1"/>
      <protection hidden="1"/>
    </xf>
    <xf numFmtId="43" fontId="95" fillId="0" borderId="58" xfId="0" applyNumberFormat="1" applyFont="1" applyBorder="1" applyAlignment="1" applyProtection="1">
      <alignment horizontal="center" vertical="center" wrapText="1"/>
      <protection hidden="1"/>
    </xf>
    <xf numFmtId="43" fontId="95" fillId="0" borderId="58" xfId="0" applyNumberFormat="1" applyFont="1" applyBorder="1" applyAlignment="1" applyProtection="1">
      <alignment horizontal="right" vertical="center" wrapText="1"/>
      <protection hidden="1"/>
    </xf>
    <xf numFmtId="43" fontId="95" fillId="13" borderId="24" xfId="8" applyFont="1" applyFill="1" applyBorder="1" applyAlignment="1" applyProtection="1">
      <alignment horizontal="center" vertical="center" wrapText="1"/>
      <protection hidden="1"/>
    </xf>
    <xf numFmtId="43" fontId="95" fillId="23" borderId="24" xfId="8" applyFont="1" applyFill="1" applyBorder="1" applyAlignment="1" applyProtection="1">
      <alignment horizontal="center" vertical="center" wrapText="1"/>
      <protection hidden="1"/>
    </xf>
    <xf numFmtId="43" fontId="95" fillId="17" borderId="24" xfId="8" applyFont="1" applyFill="1" applyBorder="1" applyAlignment="1" applyProtection="1">
      <alignment horizontal="center" vertical="center" wrapText="1"/>
      <protection hidden="1"/>
    </xf>
    <xf numFmtId="0" fontId="36" fillId="12" borderId="0" xfId="3" applyFont="1" applyFill="1" applyBorder="1" applyAlignment="1" applyProtection="1">
      <alignment horizontal="center" vertical="center" wrapText="1"/>
      <protection hidden="1"/>
    </xf>
    <xf numFmtId="178" fontId="36" fillId="12" borderId="0" xfId="3" quotePrefix="1" applyNumberFormat="1" applyFont="1" applyFill="1" applyBorder="1" applyAlignment="1" applyProtection="1">
      <alignment horizontal="center" vertical="center" wrapText="1"/>
      <protection hidden="1"/>
    </xf>
    <xf numFmtId="2" fontId="35" fillId="0" borderId="0" xfId="0" applyNumberFormat="1" applyFont="1" applyBorder="1" applyAlignment="1" applyProtection="1">
      <alignment horizontal="right" vertical="center" wrapText="1"/>
      <protection hidden="1"/>
    </xf>
    <xf numFmtId="43" fontId="35" fillId="0" borderId="0" xfId="0" applyNumberFormat="1" applyFont="1" applyBorder="1" applyAlignment="1" applyProtection="1">
      <alignment horizontal="center" vertical="center" wrapText="1"/>
      <protection hidden="1"/>
    </xf>
    <xf numFmtId="43" fontId="35" fillId="0" borderId="0" xfId="0" applyNumberFormat="1" applyFont="1" applyBorder="1" applyAlignment="1" applyProtection="1">
      <alignment horizontal="right" vertical="center" wrapText="1"/>
      <protection hidden="1"/>
    </xf>
    <xf numFmtId="43" fontId="35" fillId="13" borderId="0" xfId="8" applyFont="1" applyFill="1" applyBorder="1" applyAlignment="1" applyProtection="1">
      <alignment horizontal="center" vertical="center" wrapText="1"/>
      <protection hidden="1"/>
    </xf>
    <xf numFmtId="43" fontId="35" fillId="23" borderId="0" xfId="8" applyFont="1" applyFill="1" applyBorder="1" applyAlignment="1" applyProtection="1">
      <alignment horizontal="center" vertical="center" wrapText="1"/>
      <protection hidden="1"/>
    </xf>
    <xf numFmtId="173" fontId="95" fillId="12" borderId="24" xfId="3" quotePrefix="1" applyNumberFormat="1" applyFont="1" applyFill="1" applyBorder="1" applyAlignment="1" applyProtection="1">
      <alignment horizontal="center" vertical="center" wrapText="1"/>
      <protection hidden="1"/>
    </xf>
    <xf numFmtId="43" fontId="96" fillId="13" borderId="32" xfId="8" applyFont="1" applyFill="1" applyBorder="1" applyAlignment="1" applyProtection="1">
      <alignment horizontal="center" vertical="center" wrapText="1"/>
      <protection hidden="1"/>
    </xf>
    <xf numFmtId="43" fontId="96" fillId="0" borderId="68" xfId="8" applyFont="1" applyFill="1" applyBorder="1" applyAlignment="1" applyProtection="1">
      <alignment horizontal="center" vertical="center" wrapText="1"/>
      <protection hidden="1"/>
    </xf>
    <xf numFmtId="43" fontId="96" fillId="13" borderId="68" xfId="8" applyFont="1" applyFill="1" applyBorder="1" applyAlignment="1" applyProtection="1">
      <alignment horizontal="center" vertical="center" wrapText="1"/>
      <protection hidden="1"/>
    </xf>
    <xf numFmtId="43" fontId="35" fillId="0" borderId="24" xfId="8" quotePrefix="1" applyFont="1" applyFill="1" applyBorder="1" applyAlignment="1" applyProtection="1">
      <alignment horizontal="center" vertical="center" wrapText="1"/>
      <protection hidden="1"/>
    </xf>
    <xf numFmtId="2" fontId="35" fillId="0" borderId="58" xfId="0" applyNumberFormat="1" applyFont="1" applyFill="1" applyBorder="1" applyAlignment="1" applyProtection="1">
      <alignment horizontal="right" vertical="center" wrapText="1"/>
      <protection hidden="1"/>
    </xf>
    <xf numFmtId="43" fontId="35" fillId="0" borderId="61" xfId="8" quotePrefix="1" applyFont="1" applyFill="1" applyBorder="1" applyAlignment="1" applyProtection="1">
      <alignment horizontal="center" vertical="center" wrapText="1"/>
      <protection hidden="1"/>
    </xf>
    <xf numFmtId="164" fontId="35" fillId="0" borderId="58" xfId="1" applyNumberFormat="1" applyFont="1" applyFill="1" applyBorder="1" applyAlignment="1" applyProtection="1">
      <alignment horizontal="right" vertical="center" wrapText="1"/>
      <protection hidden="1"/>
    </xf>
    <xf numFmtId="10" fontId="8" fillId="3" borderId="1" xfId="0" applyNumberFormat="1" applyFont="1" applyFill="1" applyBorder="1"/>
    <xf numFmtId="0" fontId="36" fillId="12" borderId="24" xfId="3" applyFont="1" applyFill="1"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8" borderId="11" xfId="0" applyFill="1" applyBorder="1" applyAlignment="1">
      <alignment horizontal="center"/>
    </xf>
    <xf numFmtId="0" fontId="0" fillId="28" borderId="1" xfId="0" applyFill="1"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0" borderId="1" xfId="0" applyFill="1" applyBorder="1" applyAlignment="1">
      <alignment horizont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0" borderId="1" xfId="0" applyFill="1" applyBorder="1" applyAlignment="1">
      <alignment horizontal="center" vertical="center" wrapText="1"/>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12" borderId="20" xfId="0" quotePrefix="1" applyFont="1" applyFill="1" applyBorder="1" applyAlignment="1" applyProtection="1">
      <alignment horizontal="center" vertical="center" wrapText="1"/>
      <protection hidden="1"/>
    </xf>
    <xf numFmtId="0" fontId="13" fillId="24" borderId="35" xfId="0" quotePrefix="1" applyFont="1" applyFill="1" applyBorder="1" applyAlignment="1" applyProtection="1">
      <alignment horizontal="center" vertical="center" wrapText="1"/>
      <protection hidden="1"/>
    </xf>
    <xf numFmtId="0" fontId="13" fillId="24"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8" fillId="0" borderId="0" xfId="3" applyFont="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4"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33"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0"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9" fillId="0" borderId="0" xfId="3" applyFont="1" applyAlignment="1" applyProtection="1">
      <alignment horizontal="left"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protection hidden="1"/>
    </xf>
    <xf numFmtId="0" fontId="38" fillId="21" borderId="32" xfId="3" applyFont="1" applyFill="1" applyBorder="1" applyAlignment="1" applyProtection="1">
      <alignment horizontal="center" vertical="center"/>
      <protection hidden="1"/>
    </xf>
    <xf numFmtId="0" fontId="38" fillId="21" borderId="33"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14"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33"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44" fillId="0" borderId="0" xfId="3" applyFont="1" applyFill="1" applyBorder="1" applyAlignment="1" applyProtection="1">
      <alignment horizontal="left"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0" xfId="3" applyFont="1" applyFill="1" applyBorder="1" applyAlignment="1" applyProtection="1">
      <alignment horizontal="center" vertical="center"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1"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9" fillId="0" borderId="0"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80"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8" fillId="21" borderId="56" xfId="3" applyFont="1" applyFill="1" applyBorder="1" applyAlignment="1" applyProtection="1">
      <alignment horizontal="center" vertical="center"/>
      <protection hidden="1"/>
    </xf>
    <xf numFmtId="0" fontId="70" fillId="0" borderId="0" xfId="3" applyFont="1" applyFill="1" applyBorder="1" applyAlignment="1" applyProtection="1">
      <alignment horizontal="left" vertical="center" wrapText="1"/>
      <protection hidden="1"/>
    </xf>
    <xf numFmtId="0" fontId="49"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4" fillId="0" borderId="0" xfId="0" applyFont="1" applyFill="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1260578</xdr:colOff>
      <xdr:row>37</xdr:row>
      <xdr:rowOff>367101</xdr:rowOff>
    </xdr:from>
    <xdr:to>
      <xdr:col>5</xdr:col>
      <xdr:colOff>351972</xdr:colOff>
      <xdr:row>42</xdr:row>
      <xdr:rowOff>168980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0578" y="7728565"/>
          <a:ext cx="4564640" cy="1244236"/>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650798" y="10644101"/>
          <a:ext cx="3515923" cy="1344398"/>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488129</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67120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540144</xdr:colOff>
      <xdr:row>0</xdr:row>
      <xdr:rowOff>29308</xdr:rowOff>
    </xdr:from>
    <xdr:to>
      <xdr:col>13</xdr:col>
      <xdr:colOff>676634</xdr:colOff>
      <xdr:row>9</xdr:row>
      <xdr:rowOff>145379</xdr:rowOff>
    </xdr:to>
    <xdr:pic>
      <xdr:nvPicPr>
        <xdr:cNvPr id="2" name="Imagen 1">
          <a:extLst>
            <a:ext uri="{FF2B5EF4-FFF2-40B4-BE49-F238E27FC236}">
              <a16:creationId xmlns:a16="http://schemas.microsoft.com/office/drawing/2014/main" id="{5C1FDE39-5205-450E-9121-5DC93970B90B}"/>
            </a:ext>
          </a:extLst>
        </xdr:cNvPr>
        <xdr:cNvPicPr>
          <a:picLocks noChangeAspect="1"/>
        </xdr:cNvPicPr>
      </xdr:nvPicPr>
      <xdr:blipFill>
        <a:blip xmlns:r="http://schemas.openxmlformats.org/officeDocument/2006/relationships" r:embed="rId7"/>
        <a:stretch>
          <a:fillRect/>
        </a:stretch>
      </xdr:blipFill>
      <xdr:spPr>
        <a:xfrm>
          <a:off x="11160519" y="29308"/>
          <a:ext cx="1870040" cy="1744846"/>
        </a:xfrm>
        <a:prstGeom prst="rect">
          <a:avLst/>
        </a:prstGeom>
      </xdr:spPr>
    </xdr:pic>
    <xdr:clientData/>
  </xdr:twoCellAnchor>
  <xdr:twoCellAnchor editAs="oneCell">
    <xdr:from>
      <xdr:col>35</xdr:col>
      <xdr:colOff>152399</xdr:colOff>
      <xdr:row>12</xdr:row>
      <xdr:rowOff>83943</xdr:rowOff>
    </xdr:from>
    <xdr:to>
      <xdr:col>41</xdr:col>
      <xdr:colOff>255036</xdr:colOff>
      <xdr:row>15</xdr:row>
      <xdr:rowOff>106739</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8"/>
        <a:stretch>
          <a:fillRect/>
        </a:stretch>
      </xdr:blipFill>
      <xdr:spPr>
        <a:xfrm>
          <a:off x="31361269" y="2495839"/>
          <a:ext cx="5009116" cy="582562"/>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9"/>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10"/>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11"/>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2"/>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3"/>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4"/>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859654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5"/>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6"/>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7"/>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8"/>
        <a:stretch>
          <a:fillRect/>
        </a:stretch>
      </xdr:blipFill>
      <xdr:spPr>
        <a:xfrm>
          <a:off x="333375" y="29727524"/>
          <a:ext cx="7014596" cy="6177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6</xdr:col>
      <xdr:colOff>295275</xdr:colOff>
      <xdr:row>13</xdr:row>
      <xdr:rowOff>101600</xdr:rowOff>
    </xdr:from>
    <xdr:to>
      <xdr:col>22</xdr:col>
      <xdr:colOff>255696</xdr:colOff>
      <xdr:row>21</xdr:row>
      <xdr:rowOff>133583</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7820025" y="3082925"/>
          <a:ext cx="12155596" cy="1670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711011</xdr:colOff>
      <xdr:row>26</xdr:row>
      <xdr:rowOff>71178</xdr:rowOff>
    </xdr:from>
    <xdr:to>
      <xdr:col>22</xdr:col>
      <xdr:colOff>368898</xdr:colOff>
      <xdr:row>33</xdr:row>
      <xdr:rowOff>83308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23</xdr:col>
      <xdr:colOff>39689</xdr:colOff>
      <xdr:row>26</xdr:row>
      <xdr:rowOff>21483</xdr:rowOff>
    </xdr:from>
    <xdr:to>
      <xdr:col>25</xdr:col>
      <xdr:colOff>136369</xdr:colOff>
      <xdr:row>33</xdr:row>
      <xdr:rowOff>88807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19</xdr:col>
      <xdr:colOff>697032</xdr:colOff>
      <xdr:row>34</xdr:row>
      <xdr:rowOff>120265</xdr:rowOff>
    </xdr:from>
    <xdr:to>
      <xdr:col>21</xdr:col>
      <xdr:colOff>594785</xdr:colOff>
      <xdr:row>36</xdr:row>
      <xdr:rowOff>55392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19</xdr:col>
      <xdr:colOff>736893</xdr:colOff>
      <xdr:row>36</xdr:row>
      <xdr:rowOff>105602</xdr:rowOff>
    </xdr:from>
    <xdr:to>
      <xdr:col>20</xdr:col>
      <xdr:colOff>739537</xdr:colOff>
      <xdr:row>43</xdr:row>
      <xdr:rowOff>22652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xdr:from>
      <xdr:col>0</xdr:col>
      <xdr:colOff>0</xdr:colOff>
      <xdr:row>57</xdr:row>
      <xdr:rowOff>83765</xdr:rowOff>
    </xdr:from>
    <xdr:to>
      <xdr:col>5</xdr:col>
      <xdr:colOff>149462</xdr:colOff>
      <xdr:row>103</xdr:row>
      <xdr:rowOff>4639</xdr:rowOff>
    </xdr:to>
    <xdr:grpSp>
      <xdr:nvGrpSpPr>
        <xdr:cNvPr id="11" name="Grupo 10">
          <a:extLst>
            <a:ext uri="{FF2B5EF4-FFF2-40B4-BE49-F238E27FC236}">
              <a16:creationId xmlns:a16="http://schemas.microsoft.com/office/drawing/2014/main" id="{DB544802-613B-4B1E-A5F7-9C71137BC02D}"/>
            </a:ext>
          </a:extLst>
        </xdr:cNvPr>
        <xdr:cNvGrpSpPr/>
      </xdr:nvGrpSpPr>
      <xdr:grpSpPr>
        <a:xfrm>
          <a:off x="0" y="11462965"/>
          <a:ext cx="5246395" cy="8489141"/>
          <a:chOff x="4953426" y="9662321"/>
          <a:chExt cx="5698033" cy="8907641"/>
        </a:xfrm>
      </xdr:grpSpPr>
      <xdr:pic>
        <xdr:nvPicPr>
          <xdr:cNvPr id="9" name="Imagen 8">
            <a:extLst>
              <a:ext uri="{FF2B5EF4-FFF2-40B4-BE49-F238E27FC236}">
                <a16:creationId xmlns:a16="http://schemas.microsoft.com/office/drawing/2014/main" id="{49E966F9-BBA7-435A-9EB8-A528BC39CD4B}"/>
              </a:ext>
            </a:extLst>
          </xdr:cNvPr>
          <xdr:cNvPicPr>
            <a:picLocks noChangeAspect="1"/>
          </xdr:cNvPicPr>
        </xdr:nvPicPr>
        <xdr:blipFill>
          <a:blip xmlns:r="http://schemas.openxmlformats.org/officeDocument/2006/relationships" r:embed="rId5"/>
          <a:stretch>
            <a:fillRect/>
          </a:stretch>
        </xdr:blipFill>
        <xdr:spPr>
          <a:xfrm>
            <a:off x="4953426" y="9662321"/>
            <a:ext cx="5548641" cy="3540707"/>
          </a:xfrm>
          <a:prstGeom prst="rect">
            <a:avLst/>
          </a:prstGeom>
        </xdr:spPr>
      </xdr:pic>
      <xdr:pic>
        <xdr:nvPicPr>
          <xdr:cNvPr id="10" name="Imagen 9">
            <a:extLst>
              <a:ext uri="{FF2B5EF4-FFF2-40B4-BE49-F238E27FC236}">
                <a16:creationId xmlns:a16="http://schemas.microsoft.com/office/drawing/2014/main" id="{710B7677-D38C-4B56-806E-2350D59D35D6}"/>
              </a:ext>
            </a:extLst>
          </xdr:cNvPr>
          <xdr:cNvPicPr>
            <a:picLocks noChangeAspect="1"/>
          </xdr:cNvPicPr>
        </xdr:nvPicPr>
        <xdr:blipFill>
          <a:blip xmlns:r="http://schemas.openxmlformats.org/officeDocument/2006/relationships" r:embed="rId6"/>
          <a:stretch>
            <a:fillRect/>
          </a:stretch>
        </xdr:blipFill>
        <xdr:spPr>
          <a:xfrm>
            <a:off x="4958298" y="13124330"/>
            <a:ext cx="5693161" cy="5445632"/>
          </a:xfrm>
          <a:prstGeom prst="rect">
            <a:avLst/>
          </a:prstGeom>
        </xdr:spPr>
      </xdr:pic>
    </xdr:grpSp>
    <xdr:clientData/>
  </xdr:twoCellAnchor>
  <xdr:twoCellAnchor editAs="oneCell">
    <xdr:from>
      <xdr:col>5</xdr:col>
      <xdr:colOff>323849</xdr:colOff>
      <xdr:row>6</xdr:row>
      <xdr:rowOff>135771</xdr:rowOff>
    </xdr:from>
    <xdr:to>
      <xdr:col>8</xdr:col>
      <xdr:colOff>429576</xdr:colOff>
      <xdr:row>18</xdr:row>
      <xdr:rowOff>143521</xdr:rowOff>
    </xdr:to>
    <xdr:pic>
      <xdr:nvPicPr>
        <xdr:cNvPr id="6" name="Imagen 5">
          <a:extLst>
            <a:ext uri="{FF2B5EF4-FFF2-40B4-BE49-F238E27FC236}">
              <a16:creationId xmlns:a16="http://schemas.microsoft.com/office/drawing/2014/main" id="{0EB49E09-3CE9-8F26-9317-44C28AF20205}"/>
            </a:ext>
          </a:extLst>
        </xdr:cNvPr>
        <xdr:cNvPicPr>
          <a:picLocks noChangeAspect="1"/>
        </xdr:cNvPicPr>
      </xdr:nvPicPr>
      <xdr:blipFill>
        <a:blip xmlns:r="http://schemas.openxmlformats.org/officeDocument/2006/relationships" r:embed="rId7"/>
        <a:stretch>
          <a:fillRect/>
        </a:stretch>
      </xdr:blipFill>
      <xdr:spPr>
        <a:xfrm>
          <a:off x="5410199" y="1221621"/>
          <a:ext cx="3210877" cy="2179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264816</xdr:colOff>
      <xdr:row>29</xdr:row>
      <xdr:rowOff>31295</xdr:rowOff>
    </xdr:from>
    <xdr:to>
      <xdr:col>11</xdr:col>
      <xdr:colOff>333374</xdr:colOff>
      <xdr:row>45</xdr:row>
      <xdr:rowOff>34511</xdr:rowOff>
    </xdr:to>
    <xdr:grpSp>
      <xdr:nvGrpSpPr>
        <xdr:cNvPr id="5" name="Grupo 4">
          <a:extLst>
            <a:ext uri="{FF2B5EF4-FFF2-40B4-BE49-F238E27FC236}">
              <a16:creationId xmlns:a16="http://schemas.microsoft.com/office/drawing/2014/main" id="{98A8CB3F-9600-48B3-9171-9F76DC597B9F}"/>
            </a:ext>
          </a:extLst>
        </xdr:cNvPr>
        <xdr:cNvGrpSpPr/>
      </xdr:nvGrpSpPr>
      <xdr:grpSpPr>
        <a:xfrm>
          <a:off x="10083730" y="4788352"/>
          <a:ext cx="3519330" cy="2964130"/>
          <a:chOff x="10522935" y="4511159"/>
          <a:chExt cx="5114772" cy="4152913"/>
        </a:xfrm>
      </xdr:grpSpPr>
      <xdr:pic>
        <xdr:nvPicPr>
          <xdr:cNvPr id="3" name="Imagen 2">
            <a:extLst>
              <a:ext uri="{FF2B5EF4-FFF2-40B4-BE49-F238E27FC236}">
                <a16:creationId xmlns:a16="http://schemas.microsoft.com/office/drawing/2014/main" id="{FDB5B0CE-5FCF-4FCC-8443-BC534AFBD45B}"/>
              </a:ext>
            </a:extLst>
          </xdr:cNvPr>
          <xdr:cNvPicPr>
            <a:picLocks noChangeAspect="1"/>
          </xdr:cNvPicPr>
        </xdr:nvPicPr>
        <xdr:blipFill>
          <a:blip xmlns:r="http://schemas.openxmlformats.org/officeDocument/2006/relationships" r:embed="rId1"/>
          <a:stretch>
            <a:fillRect/>
          </a:stretch>
        </xdr:blipFill>
        <xdr:spPr>
          <a:xfrm>
            <a:off x="10615182" y="5564637"/>
            <a:ext cx="4994486" cy="3099435"/>
          </a:xfrm>
          <a:prstGeom prst="rect">
            <a:avLst/>
          </a:prstGeom>
        </xdr:spPr>
      </xdr:pic>
      <xdr:pic>
        <xdr:nvPicPr>
          <xdr:cNvPr id="4" name="Imagen 3">
            <a:extLst>
              <a:ext uri="{FF2B5EF4-FFF2-40B4-BE49-F238E27FC236}">
                <a16:creationId xmlns:a16="http://schemas.microsoft.com/office/drawing/2014/main" id="{624E9764-C799-4D1A-8220-0BAE34011DD1}"/>
              </a:ext>
            </a:extLst>
          </xdr:cNvPr>
          <xdr:cNvPicPr>
            <a:picLocks noChangeAspect="1"/>
          </xdr:cNvPicPr>
        </xdr:nvPicPr>
        <xdr:blipFill>
          <a:blip xmlns:r="http://schemas.openxmlformats.org/officeDocument/2006/relationships" r:embed="rId2"/>
          <a:stretch>
            <a:fillRect/>
          </a:stretch>
        </xdr:blipFill>
        <xdr:spPr>
          <a:xfrm>
            <a:off x="10522935" y="4511159"/>
            <a:ext cx="5114772" cy="1068987"/>
          </a:xfrm>
          <a:prstGeom prst="rect">
            <a:avLst/>
          </a:prstGeom>
        </xdr:spPr>
      </xdr:pic>
    </xdr:grpSp>
    <xdr:clientData/>
  </xdr:twoCellAnchor>
  <xdr:twoCellAnchor editAs="oneCell">
    <xdr:from>
      <xdr:col>12</xdr:col>
      <xdr:colOff>609600</xdr:colOff>
      <xdr:row>4</xdr:row>
      <xdr:rowOff>129099</xdr:rowOff>
    </xdr:from>
    <xdr:to>
      <xdr:col>14</xdr:col>
      <xdr:colOff>3351073</xdr:colOff>
      <xdr:row>33</xdr:row>
      <xdr:rowOff>160031</xdr:rowOff>
    </xdr:to>
    <xdr:pic>
      <xdr:nvPicPr>
        <xdr:cNvPr id="6" name="Imagen 5">
          <a:extLst>
            <a:ext uri="{FF2B5EF4-FFF2-40B4-BE49-F238E27FC236}">
              <a16:creationId xmlns:a16="http://schemas.microsoft.com/office/drawing/2014/main" id="{24587B33-4DC4-4054-B7F3-7DDD7D03075E}"/>
            </a:ext>
          </a:extLst>
        </xdr:cNvPr>
        <xdr:cNvPicPr>
          <a:picLocks noChangeAspect="1"/>
        </xdr:cNvPicPr>
      </xdr:nvPicPr>
      <xdr:blipFill>
        <a:blip xmlns:r="http://schemas.openxmlformats.org/officeDocument/2006/relationships" r:embed="rId3"/>
        <a:stretch>
          <a:fillRect/>
        </a:stretch>
      </xdr:blipFill>
      <xdr:spPr>
        <a:xfrm>
          <a:off x="15760700" y="1475299"/>
          <a:ext cx="7173773" cy="41040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90"/>
  <sheetViews>
    <sheetView topLeftCell="L4" zoomScale="80" zoomScaleNormal="80" workbookViewId="0">
      <selection activeCell="AD18" sqref="AD18"/>
    </sheetView>
  </sheetViews>
  <sheetFormatPr baseColWidth="10" defaultRowHeight="14.4"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2.77734375" customWidth="1"/>
    <col min="28" max="28" width="11.33203125" customWidth="1"/>
    <col min="29" max="29" width="16.109375" customWidth="1"/>
    <col min="30" max="30" width="16.77734375" customWidth="1"/>
    <col min="31" max="31" width="15.33203125" customWidth="1"/>
    <col min="38" max="42" width="12.109375" bestFit="1" customWidth="1"/>
    <col min="43" max="43" width="11.6640625" bestFit="1" customWidth="1"/>
    <col min="44" max="44" width="12.109375" bestFit="1" customWidth="1"/>
  </cols>
  <sheetData>
    <row r="1" spans="1:33" x14ac:dyDescent="0.3">
      <c r="A1" s="19" t="s">
        <v>74</v>
      </c>
    </row>
    <row r="2" spans="1:33" x14ac:dyDescent="0.3">
      <c r="A2" s="20" t="s">
        <v>75</v>
      </c>
      <c r="B2" s="20"/>
      <c r="C2" s="20"/>
      <c r="D2" s="20"/>
    </row>
    <row r="4" spans="1:33" x14ac:dyDescent="0.3">
      <c r="B4" s="569">
        <v>2013</v>
      </c>
      <c r="C4" s="569">
        <v>2014</v>
      </c>
      <c r="D4" s="569">
        <v>2015</v>
      </c>
      <c r="E4" s="569">
        <v>2016</v>
      </c>
      <c r="F4" s="569">
        <v>2017</v>
      </c>
      <c r="G4" s="569">
        <v>2018</v>
      </c>
      <c r="H4" s="570">
        <v>2019</v>
      </c>
      <c r="I4" s="648">
        <v>2020</v>
      </c>
      <c r="J4" s="571">
        <v>2021</v>
      </c>
    </row>
    <row r="5" spans="1:33" x14ac:dyDescent="0.3">
      <c r="A5" s="21" t="s">
        <v>76</v>
      </c>
      <c r="B5" s="22">
        <v>1.9400000000000001E-2</v>
      </c>
      <c r="C5" s="22">
        <v>3.6600000000000001E-2</v>
      </c>
      <c r="D5" s="23">
        <v>6.7699999999999996E-2</v>
      </c>
      <c r="E5" s="23">
        <v>5.7500000000000002E-2</v>
      </c>
      <c r="F5" s="23">
        <v>4.0899999999999999E-2</v>
      </c>
      <c r="G5" s="23">
        <v>3.1800000000000002E-2</v>
      </c>
      <c r="H5" s="23">
        <v>3.7999999999999999E-2</v>
      </c>
      <c r="I5" s="23">
        <v>1.61E-2</v>
      </c>
      <c r="J5" s="428">
        <v>5.62E-2</v>
      </c>
    </row>
    <row r="6" spans="1:33" x14ac:dyDescent="0.3">
      <c r="A6" s="24" t="s">
        <v>77</v>
      </c>
      <c r="B6" s="25"/>
      <c r="C6" s="26"/>
      <c r="D6" s="23">
        <v>7.9299999999999995E-2</v>
      </c>
      <c r="E6" s="27"/>
      <c r="F6" s="27"/>
    </row>
    <row r="7" spans="1:33" x14ac:dyDescent="0.3">
      <c r="A7" s="27" t="s">
        <v>78</v>
      </c>
    </row>
    <row r="8" spans="1:33" x14ac:dyDescent="0.3">
      <c r="C8" s="475"/>
      <c r="D8" s="475"/>
      <c r="E8" s="475"/>
      <c r="F8" s="475"/>
      <c r="G8" s="475"/>
      <c r="H8" s="475"/>
      <c r="I8" s="475"/>
      <c r="J8" s="475"/>
    </row>
    <row r="9" spans="1:33" x14ac:dyDescent="0.3">
      <c r="A9" s="19" t="s">
        <v>79</v>
      </c>
      <c r="H9" t="s">
        <v>440</v>
      </c>
      <c r="W9" s="475">
        <f>21.91*1.0161</f>
        <v>22.262751000000002</v>
      </c>
    </row>
    <row r="10" spans="1:33" ht="15" thickBot="1" x14ac:dyDescent="0.35"/>
    <row r="11" spans="1:33" x14ac:dyDescent="0.3">
      <c r="B11" s="802">
        <v>2013</v>
      </c>
      <c r="C11" s="802"/>
      <c r="D11" s="802"/>
      <c r="E11" s="802">
        <v>2014</v>
      </c>
      <c r="F11" s="802"/>
      <c r="G11" s="802"/>
      <c r="H11" s="802">
        <v>2015</v>
      </c>
      <c r="I11" s="802"/>
      <c r="J11" s="802"/>
      <c r="K11" s="802">
        <v>2016</v>
      </c>
      <c r="L11" s="802"/>
      <c r="M11" s="802"/>
      <c r="N11" s="802">
        <v>2017</v>
      </c>
      <c r="O11" s="802"/>
      <c r="P11" s="804"/>
      <c r="Q11" s="805">
        <v>2018</v>
      </c>
      <c r="R11" s="806"/>
      <c r="S11" s="807"/>
      <c r="T11" s="808">
        <v>2019</v>
      </c>
      <c r="U11" s="802"/>
      <c r="V11" s="804"/>
      <c r="W11" s="805">
        <v>2020</v>
      </c>
      <c r="X11" s="806"/>
      <c r="Y11" s="807"/>
      <c r="Z11" s="816">
        <v>2021</v>
      </c>
      <c r="AA11" s="817"/>
      <c r="AB11" s="817"/>
      <c r="AC11" s="818">
        <v>2022</v>
      </c>
      <c r="AD11" s="819"/>
      <c r="AE11" s="819"/>
    </row>
    <row r="12" spans="1:33" s="29" customFormat="1" ht="28.8" x14ac:dyDescent="0.3">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433" t="s">
        <v>83</v>
      </c>
      <c r="Q12" s="440" t="s">
        <v>81</v>
      </c>
      <c r="R12" s="432" t="s">
        <v>82</v>
      </c>
      <c r="S12" s="441" t="s">
        <v>83</v>
      </c>
      <c r="T12" s="434" t="s">
        <v>81</v>
      </c>
      <c r="U12" s="28" t="s">
        <v>82</v>
      </c>
      <c r="V12" s="433" t="s">
        <v>83</v>
      </c>
      <c r="W12" s="440" t="s">
        <v>81</v>
      </c>
      <c r="X12" s="432" t="s">
        <v>82</v>
      </c>
      <c r="Y12" s="441" t="s">
        <v>83</v>
      </c>
      <c r="Z12" s="431" t="s">
        <v>81</v>
      </c>
      <c r="AA12" s="423" t="s">
        <v>82</v>
      </c>
      <c r="AB12" s="423" t="s">
        <v>83</v>
      </c>
      <c r="AC12" s="572" t="s">
        <v>81</v>
      </c>
      <c r="AD12" s="573" t="s">
        <v>82</v>
      </c>
      <c r="AE12" s="573" t="s">
        <v>83</v>
      </c>
    </row>
    <row r="13" spans="1:33" x14ac:dyDescent="0.3">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447">
        <f t="shared" si="1"/>
        <v>0</v>
      </c>
      <c r="Q13" s="449">
        <f>N13*(1+$F$5)</f>
        <v>20.454461962543736</v>
      </c>
      <c r="R13" s="32">
        <f>O13*(1+$F$5)</f>
        <v>20.454461962543736</v>
      </c>
      <c r="S13" s="450">
        <f>P13*(1+$F$5)</f>
        <v>0</v>
      </c>
      <c r="T13" s="448">
        <f t="shared" ref="T13:V21" si="2">Q13*(1+$G$5)</f>
        <v>21.104913852952627</v>
      </c>
      <c r="U13" s="33">
        <f t="shared" si="2"/>
        <v>21.104913852952627</v>
      </c>
      <c r="V13" s="438">
        <f t="shared" si="2"/>
        <v>0</v>
      </c>
      <c r="W13" s="474">
        <f t="shared" ref="W13:W21" si="3">T13*(1+$H$5)</f>
        <v>21.906900579364827</v>
      </c>
      <c r="X13" s="33">
        <f t="shared" ref="X13:X21" si="4">U13*(1+$H$5)</f>
        <v>21.906900579364827</v>
      </c>
      <c r="Y13" s="443">
        <f t="shared" ref="Y13:Y21" si="5">V13*(1+$G$5)</f>
        <v>0</v>
      </c>
      <c r="Z13" s="439">
        <f t="shared" ref="Z13:AA17" si="6">W13*(1+$I$5)-0.01</f>
        <v>22.249601678692599</v>
      </c>
      <c r="AA13" s="424">
        <f t="shared" si="6"/>
        <v>22.249601678692599</v>
      </c>
      <c r="AB13" s="422"/>
      <c r="AC13" s="574">
        <f>Z13*(1+$J$5)</f>
        <v>23.500029293035123</v>
      </c>
      <c r="AD13" s="575">
        <f t="shared" ref="AD13:AD21" si="7">AA13*(1+$J$5)</f>
        <v>23.500029293035123</v>
      </c>
      <c r="AE13" s="575"/>
      <c r="AG13" s="21" t="s">
        <v>84</v>
      </c>
    </row>
    <row r="14" spans="1:33" x14ac:dyDescent="0.3">
      <c r="A14" s="21" t="s">
        <v>85</v>
      </c>
      <c r="B14" s="21">
        <v>7.62</v>
      </c>
      <c r="C14" s="21">
        <v>16.47</v>
      </c>
      <c r="D14" s="21">
        <v>0</v>
      </c>
      <c r="E14" s="30">
        <f t="shared" ref="E14:E20" si="8">B14*(1+$B$5)</f>
        <v>7.7678280000000006</v>
      </c>
      <c r="F14" s="30">
        <f t="shared" si="0"/>
        <v>16.789518000000001</v>
      </c>
      <c r="G14" s="30">
        <f t="shared" si="0"/>
        <v>0</v>
      </c>
      <c r="H14" s="30">
        <f t="shared" ref="H14:J20" si="9">E14*(1+$C$5)</f>
        <v>8.0521305048000009</v>
      </c>
      <c r="I14" s="30">
        <f t="shared" si="9"/>
        <v>17.404014358800001</v>
      </c>
      <c r="J14" s="30">
        <f t="shared" si="9"/>
        <v>0</v>
      </c>
      <c r="K14" s="30">
        <f t="shared" ref="K14:M20" si="10">H14*(1+$D$5)</f>
        <v>8.5972597399749624</v>
      </c>
      <c r="L14" s="30">
        <f t="shared" si="10"/>
        <v>18.582266130890762</v>
      </c>
      <c r="M14" s="30">
        <f t="shared" si="10"/>
        <v>0</v>
      </c>
      <c r="N14" s="31">
        <f t="shared" ref="N14:N21" si="11">K14*(1+$E$5)</f>
        <v>9.0916021750235245</v>
      </c>
      <c r="O14" s="31">
        <f t="shared" si="1"/>
        <v>19.650746433416984</v>
      </c>
      <c r="P14" s="447">
        <f t="shared" si="1"/>
        <v>0</v>
      </c>
      <c r="Q14" s="449">
        <f t="shared" ref="Q14:S21" si="12">N14*(1+$F$5)</f>
        <v>9.4634487039819852</v>
      </c>
      <c r="R14" s="32">
        <f t="shared" si="12"/>
        <v>20.454461962543736</v>
      </c>
      <c r="S14" s="450">
        <f t="shared" si="12"/>
        <v>0</v>
      </c>
      <c r="T14" s="448">
        <f t="shared" si="2"/>
        <v>9.7643863727686124</v>
      </c>
      <c r="U14" s="33">
        <f t="shared" si="2"/>
        <v>21.104913852952627</v>
      </c>
      <c r="V14" s="438">
        <f t="shared" si="2"/>
        <v>0</v>
      </c>
      <c r="W14" s="442">
        <f t="shared" si="3"/>
        <v>10.13543305493382</v>
      </c>
      <c r="X14" s="33">
        <f t="shared" si="4"/>
        <v>21.906900579364827</v>
      </c>
      <c r="Y14" s="443">
        <f t="shared" si="5"/>
        <v>0</v>
      </c>
      <c r="Z14" s="454">
        <f t="shared" si="6"/>
        <v>10.288613527118255</v>
      </c>
      <c r="AA14" s="424">
        <f t="shared" si="6"/>
        <v>22.249601678692599</v>
      </c>
      <c r="AB14" s="422"/>
      <c r="AC14" s="574">
        <f t="shared" ref="AC14:AC21" si="13">Z14*(1+$J$5)</f>
        <v>10.866833607342301</v>
      </c>
      <c r="AD14" s="575">
        <f t="shared" si="7"/>
        <v>23.500029293035123</v>
      </c>
      <c r="AE14" s="575"/>
      <c r="AG14" s="21" t="s">
        <v>85</v>
      </c>
    </row>
    <row r="15" spans="1:33" x14ac:dyDescent="0.3">
      <c r="A15" s="21" t="s">
        <v>86</v>
      </c>
      <c r="B15" s="21">
        <v>16.47</v>
      </c>
      <c r="C15" s="21">
        <v>16.47</v>
      </c>
      <c r="D15" s="21">
        <v>0</v>
      </c>
      <c r="E15" s="30">
        <f t="shared" si="8"/>
        <v>16.789518000000001</v>
      </c>
      <c r="F15" s="30">
        <f t="shared" si="0"/>
        <v>16.789518000000001</v>
      </c>
      <c r="G15" s="30">
        <f t="shared" si="0"/>
        <v>0</v>
      </c>
      <c r="H15" s="30">
        <f t="shared" si="9"/>
        <v>17.404014358800001</v>
      </c>
      <c r="I15" s="30">
        <f t="shared" si="9"/>
        <v>17.404014358800001</v>
      </c>
      <c r="J15" s="30">
        <f t="shared" si="9"/>
        <v>0</v>
      </c>
      <c r="K15" s="30">
        <f t="shared" si="10"/>
        <v>18.582266130890762</v>
      </c>
      <c r="L15" s="30">
        <f t="shared" si="10"/>
        <v>18.582266130890762</v>
      </c>
      <c r="M15" s="30">
        <f t="shared" si="10"/>
        <v>0</v>
      </c>
      <c r="N15" s="31">
        <f t="shared" si="11"/>
        <v>19.650746433416984</v>
      </c>
      <c r="O15" s="31">
        <f t="shared" si="1"/>
        <v>19.650746433416984</v>
      </c>
      <c r="P15" s="447">
        <f t="shared" si="1"/>
        <v>0</v>
      </c>
      <c r="Q15" s="449">
        <f t="shared" si="12"/>
        <v>20.454461962543736</v>
      </c>
      <c r="R15" s="32">
        <f t="shared" si="12"/>
        <v>20.454461962543736</v>
      </c>
      <c r="S15" s="450">
        <f t="shared" si="12"/>
        <v>0</v>
      </c>
      <c r="T15" s="448">
        <f t="shared" si="2"/>
        <v>21.104913852952627</v>
      </c>
      <c r="U15" s="33">
        <f t="shared" si="2"/>
        <v>21.104913852952627</v>
      </c>
      <c r="V15" s="438">
        <f t="shared" si="2"/>
        <v>0</v>
      </c>
      <c r="W15" s="442">
        <f t="shared" si="3"/>
        <v>21.906900579364827</v>
      </c>
      <c r="X15" s="33">
        <f t="shared" si="4"/>
        <v>21.906900579364827</v>
      </c>
      <c r="Y15" s="443">
        <f t="shared" si="5"/>
        <v>0</v>
      </c>
      <c r="Z15" s="439">
        <f t="shared" si="6"/>
        <v>22.249601678692599</v>
      </c>
      <c r="AA15" s="424">
        <f t="shared" si="6"/>
        <v>22.249601678692599</v>
      </c>
      <c r="AB15" s="422"/>
      <c r="AC15" s="574">
        <f t="shared" si="13"/>
        <v>23.500029293035123</v>
      </c>
      <c r="AD15" s="575">
        <f t="shared" si="7"/>
        <v>23.500029293035123</v>
      </c>
      <c r="AE15" s="575"/>
      <c r="AG15" s="21" t="s">
        <v>86</v>
      </c>
    </row>
    <row r="16" spans="1:33" x14ac:dyDescent="0.3">
      <c r="A16" s="21" t="s">
        <v>87</v>
      </c>
      <c r="B16" s="21">
        <v>7.62</v>
      </c>
      <c r="C16" s="21">
        <v>16.47</v>
      </c>
      <c r="D16" s="21">
        <v>0</v>
      </c>
      <c r="E16" s="30">
        <f t="shared" si="8"/>
        <v>7.7678280000000006</v>
      </c>
      <c r="F16" s="30">
        <f t="shared" si="0"/>
        <v>16.789518000000001</v>
      </c>
      <c r="G16" s="30">
        <f t="shared" si="0"/>
        <v>0</v>
      </c>
      <c r="H16" s="30">
        <f t="shared" si="9"/>
        <v>8.0521305048000009</v>
      </c>
      <c r="I16" s="30">
        <f t="shared" si="9"/>
        <v>17.404014358800001</v>
      </c>
      <c r="J16" s="30">
        <f t="shared" si="9"/>
        <v>0</v>
      </c>
      <c r="K16" s="30">
        <f t="shared" si="10"/>
        <v>8.5972597399749624</v>
      </c>
      <c r="L16" s="30">
        <f t="shared" si="10"/>
        <v>18.582266130890762</v>
      </c>
      <c r="M16" s="30">
        <f t="shared" si="10"/>
        <v>0</v>
      </c>
      <c r="N16" s="31">
        <f t="shared" si="11"/>
        <v>9.0916021750235245</v>
      </c>
      <c r="O16" s="31">
        <f t="shared" si="1"/>
        <v>19.650746433416984</v>
      </c>
      <c r="P16" s="447">
        <f t="shared" si="1"/>
        <v>0</v>
      </c>
      <c r="Q16" s="449">
        <f t="shared" si="12"/>
        <v>9.4634487039819852</v>
      </c>
      <c r="R16" s="32">
        <f t="shared" si="12"/>
        <v>20.454461962543736</v>
      </c>
      <c r="S16" s="450">
        <f t="shared" si="12"/>
        <v>0</v>
      </c>
      <c r="T16" s="448">
        <f t="shared" si="2"/>
        <v>9.7643863727686124</v>
      </c>
      <c r="U16" s="33">
        <f t="shared" si="2"/>
        <v>21.104913852952627</v>
      </c>
      <c r="V16" s="438">
        <f t="shared" si="2"/>
        <v>0</v>
      </c>
      <c r="W16" s="442">
        <f t="shared" si="3"/>
        <v>10.13543305493382</v>
      </c>
      <c r="X16" s="33">
        <f t="shared" si="4"/>
        <v>21.906900579364827</v>
      </c>
      <c r="Y16" s="443">
        <f t="shared" si="5"/>
        <v>0</v>
      </c>
      <c r="Z16" s="454">
        <f t="shared" si="6"/>
        <v>10.288613527118255</v>
      </c>
      <c r="AA16" s="424">
        <f t="shared" si="6"/>
        <v>22.249601678692599</v>
      </c>
      <c r="AB16" s="422"/>
      <c r="AC16" s="574">
        <f t="shared" si="13"/>
        <v>10.866833607342301</v>
      </c>
      <c r="AD16" s="575">
        <f t="shared" si="7"/>
        <v>23.500029293035123</v>
      </c>
      <c r="AE16" s="575"/>
      <c r="AG16" s="21" t="s">
        <v>87</v>
      </c>
    </row>
    <row r="17" spans="1:51" x14ac:dyDescent="0.3">
      <c r="A17" s="21" t="s">
        <v>88</v>
      </c>
      <c r="B17" s="21">
        <v>16.47</v>
      </c>
      <c r="C17" s="21">
        <v>16.47</v>
      </c>
      <c r="D17" s="21">
        <v>16.47</v>
      </c>
      <c r="E17" s="30">
        <f t="shared" si="8"/>
        <v>16.789518000000001</v>
      </c>
      <c r="F17" s="30">
        <f t="shared" si="0"/>
        <v>16.789518000000001</v>
      </c>
      <c r="G17" s="30">
        <f t="shared" si="0"/>
        <v>16.789518000000001</v>
      </c>
      <c r="H17" s="30">
        <f t="shared" si="9"/>
        <v>17.404014358800001</v>
      </c>
      <c r="I17" s="30">
        <f t="shared" si="9"/>
        <v>17.404014358800001</v>
      </c>
      <c r="J17" s="30">
        <f t="shared" si="9"/>
        <v>17.404014358800001</v>
      </c>
      <c r="K17" s="30">
        <f t="shared" si="10"/>
        <v>18.582266130890762</v>
      </c>
      <c r="L17" s="30">
        <f t="shared" si="10"/>
        <v>18.582266130890762</v>
      </c>
      <c r="M17" s="30">
        <f t="shared" si="10"/>
        <v>18.582266130890762</v>
      </c>
      <c r="N17" s="31">
        <f t="shared" si="11"/>
        <v>19.650746433416984</v>
      </c>
      <c r="O17" s="31">
        <f t="shared" si="1"/>
        <v>19.650746433416984</v>
      </c>
      <c r="P17" s="447">
        <f t="shared" si="1"/>
        <v>19.650746433416984</v>
      </c>
      <c r="Q17" s="449">
        <f t="shared" si="12"/>
        <v>20.454461962543736</v>
      </c>
      <c r="R17" s="32">
        <f t="shared" si="12"/>
        <v>20.454461962543736</v>
      </c>
      <c r="S17" s="450">
        <f t="shared" si="12"/>
        <v>20.454461962543736</v>
      </c>
      <c r="T17" s="448">
        <f t="shared" si="2"/>
        <v>21.104913852952627</v>
      </c>
      <c r="U17" s="33">
        <f t="shared" si="2"/>
        <v>21.104913852952627</v>
      </c>
      <c r="V17" s="438">
        <f t="shared" si="2"/>
        <v>21.104913852952627</v>
      </c>
      <c r="W17" s="442">
        <f t="shared" si="3"/>
        <v>21.906900579364827</v>
      </c>
      <c r="X17" s="33">
        <f t="shared" si="4"/>
        <v>21.906900579364827</v>
      </c>
      <c r="Y17" s="443">
        <f t="shared" si="5"/>
        <v>21.776050113476522</v>
      </c>
      <c r="Z17" s="439">
        <f t="shared" si="6"/>
        <v>22.249601678692599</v>
      </c>
      <c r="AA17" s="424">
        <f t="shared" si="6"/>
        <v>22.249601678692599</v>
      </c>
      <c r="AB17" s="422"/>
      <c r="AC17" s="574">
        <f t="shared" si="13"/>
        <v>23.500029293035123</v>
      </c>
      <c r="AD17" s="575">
        <f t="shared" si="7"/>
        <v>23.500029293035123</v>
      </c>
      <c r="AE17" s="575"/>
      <c r="AG17" s="21" t="s">
        <v>88</v>
      </c>
    </row>
    <row r="18" spans="1:51" x14ac:dyDescent="0.3">
      <c r="A18" s="21" t="s">
        <v>89</v>
      </c>
      <c r="B18" s="21">
        <v>11.21</v>
      </c>
      <c r="C18" s="21">
        <v>16.47</v>
      </c>
      <c r="D18" s="21">
        <v>0</v>
      </c>
      <c r="E18" s="30">
        <f t="shared" si="8"/>
        <v>11.427474000000002</v>
      </c>
      <c r="F18" s="30">
        <f t="shared" si="0"/>
        <v>16.789518000000001</v>
      </c>
      <c r="G18" s="30">
        <f t="shared" si="0"/>
        <v>0</v>
      </c>
      <c r="H18" s="30">
        <f t="shared" si="9"/>
        <v>11.845719548400002</v>
      </c>
      <c r="I18" s="30">
        <f t="shared" si="9"/>
        <v>17.404014358800001</v>
      </c>
      <c r="J18" s="30">
        <f t="shared" si="9"/>
        <v>0</v>
      </c>
      <c r="K18" s="30">
        <f t="shared" si="10"/>
        <v>12.647674761826684</v>
      </c>
      <c r="L18" s="30">
        <f t="shared" si="10"/>
        <v>18.582266130890762</v>
      </c>
      <c r="M18" s="30">
        <f t="shared" si="10"/>
        <v>0</v>
      </c>
      <c r="N18" s="31">
        <f t="shared" si="11"/>
        <v>13.374916060631719</v>
      </c>
      <c r="O18" s="31">
        <f t="shared" si="1"/>
        <v>19.650746433416984</v>
      </c>
      <c r="P18" s="447">
        <f t="shared" si="1"/>
        <v>0</v>
      </c>
      <c r="Q18" s="449">
        <f t="shared" si="12"/>
        <v>13.921950127511556</v>
      </c>
      <c r="R18" s="32">
        <f t="shared" si="12"/>
        <v>20.454461962543736</v>
      </c>
      <c r="S18" s="450">
        <f t="shared" si="12"/>
        <v>0</v>
      </c>
      <c r="T18" s="448">
        <f t="shared" si="2"/>
        <v>14.364668141566424</v>
      </c>
      <c r="U18" s="33">
        <f t="shared" si="2"/>
        <v>21.104913852952627</v>
      </c>
      <c r="V18" s="438">
        <f t="shared" si="2"/>
        <v>0</v>
      </c>
      <c r="W18" s="442">
        <f t="shared" si="3"/>
        <v>14.910525530945948</v>
      </c>
      <c r="X18" s="33">
        <f t="shared" si="4"/>
        <v>21.906900579364827</v>
      </c>
      <c r="Y18" s="443">
        <f t="shared" si="5"/>
        <v>0</v>
      </c>
      <c r="Z18" s="454">
        <f t="shared" ref="Z18" si="14">W18*(1+$I$5)</f>
        <v>15.150584991994178</v>
      </c>
      <c r="AA18" s="424">
        <f>X18*(1+$I$5)-0.01</f>
        <v>22.249601678692599</v>
      </c>
      <c r="AB18" s="422"/>
      <c r="AC18" s="574">
        <f t="shared" si="13"/>
        <v>16.002047868544253</v>
      </c>
      <c r="AD18" s="575">
        <f t="shared" si="7"/>
        <v>23.500029293035123</v>
      </c>
      <c r="AE18" s="575"/>
      <c r="AG18" s="21" t="s">
        <v>89</v>
      </c>
    </row>
    <row r="19" spans="1:51" x14ac:dyDescent="0.3">
      <c r="A19" s="21" t="s">
        <v>90</v>
      </c>
      <c r="B19" s="21">
        <v>16.47</v>
      </c>
      <c r="C19" s="21">
        <v>16.47</v>
      </c>
      <c r="D19" s="21">
        <v>0</v>
      </c>
      <c r="E19" s="30">
        <f t="shared" si="8"/>
        <v>16.789518000000001</v>
      </c>
      <c r="F19" s="30">
        <f t="shared" si="0"/>
        <v>16.789518000000001</v>
      </c>
      <c r="G19" s="30">
        <f t="shared" si="0"/>
        <v>0</v>
      </c>
      <c r="H19" s="30">
        <f t="shared" si="9"/>
        <v>17.404014358800001</v>
      </c>
      <c r="I19" s="30">
        <f t="shared" si="9"/>
        <v>17.404014358800001</v>
      </c>
      <c r="J19" s="30">
        <f t="shared" si="9"/>
        <v>0</v>
      </c>
      <c r="K19" s="30">
        <f t="shared" si="10"/>
        <v>18.582266130890762</v>
      </c>
      <c r="L19" s="30">
        <f t="shared" si="10"/>
        <v>18.582266130890762</v>
      </c>
      <c r="M19" s="30">
        <f t="shared" si="10"/>
        <v>0</v>
      </c>
      <c r="N19" s="31">
        <f t="shared" si="11"/>
        <v>19.650746433416984</v>
      </c>
      <c r="O19" s="31">
        <f t="shared" si="1"/>
        <v>19.650746433416984</v>
      </c>
      <c r="P19" s="447">
        <f t="shared" si="1"/>
        <v>0</v>
      </c>
      <c r="Q19" s="449">
        <f t="shared" si="12"/>
        <v>20.454461962543736</v>
      </c>
      <c r="R19" s="32">
        <f t="shared" si="12"/>
        <v>20.454461962543736</v>
      </c>
      <c r="S19" s="450">
        <f t="shared" si="12"/>
        <v>0</v>
      </c>
      <c r="T19" s="448">
        <f t="shared" si="2"/>
        <v>21.104913852952627</v>
      </c>
      <c r="U19" s="33">
        <f t="shared" si="2"/>
        <v>21.104913852952627</v>
      </c>
      <c r="V19" s="438">
        <f t="shared" si="2"/>
        <v>0</v>
      </c>
      <c r="W19" s="442">
        <f t="shared" si="3"/>
        <v>21.906900579364827</v>
      </c>
      <c r="X19" s="33">
        <f t="shared" si="4"/>
        <v>21.906900579364827</v>
      </c>
      <c r="Y19" s="443">
        <f t="shared" si="5"/>
        <v>0</v>
      </c>
      <c r="Z19" s="439">
        <f>W19*(1+$I$5)-0.01</f>
        <v>22.249601678692599</v>
      </c>
      <c r="AA19" s="424">
        <f>X19*(1+$I$5)-0.01</f>
        <v>22.249601678692599</v>
      </c>
      <c r="AB19" s="422"/>
      <c r="AC19" s="574">
        <f t="shared" si="13"/>
        <v>23.500029293035123</v>
      </c>
      <c r="AD19" s="575">
        <f t="shared" si="7"/>
        <v>23.500029293035123</v>
      </c>
      <c r="AE19" s="575"/>
      <c r="AG19" s="21" t="s">
        <v>90</v>
      </c>
    </row>
    <row r="20" spans="1:51" x14ac:dyDescent="0.3">
      <c r="A20" s="21" t="s">
        <v>91</v>
      </c>
      <c r="B20" s="21">
        <v>7.62</v>
      </c>
      <c r="C20" s="21">
        <v>16.47</v>
      </c>
      <c r="D20" s="21">
        <v>0</v>
      </c>
      <c r="E20" s="30">
        <f t="shared" si="8"/>
        <v>7.7678280000000006</v>
      </c>
      <c r="F20" s="30">
        <f t="shared" si="0"/>
        <v>16.789518000000001</v>
      </c>
      <c r="G20" s="30">
        <f t="shared" si="0"/>
        <v>0</v>
      </c>
      <c r="H20" s="30">
        <f t="shared" si="9"/>
        <v>8.0521305048000009</v>
      </c>
      <c r="I20" s="30">
        <f t="shared" si="9"/>
        <v>17.404014358800001</v>
      </c>
      <c r="J20" s="30">
        <f t="shared" si="9"/>
        <v>0</v>
      </c>
      <c r="K20" s="30">
        <f t="shared" si="10"/>
        <v>8.5972597399749624</v>
      </c>
      <c r="L20" s="30">
        <f t="shared" si="10"/>
        <v>18.582266130890762</v>
      </c>
      <c r="M20" s="30">
        <f t="shared" si="10"/>
        <v>0</v>
      </c>
      <c r="N20" s="31">
        <f t="shared" si="11"/>
        <v>9.0916021750235245</v>
      </c>
      <c r="O20" s="31">
        <f t="shared" si="1"/>
        <v>19.650746433416984</v>
      </c>
      <c r="P20" s="447">
        <f t="shared" si="1"/>
        <v>0</v>
      </c>
      <c r="Q20" s="449">
        <f t="shared" si="12"/>
        <v>9.4634487039819852</v>
      </c>
      <c r="R20" s="32">
        <f t="shared" si="12"/>
        <v>20.454461962543736</v>
      </c>
      <c r="S20" s="450">
        <f t="shared" si="12"/>
        <v>0</v>
      </c>
      <c r="T20" s="448">
        <f t="shared" si="2"/>
        <v>9.7643863727686124</v>
      </c>
      <c r="U20" s="33">
        <f t="shared" si="2"/>
        <v>21.104913852952627</v>
      </c>
      <c r="V20" s="438">
        <f t="shared" si="2"/>
        <v>0</v>
      </c>
      <c r="W20" s="442">
        <f t="shared" si="3"/>
        <v>10.13543305493382</v>
      </c>
      <c r="X20" s="33">
        <f t="shared" si="4"/>
        <v>21.906900579364827</v>
      </c>
      <c r="Y20" s="443">
        <f t="shared" si="5"/>
        <v>0</v>
      </c>
      <c r="Z20" s="454">
        <f>W20*(1+$I$5)-0.01</f>
        <v>10.288613527118255</v>
      </c>
      <c r="AA20" s="424">
        <f>X20*(1+$I$5)-0.01</f>
        <v>22.249601678692599</v>
      </c>
      <c r="AB20" s="422"/>
      <c r="AC20" s="574">
        <f t="shared" si="13"/>
        <v>10.866833607342301</v>
      </c>
      <c r="AD20" s="575">
        <f t="shared" si="7"/>
        <v>23.500029293035123</v>
      </c>
      <c r="AE20" s="575"/>
      <c r="AG20" s="21" t="s">
        <v>91</v>
      </c>
    </row>
    <row r="21" spans="1:51" ht="15" thickBot="1" x14ac:dyDescent="0.35">
      <c r="A21" s="21" t="s">
        <v>92</v>
      </c>
      <c r="B21" s="21"/>
      <c r="C21" s="21"/>
      <c r="D21" s="21"/>
      <c r="E21" s="30"/>
      <c r="F21" s="30"/>
      <c r="G21" s="30"/>
      <c r="H21" s="30"/>
      <c r="I21" s="30"/>
      <c r="J21" s="30"/>
      <c r="K21" s="30">
        <f>K13</f>
        <v>18.582266130890762</v>
      </c>
      <c r="L21" s="30">
        <f>L13</f>
        <v>18.582266130890762</v>
      </c>
      <c r="M21" s="30">
        <f>M13</f>
        <v>0</v>
      </c>
      <c r="N21" s="31">
        <f t="shared" si="11"/>
        <v>19.650746433416984</v>
      </c>
      <c r="O21" s="31">
        <f t="shared" si="1"/>
        <v>19.650746433416984</v>
      </c>
      <c r="P21" s="447">
        <f t="shared" si="1"/>
        <v>0</v>
      </c>
      <c r="Q21" s="451">
        <f t="shared" si="12"/>
        <v>20.454461962543736</v>
      </c>
      <c r="R21" s="452">
        <f t="shared" si="12"/>
        <v>20.454461962543736</v>
      </c>
      <c r="S21" s="453">
        <f t="shared" si="12"/>
        <v>0</v>
      </c>
      <c r="T21" s="448">
        <f t="shared" si="2"/>
        <v>21.104913852952627</v>
      </c>
      <c r="U21" s="33">
        <f t="shared" si="2"/>
        <v>21.104913852952627</v>
      </c>
      <c r="V21" s="438">
        <f t="shared" si="2"/>
        <v>0</v>
      </c>
      <c r="W21" s="444">
        <f t="shared" si="3"/>
        <v>21.906900579364827</v>
      </c>
      <c r="X21" s="445">
        <f t="shared" si="4"/>
        <v>21.906900579364827</v>
      </c>
      <c r="Y21" s="446">
        <f t="shared" si="5"/>
        <v>0</v>
      </c>
      <c r="Z21" s="439">
        <f>W21*(1+$I$5)-0.01</f>
        <v>22.249601678692599</v>
      </c>
      <c r="AA21" s="424">
        <f>X21*(1+$I$5)-0.01</f>
        <v>22.249601678692599</v>
      </c>
      <c r="AB21" s="422"/>
      <c r="AC21" s="574">
        <f t="shared" si="13"/>
        <v>23.500029293035123</v>
      </c>
      <c r="AD21" s="575">
        <f t="shared" si="7"/>
        <v>23.500029293035123</v>
      </c>
      <c r="AE21" s="575"/>
      <c r="AG21" s="21" t="s">
        <v>92</v>
      </c>
    </row>
    <row r="22" spans="1:51" x14ac:dyDescent="0.3">
      <c r="W22" s="467"/>
    </row>
    <row r="23" spans="1:51" x14ac:dyDescent="0.3">
      <c r="A23" s="19" t="s">
        <v>93</v>
      </c>
      <c r="W23" s="467"/>
    </row>
    <row r="24" spans="1:51" x14ac:dyDescent="0.3">
      <c r="L24" t="s">
        <v>94</v>
      </c>
      <c r="P24" s="34">
        <v>0.03</v>
      </c>
      <c r="Q24" t="s">
        <v>95</v>
      </c>
      <c r="U24" s="34">
        <v>0.03</v>
      </c>
      <c r="V24" t="s">
        <v>95</v>
      </c>
      <c r="Z24" s="34">
        <v>0.03</v>
      </c>
      <c r="AA24" t="s">
        <v>479</v>
      </c>
      <c r="AE24" s="34">
        <v>0.03</v>
      </c>
      <c r="AF24" t="s">
        <v>478</v>
      </c>
      <c r="AJ24" s="34">
        <v>0.03</v>
      </c>
      <c r="AK24" t="s">
        <v>415</v>
      </c>
      <c r="AO24" s="34">
        <v>0.03</v>
      </c>
      <c r="AP24" s="425" t="s">
        <v>411</v>
      </c>
      <c r="AQ24" s="425"/>
      <c r="AR24" s="425"/>
      <c r="AS24" s="425"/>
      <c r="AT24" s="426">
        <v>0.03</v>
      </c>
      <c r="AU24" s="576" t="s">
        <v>480</v>
      </c>
      <c r="AV24" s="576"/>
      <c r="AW24" s="576"/>
      <c r="AX24" s="576"/>
      <c r="AY24" s="577">
        <v>0.03</v>
      </c>
    </row>
    <row r="25" spans="1:51" x14ac:dyDescent="0.3">
      <c r="A25" s="809" t="s">
        <v>80</v>
      </c>
      <c r="B25" s="802" t="s">
        <v>441</v>
      </c>
      <c r="C25" s="802"/>
      <c r="D25" s="802"/>
      <c r="E25" s="802"/>
      <c r="F25" s="802"/>
      <c r="G25" s="802">
        <v>2014</v>
      </c>
      <c r="H25" s="802"/>
      <c r="I25" s="802"/>
      <c r="J25" s="802"/>
      <c r="K25" s="802"/>
      <c r="L25" s="804">
        <v>2015</v>
      </c>
      <c r="M25" s="813"/>
      <c r="N25" s="813"/>
      <c r="O25" s="813"/>
      <c r="P25" s="808"/>
      <c r="Q25" s="804">
        <v>2016</v>
      </c>
      <c r="R25" s="813"/>
      <c r="S25" s="813"/>
      <c r="T25" s="813"/>
      <c r="U25" s="808"/>
      <c r="V25" s="804">
        <v>2017</v>
      </c>
      <c r="W25" s="813"/>
      <c r="X25" s="813"/>
      <c r="Y25" s="813"/>
      <c r="Z25" s="808"/>
      <c r="AA25" s="804">
        <v>2018</v>
      </c>
      <c r="AB25" s="813"/>
      <c r="AC25" s="813"/>
      <c r="AD25" s="813"/>
      <c r="AE25" s="808"/>
      <c r="AF25" s="804">
        <v>2019</v>
      </c>
      <c r="AG25" s="813"/>
      <c r="AH25" s="813"/>
      <c r="AI25" s="813"/>
      <c r="AJ25" s="808"/>
      <c r="AK25" s="804">
        <v>2020</v>
      </c>
      <c r="AL25" s="813"/>
      <c r="AM25" s="813"/>
      <c r="AN25" s="813"/>
      <c r="AO25" s="808"/>
      <c r="AP25" s="820">
        <v>2021</v>
      </c>
      <c r="AQ25" s="821"/>
      <c r="AR25" s="821"/>
      <c r="AS25" s="821"/>
      <c r="AT25" s="816"/>
      <c r="AU25" s="827">
        <v>2022</v>
      </c>
      <c r="AV25" s="828"/>
      <c r="AW25" s="828"/>
      <c r="AX25" s="828"/>
      <c r="AY25" s="829"/>
    </row>
    <row r="26" spans="1:51" ht="30" customHeight="1" x14ac:dyDescent="0.3">
      <c r="A26" s="809"/>
      <c r="B26" s="809" t="s">
        <v>81</v>
      </c>
      <c r="C26" s="809"/>
      <c r="D26" s="809" t="s">
        <v>82</v>
      </c>
      <c r="E26" s="809"/>
      <c r="F26" s="809" t="s">
        <v>83</v>
      </c>
      <c r="G26" s="809" t="s">
        <v>81</v>
      </c>
      <c r="H26" s="809"/>
      <c r="I26" s="809" t="s">
        <v>82</v>
      </c>
      <c r="J26" s="809"/>
      <c r="K26" s="809" t="s">
        <v>83</v>
      </c>
      <c r="L26" s="811" t="s">
        <v>81</v>
      </c>
      <c r="M26" s="812"/>
      <c r="N26" s="811" t="s">
        <v>82</v>
      </c>
      <c r="O26" s="812"/>
      <c r="P26" s="814" t="s">
        <v>83</v>
      </c>
      <c r="Q26" s="811" t="s">
        <v>81</v>
      </c>
      <c r="R26" s="812"/>
      <c r="S26" s="811" t="s">
        <v>82</v>
      </c>
      <c r="T26" s="812"/>
      <c r="U26" s="814" t="s">
        <v>83</v>
      </c>
      <c r="V26" s="811" t="s">
        <v>81</v>
      </c>
      <c r="W26" s="812"/>
      <c r="X26" s="811" t="s">
        <v>82</v>
      </c>
      <c r="Y26" s="812"/>
      <c r="Z26" s="814" t="s">
        <v>83</v>
      </c>
      <c r="AA26" s="811" t="s">
        <v>81</v>
      </c>
      <c r="AB26" s="812"/>
      <c r="AC26" s="811" t="s">
        <v>82</v>
      </c>
      <c r="AD26" s="812"/>
      <c r="AE26" s="814" t="s">
        <v>83</v>
      </c>
      <c r="AF26" s="811" t="s">
        <v>81</v>
      </c>
      <c r="AG26" s="812"/>
      <c r="AH26" s="811" t="s">
        <v>82</v>
      </c>
      <c r="AI26" s="812"/>
      <c r="AJ26" s="814" t="s">
        <v>83</v>
      </c>
      <c r="AK26" s="811" t="s">
        <v>81</v>
      </c>
      <c r="AL26" s="812"/>
      <c r="AM26" s="811" t="s">
        <v>82</v>
      </c>
      <c r="AN26" s="812"/>
      <c r="AO26" s="814" t="s">
        <v>83</v>
      </c>
      <c r="AP26" s="822" t="s">
        <v>81</v>
      </c>
      <c r="AQ26" s="823"/>
      <c r="AR26" s="822" t="s">
        <v>82</v>
      </c>
      <c r="AS26" s="823"/>
      <c r="AT26" s="824" t="s">
        <v>83</v>
      </c>
      <c r="AU26" s="830" t="s">
        <v>81</v>
      </c>
      <c r="AV26" s="831"/>
      <c r="AW26" s="830" t="s">
        <v>82</v>
      </c>
      <c r="AX26" s="831"/>
      <c r="AY26" s="832" t="s">
        <v>83</v>
      </c>
    </row>
    <row r="27" spans="1:51" ht="28.8" x14ac:dyDescent="0.3">
      <c r="A27" s="809"/>
      <c r="B27" s="28" t="s">
        <v>96</v>
      </c>
      <c r="C27" s="28" t="s">
        <v>97</v>
      </c>
      <c r="D27" s="28" t="s">
        <v>96</v>
      </c>
      <c r="E27" s="28" t="s">
        <v>97</v>
      </c>
      <c r="F27" s="809"/>
      <c r="G27" s="28" t="s">
        <v>96</v>
      </c>
      <c r="H27" s="28" t="s">
        <v>97</v>
      </c>
      <c r="I27" s="28" t="s">
        <v>96</v>
      </c>
      <c r="J27" s="28" t="s">
        <v>97</v>
      </c>
      <c r="K27" s="809"/>
      <c r="L27" s="28" t="s">
        <v>96</v>
      </c>
      <c r="M27" s="28" t="s">
        <v>97</v>
      </c>
      <c r="N27" s="28" t="s">
        <v>96</v>
      </c>
      <c r="O27" s="28" t="s">
        <v>97</v>
      </c>
      <c r="P27" s="815"/>
      <c r="Q27" s="28" t="s">
        <v>96</v>
      </c>
      <c r="R27" s="28" t="s">
        <v>97</v>
      </c>
      <c r="S27" s="28" t="s">
        <v>96</v>
      </c>
      <c r="T27" s="28" t="s">
        <v>97</v>
      </c>
      <c r="U27" s="815"/>
      <c r="V27" s="28" t="s">
        <v>96</v>
      </c>
      <c r="W27" s="28" t="s">
        <v>97</v>
      </c>
      <c r="X27" s="28" t="s">
        <v>96</v>
      </c>
      <c r="Y27" s="28" t="s">
        <v>97</v>
      </c>
      <c r="Z27" s="815"/>
      <c r="AA27" s="28" t="s">
        <v>96</v>
      </c>
      <c r="AB27" s="28" t="s">
        <v>97</v>
      </c>
      <c r="AC27" s="28" t="s">
        <v>96</v>
      </c>
      <c r="AD27" s="28" t="s">
        <v>97</v>
      </c>
      <c r="AE27" s="815"/>
      <c r="AF27" s="28" t="s">
        <v>96</v>
      </c>
      <c r="AG27" s="28" t="s">
        <v>97</v>
      </c>
      <c r="AH27" s="28" t="s">
        <v>96</v>
      </c>
      <c r="AI27" s="28" t="s">
        <v>97</v>
      </c>
      <c r="AJ27" s="815"/>
      <c r="AK27" s="389" t="s">
        <v>96</v>
      </c>
      <c r="AL27" s="389" t="s">
        <v>97</v>
      </c>
      <c r="AM27" s="389" t="s">
        <v>96</v>
      </c>
      <c r="AN27" s="389" t="s">
        <v>97</v>
      </c>
      <c r="AO27" s="815"/>
      <c r="AP27" s="423" t="s">
        <v>96</v>
      </c>
      <c r="AQ27" s="423" t="s">
        <v>97</v>
      </c>
      <c r="AR27" s="423" t="s">
        <v>96</v>
      </c>
      <c r="AS27" s="423" t="s">
        <v>97</v>
      </c>
      <c r="AT27" s="825"/>
      <c r="AU27" s="578" t="s">
        <v>96</v>
      </c>
      <c r="AV27" s="578" t="s">
        <v>97</v>
      </c>
      <c r="AW27" s="578" t="s">
        <v>96</v>
      </c>
      <c r="AX27" s="578" t="s">
        <v>97</v>
      </c>
      <c r="AY27" s="833"/>
    </row>
    <row r="28" spans="1:51" x14ac:dyDescent="0.3">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324">
        <v>0</v>
      </c>
      <c r="AK28" s="35">
        <f>AF28*(1+$AJ$24)</f>
        <v>12.561430159485083</v>
      </c>
      <c r="AL28" s="35">
        <f t="shared" ref="AL28:AL32" si="19">AG28*(1+$AJ$24)</f>
        <v>12.561430159485083</v>
      </c>
      <c r="AM28" s="35">
        <f t="shared" ref="AM28:AM32" si="20">AH28*(1+$AJ$24)</f>
        <v>12.561430159485083</v>
      </c>
      <c r="AN28" s="35">
        <f t="shared" ref="AN28:AN32" si="21">AI28*(1+$AJ$24)</f>
        <v>12.561430159485083</v>
      </c>
      <c r="AO28" s="324">
        <v>0</v>
      </c>
      <c r="AP28" s="424">
        <f>AK28*(1+$AT$24)</f>
        <v>12.938273064269636</v>
      </c>
      <c r="AQ28" s="422"/>
      <c r="AR28" s="422"/>
      <c r="AS28" s="422"/>
      <c r="AT28" s="427">
        <v>0</v>
      </c>
      <c r="AU28" s="579">
        <f>AP28*(1+$AY$24)</f>
        <v>13.326421256197724</v>
      </c>
      <c r="AV28" s="579"/>
      <c r="AW28" s="579"/>
      <c r="AX28" s="579"/>
      <c r="AY28" s="580">
        <v>0</v>
      </c>
    </row>
    <row r="29" spans="1:51" x14ac:dyDescent="0.3">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324">
        <v>0</v>
      </c>
      <c r="AK29" s="35">
        <f t="shared" ref="AK29:AK32" si="22">AF29*(1+$AJ$24)</f>
        <v>12.561430159485083</v>
      </c>
      <c r="AL29" s="35">
        <f t="shared" si="19"/>
        <v>12.550821159485082</v>
      </c>
      <c r="AM29" s="35">
        <f t="shared" si="20"/>
        <v>12.550821159485082</v>
      </c>
      <c r="AN29" s="35">
        <f t="shared" si="21"/>
        <v>12.550821159485082</v>
      </c>
      <c r="AO29" s="324">
        <v>0</v>
      </c>
      <c r="AP29" s="424">
        <f t="shared" ref="AP29:AP32" si="23">AK29*(1+$AT$24)</f>
        <v>12.938273064269636</v>
      </c>
      <c r="AQ29" s="422"/>
      <c r="AR29" s="422"/>
      <c r="AS29" s="422"/>
      <c r="AT29" s="427">
        <v>0</v>
      </c>
      <c r="AU29" s="579">
        <f>AP29*(1+$AY$24)</f>
        <v>13.326421256197724</v>
      </c>
      <c r="AV29" s="579"/>
      <c r="AW29" s="579"/>
      <c r="AX29" s="579"/>
      <c r="AY29" s="580">
        <v>0</v>
      </c>
    </row>
    <row r="30" spans="1:51" x14ac:dyDescent="0.3">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324">
        <v>0</v>
      </c>
      <c r="AK30" s="35">
        <f t="shared" si="22"/>
        <v>12.561430159485083</v>
      </c>
      <c r="AL30" s="35">
        <f t="shared" si="19"/>
        <v>12.561430159485083</v>
      </c>
      <c r="AM30" s="35">
        <f t="shared" si="20"/>
        <v>12.561430159485083</v>
      </c>
      <c r="AN30" s="35">
        <f t="shared" si="21"/>
        <v>12.561430159485083</v>
      </c>
      <c r="AO30" s="324">
        <v>0</v>
      </c>
      <c r="AP30" s="424">
        <f t="shared" si="23"/>
        <v>12.938273064269636</v>
      </c>
      <c r="AQ30" s="422"/>
      <c r="AR30" s="422"/>
      <c r="AS30" s="422"/>
      <c r="AT30" s="427">
        <v>0</v>
      </c>
      <c r="AU30" s="579">
        <f>AP30*(1+$AY$24)</f>
        <v>13.326421256197724</v>
      </c>
      <c r="AV30" s="579"/>
      <c r="AW30" s="579"/>
      <c r="AX30" s="579"/>
      <c r="AY30" s="580">
        <v>0</v>
      </c>
    </row>
    <row r="31" spans="1:51" x14ac:dyDescent="0.3">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324">
        <v>0</v>
      </c>
      <c r="AK31" s="35">
        <f t="shared" si="22"/>
        <v>12.561430159485083</v>
      </c>
      <c r="AL31" s="35">
        <f t="shared" si="19"/>
        <v>12.561430159485083</v>
      </c>
      <c r="AM31" s="35">
        <f t="shared" si="20"/>
        <v>12.561430159485083</v>
      </c>
      <c r="AN31" s="35">
        <f t="shared" si="21"/>
        <v>12.561430159485083</v>
      </c>
      <c r="AO31" s="324">
        <v>0</v>
      </c>
      <c r="AP31" s="424">
        <f t="shared" si="23"/>
        <v>12.938273064269636</v>
      </c>
      <c r="AQ31" s="422"/>
      <c r="AR31" s="422"/>
      <c r="AS31" s="422"/>
      <c r="AT31" s="427">
        <v>0</v>
      </c>
      <c r="AU31" s="579">
        <f>AP31*(1+$AY$24)</f>
        <v>13.326421256197724</v>
      </c>
      <c r="AV31" s="579"/>
      <c r="AW31" s="579"/>
      <c r="AX31" s="579"/>
      <c r="AY31" s="580">
        <v>0</v>
      </c>
    </row>
    <row r="32" spans="1:51" x14ac:dyDescent="0.3">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324">
        <v>0</v>
      </c>
      <c r="AK32" s="35">
        <f t="shared" si="22"/>
        <v>12.561430159485083</v>
      </c>
      <c r="AL32" s="35">
        <f t="shared" si="19"/>
        <v>12.561430159485083</v>
      </c>
      <c r="AM32" s="35">
        <f t="shared" si="20"/>
        <v>12.561430159485083</v>
      </c>
      <c r="AN32" s="35">
        <f t="shared" si="21"/>
        <v>12.561430159485083</v>
      </c>
      <c r="AO32" s="324">
        <v>0</v>
      </c>
      <c r="AP32" s="424">
        <f t="shared" si="23"/>
        <v>12.938273064269636</v>
      </c>
      <c r="AQ32" s="422"/>
      <c r="AR32" s="422"/>
      <c r="AS32" s="422"/>
      <c r="AT32" s="427">
        <v>0</v>
      </c>
      <c r="AU32" s="579">
        <f>AP32*(1+$AY$24)</f>
        <v>13.326421256197724</v>
      </c>
      <c r="AV32" s="579"/>
      <c r="AW32" s="579"/>
      <c r="AX32" s="579"/>
      <c r="AY32" s="580">
        <v>0</v>
      </c>
    </row>
    <row r="34" spans="1:51" x14ac:dyDescent="0.3">
      <c r="A34" s="19" t="s">
        <v>98</v>
      </c>
    </row>
    <row r="35" spans="1:51" x14ac:dyDescent="0.3">
      <c r="L35" t="s">
        <v>94</v>
      </c>
      <c r="P35" s="34">
        <v>0.03</v>
      </c>
      <c r="Q35" t="s">
        <v>95</v>
      </c>
      <c r="U35" s="34">
        <v>0.03</v>
      </c>
      <c r="V35" t="s">
        <v>95</v>
      </c>
      <c r="Z35" s="34">
        <v>0.03</v>
      </c>
      <c r="AA35" t="s">
        <v>95</v>
      </c>
      <c r="AE35" s="34">
        <v>0.03</v>
      </c>
      <c r="AF35" t="s">
        <v>95</v>
      </c>
      <c r="AJ35" s="34">
        <v>0.03</v>
      </c>
      <c r="AK35" t="s">
        <v>415</v>
      </c>
      <c r="AO35" s="34">
        <v>0.03</v>
      </c>
      <c r="AP35" s="531" t="s">
        <v>411</v>
      </c>
      <c r="AQ35" s="531"/>
      <c r="AR35" s="531"/>
      <c r="AS35" s="531"/>
      <c r="AT35" s="649">
        <v>0.03</v>
      </c>
      <c r="AU35" s="581" t="s">
        <v>480</v>
      </c>
      <c r="AV35" s="581"/>
      <c r="AW35" s="581"/>
      <c r="AX35" s="581"/>
      <c r="AY35" s="582">
        <v>0.03</v>
      </c>
    </row>
    <row r="36" spans="1:51" x14ac:dyDescent="0.3">
      <c r="A36" s="809" t="s">
        <v>80</v>
      </c>
      <c r="B36" s="802">
        <v>2013</v>
      </c>
      <c r="C36" s="802"/>
      <c r="D36" s="802"/>
      <c r="E36" s="802"/>
      <c r="F36" s="802"/>
      <c r="G36" s="810">
        <v>2014</v>
      </c>
      <c r="H36" s="810"/>
      <c r="I36" s="810"/>
      <c r="J36" s="810"/>
      <c r="K36" s="810"/>
      <c r="L36" s="802">
        <v>2015</v>
      </c>
      <c r="M36" s="802"/>
      <c r="N36" s="802"/>
      <c r="O36" s="802"/>
      <c r="P36" s="802"/>
      <c r="Q36" s="802">
        <v>2016</v>
      </c>
      <c r="R36" s="802"/>
      <c r="S36" s="802"/>
      <c r="T36" s="802"/>
      <c r="U36" s="802"/>
      <c r="V36" s="802">
        <v>2017</v>
      </c>
      <c r="W36" s="802"/>
      <c r="X36" s="802"/>
      <c r="Y36" s="802"/>
      <c r="Z36" s="802"/>
      <c r="AA36" s="802">
        <v>2018</v>
      </c>
      <c r="AB36" s="802"/>
      <c r="AC36" s="802"/>
      <c r="AD36" s="802"/>
      <c r="AE36" s="802"/>
      <c r="AF36" s="802">
        <v>2019</v>
      </c>
      <c r="AG36" s="802"/>
      <c r="AH36" s="802"/>
      <c r="AI36" s="802"/>
      <c r="AJ36" s="802"/>
      <c r="AK36" s="802">
        <v>2020</v>
      </c>
      <c r="AL36" s="802"/>
      <c r="AM36" s="802"/>
      <c r="AN36" s="802"/>
      <c r="AO36" s="802"/>
      <c r="AP36" s="826">
        <v>2021</v>
      </c>
      <c r="AQ36" s="826"/>
      <c r="AR36" s="826"/>
      <c r="AS36" s="826"/>
      <c r="AT36" s="826"/>
      <c r="AU36" s="834">
        <v>2022</v>
      </c>
      <c r="AV36" s="834"/>
      <c r="AW36" s="834"/>
      <c r="AX36" s="834"/>
      <c r="AY36" s="834"/>
    </row>
    <row r="37" spans="1:51" ht="30" customHeight="1" x14ac:dyDescent="0.3">
      <c r="A37" s="809"/>
      <c r="B37" s="809" t="s">
        <v>81</v>
      </c>
      <c r="C37" s="809"/>
      <c r="D37" s="809" t="s">
        <v>82</v>
      </c>
      <c r="E37" s="809"/>
      <c r="F37" s="809" t="s">
        <v>83</v>
      </c>
      <c r="G37" s="809" t="s">
        <v>81</v>
      </c>
      <c r="H37" s="809"/>
      <c r="I37" s="809" t="s">
        <v>82</v>
      </c>
      <c r="J37" s="809"/>
      <c r="K37" s="809" t="s">
        <v>83</v>
      </c>
      <c r="L37" s="809" t="s">
        <v>81</v>
      </c>
      <c r="M37" s="809"/>
      <c r="N37" s="809" t="s">
        <v>82</v>
      </c>
      <c r="O37" s="809"/>
      <c r="P37" s="809" t="s">
        <v>83</v>
      </c>
      <c r="Q37" s="809" t="s">
        <v>81</v>
      </c>
      <c r="R37" s="809"/>
      <c r="S37" s="809" t="s">
        <v>82</v>
      </c>
      <c r="T37" s="809"/>
      <c r="U37" s="809" t="s">
        <v>83</v>
      </c>
      <c r="V37" s="809" t="s">
        <v>81</v>
      </c>
      <c r="W37" s="809"/>
      <c r="X37" s="809" t="s">
        <v>82</v>
      </c>
      <c r="Y37" s="809"/>
      <c r="Z37" s="809" t="s">
        <v>83</v>
      </c>
      <c r="AA37" s="809" t="s">
        <v>81</v>
      </c>
      <c r="AB37" s="809"/>
      <c r="AC37" s="809" t="s">
        <v>82</v>
      </c>
      <c r="AD37" s="809"/>
      <c r="AE37" s="809" t="s">
        <v>83</v>
      </c>
      <c r="AF37" s="809" t="s">
        <v>81</v>
      </c>
      <c r="AG37" s="809"/>
      <c r="AH37" s="809" t="s">
        <v>82</v>
      </c>
      <c r="AI37" s="809"/>
      <c r="AJ37" s="809" t="s">
        <v>83</v>
      </c>
      <c r="AK37" s="809" t="s">
        <v>81</v>
      </c>
      <c r="AL37" s="809"/>
      <c r="AM37" s="809" t="s">
        <v>82</v>
      </c>
      <c r="AN37" s="809"/>
      <c r="AO37" s="809" t="s">
        <v>83</v>
      </c>
      <c r="AP37" s="837" t="s">
        <v>81</v>
      </c>
      <c r="AQ37" s="837"/>
      <c r="AR37" s="837" t="s">
        <v>82</v>
      </c>
      <c r="AS37" s="837"/>
      <c r="AT37" s="837" t="s">
        <v>83</v>
      </c>
      <c r="AU37" s="835" t="s">
        <v>81</v>
      </c>
      <c r="AV37" s="835"/>
      <c r="AW37" s="835" t="s">
        <v>82</v>
      </c>
      <c r="AX37" s="835"/>
      <c r="AY37" s="835" t="s">
        <v>83</v>
      </c>
    </row>
    <row r="38" spans="1:51" ht="57.6" x14ac:dyDescent="0.3">
      <c r="A38" s="809"/>
      <c r="B38" s="28" t="s">
        <v>99</v>
      </c>
      <c r="C38" s="28" t="s">
        <v>100</v>
      </c>
      <c r="D38" s="28" t="s">
        <v>99</v>
      </c>
      <c r="E38" s="28" t="s">
        <v>100</v>
      </c>
      <c r="F38" s="809"/>
      <c r="G38" s="28" t="s">
        <v>99</v>
      </c>
      <c r="H38" s="28" t="s">
        <v>100</v>
      </c>
      <c r="I38" s="28" t="s">
        <v>99</v>
      </c>
      <c r="J38" s="28" t="s">
        <v>100</v>
      </c>
      <c r="K38" s="809"/>
      <c r="L38" s="28" t="s">
        <v>99</v>
      </c>
      <c r="M38" s="28" t="s">
        <v>100</v>
      </c>
      <c r="N38" s="28" t="s">
        <v>99</v>
      </c>
      <c r="O38" s="28" t="s">
        <v>100</v>
      </c>
      <c r="P38" s="809"/>
      <c r="Q38" s="28" t="s">
        <v>99</v>
      </c>
      <c r="R38" s="28" t="s">
        <v>100</v>
      </c>
      <c r="S38" s="28" t="s">
        <v>99</v>
      </c>
      <c r="T38" s="28" t="s">
        <v>100</v>
      </c>
      <c r="U38" s="809"/>
      <c r="V38" s="28" t="s">
        <v>99</v>
      </c>
      <c r="W38" s="28" t="s">
        <v>100</v>
      </c>
      <c r="X38" s="28" t="s">
        <v>99</v>
      </c>
      <c r="Y38" s="28" t="s">
        <v>100</v>
      </c>
      <c r="Z38" s="809"/>
      <c r="AA38" s="28" t="s">
        <v>99</v>
      </c>
      <c r="AB38" s="28" t="s">
        <v>100</v>
      </c>
      <c r="AC38" s="28" t="s">
        <v>99</v>
      </c>
      <c r="AD38" s="28" t="s">
        <v>100</v>
      </c>
      <c r="AE38" s="809"/>
      <c r="AF38" s="28" t="s">
        <v>99</v>
      </c>
      <c r="AG38" s="28" t="s">
        <v>100</v>
      </c>
      <c r="AH38" s="28" t="s">
        <v>99</v>
      </c>
      <c r="AI38" s="28" t="s">
        <v>100</v>
      </c>
      <c r="AJ38" s="809"/>
      <c r="AK38" s="389" t="s">
        <v>99</v>
      </c>
      <c r="AL38" s="389" t="s">
        <v>100</v>
      </c>
      <c r="AM38" s="389" t="s">
        <v>99</v>
      </c>
      <c r="AN38" s="389" t="s">
        <v>100</v>
      </c>
      <c r="AO38" s="809"/>
      <c r="AP38" s="650" t="s">
        <v>99</v>
      </c>
      <c r="AQ38" s="650" t="s">
        <v>100</v>
      </c>
      <c r="AR38" s="650" t="s">
        <v>99</v>
      </c>
      <c r="AS38" s="650" t="s">
        <v>100</v>
      </c>
      <c r="AT38" s="837"/>
      <c r="AU38" s="583" t="s">
        <v>99</v>
      </c>
      <c r="AV38" s="583" t="s">
        <v>100</v>
      </c>
      <c r="AW38" s="583" t="s">
        <v>99</v>
      </c>
      <c r="AX38" s="583" t="s">
        <v>100</v>
      </c>
      <c r="AY38" s="835"/>
    </row>
    <row r="39" spans="1:51" x14ac:dyDescent="0.3">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422">
        <f t="shared" ref="AP39:AT43" si="29">AK39*(1+$AT$35)</f>
        <v>12.938273064269636</v>
      </c>
      <c r="AQ39" s="422">
        <f t="shared" si="29"/>
        <v>12.938273064269636</v>
      </c>
      <c r="AR39" s="422">
        <f t="shared" si="29"/>
        <v>12.938273064269636</v>
      </c>
      <c r="AS39" s="651">
        <f t="shared" si="29"/>
        <v>12.938273064269636</v>
      </c>
      <c r="AT39" s="422">
        <f t="shared" si="29"/>
        <v>0</v>
      </c>
      <c r="AU39" s="584">
        <f t="shared" ref="AU39:AY43" si="30">AP39*(1+$AY$35)</f>
        <v>13.326421256197724</v>
      </c>
      <c r="AV39" s="584">
        <f t="shared" si="30"/>
        <v>13.326421256197724</v>
      </c>
      <c r="AW39" s="584">
        <f t="shared" si="30"/>
        <v>13.326421256197724</v>
      </c>
      <c r="AX39" s="585">
        <f t="shared" si="30"/>
        <v>13.326421256197724</v>
      </c>
      <c r="AY39" s="584">
        <f t="shared" si="30"/>
        <v>0</v>
      </c>
    </row>
    <row r="40" spans="1:51" x14ac:dyDescent="0.3">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69">
        <f>W40*(1+$AE$35)-0.01</f>
        <v>7.6659700842000014</v>
      </c>
      <c r="AC40" s="470">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422">
        <f>AK40*(1+$AT$35)</f>
        <v>12.938273064269636</v>
      </c>
      <c r="AQ40" s="652">
        <v>8.3841999999999999</v>
      </c>
      <c r="AR40" s="652">
        <v>8.3841999999999999</v>
      </c>
      <c r="AS40" s="652">
        <v>8.3841999999999999</v>
      </c>
      <c r="AT40" s="422">
        <f t="shared" si="29"/>
        <v>0</v>
      </c>
      <c r="AU40" s="584">
        <f t="shared" si="30"/>
        <v>13.326421256197724</v>
      </c>
      <c r="AV40" s="584">
        <f t="shared" ref="AV40:AX41" si="37">ROUND(AQ40,2)*(1+$AY$35)</f>
        <v>8.6314000000000011</v>
      </c>
      <c r="AW40" s="584">
        <f t="shared" si="37"/>
        <v>8.6314000000000011</v>
      </c>
      <c r="AX40" s="584">
        <f t="shared" si="37"/>
        <v>8.6314000000000011</v>
      </c>
      <c r="AY40" s="584">
        <f t="shared" si="30"/>
        <v>0</v>
      </c>
    </row>
    <row r="41" spans="1:51" x14ac:dyDescent="0.3">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70">
        <f t="shared" si="31"/>
        <v>7.6659700842000014</v>
      </c>
      <c r="AC41" s="470">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422">
        <f t="shared" si="29"/>
        <v>12.938273064269636</v>
      </c>
      <c r="AQ41" s="652">
        <v>8.3841999999999999</v>
      </c>
      <c r="AR41" s="652">
        <v>8.3841999999999999</v>
      </c>
      <c r="AS41" s="652">
        <v>8.3841999999999999</v>
      </c>
      <c r="AT41" s="422">
        <f t="shared" si="29"/>
        <v>0</v>
      </c>
      <c r="AU41" s="584">
        <f t="shared" si="30"/>
        <v>13.326421256197724</v>
      </c>
      <c r="AV41" s="584">
        <f t="shared" si="37"/>
        <v>8.6314000000000011</v>
      </c>
      <c r="AW41" s="584">
        <f t="shared" si="37"/>
        <v>8.6314000000000011</v>
      </c>
      <c r="AX41" s="584">
        <f t="shared" si="37"/>
        <v>8.6314000000000011</v>
      </c>
      <c r="AY41" s="584">
        <f t="shared" si="30"/>
        <v>0</v>
      </c>
    </row>
    <row r="42" spans="1:51" x14ac:dyDescent="0.3">
      <c r="A42" s="401" t="s">
        <v>401</v>
      </c>
      <c r="B42" s="36">
        <v>9.15</v>
      </c>
      <c r="C42" s="36">
        <v>8.2899999999999991</v>
      </c>
      <c r="D42" s="36">
        <v>9.15</v>
      </c>
      <c r="E42" s="36">
        <v>8.2899999999999991</v>
      </c>
      <c r="F42" s="402">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422">
        <f t="shared" si="29"/>
        <v>12.938273064269636</v>
      </c>
      <c r="AQ42" s="422">
        <f t="shared" si="29"/>
        <v>12.938273064269636</v>
      </c>
      <c r="AR42" s="422">
        <f t="shared" si="29"/>
        <v>12.938273064269636</v>
      </c>
      <c r="AS42" s="422">
        <f t="shared" si="29"/>
        <v>12.938273064269636</v>
      </c>
      <c r="AT42" s="422">
        <f t="shared" si="29"/>
        <v>4.5505333020720213</v>
      </c>
      <c r="AU42" s="584">
        <f t="shared" si="30"/>
        <v>13.326421256197724</v>
      </c>
      <c r="AV42" s="584">
        <f t="shared" si="30"/>
        <v>13.326421256197724</v>
      </c>
      <c r="AW42" s="584">
        <f t="shared" si="30"/>
        <v>13.326421256197724</v>
      </c>
      <c r="AX42" s="584">
        <f t="shared" si="30"/>
        <v>13.326421256197724</v>
      </c>
      <c r="AY42" s="584">
        <f>AT42*(1+$AY$35)</f>
        <v>4.6870493011341825</v>
      </c>
    </row>
    <row r="43" spans="1:51" x14ac:dyDescent="0.3">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422">
        <f t="shared" si="29"/>
        <v>12.938273064269636</v>
      </c>
      <c r="AQ43" s="422">
        <f t="shared" si="29"/>
        <v>12.938273064269636</v>
      </c>
      <c r="AR43" s="422">
        <f t="shared" si="29"/>
        <v>12.938273064269636</v>
      </c>
      <c r="AS43" s="422">
        <f t="shared" si="29"/>
        <v>12.938273064269636</v>
      </c>
      <c r="AT43" s="422">
        <f t="shared" si="29"/>
        <v>0</v>
      </c>
      <c r="AU43" s="584">
        <f t="shared" si="30"/>
        <v>13.326421256197724</v>
      </c>
      <c r="AV43" s="584">
        <f t="shared" si="30"/>
        <v>13.326421256197724</v>
      </c>
      <c r="AW43" s="584">
        <f t="shared" si="30"/>
        <v>13.326421256197724</v>
      </c>
      <c r="AX43" s="584">
        <f t="shared" si="30"/>
        <v>13.326421256197724</v>
      </c>
      <c r="AY43" s="584">
        <f t="shared" si="30"/>
        <v>0</v>
      </c>
    </row>
    <row r="45" spans="1:51" x14ac:dyDescent="0.3">
      <c r="A45" s="19" t="s">
        <v>442</v>
      </c>
      <c r="Z45" s="19" t="s">
        <v>442</v>
      </c>
      <c r="AQ45" s="457"/>
      <c r="AT45" s="457">
        <f>+AS40+AT42</f>
        <v>12.934733302072022</v>
      </c>
    </row>
    <row r="46" spans="1:51" ht="15" thickBot="1" x14ac:dyDescent="0.35">
      <c r="Z46" s="429"/>
      <c r="AH46" s="468"/>
      <c r="AI46" s="457"/>
      <c r="AJ46" s="457"/>
      <c r="AK46" s="467"/>
      <c r="AX46" s="457">
        <f>8.38*(1+3%)</f>
        <v>8.6314000000000011</v>
      </c>
    </row>
    <row r="47" spans="1:51" x14ac:dyDescent="0.3">
      <c r="A47" s="803" t="s">
        <v>80</v>
      </c>
      <c r="B47" s="802">
        <v>2013</v>
      </c>
      <c r="C47" s="802"/>
      <c r="D47" s="802"/>
      <c r="E47" s="802">
        <v>2014</v>
      </c>
      <c r="F47" s="802"/>
      <c r="G47" s="802"/>
      <c r="H47" s="802">
        <v>2015</v>
      </c>
      <c r="I47" s="802"/>
      <c r="J47" s="802"/>
      <c r="K47" s="802">
        <v>2016</v>
      </c>
      <c r="L47" s="802"/>
      <c r="M47" s="802"/>
      <c r="N47" s="802">
        <v>2017</v>
      </c>
      <c r="O47" s="802"/>
      <c r="P47" s="804"/>
      <c r="Q47" s="805">
        <v>2018</v>
      </c>
      <c r="R47" s="806"/>
      <c r="S47" s="807"/>
      <c r="T47" s="808">
        <v>2019</v>
      </c>
      <c r="U47" s="802"/>
      <c r="V47" s="804"/>
      <c r="W47" s="805">
        <v>2020</v>
      </c>
      <c r="X47" s="806"/>
      <c r="Y47" s="807"/>
      <c r="Z47" s="808">
        <v>2021</v>
      </c>
      <c r="AA47" s="802"/>
      <c r="AB47" s="802"/>
      <c r="AC47" s="836">
        <v>2022</v>
      </c>
      <c r="AD47" s="834"/>
      <c r="AE47" s="834"/>
      <c r="AV47" s="475"/>
      <c r="AX47">
        <v>4.6900000000000004</v>
      </c>
    </row>
    <row r="48" spans="1:51" ht="28.8" x14ac:dyDescent="0.3">
      <c r="A48" s="803"/>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436" t="s">
        <v>83</v>
      </c>
      <c r="Q48" s="440" t="s">
        <v>81</v>
      </c>
      <c r="R48" s="435" t="s">
        <v>82</v>
      </c>
      <c r="S48" s="441" t="s">
        <v>83</v>
      </c>
      <c r="T48" s="437" t="s">
        <v>81</v>
      </c>
      <c r="U48" s="28" t="s">
        <v>82</v>
      </c>
      <c r="V48" s="436" t="s">
        <v>83</v>
      </c>
      <c r="W48" s="440" t="s">
        <v>81</v>
      </c>
      <c r="X48" s="435" t="s">
        <v>82</v>
      </c>
      <c r="Y48" s="441" t="s">
        <v>83</v>
      </c>
      <c r="Z48" s="437" t="s">
        <v>81</v>
      </c>
      <c r="AA48" s="421" t="s">
        <v>82</v>
      </c>
      <c r="AB48" s="421" t="s">
        <v>83</v>
      </c>
      <c r="AC48" s="586" t="s">
        <v>81</v>
      </c>
      <c r="AD48" s="583" t="s">
        <v>82</v>
      </c>
      <c r="AE48" s="583" t="s">
        <v>83</v>
      </c>
      <c r="AX48" s="457"/>
    </row>
    <row r="49" spans="1:44" x14ac:dyDescent="0.3">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447">
        <f t="shared" si="42"/>
        <v>0</v>
      </c>
      <c r="Q49" s="449">
        <f t="shared" ref="Q49:S57" si="43">N49*(1+$F$5)</f>
        <v>0</v>
      </c>
      <c r="R49" s="32">
        <f t="shared" si="43"/>
        <v>0</v>
      </c>
      <c r="S49" s="450">
        <f t="shared" si="43"/>
        <v>0</v>
      </c>
      <c r="T49" s="448">
        <f t="shared" ref="T49:V56" si="44">Q49*(1+$G$5)</f>
        <v>0</v>
      </c>
      <c r="U49" s="33">
        <f t="shared" si="44"/>
        <v>0</v>
      </c>
      <c r="V49" s="438">
        <f t="shared" si="44"/>
        <v>0</v>
      </c>
      <c r="W49" s="442">
        <f t="shared" ref="W49:Y56" si="45">T49*(1+$H$5)</f>
        <v>0</v>
      </c>
      <c r="X49" s="33">
        <f t="shared" si="45"/>
        <v>0</v>
      </c>
      <c r="Y49" s="443">
        <f t="shared" si="45"/>
        <v>0</v>
      </c>
      <c r="Z49" s="653">
        <f t="shared" ref="Z49:AB56" si="46">W49*(1+$I$5)</f>
        <v>0</v>
      </c>
      <c r="AA49" s="422">
        <f t="shared" si="46"/>
        <v>0</v>
      </c>
      <c r="AB49" s="422">
        <f t="shared" si="46"/>
        <v>0</v>
      </c>
      <c r="AC49" s="587">
        <f t="shared" ref="AC49:AC57" si="47">Z49*(1+$J$5)</f>
        <v>0</v>
      </c>
      <c r="AD49" s="584">
        <f t="shared" ref="AD49:AD57" si="48">AA49*(1+$J$5)</f>
        <v>0</v>
      </c>
      <c r="AE49" s="584">
        <f t="shared" ref="AE49:AE57" si="49">AB49*(1+$J$5)</f>
        <v>0</v>
      </c>
      <c r="AG49" s="21" t="s">
        <v>84</v>
      </c>
      <c r="AL49" s="611"/>
      <c r="AM49" s="614"/>
      <c r="AN49" s="614"/>
      <c r="AO49" s="614"/>
      <c r="AP49" s="614"/>
      <c r="AQ49" s="612"/>
      <c r="AR49" s="613"/>
    </row>
    <row r="50" spans="1:44" x14ac:dyDescent="0.3">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447">
        <f t="shared" si="42"/>
        <v>0</v>
      </c>
      <c r="Q50" s="449">
        <f t="shared" si="43"/>
        <v>97.939412335919812</v>
      </c>
      <c r="R50" s="32">
        <f t="shared" si="43"/>
        <v>97.939412335919812</v>
      </c>
      <c r="S50" s="450">
        <f t="shared" si="43"/>
        <v>0</v>
      </c>
      <c r="T50" s="448">
        <f>Q50*(1+$G$5)</f>
        <v>101.05388564820207</v>
      </c>
      <c r="U50" s="33">
        <f t="shared" si="44"/>
        <v>101.05388564820207</v>
      </c>
      <c r="V50" s="438">
        <f t="shared" si="44"/>
        <v>0</v>
      </c>
      <c r="W50" s="442">
        <f>T50*(1+$H$5)</f>
        <v>104.89393330283374</v>
      </c>
      <c r="X50" s="33">
        <f t="shared" si="45"/>
        <v>104.89393330283374</v>
      </c>
      <c r="Y50" s="443">
        <f t="shared" si="45"/>
        <v>0</v>
      </c>
      <c r="Z50" s="653">
        <f>W50*(1+$I$5)+0.01</f>
        <v>106.59272562900938</v>
      </c>
      <c r="AA50" s="422">
        <f>X50*(1+$I$5)+0.01</f>
        <v>106.59272562900938</v>
      </c>
      <c r="AB50" s="422">
        <f t="shared" si="46"/>
        <v>0</v>
      </c>
      <c r="AC50" s="587">
        <f t="shared" si="47"/>
        <v>112.5832368093597</v>
      </c>
      <c r="AD50" s="584">
        <f t="shared" si="48"/>
        <v>112.5832368093597</v>
      </c>
      <c r="AE50" s="584">
        <f t="shared" si="49"/>
        <v>0</v>
      </c>
      <c r="AG50" s="21" t="s">
        <v>85</v>
      </c>
      <c r="AL50" s="611"/>
      <c r="AM50" s="611"/>
      <c r="AN50" s="611"/>
      <c r="AO50" s="611"/>
      <c r="AP50" s="611"/>
      <c r="AQ50" s="612"/>
      <c r="AR50" s="613"/>
    </row>
    <row r="51" spans="1:44" x14ac:dyDescent="0.3">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447">
        <f t="shared" si="42"/>
        <v>0</v>
      </c>
      <c r="Q51" s="449">
        <f t="shared" si="43"/>
        <v>0</v>
      </c>
      <c r="R51" s="32">
        <f t="shared" si="43"/>
        <v>0</v>
      </c>
      <c r="S51" s="450">
        <f t="shared" si="43"/>
        <v>0</v>
      </c>
      <c r="T51" s="448">
        <f t="shared" si="44"/>
        <v>0</v>
      </c>
      <c r="U51" s="33">
        <f t="shared" si="44"/>
        <v>0</v>
      </c>
      <c r="V51" s="438">
        <f t="shared" si="44"/>
        <v>0</v>
      </c>
      <c r="W51" s="442">
        <f t="shared" si="45"/>
        <v>0</v>
      </c>
      <c r="X51" s="33">
        <f t="shared" si="45"/>
        <v>0</v>
      </c>
      <c r="Y51" s="443">
        <f t="shared" si="45"/>
        <v>0</v>
      </c>
      <c r="Z51" s="653">
        <f t="shared" si="46"/>
        <v>0</v>
      </c>
      <c r="AA51" s="422">
        <f t="shared" si="46"/>
        <v>0</v>
      </c>
      <c r="AB51" s="422">
        <f t="shared" si="46"/>
        <v>0</v>
      </c>
      <c r="AC51" s="587">
        <f t="shared" si="47"/>
        <v>0</v>
      </c>
      <c r="AD51" s="584">
        <f t="shared" si="48"/>
        <v>0</v>
      </c>
      <c r="AE51" s="584">
        <f t="shared" si="49"/>
        <v>0</v>
      </c>
      <c r="AG51" s="21" t="s">
        <v>86</v>
      </c>
    </row>
    <row r="52" spans="1:44" x14ac:dyDescent="0.3">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447">
        <f t="shared" si="42"/>
        <v>0</v>
      </c>
      <c r="Q52" s="449">
        <f t="shared" si="43"/>
        <v>97.939412335919812</v>
      </c>
      <c r="R52" s="32">
        <f t="shared" si="43"/>
        <v>97.939412335919812</v>
      </c>
      <c r="S52" s="450">
        <f t="shared" si="43"/>
        <v>0</v>
      </c>
      <c r="T52" s="448">
        <f>Q52*(1+$G$5)</f>
        <v>101.05388564820207</v>
      </c>
      <c r="U52" s="33">
        <f t="shared" si="44"/>
        <v>101.05388564820207</v>
      </c>
      <c r="V52" s="438">
        <f t="shared" si="44"/>
        <v>0</v>
      </c>
      <c r="W52" s="442">
        <f t="shared" si="45"/>
        <v>104.89393330283374</v>
      </c>
      <c r="X52" s="33">
        <f t="shared" si="45"/>
        <v>104.89393330283374</v>
      </c>
      <c r="Y52" s="443">
        <f t="shared" si="45"/>
        <v>0</v>
      </c>
      <c r="Z52" s="653">
        <f>W52*(1+$I$5)+0.01</f>
        <v>106.59272562900938</v>
      </c>
      <c r="AA52" s="422">
        <f>X52*(1+$I$5)+0.01</f>
        <v>106.59272562900938</v>
      </c>
      <c r="AB52" s="422">
        <f t="shared" si="46"/>
        <v>0</v>
      </c>
      <c r="AC52" s="587">
        <f t="shared" si="47"/>
        <v>112.5832368093597</v>
      </c>
      <c r="AD52" s="584">
        <f t="shared" si="48"/>
        <v>112.5832368093597</v>
      </c>
      <c r="AE52" s="584">
        <f t="shared" si="49"/>
        <v>0</v>
      </c>
      <c r="AG52" s="21" t="s">
        <v>87</v>
      </c>
    </row>
    <row r="53" spans="1:44" x14ac:dyDescent="0.3">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447">
        <f t="shared" si="42"/>
        <v>69.236965120290691</v>
      </c>
      <c r="Q53" s="449">
        <f t="shared" si="43"/>
        <v>72.068756993710579</v>
      </c>
      <c r="R53" s="32">
        <f t="shared" si="43"/>
        <v>72.068756993710579</v>
      </c>
      <c r="S53" s="450">
        <f t="shared" si="43"/>
        <v>72.068756993710579</v>
      </c>
      <c r="T53" s="448">
        <f t="shared" si="44"/>
        <v>74.360543466110585</v>
      </c>
      <c r="U53" s="33">
        <f t="shared" si="44"/>
        <v>74.360543466110585</v>
      </c>
      <c r="V53" s="438">
        <f t="shared" si="44"/>
        <v>74.360543466110585</v>
      </c>
      <c r="W53" s="442">
        <f t="shared" si="45"/>
        <v>77.186244117822795</v>
      </c>
      <c r="X53" s="33">
        <f t="shared" si="45"/>
        <v>77.186244117822795</v>
      </c>
      <c r="Y53" s="443">
        <f t="shared" si="45"/>
        <v>77.186244117822795</v>
      </c>
      <c r="Z53" s="653">
        <f t="shared" si="46"/>
        <v>78.428942648119744</v>
      </c>
      <c r="AA53" s="422">
        <f t="shared" si="46"/>
        <v>78.428942648119744</v>
      </c>
      <c r="AB53" s="422">
        <f t="shared" si="46"/>
        <v>78.428942648119744</v>
      </c>
      <c r="AC53" s="587">
        <f t="shared" si="47"/>
        <v>82.836649224944082</v>
      </c>
      <c r="AD53" s="584">
        <f t="shared" si="48"/>
        <v>82.836649224944082</v>
      </c>
      <c r="AE53" s="584">
        <f t="shared" si="49"/>
        <v>82.836649224944082</v>
      </c>
      <c r="AG53" s="21" t="s">
        <v>88</v>
      </c>
    </row>
    <row r="54" spans="1:44" x14ac:dyDescent="0.3">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447">
        <f t="shared" si="42"/>
        <v>0</v>
      </c>
      <c r="Q54" s="449">
        <f t="shared" si="43"/>
        <v>97.939412335919812</v>
      </c>
      <c r="R54" s="32">
        <f t="shared" si="43"/>
        <v>97.939412335919812</v>
      </c>
      <c r="S54" s="450">
        <f t="shared" si="43"/>
        <v>0</v>
      </c>
      <c r="T54" s="448">
        <f t="shared" si="44"/>
        <v>101.05388564820207</v>
      </c>
      <c r="U54" s="33">
        <f t="shared" si="44"/>
        <v>101.05388564820207</v>
      </c>
      <c r="V54" s="438">
        <f t="shared" si="44"/>
        <v>0</v>
      </c>
      <c r="W54" s="442">
        <f t="shared" si="45"/>
        <v>104.89393330283374</v>
      </c>
      <c r="X54" s="33">
        <f t="shared" si="45"/>
        <v>104.89393330283374</v>
      </c>
      <c r="Y54" s="443">
        <f t="shared" si="45"/>
        <v>0</v>
      </c>
      <c r="Z54" s="653">
        <f>W54*(1+$I$5)+0.01</f>
        <v>106.59272562900938</v>
      </c>
      <c r="AA54" s="422">
        <f>X54*(1+$I$5)+0.01</f>
        <v>106.59272562900938</v>
      </c>
      <c r="AB54" s="422">
        <f t="shared" si="46"/>
        <v>0</v>
      </c>
      <c r="AC54" s="587">
        <f t="shared" si="47"/>
        <v>112.5832368093597</v>
      </c>
      <c r="AD54" s="584">
        <f t="shared" si="48"/>
        <v>112.5832368093597</v>
      </c>
      <c r="AE54" s="584">
        <f t="shared" si="49"/>
        <v>0</v>
      </c>
      <c r="AG54" s="21" t="s">
        <v>89</v>
      </c>
    </row>
    <row r="55" spans="1:44" x14ac:dyDescent="0.3">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447">
        <f t="shared" si="42"/>
        <v>0</v>
      </c>
      <c r="Q55" s="449">
        <f t="shared" si="43"/>
        <v>0</v>
      </c>
      <c r="R55" s="32">
        <f t="shared" si="43"/>
        <v>0</v>
      </c>
      <c r="S55" s="450">
        <f t="shared" si="43"/>
        <v>0</v>
      </c>
      <c r="T55" s="448">
        <f t="shared" si="44"/>
        <v>0</v>
      </c>
      <c r="U55" s="33">
        <f t="shared" si="44"/>
        <v>0</v>
      </c>
      <c r="V55" s="438">
        <f t="shared" si="44"/>
        <v>0</v>
      </c>
      <c r="W55" s="442">
        <f t="shared" si="45"/>
        <v>0</v>
      </c>
      <c r="X55" s="33">
        <f t="shared" si="45"/>
        <v>0</v>
      </c>
      <c r="Y55" s="443">
        <f t="shared" si="45"/>
        <v>0</v>
      </c>
      <c r="Z55" s="653">
        <f t="shared" si="46"/>
        <v>0</v>
      </c>
      <c r="AA55" s="422">
        <f t="shared" si="46"/>
        <v>0</v>
      </c>
      <c r="AB55" s="422">
        <f t="shared" si="46"/>
        <v>0</v>
      </c>
      <c r="AC55" s="587">
        <f t="shared" si="47"/>
        <v>0</v>
      </c>
      <c r="AD55" s="584">
        <f t="shared" si="48"/>
        <v>0</v>
      </c>
      <c r="AE55" s="584">
        <f t="shared" si="49"/>
        <v>0</v>
      </c>
      <c r="AG55" s="21" t="s">
        <v>90</v>
      </c>
    </row>
    <row r="56" spans="1:44" x14ac:dyDescent="0.3">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447">
        <f t="shared" si="42"/>
        <v>0</v>
      </c>
      <c r="Q56" s="449">
        <f t="shared" si="43"/>
        <v>97.939412335919812</v>
      </c>
      <c r="R56" s="32">
        <f t="shared" si="43"/>
        <v>97.939412335919812</v>
      </c>
      <c r="S56" s="450">
        <f t="shared" si="43"/>
        <v>0</v>
      </c>
      <c r="T56" s="448">
        <f t="shared" si="44"/>
        <v>101.05388564820207</v>
      </c>
      <c r="U56" s="33">
        <f t="shared" si="44"/>
        <v>101.05388564820207</v>
      </c>
      <c r="V56" s="438">
        <f t="shared" si="44"/>
        <v>0</v>
      </c>
      <c r="W56" s="442">
        <f t="shared" si="45"/>
        <v>104.89393330283374</v>
      </c>
      <c r="X56" s="33">
        <f t="shared" si="45"/>
        <v>104.89393330283374</v>
      </c>
      <c r="Y56" s="443">
        <f t="shared" si="45"/>
        <v>0</v>
      </c>
      <c r="Z56" s="653">
        <f>W56*(1+$I$5)+0.01</f>
        <v>106.59272562900938</v>
      </c>
      <c r="AA56" s="422">
        <f>X56*(1+$I$5)+0.01</f>
        <v>106.59272562900938</v>
      </c>
      <c r="AB56" s="422">
        <f t="shared" si="46"/>
        <v>0</v>
      </c>
      <c r="AC56" s="587">
        <f t="shared" si="47"/>
        <v>112.5832368093597</v>
      </c>
      <c r="AD56" s="584">
        <f t="shared" si="48"/>
        <v>112.5832368093597</v>
      </c>
      <c r="AE56" s="584">
        <f t="shared" si="49"/>
        <v>0</v>
      </c>
      <c r="AG56" s="21" t="s">
        <v>91</v>
      </c>
    </row>
    <row r="57" spans="1:44" ht="15" thickBot="1" x14ac:dyDescent="0.35">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447">
        <f t="shared" si="42"/>
        <v>94.096350000000015</v>
      </c>
      <c r="Q57" s="451">
        <f t="shared" si="43"/>
        <v>97.944890715000014</v>
      </c>
      <c r="R57" s="452">
        <f t="shared" si="43"/>
        <v>97.944890715000014</v>
      </c>
      <c r="S57" s="453">
        <f t="shared" si="43"/>
        <v>97.944890715000014</v>
      </c>
      <c r="T57" s="448">
        <f>Q57*(1+$G$5)-0.01</f>
        <v>101.04953823973702</v>
      </c>
      <c r="U57" s="33">
        <f>R57*(1+$G$5)-0.01</f>
        <v>101.04953823973702</v>
      </c>
      <c r="V57" s="438">
        <f>S57*(1+$G$5)-0.01</f>
        <v>101.04953823973702</v>
      </c>
      <c r="W57" s="444">
        <f>T57*(1+$H$5)</f>
        <v>104.88942069284703</v>
      </c>
      <c r="X57" s="445">
        <f>U57*(1+$H$5)</f>
        <v>104.88942069284703</v>
      </c>
      <c r="Y57" s="446">
        <f>V57*(1+$H$5)</f>
        <v>104.88942069284703</v>
      </c>
      <c r="Z57" s="653">
        <f>W57*(1+$I$5)+0.01</f>
        <v>106.58814036600187</v>
      </c>
      <c r="AA57" s="422">
        <f>X57*(1+$I$5)+0.01</f>
        <v>106.58814036600187</v>
      </c>
      <c r="AB57" s="422">
        <f>Y57*(1+$I$5)+0.01</f>
        <v>106.58814036600187</v>
      </c>
      <c r="AC57" s="587">
        <f t="shared" si="47"/>
        <v>112.57839385457117</v>
      </c>
      <c r="AD57" s="584">
        <f t="shared" si="48"/>
        <v>112.57839385457117</v>
      </c>
      <c r="AE57" s="584">
        <f t="shared" si="49"/>
        <v>112.57839385457117</v>
      </c>
      <c r="AG57" s="21" t="s">
        <v>92</v>
      </c>
    </row>
    <row r="59" spans="1:44" x14ac:dyDescent="0.3">
      <c r="A59" s="19" t="s">
        <v>101</v>
      </c>
    </row>
    <row r="61" spans="1:44" x14ac:dyDescent="0.3">
      <c r="A61" s="803" t="s">
        <v>80</v>
      </c>
      <c r="B61" s="802">
        <v>2013</v>
      </c>
      <c r="C61" s="802"/>
      <c r="D61" s="802"/>
      <c r="E61" s="802">
        <v>2014</v>
      </c>
      <c r="F61" s="802"/>
      <c r="G61" s="802"/>
      <c r="H61" s="802">
        <v>2015</v>
      </c>
      <c r="I61" s="802"/>
      <c r="J61" s="802"/>
      <c r="K61" s="802">
        <v>2016</v>
      </c>
      <c r="L61" s="802"/>
      <c r="M61" s="802"/>
      <c r="N61" s="802">
        <v>2017</v>
      </c>
      <c r="O61" s="802"/>
      <c r="P61" s="802"/>
      <c r="Q61" s="802">
        <v>2018</v>
      </c>
      <c r="R61" s="802"/>
      <c r="S61" s="802"/>
    </row>
    <row r="62" spans="1:44" ht="28.8" x14ac:dyDescent="0.3">
      <c r="A62" s="803"/>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
      <c r="A73" t="s">
        <v>103</v>
      </c>
    </row>
    <row r="76" spans="1:19" x14ac:dyDescent="0.3">
      <c r="A76" s="19" t="s">
        <v>104</v>
      </c>
    </row>
    <row r="78" spans="1:19" x14ac:dyDescent="0.3">
      <c r="A78" s="803" t="s">
        <v>80</v>
      </c>
      <c r="B78" s="802">
        <v>2013</v>
      </c>
      <c r="C78" s="802"/>
      <c r="D78" s="802"/>
      <c r="E78" s="802">
        <v>2014</v>
      </c>
      <c r="F78" s="802"/>
      <c r="G78" s="802"/>
      <c r="H78" s="802">
        <v>2015</v>
      </c>
      <c r="I78" s="802"/>
      <c r="J78" s="802"/>
      <c r="K78" s="802">
        <v>2016</v>
      </c>
      <c r="L78" s="802"/>
      <c r="M78" s="802"/>
      <c r="N78" s="802">
        <v>2017</v>
      </c>
      <c r="O78" s="802"/>
      <c r="P78" s="802"/>
      <c r="Q78" s="802">
        <v>2018</v>
      </c>
      <c r="R78" s="802"/>
      <c r="S78" s="802"/>
    </row>
    <row r="79" spans="1:19" ht="28.8" x14ac:dyDescent="0.3">
      <c r="A79" s="803"/>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
      <c r="A90" t="s">
        <v>105</v>
      </c>
    </row>
  </sheetData>
  <mergeCells count="11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Q42"/>
  <sheetViews>
    <sheetView tabSelected="1" zoomScale="85" zoomScaleNormal="85" workbookViewId="0">
      <selection activeCell="O10" sqref="O10"/>
    </sheetView>
  </sheetViews>
  <sheetFormatPr baseColWidth="10" defaultRowHeight="14.4" x14ac:dyDescent="0.3"/>
  <cols>
    <col min="2" max="2" width="44.77734375" customWidth="1"/>
    <col min="3" max="3" width="12.33203125" customWidth="1"/>
    <col min="4" max="4" width="12.6640625" style="614" customWidth="1"/>
    <col min="5" max="5" width="9" hidden="1" customWidth="1"/>
    <col min="6" max="6" width="13.44140625" style="614" customWidth="1"/>
    <col min="7" max="7" width="12.77734375" customWidth="1"/>
    <col min="8" max="8" width="12.5546875" customWidth="1"/>
    <col min="9" max="9" width="14.109375" style="614" customWidth="1"/>
    <col min="10" max="10" width="15.33203125" hidden="1" customWidth="1"/>
    <col min="11" max="11" width="12.77734375" style="614" customWidth="1"/>
    <col min="12" max="12" width="10.5546875" hidden="1" customWidth="1"/>
    <col min="13" max="13" width="12.88671875" customWidth="1"/>
  </cols>
  <sheetData>
    <row r="1" spans="1:15" x14ac:dyDescent="0.3">
      <c r="A1" s="132"/>
      <c r="B1" s="132" t="str">
        <f>+AMAZONAS!C1</f>
        <v>Vigencia: 16 de Julio de 2022; 00:00 horas</v>
      </c>
      <c r="H1" s="184"/>
      <c r="I1" s="184"/>
    </row>
    <row r="2" spans="1:15" ht="15" thickBot="1" x14ac:dyDescent="0.35">
      <c r="A2" s="159" t="s">
        <v>179</v>
      </c>
      <c r="B2" s="159"/>
    </row>
    <row r="3" spans="1:15" ht="15.9" customHeight="1" thickTop="1" x14ac:dyDescent="0.3">
      <c r="A3" s="187"/>
      <c r="B3" s="188" t="s">
        <v>248</v>
      </c>
      <c r="C3" s="916" t="s">
        <v>180</v>
      </c>
      <c r="D3" s="917"/>
      <c r="E3" s="917"/>
      <c r="F3" s="917"/>
      <c r="G3" s="917"/>
      <c r="H3" s="918"/>
      <c r="I3" s="922" t="s">
        <v>249</v>
      </c>
      <c r="J3" s="923"/>
      <c r="K3" s="923"/>
      <c r="L3" s="923"/>
      <c r="M3" s="923"/>
    </row>
    <row r="4" spans="1:15" ht="31.95" customHeight="1" x14ac:dyDescent="0.3">
      <c r="A4" s="134"/>
      <c r="B4" s="681" t="s">
        <v>500</v>
      </c>
      <c r="C4" s="919"/>
      <c r="D4" s="920"/>
      <c r="E4" s="920"/>
      <c r="F4" s="920"/>
      <c r="G4" s="920"/>
      <c r="H4" s="921"/>
      <c r="I4" s="924"/>
      <c r="J4" s="925"/>
      <c r="K4" s="925"/>
      <c r="L4" s="925"/>
      <c r="M4" s="925"/>
    </row>
    <row r="5" spans="1:15" ht="38.25" customHeight="1" x14ac:dyDescent="0.3">
      <c r="A5" s="895" t="s">
        <v>181</v>
      </c>
      <c r="B5" s="897" t="s">
        <v>182</v>
      </c>
      <c r="C5" s="901" t="s">
        <v>240</v>
      </c>
      <c r="D5" s="769" t="s">
        <v>516</v>
      </c>
      <c r="E5" s="164" t="s">
        <v>512</v>
      </c>
      <c r="F5" s="694" t="s">
        <v>511</v>
      </c>
      <c r="G5" s="164" t="s">
        <v>392</v>
      </c>
      <c r="H5" s="164" t="s">
        <v>397</v>
      </c>
      <c r="I5" s="769" t="s">
        <v>516</v>
      </c>
      <c r="J5" s="164" t="s">
        <v>512</v>
      </c>
      <c r="K5" s="694" t="s">
        <v>511</v>
      </c>
      <c r="L5" s="136" t="str">
        <f>+G5</f>
        <v>Biodiesel B2</v>
      </c>
      <c r="M5" s="689" t="s">
        <v>397</v>
      </c>
    </row>
    <row r="6" spans="1:15" ht="27.6" x14ac:dyDescent="0.3">
      <c r="A6" s="895"/>
      <c r="B6" s="897"/>
      <c r="C6" s="902"/>
      <c r="D6" s="545" t="s">
        <v>514</v>
      </c>
      <c r="E6" s="545" t="s">
        <v>477</v>
      </c>
      <c r="F6" s="695">
        <v>0.1</v>
      </c>
      <c r="G6" s="182">
        <v>0.02</v>
      </c>
      <c r="H6" s="384">
        <v>0.1</v>
      </c>
      <c r="I6" s="545" t="s">
        <v>514</v>
      </c>
      <c r="J6" s="525" t="str">
        <f>+E6</f>
        <v>Oxigenada 5%</v>
      </c>
      <c r="K6" s="695">
        <v>0.1</v>
      </c>
      <c r="L6" s="165">
        <f>+G6</f>
        <v>0.02</v>
      </c>
      <c r="M6" s="384">
        <v>0.1</v>
      </c>
    </row>
    <row r="7" spans="1:15" x14ac:dyDescent="0.3">
      <c r="A7" s="896"/>
      <c r="B7" s="898"/>
      <c r="C7" s="135" t="s">
        <v>183</v>
      </c>
      <c r="D7" s="769" t="s">
        <v>183</v>
      </c>
      <c r="E7" s="164" t="s">
        <v>183</v>
      </c>
      <c r="F7" s="694" t="s">
        <v>183</v>
      </c>
      <c r="G7" s="164" t="s">
        <v>183</v>
      </c>
      <c r="H7" s="164" t="s">
        <v>183</v>
      </c>
      <c r="I7" s="769" t="s">
        <v>183</v>
      </c>
      <c r="J7" s="135" t="s">
        <v>183</v>
      </c>
      <c r="K7" s="694" t="s">
        <v>183</v>
      </c>
      <c r="L7" s="136" t="s">
        <v>183</v>
      </c>
      <c r="M7" s="689" t="s">
        <v>183</v>
      </c>
      <c r="O7" s="614"/>
    </row>
    <row r="8" spans="1:15" x14ac:dyDescent="0.3">
      <c r="A8" s="137" t="s">
        <v>184</v>
      </c>
      <c r="B8" s="143" t="s">
        <v>185</v>
      </c>
      <c r="C8" s="204">
        <f>+'Calculo IP ZDF'!B29</f>
        <v>4732.0426400000006</v>
      </c>
      <c r="D8" s="210">
        <f>+'Calculo IP ZDF'!G29</f>
        <v>5064.6893344</v>
      </c>
      <c r="E8" s="210">
        <f>+'Calculo IP ZDF'!H29</f>
        <v>5147.8510080000005</v>
      </c>
      <c r="F8" s="189">
        <f>+'Calculo IP ZDF'!J29</f>
        <v>5563.6593760000005</v>
      </c>
      <c r="G8" s="212">
        <f>+'Calculo IP ZDF'!F29</f>
        <v>3172.5150467000003</v>
      </c>
      <c r="H8" s="212">
        <f>+'Calculo IP ZDF'!L29</f>
        <v>4799.141573500001</v>
      </c>
      <c r="I8" s="189">
        <f>+'GAS CTE'!D9</f>
        <v>5384.1363999999994</v>
      </c>
      <c r="J8" s="691">
        <f>+'GAS CTE'!E9</f>
        <v>5463.9705000000004</v>
      </c>
      <c r="K8" s="189">
        <f>+'GAS CTE'!H9</f>
        <v>5863.1410000000005</v>
      </c>
      <c r="L8" s="214">
        <f>+BIODIESEL!G9</f>
        <v>5268.8620000000001</v>
      </c>
      <c r="M8" s="214">
        <f>+BIODIESEL!H9</f>
        <v>6207.2739999999994</v>
      </c>
    </row>
    <row r="9" spans="1:15" ht="27.6" x14ac:dyDescent="0.3">
      <c r="A9" s="137" t="s">
        <v>186</v>
      </c>
      <c r="B9" s="143" t="s">
        <v>494</v>
      </c>
      <c r="C9" s="190" t="str">
        <f t="shared" ref="C9:C12" si="0">+E9</f>
        <v>------------------</v>
      </c>
      <c r="D9" s="796" t="s">
        <v>188</v>
      </c>
      <c r="E9" s="796" t="s">
        <v>188</v>
      </c>
      <c r="F9" s="796" t="s">
        <v>188</v>
      </c>
      <c r="G9" s="606" t="s">
        <v>188</v>
      </c>
      <c r="H9" s="606" t="s">
        <v>188</v>
      </c>
      <c r="I9" s="189">
        <f>+'GAS CTE'!D10</f>
        <v>562.79999999999995</v>
      </c>
      <c r="J9" s="691">
        <f>+'GAS CTE'!E10</f>
        <v>556.9375</v>
      </c>
      <c r="K9" s="189">
        <f>+'GAS CTE'!H10</f>
        <v>501.24375000000003</v>
      </c>
      <c r="L9" s="215">
        <f>+BIODIESEL!G10</f>
        <v>533.06399999999996</v>
      </c>
      <c r="M9" s="215" t="s">
        <v>188</v>
      </c>
    </row>
    <row r="10" spans="1:15" ht="27.6" x14ac:dyDescent="0.3">
      <c r="A10" s="137"/>
      <c r="B10" s="143" t="s">
        <v>132</v>
      </c>
      <c r="C10" s="190" t="str">
        <f>+E10</f>
        <v>------------------</v>
      </c>
      <c r="D10" s="796" t="s">
        <v>188</v>
      </c>
      <c r="E10" s="796" t="s">
        <v>188</v>
      </c>
      <c r="F10" s="796" t="s">
        <v>188</v>
      </c>
      <c r="G10" s="606" t="s">
        <v>188</v>
      </c>
      <c r="H10" s="606" t="s">
        <v>188</v>
      </c>
      <c r="I10" s="189" t="s">
        <v>133</v>
      </c>
      <c r="J10" s="746" t="str">
        <f>+COMBUSTIBLES!B12</f>
        <v>(3)</v>
      </c>
      <c r="K10" s="205" t="s">
        <v>133</v>
      </c>
      <c r="L10" s="215" t="str">
        <f>+BIODIESEL!H11</f>
        <v>(3)</v>
      </c>
      <c r="M10" s="215" t="s">
        <v>188</v>
      </c>
    </row>
    <row r="11" spans="1:15" x14ac:dyDescent="0.3">
      <c r="A11" s="137"/>
      <c r="B11" s="143" t="s">
        <v>134</v>
      </c>
      <c r="C11" s="190">
        <f>+'GAS CTE'!C12</f>
        <v>169</v>
      </c>
      <c r="D11" s="796">
        <f>+'GAS CTE'!D12</f>
        <v>162.23999999999998</v>
      </c>
      <c r="E11" s="796">
        <f>+'GAS CTE'!E12</f>
        <v>160.54999999999998</v>
      </c>
      <c r="F11" s="606">
        <f>+'GAS CTE'!H12</f>
        <v>144.49499999999998</v>
      </c>
      <c r="G11" s="606">
        <f>+BIODIESEL!E12</f>
        <v>187.18</v>
      </c>
      <c r="H11" s="606">
        <f>+BIODIESEL!H12</f>
        <v>171.9</v>
      </c>
      <c r="I11" s="189">
        <f>+D11</f>
        <v>162.23999999999998</v>
      </c>
      <c r="J11" s="691">
        <f>+E11</f>
        <v>160.54999999999998</v>
      </c>
      <c r="K11" s="189">
        <f>+F11</f>
        <v>144.49499999999998</v>
      </c>
      <c r="L11" s="211">
        <f>+BIODIESEL!G12</f>
        <v>181.45</v>
      </c>
      <c r="M11" s="211">
        <f>+BIODIESEL!H12</f>
        <v>171.9</v>
      </c>
    </row>
    <row r="12" spans="1:15" x14ac:dyDescent="0.3">
      <c r="A12" s="137" t="s">
        <v>189</v>
      </c>
      <c r="B12" s="143" t="s">
        <v>311</v>
      </c>
      <c r="C12" s="190" t="str">
        <f t="shared" si="0"/>
        <v>(2)</v>
      </c>
      <c r="D12" s="261" t="str">
        <f>+C12</f>
        <v>(2)</v>
      </c>
      <c r="E12" s="172" t="s">
        <v>217</v>
      </c>
      <c r="F12" s="172" t="s">
        <v>217</v>
      </c>
      <c r="G12" s="200" t="s">
        <v>217</v>
      </c>
      <c r="H12" s="200" t="s">
        <v>217</v>
      </c>
      <c r="I12" s="189" t="str">
        <f>+G12</f>
        <v>(2)</v>
      </c>
      <c r="J12" s="691" t="str">
        <f>+H12</f>
        <v>(2)</v>
      </c>
      <c r="K12" s="189" t="s">
        <v>217</v>
      </c>
      <c r="L12" s="214" t="s">
        <v>217</v>
      </c>
      <c r="M12" s="214" t="s">
        <v>217</v>
      </c>
    </row>
    <row r="13" spans="1:15" x14ac:dyDescent="0.3">
      <c r="A13" s="137" t="s">
        <v>191</v>
      </c>
      <c r="B13" s="143" t="s">
        <v>192</v>
      </c>
      <c r="C13" s="190">
        <f>+RUBROS!AC14</f>
        <v>10.866833607342301</v>
      </c>
      <c r="D13" s="261">
        <f>+C13</f>
        <v>10.866833607342301</v>
      </c>
      <c r="E13" s="172">
        <f>+C13</f>
        <v>10.866833607342301</v>
      </c>
      <c r="F13" s="200">
        <f>+C13</f>
        <v>10.866833607342301</v>
      </c>
      <c r="G13" s="200">
        <f>+E13</f>
        <v>10.866833607342301</v>
      </c>
      <c r="H13" s="200">
        <f>+G13</f>
        <v>10.866833607342301</v>
      </c>
      <c r="I13" s="189">
        <f>+RUBROS!$AD$14</f>
        <v>23.500029293035123</v>
      </c>
      <c r="J13" s="691">
        <f>+RUBROS!$AD$14</f>
        <v>23.500029293035123</v>
      </c>
      <c r="K13" s="189">
        <f>+RUBROS!$AD$14</f>
        <v>23.500029293035123</v>
      </c>
      <c r="L13" s="214">
        <f>+J13</f>
        <v>23.500029293035123</v>
      </c>
      <c r="M13" s="214">
        <f>+L13</f>
        <v>23.500029293035123</v>
      </c>
    </row>
    <row r="14" spans="1:15" x14ac:dyDescent="0.3">
      <c r="A14" s="137" t="s">
        <v>193</v>
      </c>
      <c r="B14" s="143" t="s">
        <v>194</v>
      </c>
      <c r="C14" s="190">
        <f>+RUBROS!AC50</f>
        <v>112.5832368093597</v>
      </c>
      <c r="D14" s="261">
        <f>+C14</f>
        <v>112.5832368093597</v>
      </c>
      <c r="E14" s="172">
        <f>+C14</f>
        <v>112.5832368093597</v>
      </c>
      <c r="F14" s="200">
        <f>+C14</f>
        <v>112.5832368093597</v>
      </c>
      <c r="G14" s="200">
        <f>+C14</f>
        <v>112.5832368093597</v>
      </c>
      <c r="H14" s="200">
        <f>+C14</f>
        <v>112.5832368093597</v>
      </c>
      <c r="I14" s="189">
        <f>+RUBROS!$AD$50</f>
        <v>112.5832368093597</v>
      </c>
      <c r="J14" s="691">
        <f>+RUBROS!$AD$50</f>
        <v>112.5832368093597</v>
      </c>
      <c r="K14" s="189">
        <f>+RUBROS!$AD$50</f>
        <v>112.5832368093597</v>
      </c>
      <c r="L14" s="214">
        <f>+J14</f>
        <v>112.5832368093597</v>
      </c>
      <c r="M14" s="214">
        <f>+H14</f>
        <v>112.5832368093597</v>
      </c>
    </row>
    <row r="15" spans="1:15" x14ac:dyDescent="0.3">
      <c r="A15" s="137" t="s">
        <v>195</v>
      </c>
      <c r="B15" s="209" t="s">
        <v>196</v>
      </c>
      <c r="C15" s="190">
        <f>+RUBROS!AU28</f>
        <v>13.326421256197724</v>
      </c>
      <c r="D15" s="261">
        <f>+C15</f>
        <v>13.326421256197724</v>
      </c>
      <c r="E15" s="172">
        <f>+C15</f>
        <v>13.326421256197724</v>
      </c>
      <c r="F15" s="200">
        <f>+C15</f>
        <v>13.326421256197724</v>
      </c>
      <c r="G15" s="189">
        <f>+C15</f>
        <v>13.326421256197724</v>
      </c>
      <c r="H15" s="189">
        <f>+C15</f>
        <v>13.326421256197724</v>
      </c>
      <c r="I15" s="189">
        <f>+C15</f>
        <v>13.326421256197724</v>
      </c>
      <c r="J15" s="691">
        <f>+C15</f>
        <v>13.326421256197724</v>
      </c>
      <c r="K15" s="189">
        <f>+F15</f>
        <v>13.326421256197724</v>
      </c>
      <c r="L15" s="214">
        <f>+J15</f>
        <v>13.326421256197724</v>
      </c>
      <c r="M15" s="214">
        <f>+H15</f>
        <v>13.326421256197724</v>
      </c>
    </row>
    <row r="16" spans="1:15" hidden="1" x14ac:dyDescent="0.3">
      <c r="A16" s="137"/>
      <c r="B16" s="143" t="s">
        <v>197</v>
      </c>
      <c r="C16" s="190"/>
      <c r="D16" s="590"/>
      <c r="E16" s="319"/>
      <c r="F16" s="194"/>
      <c r="G16" s="194"/>
      <c r="H16" s="690"/>
      <c r="I16" s="691"/>
      <c r="J16" s="189"/>
      <c r="K16" s="593"/>
      <c r="L16" s="216"/>
      <c r="M16" s="690"/>
    </row>
    <row r="17" spans="1:17" x14ac:dyDescent="0.3">
      <c r="A17" s="144" t="s">
        <v>198</v>
      </c>
      <c r="B17" s="173" t="s">
        <v>199</v>
      </c>
      <c r="C17" s="195">
        <f t="shared" ref="C17:L17" si="1">SUM(C8:C16)</f>
        <v>5037.8191316729008</v>
      </c>
      <c r="D17" s="195">
        <f t="shared" si="1"/>
        <v>5363.7058260729</v>
      </c>
      <c r="E17" s="320">
        <f t="shared" si="1"/>
        <v>5445.1774996729009</v>
      </c>
      <c r="F17" s="320">
        <f t="shared" si="1"/>
        <v>5844.9308676729006</v>
      </c>
      <c r="G17" s="196">
        <f t="shared" si="1"/>
        <v>3496.4715383728999</v>
      </c>
      <c r="H17" s="196">
        <f t="shared" si="1"/>
        <v>5107.8180651729008</v>
      </c>
      <c r="I17" s="198">
        <f t="shared" si="1"/>
        <v>6258.5860873585925</v>
      </c>
      <c r="J17" s="198">
        <f t="shared" si="1"/>
        <v>6330.8676873585937</v>
      </c>
      <c r="K17" s="320">
        <f t="shared" si="1"/>
        <v>6658.2894373585932</v>
      </c>
      <c r="L17" s="217">
        <f t="shared" si="1"/>
        <v>6132.7856873585933</v>
      </c>
      <c r="M17" s="196">
        <f t="shared" ref="M17" si="2">SUM(M8:M16)</f>
        <v>6528.5836873585922</v>
      </c>
    </row>
    <row r="18" spans="1:17" x14ac:dyDescent="0.3">
      <c r="A18" s="137" t="s">
        <v>200</v>
      </c>
      <c r="B18" s="143" t="s">
        <v>201</v>
      </c>
      <c r="C18" s="190" t="s">
        <v>231</v>
      </c>
      <c r="D18" s="190" t="s">
        <v>231</v>
      </c>
      <c r="E18" s="321" t="str">
        <f>+C18</f>
        <v>***</v>
      </c>
      <c r="F18" s="321" t="str">
        <f>+E18</f>
        <v>***</v>
      </c>
      <c r="G18" s="199" t="str">
        <f>+C18</f>
        <v>***</v>
      </c>
      <c r="H18" s="142" t="str">
        <f>+C18</f>
        <v>***</v>
      </c>
      <c r="I18" s="192" t="str">
        <f t="shared" ref="I18:K19" si="3">+K18</f>
        <v>***</v>
      </c>
      <c r="J18" s="192" t="str">
        <f t="shared" si="3"/>
        <v>***</v>
      </c>
      <c r="K18" s="192" t="str">
        <f t="shared" si="3"/>
        <v>***</v>
      </c>
      <c r="L18" s="218" t="s">
        <v>231</v>
      </c>
      <c r="M18" s="142" t="str">
        <f>+H18</f>
        <v>***</v>
      </c>
      <c r="N18" s="19"/>
    </row>
    <row r="19" spans="1:17" x14ac:dyDescent="0.3">
      <c r="A19" s="137" t="s">
        <v>202</v>
      </c>
      <c r="B19" s="143" t="s">
        <v>203</v>
      </c>
      <c r="C19" s="190" t="str">
        <f>+E19</f>
        <v>**</v>
      </c>
      <c r="D19" s="190" t="str">
        <f>+F19</f>
        <v>**</v>
      </c>
      <c r="E19" s="172" t="s">
        <v>229</v>
      </c>
      <c r="F19" s="172" t="s">
        <v>229</v>
      </c>
      <c r="G19" s="200" t="s">
        <v>229</v>
      </c>
      <c r="H19" s="142" t="s">
        <v>229</v>
      </c>
      <c r="I19" s="192" t="str">
        <f t="shared" si="3"/>
        <v>**</v>
      </c>
      <c r="J19" s="192" t="str">
        <f t="shared" si="3"/>
        <v>**</v>
      </c>
      <c r="K19" s="192" t="str">
        <f t="shared" si="3"/>
        <v>**</v>
      </c>
      <c r="L19" s="211" t="s">
        <v>229</v>
      </c>
      <c r="M19" s="142" t="s">
        <v>229</v>
      </c>
    </row>
    <row r="20" spans="1:17" x14ac:dyDescent="0.3">
      <c r="A20" s="137" t="s">
        <v>204</v>
      </c>
      <c r="B20" s="143" t="s">
        <v>205</v>
      </c>
      <c r="C20" s="190" t="str">
        <f>+E20</f>
        <v>****</v>
      </c>
      <c r="D20" s="190" t="str">
        <f>+F20</f>
        <v>****</v>
      </c>
      <c r="E20" s="166" t="s">
        <v>233</v>
      </c>
      <c r="F20" s="166" t="s">
        <v>233</v>
      </c>
      <c r="G20" s="141" t="str">
        <f>+E20</f>
        <v>****</v>
      </c>
      <c r="H20" s="142" t="str">
        <f>+G20</f>
        <v>****</v>
      </c>
      <c r="I20" s="192" t="str">
        <f>+G20</f>
        <v>****</v>
      </c>
      <c r="J20" s="192" t="str">
        <f>+H20</f>
        <v>****</v>
      </c>
      <c r="K20" s="192" t="str">
        <f>+J20</f>
        <v>****</v>
      </c>
      <c r="L20" s="214" t="str">
        <f>+H20</f>
        <v>****</v>
      </c>
      <c r="M20" s="142" t="str">
        <f>+L20</f>
        <v>****</v>
      </c>
    </row>
    <row r="21" spans="1:17" x14ac:dyDescent="0.3">
      <c r="A21" s="144" t="s">
        <v>206</v>
      </c>
      <c r="B21" s="173" t="s">
        <v>207</v>
      </c>
      <c r="C21" s="195">
        <f t="shared" ref="C21:L21" si="4">+C17</f>
        <v>5037.8191316729008</v>
      </c>
      <c r="D21" s="195">
        <f t="shared" ref="D21" si="5">+D17</f>
        <v>5363.7058260729</v>
      </c>
      <c r="E21" s="322">
        <f t="shared" si="4"/>
        <v>5445.1774996729009</v>
      </c>
      <c r="F21" s="322">
        <f t="shared" ref="F21" si="6">+F17</f>
        <v>5844.9308676729006</v>
      </c>
      <c r="G21" s="195">
        <f t="shared" si="4"/>
        <v>3496.4715383728999</v>
      </c>
      <c r="H21" s="195">
        <f t="shared" si="4"/>
        <v>5107.8180651729008</v>
      </c>
      <c r="I21" s="195">
        <f t="shared" ref="I21" si="7">+I17</f>
        <v>6258.5860873585925</v>
      </c>
      <c r="J21" s="195">
        <f t="shared" si="4"/>
        <v>6330.8676873585937</v>
      </c>
      <c r="K21" s="195">
        <f t="shared" ref="K21" si="8">+K17</f>
        <v>6658.2894373585932</v>
      </c>
      <c r="L21" s="213">
        <f t="shared" si="4"/>
        <v>6132.7856873585933</v>
      </c>
      <c r="M21" s="195">
        <f t="shared" ref="M21" si="9">+M17</f>
        <v>6528.5836873585922</v>
      </c>
    </row>
    <row r="22" spans="1:17" x14ac:dyDescent="0.3">
      <c r="A22" s="137" t="s">
        <v>208</v>
      </c>
      <c r="B22" s="143" t="s">
        <v>160</v>
      </c>
      <c r="C22" s="190" t="s">
        <v>231</v>
      </c>
      <c r="D22" s="190" t="s">
        <v>231</v>
      </c>
      <c r="E22" s="166" t="str">
        <f>+C22</f>
        <v>***</v>
      </c>
      <c r="F22" s="166" t="str">
        <f>+E22</f>
        <v>***</v>
      </c>
      <c r="G22" s="141" t="str">
        <f>+E22</f>
        <v>***</v>
      </c>
      <c r="H22" s="142" t="str">
        <f>+G22</f>
        <v>***</v>
      </c>
      <c r="I22" s="192" t="str">
        <f>+K22</f>
        <v>***</v>
      </c>
      <c r="J22" s="192" t="str">
        <f>+L22</f>
        <v>***</v>
      </c>
      <c r="K22" s="192" t="str">
        <f>+M22</f>
        <v>***</v>
      </c>
      <c r="L22" s="214" t="s">
        <v>231</v>
      </c>
      <c r="M22" s="142" t="str">
        <f>+L22</f>
        <v>***</v>
      </c>
    </row>
    <row r="23" spans="1:17" x14ac:dyDescent="0.3">
      <c r="A23" s="137" t="s">
        <v>209</v>
      </c>
      <c r="B23" s="138" t="s">
        <v>210</v>
      </c>
      <c r="C23" s="190" t="str">
        <f>+E23</f>
        <v>*****</v>
      </c>
      <c r="D23" s="190" t="str">
        <f>+F23</f>
        <v>*****</v>
      </c>
      <c r="E23" s="166" t="s">
        <v>235</v>
      </c>
      <c r="F23" s="166" t="s">
        <v>235</v>
      </c>
      <c r="G23" s="141" t="s">
        <v>253</v>
      </c>
      <c r="H23" s="142" t="s">
        <v>211</v>
      </c>
      <c r="I23" s="192" t="str">
        <f>+D23</f>
        <v>*****</v>
      </c>
      <c r="J23" s="192" t="str">
        <f>+E23</f>
        <v>*****</v>
      </c>
      <c r="K23" s="192" t="str">
        <f>+F23</f>
        <v>*****</v>
      </c>
      <c r="L23" s="214" t="s">
        <v>254</v>
      </c>
      <c r="M23" s="142" t="s">
        <v>211</v>
      </c>
    </row>
    <row r="24" spans="1:17" x14ac:dyDescent="0.3">
      <c r="A24" s="137" t="s">
        <v>212</v>
      </c>
      <c r="B24" s="143" t="s">
        <v>213</v>
      </c>
      <c r="C24" s="190" t="str">
        <f>+E24</f>
        <v>******</v>
      </c>
      <c r="D24" s="190" t="str">
        <f>+F24</f>
        <v>******</v>
      </c>
      <c r="E24" s="200" t="s">
        <v>236</v>
      </c>
      <c r="F24" s="200" t="s">
        <v>236</v>
      </c>
      <c r="G24" s="200" t="str">
        <f>+E24</f>
        <v>******</v>
      </c>
      <c r="H24" s="142" t="str">
        <f>+G24</f>
        <v>******</v>
      </c>
      <c r="I24" s="192" t="str">
        <f>+G24</f>
        <v>******</v>
      </c>
      <c r="J24" s="192" t="str">
        <f>+H24</f>
        <v>******</v>
      </c>
      <c r="K24" s="192" t="str">
        <f>+J24</f>
        <v>******</v>
      </c>
      <c r="L24" s="211" t="str">
        <f>+J24</f>
        <v>******</v>
      </c>
      <c r="M24" s="142" t="str">
        <f>+L24</f>
        <v>******</v>
      </c>
    </row>
    <row r="25" spans="1:17" ht="15" thickBot="1" x14ac:dyDescent="0.35">
      <c r="A25" s="148" t="s">
        <v>214</v>
      </c>
      <c r="B25" s="149" t="s">
        <v>215</v>
      </c>
      <c r="C25" s="201"/>
      <c r="D25" s="201"/>
      <c r="E25" s="152"/>
      <c r="F25" s="202"/>
      <c r="G25" s="202"/>
      <c r="H25" s="151"/>
      <c r="I25" s="202"/>
      <c r="J25" s="202"/>
      <c r="K25" s="202"/>
      <c r="L25" s="219"/>
      <c r="M25" s="151"/>
    </row>
    <row r="26" spans="1:17" ht="15" thickTop="1" x14ac:dyDescent="0.3">
      <c r="H26" s="531"/>
      <c r="I26" s="531"/>
      <c r="M26" s="186"/>
    </row>
    <row r="27" spans="1:17" x14ac:dyDescent="0.3">
      <c r="A27" s="156"/>
      <c r="B27" s="256" t="s">
        <v>227</v>
      </c>
      <c r="C27" s="206"/>
      <c r="D27" s="206"/>
      <c r="E27" s="206"/>
      <c r="F27" s="206"/>
      <c r="G27" s="206"/>
      <c r="H27" s="206"/>
      <c r="I27" s="206"/>
      <c r="J27" s="186"/>
      <c r="K27" s="186"/>
      <c r="L27" s="186"/>
      <c r="M27" s="186"/>
      <c r="N27" s="186"/>
      <c r="O27" s="186"/>
      <c r="P27" s="186"/>
      <c r="Q27" s="186"/>
    </row>
    <row r="28" spans="1:17" x14ac:dyDescent="0.3">
      <c r="A28" s="156"/>
      <c r="B28" s="177"/>
      <c r="C28" s="206"/>
      <c r="D28" s="206"/>
      <c r="E28" s="206"/>
      <c r="F28" s="206"/>
      <c r="G28" s="206"/>
      <c r="H28" s="206"/>
      <c r="I28" s="206"/>
      <c r="J28" s="186"/>
      <c r="K28" s="186"/>
      <c r="L28" s="186"/>
      <c r="M28" s="186"/>
      <c r="N28" s="186"/>
      <c r="O28" s="186"/>
      <c r="P28" s="186"/>
      <c r="Q28" s="186"/>
    </row>
    <row r="29" spans="1:17" ht="27" customHeight="1" x14ac:dyDescent="0.3">
      <c r="A29" s="156" t="s">
        <v>190</v>
      </c>
      <c r="B29" s="914" t="str">
        <f>+AMAZONAS!B29</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914"/>
      <c r="N29" s="207"/>
      <c r="O29" s="207"/>
      <c r="P29" s="207"/>
      <c r="Q29" s="207"/>
    </row>
    <row r="30" spans="1:17" ht="25.5" customHeight="1" x14ac:dyDescent="0.3">
      <c r="A30" s="156" t="s">
        <v>217</v>
      </c>
      <c r="B30" s="914" t="s">
        <v>269</v>
      </c>
      <c r="C30" s="914"/>
      <c r="D30" s="914"/>
      <c r="E30" s="914"/>
      <c r="F30" s="914"/>
      <c r="G30" s="914"/>
      <c r="H30" s="914"/>
      <c r="I30" s="914"/>
      <c r="J30" s="914"/>
      <c r="K30" s="914"/>
      <c r="L30" s="914"/>
      <c r="M30" s="914"/>
      <c r="N30" s="186"/>
      <c r="O30" s="186"/>
      <c r="P30" s="186"/>
      <c r="Q30" s="186"/>
    </row>
    <row r="31" spans="1:17" ht="51.9" customHeight="1" x14ac:dyDescent="0.3">
      <c r="A31" s="156" t="s">
        <v>133</v>
      </c>
      <c r="B31" s="914" t="s">
        <v>325</v>
      </c>
      <c r="C31" s="914"/>
      <c r="D31" s="914"/>
      <c r="E31" s="914"/>
      <c r="F31" s="914"/>
      <c r="G31" s="914"/>
      <c r="H31" s="914"/>
      <c r="I31" s="914"/>
      <c r="J31" s="914"/>
      <c r="K31" s="914"/>
      <c r="L31" s="914"/>
      <c r="M31" s="914"/>
      <c r="N31" s="186"/>
      <c r="O31" s="186"/>
      <c r="P31" s="186"/>
      <c r="Q31" s="186"/>
    </row>
    <row r="32" spans="1:17" x14ac:dyDescent="0.3">
      <c r="A32" s="156"/>
      <c r="B32" s="177"/>
      <c r="C32" s="206"/>
      <c r="D32" s="206"/>
      <c r="E32" s="206"/>
      <c r="F32" s="206"/>
      <c r="G32" s="206"/>
      <c r="H32" s="206"/>
      <c r="I32" s="206"/>
      <c r="J32" s="186"/>
      <c r="K32" s="186"/>
      <c r="L32" s="186"/>
      <c r="M32" s="186"/>
      <c r="N32" s="186"/>
      <c r="O32" s="186"/>
      <c r="P32" s="186"/>
      <c r="Q32" s="186"/>
    </row>
    <row r="33" spans="1:17" s="614" customFormat="1" ht="21" customHeight="1" x14ac:dyDescent="0.3">
      <c r="A33" s="156"/>
      <c r="B33" s="914"/>
      <c r="C33" s="914"/>
      <c r="D33" s="914"/>
      <c r="E33" s="914"/>
      <c r="F33" s="914"/>
      <c r="G33" s="914"/>
      <c r="H33" s="914"/>
      <c r="I33" s="914"/>
      <c r="J33" s="914"/>
      <c r="K33" s="914"/>
      <c r="L33" s="914"/>
      <c r="M33" s="914"/>
      <c r="N33" s="186"/>
      <c r="O33" s="186"/>
      <c r="P33" s="186"/>
      <c r="Q33" s="186"/>
    </row>
    <row r="34" spans="1:17" ht="15" customHeight="1" x14ac:dyDescent="0.3">
      <c r="A34" s="178" t="s">
        <v>102</v>
      </c>
      <c r="B34" s="891" t="s">
        <v>228</v>
      </c>
      <c r="C34" s="891"/>
      <c r="D34" s="891"/>
      <c r="E34" s="891"/>
      <c r="F34" s="891"/>
      <c r="G34" s="891"/>
      <c r="H34" s="891"/>
      <c r="I34" s="891"/>
      <c r="J34" s="891"/>
      <c r="K34" s="891"/>
      <c r="L34" s="891"/>
      <c r="M34" s="891"/>
      <c r="N34" s="186"/>
      <c r="O34" s="186"/>
      <c r="P34" s="186"/>
      <c r="Q34" s="186"/>
    </row>
    <row r="35" spans="1:17" ht="15" customHeight="1" x14ac:dyDescent="0.3">
      <c r="A35" s="178" t="s">
        <v>229</v>
      </c>
      <c r="B35" s="914" t="s">
        <v>257</v>
      </c>
      <c r="C35" s="914"/>
      <c r="D35" s="914"/>
      <c r="E35" s="914"/>
      <c r="F35" s="914"/>
      <c r="G35" s="914"/>
      <c r="H35" s="914"/>
      <c r="I35" s="914"/>
      <c r="J35" s="914"/>
      <c r="K35" s="914"/>
      <c r="L35" s="914"/>
      <c r="M35" s="914"/>
      <c r="N35" s="186"/>
      <c r="O35" s="186"/>
      <c r="P35" s="186"/>
      <c r="Q35" s="186"/>
    </row>
    <row r="36" spans="1:17" ht="15" customHeight="1" x14ac:dyDescent="0.3">
      <c r="A36" s="156" t="s">
        <v>231</v>
      </c>
      <c r="B36" s="914" t="s">
        <v>232</v>
      </c>
      <c r="C36" s="914"/>
      <c r="D36" s="914"/>
      <c r="E36" s="914"/>
      <c r="F36" s="914"/>
      <c r="G36" s="914"/>
      <c r="H36" s="914"/>
      <c r="I36" s="914"/>
      <c r="J36" s="914"/>
      <c r="K36" s="914"/>
      <c r="L36" s="914"/>
      <c r="M36" s="156"/>
      <c r="N36" s="891"/>
      <c r="O36" s="891"/>
      <c r="P36" s="891"/>
      <c r="Q36" s="891"/>
    </row>
    <row r="37" spans="1:17" ht="19.649999999999999" customHeight="1" x14ac:dyDescent="0.3">
      <c r="A37" s="156" t="s">
        <v>233</v>
      </c>
      <c r="B37" s="891" t="s">
        <v>454</v>
      </c>
      <c r="C37" s="891"/>
      <c r="D37" s="891"/>
      <c r="E37" s="891"/>
      <c r="F37" s="891"/>
      <c r="G37" s="891"/>
      <c r="H37" s="891"/>
      <c r="I37" s="891"/>
      <c r="J37" s="891"/>
      <c r="K37" s="891"/>
      <c r="L37" s="891"/>
      <c r="M37" s="156"/>
      <c r="N37" s="157"/>
      <c r="O37" s="157"/>
      <c r="P37" s="157"/>
      <c r="Q37" s="157"/>
    </row>
    <row r="38" spans="1:17" ht="24" customHeight="1" x14ac:dyDescent="0.3">
      <c r="A38" s="178" t="s">
        <v>235</v>
      </c>
      <c r="B38" s="914" t="s">
        <v>237</v>
      </c>
      <c r="C38" s="914"/>
      <c r="D38" s="914"/>
      <c r="E38" s="914"/>
      <c r="F38" s="914"/>
      <c r="G38" s="914"/>
      <c r="H38" s="914"/>
      <c r="I38" s="914"/>
      <c r="J38" s="914"/>
      <c r="K38" s="914"/>
      <c r="L38" s="914"/>
      <c r="M38" s="914"/>
      <c r="N38" s="186"/>
      <c r="O38" s="186"/>
      <c r="P38" s="186"/>
      <c r="Q38" s="186"/>
    </row>
    <row r="39" spans="1:17" ht="26.25" customHeight="1" x14ac:dyDescent="0.3">
      <c r="A39" s="178" t="s">
        <v>236</v>
      </c>
      <c r="B39" s="914" t="s">
        <v>255</v>
      </c>
      <c r="C39" s="914"/>
      <c r="D39" s="914"/>
      <c r="E39" s="914"/>
      <c r="F39" s="914"/>
      <c r="G39" s="914"/>
      <c r="H39" s="914"/>
      <c r="I39" s="914"/>
      <c r="J39" s="914"/>
      <c r="K39" s="914"/>
      <c r="L39" s="914"/>
      <c r="M39" s="914"/>
      <c r="N39" s="186"/>
      <c r="O39" s="186"/>
      <c r="P39" s="186"/>
      <c r="Q39" s="186"/>
    </row>
    <row r="40" spans="1:17" ht="27.45" customHeight="1" x14ac:dyDescent="0.3">
      <c r="A40" s="178"/>
      <c r="B40" s="891" t="s">
        <v>457</v>
      </c>
      <c r="C40" s="891"/>
      <c r="D40" s="891"/>
      <c r="E40" s="891"/>
      <c r="F40" s="891"/>
      <c r="G40" s="891"/>
      <c r="H40" s="891"/>
      <c r="I40" s="891"/>
      <c r="J40" s="891"/>
      <c r="K40" s="891"/>
      <c r="L40" s="891"/>
      <c r="M40" s="891"/>
      <c r="N40" s="186"/>
      <c r="O40" s="186"/>
      <c r="P40" s="186"/>
      <c r="Q40" s="186"/>
    </row>
    <row r="42" spans="1:17" ht="87.9" customHeight="1" x14ac:dyDescent="0.3">
      <c r="A42" s="894" t="s">
        <v>147</v>
      </c>
      <c r="B42" s="894"/>
      <c r="C42" s="894"/>
      <c r="D42" s="894"/>
      <c r="E42" s="894"/>
      <c r="F42" s="894"/>
      <c r="G42" s="894"/>
      <c r="H42" s="894"/>
      <c r="I42" s="894"/>
      <c r="J42" s="894"/>
      <c r="K42" s="894"/>
      <c r="L42" s="894"/>
      <c r="M42" s="894"/>
    </row>
  </sheetData>
  <sheetProtection algorithmName="SHA-512" hashValue="jR9Shs2L4MtPoYwvti8buev7fpFmLFMmgOjJaR1sweVSmGGeLyMtHithUUi1kobVis+Kpkzv3+LfHA5fNYTaqA==" saltValue="6r/2N39lIEC43czukKMr2Q==" spinCount="100000" sheet="1" objects="1" scenarios="1"/>
  <mergeCells count="18">
    <mergeCell ref="A42:M42"/>
    <mergeCell ref="B34:M34"/>
    <mergeCell ref="B35:M35"/>
    <mergeCell ref="B38:M38"/>
    <mergeCell ref="B39:M39"/>
    <mergeCell ref="B36:L36"/>
    <mergeCell ref="B40:M40"/>
    <mergeCell ref="C3:H4"/>
    <mergeCell ref="B31:M31"/>
    <mergeCell ref="B29:M29"/>
    <mergeCell ref="B37:L37"/>
    <mergeCell ref="I3:M4"/>
    <mergeCell ref="A5:A7"/>
    <mergeCell ref="B5:B7"/>
    <mergeCell ref="C5:C6"/>
    <mergeCell ref="N36:Q36"/>
    <mergeCell ref="B30:M30"/>
    <mergeCell ref="B33:M33"/>
  </mergeCells>
  <hyperlinks>
    <hyperlink ref="B27" location="ARAUCA!A42" display="Ver Nota Informativa" xr:uid="{00000000-0004-0000-0900-000000000000}"/>
  </hyperlinks>
  <pageMargins left="0.7" right="0.7" top="0.75" bottom="0.75" header="0.3" footer="0.3"/>
  <pageSetup orientation="portrait" r:id="rId1"/>
  <ignoredErrors>
    <ignoredError sqref="L22:L25 C11:C12 H11 E22:E25 J22:J25 C17:C25 G22:H25" formula="1"/>
    <ignoredError sqref="L12:L15 L17:L21 E17:E21 E12:E15 J17:J21 J15 J12 G12:H15 G17:H21"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V41"/>
  <sheetViews>
    <sheetView zoomScale="90" zoomScaleNormal="90" workbookViewId="0">
      <selection activeCell="F26" sqref="F26"/>
    </sheetView>
  </sheetViews>
  <sheetFormatPr baseColWidth="10" defaultRowHeight="14.4" x14ac:dyDescent="0.3"/>
  <cols>
    <col min="1" max="1" width="6.109375" customWidth="1"/>
    <col min="2" max="2" width="46.33203125" customWidth="1"/>
    <col min="3" max="3" width="12.88671875" customWidth="1"/>
    <col min="4" max="4" width="12.88671875" style="614" customWidth="1"/>
    <col min="5" max="5" width="14.6640625" hidden="1" customWidth="1"/>
    <col min="6" max="6" width="12.88671875" style="614" customWidth="1"/>
    <col min="7" max="7" width="12.33203125" customWidth="1"/>
    <col min="8" max="8" width="11.88671875" style="614" customWidth="1"/>
    <col min="9" max="9" width="13.33203125" hidden="1" customWidth="1"/>
    <col min="10" max="10" width="13.33203125" style="614" customWidth="1"/>
    <col min="11" max="11" width="14.109375" hidden="1" customWidth="1"/>
    <col min="12" max="12" width="13.33203125" style="614" customWidth="1"/>
    <col min="13" max="13" width="13.6640625" style="614" customWidth="1"/>
    <col min="14" max="14" width="12.88671875" hidden="1" customWidth="1"/>
    <col min="15" max="15" width="14.33203125" customWidth="1"/>
    <col min="16" max="16" width="0" hidden="1" customWidth="1"/>
  </cols>
  <sheetData>
    <row r="1" spans="1:16" x14ac:dyDescent="0.3">
      <c r="A1" s="132"/>
      <c r="B1" s="133" t="str">
        <f>+AMAZONAS!C1</f>
        <v>Vigencia: 16 de Julio de 2022; 00:00 horas</v>
      </c>
      <c r="C1" s="133"/>
      <c r="D1" s="133"/>
      <c r="E1" s="133"/>
      <c r="F1" s="133"/>
      <c r="G1" s="133"/>
      <c r="H1" s="133"/>
      <c r="I1" s="133"/>
      <c r="J1" s="133"/>
      <c r="K1" s="133"/>
      <c r="L1" s="133"/>
      <c r="M1" s="133"/>
      <c r="N1" s="133"/>
    </row>
    <row r="2" spans="1:16" ht="15" thickBot="1" x14ac:dyDescent="0.35">
      <c r="A2" s="220" t="s">
        <v>179</v>
      </c>
      <c r="B2" s="221"/>
      <c r="C2" s="221"/>
      <c r="D2" s="221"/>
      <c r="E2" s="221"/>
      <c r="F2" s="221"/>
      <c r="G2" s="221"/>
      <c r="H2" s="221"/>
      <c r="I2" s="221"/>
      <c r="J2" s="221"/>
      <c r="K2" s="221"/>
      <c r="L2" s="221"/>
      <c r="M2" s="221"/>
      <c r="N2" s="221"/>
    </row>
    <row r="3" spans="1:16" ht="15.9" customHeight="1" thickTop="1" x14ac:dyDescent="0.3">
      <c r="A3" s="187"/>
      <c r="B3" s="162" t="s">
        <v>258</v>
      </c>
      <c r="C3" s="916" t="s">
        <v>180</v>
      </c>
      <c r="D3" s="917"/>
      <c r="E3" s="917"/>
      <c r="F3" s="917"/>
      <c r="G3" s="917"/>
      <c r="H3" s="917"/>
      <c r="I3" s="918"/>
      <c r="J3" s="926" t="s">
        <v>249</v>
      </c>
      <c r="K3" s="927"/>
      <c r="L3" s="927"/>
      <c r="M3" s="927"/>
      <c r="N3" s="928"/>
    </row>
    <row r="4" spans="1:16" ht="27.6" x14ac:dyDescent="0.3">
      <c r="A4" s="134"/>
      <c r="B4" s="681" t="s">
        <v>500</v>
      </c>
      <c r="C4" s="919"/>
      <c r="D4" s="920"/>
      <c r="E4" s="920"/>
      <c r="F4" s="920"/>
      <c r="G4" s="920"/>
      <c r="H4" s="920"/>
      <c r="I4" s="921"/>
      <c r="J4" s="929"/>
      <c r="K4" s="930"/>
      <c r="L4" s="930"/>
      <c r="M4" s="930"/>
      <c r="N4" s="931"/>
    </row>
    <row r="5" spans="1:16" ht="27.6" customHeight="1" x14ac:dyDescent="0.3">
      <c r="A5" s="895" t="s">
        <v>181</v>
      </c>
      <c r="B5" s="897" t="s">
        <v>182</v>
      </c>
      <c r="C5" s="901" t="s">
        <v>240</v>
      </c>
      <c r="D5" s="769" t="s">
        <v>96</v>
      </c>
      <c r="E5" s="164" t="s">
        <v>96</v>
      </c>
      <c r="F5" s="623" t="s">
        <v>96</v>
      </c>
      <c r="G5" s="164" t="s">
        <v>172</v>
      </c>
      <c r="H5" s="663" t="s">
        <v>397</v>
      </c>
      <c r="I5" s="164" t="s">
        <v>489</v>
      </c>
      <c r="J5" s="769" t="str">
        <f>+D5</f>
        <v>Gasolina Corriente</v>
      </c>
      <c r="K5" s="164" t="s">
        <v>96</v>
      </c>
      <c r="L5" s="623" t="s">
        <v>96</v>
      </c>
      <c r="M5" s="664" t="str">
        <f>+H5</f>
        <v>Biodiesel B10</v>
      </c>
      <c r="N5" s="136" t="str">
        <f>+I5</f>
        <v>Biodiesel B11</v>
      </c>
    </row>
    <row r="6" spans="1:16" x14ac:dyDescent="0.3">
      <c r="A6" s="895"/>
      <c r="B6" s="897"/>
      <c r="C6" s="902"/>
      <c r="D6" s="545" t="s">
        <v>517</v>
      </c>
      <c r="E6" s="545" t="s">
        <v>483</v>
      </c>
      <c r="F6" s="545" t="s">
        <v>488</v>
      </c>
      <c r="G6" s="182">
        <v>0.02</v>
      </c>
      <c r="H6" s="384">
        <v>0.1</v>
      </c>
      <c r="I6" s="384">
        <v>0.11</v>
      </c>
      <c r="J6" s="769" t="str">
        <f>+D6</f>
        <v>Oxigena 4%</v>
      </c>
      <c r="K6" s="524" t="str">
        <f>+E6</f>
        <v>Oxigena 5%</v>
      </c>
      <c r="L6" s="524" t="str">
        <f>+F6</f>
        <v>Oxigena 6%</v>
      </c>
      <c r="M6" s="384">
        <f>+H6</f>
        <v>0.1</v>
      </c>
      <c r="N6" s="165">
        <f>+I6</f>
        <v>0.11</v>
      </c>
    </row>
    <row r="7" spans="1:16" x14ac:dyDescent="0.3">
      <c r="A7" s="896"/>
      <c r="B7" s="898"/>
      <c r="C7" s="135" t="s">
        <v>183</v>
      </c>
      <c r="D7" s="769" t="s">
        <v>183</v>
      </c>
      <c r="E7" s="164" t="s">
        <v>183</v>
      </c>
      <c r="F7" s="623" t="s">
        <v>183</v>
      </c>
      <c r="G7" s="164" t="s">
        <v>183</v>
      </c>
      <c r="H7" s="663" t="s">
        <v>183</v>
      </c>
      <c r="I7" s="164" t="s">
        <v>183</v>
      </c>
      <c r="J7" s="769" t="str">
        <f>+D7</f>
        <v>$/Galón</v>
      </c>
      <c r="K7" s="135" t="s">
        <v>183</v>
      </c>
      <c r="L7" s="622" t="s">
        <v>183</v>
      </c>
      <c r="M7" s="660" t="s">
        <v>183</v>
      </c>
      <c r="N7" s="136" t="s">
        <v>183</v>
      </c>
    </row>
    <row r="8" spans="1:16" x14ac:dyDescent="0.3">
      <c r="A8" s="137" t="s">
        <v>184</v>
      </c>
      <c r="B8" s="143" t="s">
        <v>185</v>
      </c>
      <c r="C8" s="204">
        <f>+'Calculo IP ZDF'!B30</f>
        <v>5064.8</v>
      </c>
      <c r="D8" s="210">
        <f>+'Calculo IP ZDF'!G30</f>
        <v>5384.1363999999994</v>
      </c>
      <c r="E8" s="210">
        <f>+'Calculo IP ZDF'!H30</f>
        <v>5463.9705000000004</v>
      </c>
      <c r="F8" s="210">
        <f>+'Calculo IP ZDF'!I30</f>
        <v>5543.8026</v>
      </c>
      <c r="G8" s="212">
        <f>+'Calculo IP ZDF'!F30</f>
        <v>4571.2850402999993</v>
      </c>
      <c r="H8" s="211">
        <f>+'Calculo IP ZDF'!L30</f>
        <v>6083.7262615</v>
      </c>
      <c r="I8" s="211">
        <f>+'Calculo IP ZDF'!K30</f>
        <v>6272.7814141500003</v>
      </c>
      <c r="J8" s="189">
        <f>+'GAS CTE'!D9</f>
        <v>5384.1363999999994</v>
      </c>
      <c r="K8" s="189">
        <f>+'GAS CTE'!E9</f>
        <v>5463.9705000000004</v>
      </c>
      <c r="L8" s="189">
        <f>+'GAS CTE'!F9</f>
        <v>5543.8026</v>
      </c>
      <c r="M8" s="189">
        <f>+BIODIESEL!H9</f>
        <v>6207.2739999999994</v>
      </c>
      <c r="N8" s="214">
        <f>+BIODIESEL!I9</f>
        <v>6394.9564</v>
      </c>
    </row>
    <row r="9" spans="1:16" ht="20.399999999999999" customHeight="1" x14ac:dyDescent="0.3">
      <c r="A9" s="137" t="s">
        <v>186</v>
      </c>
      <c r="B9" s="143" t="s">
        <v>187</v>
      </c>
      <c r="C9" s="190" t="str">
        <f t="shared" ref="C9:C13" si="0">+E9</f>
        <v>------------------</v>
      </c>
      <c r="D9" s="191" t="s">
        <v>188</v>
      </c>
      <c r="E9" s="191" t="s">
        <v>188</v>
      </c>
      <c r="F9" s="606" t="s">
        <v>188</v>
      </c>
      <c r="G9" s="606" t="s">
        <v>188</v>
      </c>
      <c r="H9" s="142" t="s">
        <v>188</v>
      </c>
      <c r="I9" s="142" t="s">
        <v>188</v>
      </c>
      <c r="J9" s="189">
        <f>+'GAS CTE'!D10</f>
        <v>562.79999999999995</v>
      </c>
      <c r="K9" s="189">
        <f>+'GAS CTE'!E10</f>
        <v>556.9375</v>
      </c>
      <c r="L9" s="189">
        <f>+'GAS CTE'!F10</f>
        <v>551.07499999999993</v>
      </c>
      <c r="M9" s="189">
        <f>+BIODIESEL!H10</f>
        <v>505.00800000000004</v>
      </c>
      <c r="N9" s="215">
        <f>+BIODIESEL!I10</f>
        <v>499.39679999999998</v>
      </c>
    </row>
    <row r="10" spans="1:16" ht="15.6" customHeight="1" x14ac:dyDescent="0.3">
      <c r="A10" s="137"/>
      <c r="B10" s="143" t="s">
        <v>132</v>
      </c>
      <c r="C10" s="190" t="str">
        <f>+E10</f>
        <v>------------------</v>
      </c>
      <c r="D10" s="191" t="s">
        <v>188</v>
      </c>
      <c r="E10" s="191" t="s">
        <v>188</v>
      </c>
      <c r="F10" s="606" t="s">
        <v>188</v>
      </c>
      <c r="G10" s="606" t="s">
        <v>188</v>
      </c>
      <c r="H10" s="142" t="s">
        <v>188</v>
      </c>
      <c r="I10" s="142" t="s">
        <v>188</v>
      </c>
      <c r="J10" s="205" t="s">
        <v>133</v>
      </c>
      <c r="K10" s="205" t="str">
        <f>+COMBUSTIBLES!B12</f>
        <v>(3)</v>
      </c>
      <c r="L10" s="205" t="str">
        <f>+K10</f>
        <v>(3)</v>
      </c>
      <c r="M10" s="205" t="str">
        <f>+BIODIESEL!H11</f>
        <v>(3)</v>
      </c>
      <c r="N10" s="215" t="str">
        <f>+BIODIESEL!H11</f>
        <v>(3)</v>
      </c>
    </row>
    <row r="11" spans="1:16" x14ac:dyDescent="0.3">
      <c r="A11" s="137"/>
      <c r="B11" s="143" t="s">
        <v>134</v>
      </c>
      <c r="C11" s="190">
        <f>+'GAS CTE'!C12</f>
        <v>169</v>
      </c>
      <c r="D11" s="191">
        <f>+'GAS CTE'!D12</f>
        <v>162.23999999999998</v>
      </c>
      <c r="E11" s="191">
        <f>+'GAS CTE'!E12</f>
        <v>160.54999999999998</v>
      </c>
      <c r="F11" s="606">
        <f>+'GAS CTE'!F12</f>
        <v>158.85999999999999</v>
      </c>
      <c r="G11" s="606">
        <f>+BIODIESEL!E12</f>
        <v>187.18</v>
      </c>
      <c r="H11" s="142">
        <f>+BIODIESEL!H12</f>
        <v>171.9</v>
      </c>
      <c r="I11" s="142">
        <f>+BIODIESEL!I12</f>
        <v>169.99</v>
      </c>
      <c r="J11" s="189">
        <f>+'GAS CTE'!D12</f>
        <v>162.23999999999998</v>
      </c>
      <c r="K11" s="189">
        <f>+'GAS CTE'!E12</f>
        <v>160.54999999999998</v>
      </c>
      <c r="L11" s="189">
        <f>+'GAS CTE'!F12</f>
        <v>158.85999999999999</v>
      </c>
      <c r="M11" s="189">
        <f>+H11</f>
        <v>171.9</v>
      </c>
      <c r="N11" s="211">
        <f>+I11</f>
        <v>169.99</v>
      </c>
      <c r="P11" s="425" t="s">
        <v>413</v>
      </c>
    </row>
    <row r="12" spans="1:16" x14ac:dyDescent="0.3">
      <c r="A12" s="137" t="s">
        <v>189</v>
      </c>
      <c r="B12" s="143" t="s">
        <v>250</v>
      </c>
      <c r="C12" s="190" t="str">
        <f t="shared" si="0"/>
        <v>(2)</v>
      </c>
      <c r="D12" s="141" t="s">
        <v>217</v>
      </c>
      <c r="E12" s="141" t="s">
        <v>217</v>
      </c>
      <c r="F12" s="200" t="s">
        <v>217</v>
      </c>
      <c r="G12" s="200" t="s">
        <v>217</v>
      </c>
      <c r="H12" s="142" t="s">
        <v>217</v>
      </c>
      <c r="I12" s="142" t="s">
        <v>217</v>
      </c>
      <c r="J12" s="189" t="s">
        <v>217</v>
      </c>
      <c r="K12" s="189" t="str">
        <f>+I12</f>
        <v>(2)</v>
      </c>
      <c r="L12" s="189" t="str">
        <f>+K12</f>
        <v>(2)</v>
      </c>
      <c r="M12" s="189" t="s">
        <v>217</v>
      </c>
      <c r="N12" s="214" t="s">
        <v>217</v>
      </c>
    </row>
    <row r="13" spans="1:16" x14ac:dyDescent="0.3">
      <c r="A13" s="137" t="s">
        <v>251</v>
      </c>
      <c r="B13" s="143" t="s">
        <v>252</v>
      </c>
      <c r="C13" s="190" t="str">
        <f t="shared" si="0"/>
        <v>N.A.</v>
      </c>
      <c r="D13" s="141" t="s">
        <v>253</v>
      </c>
      <c r="E13" s="141" t="s">
        <v>253</v>
      </c>
      <c r="F13" s="200" t="s">
        <v>253</v>
      </c>
      <c r="G13" s="606" t="s">
        <v>218</v>
      </c>
      <c r="H13" s="142" t="str">
        <f>+G13</f>
        <v>(4)</v>
      </c>
      <c r="I13" s="142" t="str">
        <f>+G13</f>
        <v>(4)</v>
      </c>
      <c r="J13" s="189" t="s">
        <v>253</v>
      </c>
      <c r="K13" s="189" t="s">
        <v>253</v>
      </c>
      <c r="L13" s="189" t="s">
        <v>253</v>
      </c>
      <c r="M13" s="189" t="s">
        <v>218</v>
      </c>
      <c r="N13" s="211" t="str">
        <f>+I13</f>
        <v>(4)</v>
      </c>
    </row>
    <row r="14" spans="1:16" x14ac:dyDescent="0.3">
      <c r="A14" s="137" t="s">
        <v>191</v>
      </c>
      <c r="B14" s="143" t="s">
        <v>192</v>
      </c>
      <c r="C14" s="190">
        <f>+RUBROS!AC15</f>
        <v>23.500029293035123</v>
      </c>
      <c r="D14" s="141">
        <f>+C14</f>
        <v>23.500029293035123</v>
      </c>
      <c r="E14" s="141">
        <f>+C14</f>
        <v>23.500029293035123</v>
      </c>
      <c r="F14" s="200">
        <f>+E14</f>
        <v>23.500029293035123</v>
      </c>
      <c r="G14" s="200">
        <f>+E14</f>
        <v>23.500029293035123</v>
      </c>
      <c r="H14" s="142">
        <f>+G14</f>
        <v>23.500029293035123</v>
      </c>
      <c r="I14" s="142">
        <f>+G14</f>
        <v>23.500029293035123</v>
      </c>
      <c r="J14" s="189">
        <f>+D14</f>
        <v>23.500029293035123</v>
      </c>
      <c r="K14" s="189">
        <f>+RUBROS!AD14</f>
        <v>23.500029293035123</v>
      </c>
      <c r="L14" s="189">
        <f>+RUBROS!AD14</f>
        <v>23.500029293035123</v>
      </c>
      <c r="M14" s="189">
        <f>+N14</f>
        <v>23.500029293035123</v>
      </c>
      <c r="N14" s="214">
        <f>+K14</f>
        <v>23.500029293035123</v>
      </c>
      <c r="P14" s="425" t="s">
        <v>413</v>
      </c>
    </row>
    <row r="15" spans="1:16" x14ac:dyDescent="0.3">
      <c r="A15" s="137" t="s">
        <v>195</v>
      </c>
      <c r="B15" s="209" t="s">
        <v>196</v>
      </c>
      <c r="C15" s="190">
        <f>+RUBROS!AU29</f>
        <v>13.326421256197724</v>
      </c>
      <c r="D15" s="141">
        <f>+C15</f>
        <v>13.326421256197724</v>
      </c>
      <c r="E15" s="141">
        <f>+C15</f>
        <v>13.326421256197724</v>
      </c>
      <c r="F15" s="141">
        <f>+E15</f>
        <v>13.326421256197724</v>
      </c>
      <c r="G15" s="192">
        <f>+C15</f>
        <v>13.326421256197724</v>
      </c>
      <c r="H15" s="140">
        <f>+C15</f>
        <v>13.326421256197724</v>
      </c>
      <c r="I15" s="140">
        <f>+C15</f>
        <v>13.326421256197724</v>
      </c>
      <c r="J15" s="189">
        <f>+D15</f>
        <v>13.326421256197724</v>
      </c>
      <c r="K15" s="189">
        <f>+C15</f>
        <v>13.326421256197724</v>
      </c>
      <c r="L15" s="189">
        <f>+K15</f>
        <v>13.326421256197724</v>
      </c>
      <c r="M15" s="189">
        <f>+N15</f>
        <v>13.326421256197724</v>
      </c>
      <c r="N15" s="214">
        <f>+K15</f>
        <v>13.326421256197724</v>
      </c>
      <c r="P15" s="425" t="s">
        <v>412</v>
      </c>
    </row>
    <row r="16" spans="1:16" ht="20.25" hidden="1" customHeight="1" x14ac:dyDescent="0.3">
      <c r="A16" s="137"/>
      <c r="B16" s="143" t="s">
        <v>197</v>
      </c>
      <c r="C16" s="190"/>
      <c r="D16" s="590"/>
      <c r="E16" s="193"/>
      <c r="F16" s="194"/>
      <c r="G16" s="194"/>
      <c r="H16" s="140"/>
      <c r="I16" s="140"/>
      <c r="J16" s="192"/>
      <c r="K16" s="189"/>
      <c r="L16" s="593"/>
      <c r="M16" s="593"/>
      <c r="N16" s="216"/>
    </row>
    <row r="17" spans="1:22" x14ac:dyDescent="0.3">
      <c r="A17" s="144" t="s">
        <v>198</v>
      </c>
      <c r="B17" s="173" t="s">
        <v>199</v>
      </c>
      <c r="C17" s="195">
        <f t="shared" ref="C17:N17" si="1">SUM(C8:C16)</f>
        <v>5270.6264505492336</v>
      </c>
      <c r="D17" s="195">
        <f t="shared" si="1"/>
        <v>5583.2028505492326</v>
      </c>
      <c r="E17" s="196">
        <f t="shared" si="1"/>
        <v>5661.346950549234</v>
      </c>
      <c r="F17" s="196">
        <f t="shared" si="1"/>
        <v>5739.4890505492331</v>
      </c>
      <c r="G17" s="196">
        <f t="shared" si="1"/>
        <v>4795.291490849233</v>
      </c>
      <c r="H17" s="197">
        <f t="shared" si="1"/>
        <v>6292.452712049233</v>
      </c>
      <c r="I17" s="197">
        <f t="shared" si="1"/>
        <v>6479.5978646992335</v>
      </c>
      <c r="J17" s="198">
        <f t="shared" si="1"/>
        <v>6146.0028505492328</v>
      </c>
      <c r="K17" s="198">
        <f t="shared" si="1"/>
        <v>6218.284450549234</v>
      </c>
      <c r="L17" s="198">
        <f t="shared" si="1"/>
        <v>6290.5640505492329</v>
      </c>
      <c r="M17" s="217">
        <f t="shared" si="1"/>
        <v>6921.0084505492323</v>
      </c>
      <c r="N17" s="217">
        <f t="shared" si="1"/>
        <v>7101.1696505492328</v>
      </c>
    </row>
    <row r="18" spans="1:22" x14ac:dyDescent="0.3">
      <c r="A18" s="137" t="s">
        <v>200</v>
      </c>
      <c r="B18" s="143" t="s">
        <v>201</v>
      </c>
      <c r="C18" s="190" t="s">
        <v>231</v>
      </c>
      <c r="D18" s="190" t="s">
        <v>231</v>
      </c>
      <c r="E18" s="199" t="str">
        <f>+C18</f>
        <v>***</v>
      </c>
      <c r="F18" s="199" t="str">
        <f>+E18</f>
        <v>***</v>
      </c>
      <c r="G18" s="199" t="str">
        <f>+C18</f>
        <v>***</v>
      </c>
      <c r="H18" s="140" t="s">
        <v>231</v>
      </c>
      <c r="I18" s="140" t="str">
        <f>+C18</f>
        <v>***</v>
      </c>
      <c r="J18" s="192" t="str">
        <f>+M18</f>
        <v>***</v>
      </c>
      <c r="K18" s="192" t="str">
        <f>+N18</f>
        <v>***</v>
      </c>
      <c r="L18" s="192" t="str">
        <f>+K18</f>
        <v>***</v>
      </c>
      <c r="M18" s="672" t="s">
        <v>231</v>
      </c>
      <c r="N18" s="218" t="s">
        <v>231</v>
      </c>
    </row>
    <row r="19" spans="1:22" x14ac:dyDescent="0.3">
      <c r="A19" s="137" t="s">
        <v>202</v>
      </c>
      <c r="B19" s="143" t="s">
        <v>203</v>
      </c>
      <c r="C19" s="190" t="str">
        <f>+E19</f>
        <v>**</v>
      </c>
      <c r="D19" s="190" t="str">
        <f>+F19</f>
        <v>**</v>
      </c>
      <c r="E19" s="200" t="s">
        <v>229</v>
      </c>
      <c r="F19" s="200" t="s">
        <v>229</v>
      </c>
      <c r="G19" s="200" t="s">
        <v>229</v>
      </c>
      <c r="H19" s="140" t="s">
        <v>229</v>
      </c>
      <c r="I19" s="140" t="s">
        <v>229</v>
      </c>
      <c r="J19" s="192" t="str">
        <f>+M19</f>
        <v>**</v>
      </c>
      <c r="K19" s="192" t="str">
        <f>+N19</f>
        <v>**</v>
      </c>
      <c r="L19" s="192" t="str">
        <f>+K19</f>
        <v>**</v>
      </c>
      <c r="M19" s="189" t="s">
        <v>229</v>
      </c>
      <c r="N19" s="211" t="s">
        <v>229</v>
      </c>
    </row>
    <row r="20" spans="1:22" x14ac:dyDescent="0.3">
      <c r="A20" s="137" t="s">
        <v>204</v>
      </c>
      <c r="B20" s="143" t="s">
        <v>205</v>
      </c>
      <c r="C20" s="190" t="str">
        <f>+E20</f>
        <v>****</v>
      </c>
      <c r="D20" s="190" t="str">
        <f>+F20</f>
        <v>****</v>
      </c>
      <c r="E20" s="141" t="s">
        <v>233</v>
      </c>
      <c r="F20" s="141" t="s">
        <v>233</v>
      </c>
      <c r="G20" s="141" t="str">
        <f>+E20</f>
        <v>****</v>
      </c>
      <c r="H20" s="140" t="s">
        <v>233</v>
      </c>
      <c r="I20" s="140" t="str">
        <f>+G20</f>
        <v>****</v>
      </c>
      <c r="J20" s="192" t="str">
        <f>+H20</f>
        <v>****</v>
      </c>
      <c r="K20" s="192" t="str">
        <f>+I20</f>
        <v>****</v>
      </c>
      <c r="L20" s="192" t="str">
        <f>+K20</f>
        <v>****</v>
      </c>
      <c r="M20" s="189" t="s">
        <v>233</v>
      </c>
      <c r="N20" s="214" t="str">
        <f>+I20</f>
        <v>****</v>
      </c>
    </row>
    <row r="21" spans="1:22" x14ac:dyDescent="0.3">
      <c r="A21" s="144" t="s">
        <v>206</v>
      </c>
      <c r="B21" s="173" t="s">
        <v>207</v>
      </c>
      <c r="C21" s="195">
        <f t="shared" ref="C21:N21" si="2">+C17</f>
        <v>5270.6264505492336</v>
      </c>
      <c r="D21" s="195">
        <f t="shared" si="2"/>
        <v>5583.2028505492326</v>
      </c>
      <c r="E21" s="195">
        <f t="shared" si="2"/>
        <v>5661.346950549234</v>
      </c>
      <c r="F21" s="195">
        <f t="shared" ref="F21" si="3">+F17</f>
        <v>5739.4890505492331</v>
      </c>
      <c r="G21" s="195">
        <f t="shared" si="2"/>
        <v>4795.291490849233</v>
      </c>
      <c r="H21" s="213">
        <f t="shared" si="2"/>
        <v>6292.452712049233</v>
      </c>
      <c r="I21" s="213">
        <f t="shared" si="2"/>
        <v>6479.5978646992335</v>
      </c>
      <c r="J21" s="195">
        <f t="shared" ref="J21" si="4">+J17</f>
        <v>6146.0028505492328</v>
      </c>
      <c r="K21" s="195">
        <f t="shared" si="2"/>
        <v>6218.284450549234</v>
      </c>
      <c r="L21" s="195">
        <f t="shared" ref="L21" si="5">+L17</f>
        <v>6290.5640505492329</v>
      </c>
      <c r="M21" s="213">
        <f t="shared" si="2"/>
        <v>6921.0084505492323</v>
      </c>
      <c r="N21" s="213">
        <f t="shared" si="2"/>
        <v>7101.1696505492328</v>
      </c>
    </row>
    <row r="22" spans="1:22" x14ac:dyDescent="0.3">
      <c r="A22" s="137" t="s">
        <v>208</v>
      </c>
      <c r="B22" s="143" t="s">
        <v>160</v>
      </c>
      <c r="C22" s="190" t="s">
        <v>231</v>
      </c>
      <c r="D22" s="190" t="s">
        <v>231</v>
      </c>
      <c r="E22" s="141" t="str">
        <f>+C22</f>
        <v>***</v>
      </c>
      <c r="F22" s="141" t="str">
        <f>+E22</f>
        <v>***</v>
      </c>
      <c r="G22" s="141" t="str">
        <f>+E22</f>
        <v>***</v>
      </c>
      <c r="H22" s="140" t="s">
        <v>231</v>
      </c>
      <c r="I22" s="140" t="str">
        <f>+G22</f>
        <v>***</v>
      </c>
      <c r="J22" s="192" t="str">
        <f>+M22</f>
        <v>***</v>
      </c>
      <c r="K22" s="192" t="str">
        <f>+N22</f>
        <v>***</v>
      </c>
      <c r="L22" s="192">
        <f>+O22</f>
        <v>0</v>
      </c>
      <c r="M22" s="189" t="s">
        <v>231</v>
      </c>
      <c r="N22" s="214" t="s">
        <v>231</v>
      </c>
    </row>
    <row r="23" spans="1:22" x14ac:dyDescent="0.3">
      <c r="A23" s="137" t="s">
        <v>209</v>
      </c>
      <c r="B23" s="138" t="s">
        <v>210</v>
      </c>
      <c r="C23" s="190" t="str">
        <f>+E23</f>
        <v>*****</v>
      </c>
      <c r="D23" s="190" t="str">
        <f>+F23</f>
        <v>*****</v>
      </c>
      <c r="E23" s="141" t="s">
        <v>235</v>
      </c>
      <c r="F23" s="141" t="s">
        <v>235</v>
      </c>
      <c r="G23" s="141" t="s">
        <v>253</v>
      </c>
      <c r="H23" s="140" t="s">
        <v>211</v>
      </c>
      <c r="I23" s="140" t="s">
        <v>211</v>
      </c>
      <c r="J23" s="192" t="str">
        <f>+D23</f>
        <v>*****</v>
      </c>
      <c r="K23" s="192" t="str">
        <f>+E23</f>
        <v>*****</v>
      </c>
      <c r="L23" s="192" t="str">
        <f>+F23</f>
        <v>*****</v>
      </c>
      <c r="M23" s="189" t="s">
        <v>254</v>
      </c>
      <c r="N23" s="214" t="s">
        <v>254</v>
      </c>
    </row>
    <row r="24" spans="1:22" x14ac:dyDescent="0.3">
      <c r="A24" s="137" t="s">
        <v>212</v>
      </c>
      <c r="B24" s="143" t="s">
        <v>213</v>
      </c>
      <c r="C24" s="190" t="str">
        <f>+E24</f>
        <v>******</v>
      </c>
      <c r="D24" s="190" t="str">
        <f>+F24</f>
        <v>******</v>
      </c>
      <c r="E24" s="200" t="s">
        <v>236</v>
      </c>
      <c r="F24" s="200" t="s">
        <v>236</v>
      </c>
      <c r="G24" s="200" t="str">
        <f>+E24</f>
        <v>******</v>
      </c>
      <c r="H24" s="142" t="s">
        <v>236</v>
      </c>
      <c r="I24" s="142" t="str">
        <f>+G24</f>
        <v>******</v>
      </c>
      <c r="J24" s="192" t="str">
        <f>+H24</f>
        <v>******</v>
      </c>
      <c r="K24" s="192" t="str">
        <f>+I24</f>
        <v>******</v>
      </c>
      <c r="L24" s="192" t="str">
        <f>+K24</f>
        <v>******</v>
      </c>
      <c r="M24" s="189" t="s">
        <v>236</v>
      </c>
      <c r="N24" s="211" t="str">
        <f>+K24</f>
        <v>******</v>
      </c>
    </row>
    <row r="25" spans="1:22" ht="15" thickBot="1" x14ac:dyDescent="0.35">
      <c r="A25" s="148" t="s">
        <v>214</v>
      </c>
      <c r="B25" s="149" t="s">
        <v>215</v>
      </c>
      <c r="C25" s="201"/>
      <c r="D25" s="201"/>
      <c r="E25" s="152"/>
      <c r="F25" s="202"/>
      <c r="G25" s="202"/>
      <c r="H25" s="202"/>
      <c r="I25" s="151"/>
      <c r="J25" s="202"/>
      <c r="K25" s="202"/>
      <c r="L25" s="202"/>
      <c r="M25" s="202"/>
      <c r="N25" s="219"/>
    </row>
    <row r="26" spans="1:22" ht="15" thickTop="1" x14ac:dyDescent="0.3"/>
    <row r="27" spans="1:22" x14ac:dyDescent="0.3">
      <c r="A27" s="156"/>
      <c r="B27" s="256" t="s">
        <v>227</v>
      </c>
      <c r="C27" s="206"/>
      <c r="D27" s="206"/>
      <c r="E27" s="206"/>
      <c r="F27" s="206"/>
      <c r="G27" s="206"/>
      <c r="H27" s="206"/>
      <c r="I27" s="206"/>
      <c r="J27" s="206"/>
      <c r="K27" s="186"/>
      <c r="L27" s="186"/>
      <c r="M27" s="186"/>
      <c r="N27" s="186"/>
      <c r="O27" s="186"/>
      <c r="P27" s="186"/>
      <c r="Q27" s="186"/>
      <c r="R27" s="186"/>
      <c r="S27" s="186"/>
      <c r="T27" s="186"/>
      <c r="U27" s="186"/>
      <c r="V27" s="186"/>
    </row>
    <row r="28" spans="1:22" x14ac:dyDescent="0.3">
      <c r="A28" s="156"/>
      <c r="B28" s="177"/>
      <c r="C28" s="206"/>
      <c r="D28" s="206"/>
      <c r="E28" s="206"/>
      <c r="F28" s="206"/>
      <c r="G28" s="206"/>
      <c r="H28" s="206"/>
      <c r="I28" s="206"/>
      <c r="J28" s="206"/>
      <c r="K28" s="186"/>
      <c r="L28" s="186"/>
      <c r="M28" s="186"/>
      <c r="N28" s="186"/>
      <c r="O28" s="186"/>
      <c r="P28" s="186"/>
      <c r="Q28" s="186"/>
      <c r="R28" s="186"/>
      <c r="S28" s="186"/>
      <c r="T28" s="186"/>
      <c r="U28" s="186"/>
      <c r="V28" s="186"/>
    </row>
    <row r="29" spans="1:22" ht="30.45" customHeight="1" x14ac:dyDescent="0.3">
      <c r="A29" s="156" t="s">
        <v>190</v>
      </c>
      <c r="B29" s="914" t="str">
        <f>+ARAUCA!B29</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914"/>
      <c r="N29" s="914"/>
      <c r="O29" s="914"/>
      <c r="P29" s="914"/>
      <c r="Q29" s="207"/>
      <c r="R29" s="207"/>
      <c r="S29" s="207"/>
      <c r="T29" s="207"/>
      <c r="U29" s="207"/>
      <c r="V29" s="207"/>
    </row>
    <row r="30" spans="1:22" x14ac:dyDescent="0.3">
      <c r="A30" s="156" t="s">
        <v>217</v>
      </c>
      <c r="B30" s="183" t="s">
        <v>216</v>
      </c>
      <c r="C30" s="206"/>
      <c r="D30" s="206"/>
      <c r="E30" s="206"/>
      <c r="F30" s="206"/>
      <c r="G30" s="206"/>
      <c r="H30" s="206"/>
      <c r="I30" s="206"/>
      <c r="J30" s="206"/>
      <c r="K30" s="186"/>
      <c r="L30" s="186"/>
      <c r="M30" s="186"/>
      <c r="N30" s="186"/>
      <c r="O30" s="186"/>
      <c r="P30" s="186"/>
      <c r="Q30" s="186"/>
      <c r="R30" s="186"/>
      <c r="S30" s="186"/>
      <c r="T30" s="186"/>
      <c r="U30" s="186"/>
      <c r="V30" s="186"/>
    </row>
    <row r="31" spans="1:22" ht="53.4" customHeight="1" x14ac:dyDescent="0.3">
      <c r="A31" s="156" t="s">
        <v>133</v>
      </c>
      <c r="B31" s="914" t="s">
        <v>325</v>
      </c>
      <c r="C31" s="914"/>
      <c r="D31" s="914"/>
      <c r="E31" s="914"/>
      <c r="F31" s="914"/>
      <c r="G31" s="914"/>
      <c r="H31" s="914"/>
      <c r="I31" s="914"/>
      <c r="J31" s="914"/>
      <c r="K31" s="914"/>
      <c r="L31" s="914"/>
      <c r="M31" s="914"/>
      <c r="N31" s="914"/>
      <c r="O31" s="914"/>
      <c r="P31" s="914"/>
      <c r="Q31" s="186"/>
      <c r="R31" s="186"/>
      <c r="S31" s="186"/>
      <c r="T31" s="186"/>
      <c r="U31" s="186"/>
      <c r="V31" s="186"/>
    </row>
    <row r="32" spans="1:22" ht="24.75" customHeight="1" x14ac:dyDescent="0.3">
      <c r="A32" s="156" t="s">
        <v>218</v>
      </c>
      <c r="B32" s="914" t="s">
        <v>256</v>
      </c>
      <c r="C32" s="914"/>
      <c r="D32" s="914"/>
      <c r="E32" s="914"/>
      <c r="F32" s="914"/>
      <c r="G32" s="914"/>
      <c r="H32" s="914"/>
      <c r="I32" s="914"/>
      <c r="J32" s="914"/>
      <c r="K32" s="914"/>
      <c r="L32" s="914"/>
      <c r="M32" s="914"/>
      <c r="N32" s="914"/>
      <c r="O32" s="914"/>
      <c r="P32" s="914"/>
      <c r="Q32" s="186"/>
      <c r="R32" s="186"/>
      <c r="S32" s="186"/>
      <c r="T32" s="186"/>
      <c r="U32" s="186"/>
      <c r="V32" s="186"/>
    </row>
    <row r="33" spans="1:22" ht="41.4" customHeight="1" x14ac:dyDescent="0.3">
      <c r="A33" s="156"/>
      <c r="B33" s="914" t="s">
        <v>491</v>
      </c>
      <c r="C33" s="914"/>
      <c r="D33" s="914"/>
      <c r="E33" s="914"/>
      <c r="F33" s="914"/>
      <c r="G33" s="914"/>
      <c r="H33" s="914"/>
      <c r="I33" s="914"/>
      <c r="J33" s="914"/>
      <c r="K33" s="914"/>
      <c r="L33" s="914"/>
      <c r="M33" s="914"/>
      <c r="N33" s="914"/>
      <c r="O33" s="914"/>
      <c r="P33" s="186"/>
      <c r="Q33" s="186"/>
      <c r="R33" s="186"/>
      <c r="S33" s="186"/>
      <c r="T33" s="186"/>
      <c r="U33" s="186"/>
      <c r="V33" s="186"/>
    </row>
    <row r="34" spans="1:22" x14ac:dyDescent="0.3">
      <c r="A34" s="178" t="s">
        <v>102</v>
      </c>
      <c r="B34" s="891" t="s">
        <v>228</v>
      </c>
      <c r="C34" s="891"/>
      <c r="D34" s="891"/>
      <c r="E34" s="891"/>
      <c r="F34" s="891"/>
      <c r="G34" s="891"/>
      <c r="H34" s="891"/>
      <c r="I34" s="891"/>
      <c r="J34" s="891"/>
      <c r="K34" s="891"/>
      <c r="L34" s="891"/>
      <c r="M34" s="891"/>
      <c r="N34" s="891"/>
      <c r="O34" s="891"/>
      <c r="P34" s="891"/>
      <c r="Q34" s="186"/>
      <c r="R34" s="186"/>
      <c r="S34" s="186"/>
      <c r="T34" s="186"/>
      <c r="U34" s="186"/>
      <c r="V34" s="186"/>
    </row>
    <row r="35" spans="1:22" x14ac:dyDescent="0.3">
      <c r="A35" s="178" t="s">
        <v>229</v>
      </c>
      <c r="B35" s="914" t="s">
        <v>260</v>
      </c>
      <c r="C35" s="914"/>
      <c r="D35" s="914"/>
      <c r="E35" s="914"/>
      <c r="F35" s="914"/>
      <c r="G35" s="914"/>
      <c r="H35" s="914"/>
      <c r="I35" s="914"/>
      <c r="J35" s="914"/>
      <c r="K35" s="914"/>
      <c r="L35" s="914"/>
      <c r="M35" s="914"/>
      <c r="N35" s="914"/>
      <c r="O35" s="914"/>
      <c r="P35" s="914"/>
      <c r="Q35" s="186"/>
      <c r="R35" s="186"/>
      <c r="S35" s="186"/>
      <c r="T35" s="186"/>
      <c r="U35" s="186"/>
      <c r="V35" s="186"/>
    </row>
    <row r="36" spans="1:22" x14ac:dyDescent="0.3">
      <c r="A36" s="156" t="s">
        <v>231</v>
      </c>
      <c r="B36" s="914" t="s">
        <v>232</v>
      </c>
      <c r="C36" s="914"/>
      <c r="D36" s="914"/>
      <c r="E36" s="914"/>
      <c r="F36" s="914"/>
      <c r="G36" s="914"/>
      <c r="H36" s="914"/>
      <c r="I36" s="914"/>
      <c r="J36" s="914"/>
      <c r="K36" s="914"/>
      <c r="L36" s="914"/>
      <c r="M36" s="914"/>
      <c r="N36" s="914"/>
      <c r="O36" s="156"/>
      <c r="P36" s="891"/>
      <c r="Q36" s="891"/>
      <c r="R36" s="891"/>
      <c r="S36" s="891"/>
      <c r="T36" s="891"/>
      <c r="U36" s="891"/>
      <c r="V36" s="891"/>
    </row>
    <row r="37" spans="1:22" x14ac:dyDescent="0.3">
      <c r="A37" s="156" t="s">
        <v>233</v>
      </c>
      <c r="B37" s="891" t="s">
        <v>454</v>
      </c>
      <c r="C37" s="891"/>
      <c r="D37" s="891"/>
      <c r="E37" s="891"/>
      <c r="F37" s="891"/>
      <c r="G37" s="891"/>
      <c r="H37" s="891"/>
      <c r="I37" s="891"/>
      <c r="J37" s="891"/>
      <c r="K37" s="891"/>
      <c r="L37" s="891"/>
      <c r="M37" s="891"/>
      <c r="N37" s="891"/>
      <c r="O37" s="156"/>
      <c r="P37" s="183"/>
      <c r="Q37" s="183"/>
      <c r="R37" s="183"/>
      <c r="S37" s="183"/>
      <c r="T37" s="183"/>
      <c r="U37" s="183"/>
      <c r="V37" s="183"/>
    </row>
    <row r="38" spans="1:22" x14ac:dyDescent="0.3">
      <c r="A38" s="178" t="s">
        <v>235</v>
      </c>
      <c r="B38" s="914" t="s">
        <v>237</v>
      </c>
      <c r="C38" s="914"/>
      <c r="D38" s="914"/>
      <c r="E38" s="914"/>
      <c r="F38" s="914"/>
      <c r="G38" s="914"/>
      <c r="H38" s="914"/>
      <c r="I38" s="914"/>
      <c r="J38" s="914"/>
      <c r="K38" s="914"/>
      <c r="L38" s="914"/>
      <c r="M38" s="914"/>
      <c r="N38" s="914"/>
      <c r="O38" s="914"/>
      <c r="P38" s="914"/>
      <c r="Q38" s="186"/>
      <c r="R38" s="186"/>
      <c r="S38" s="186"/>
      <c r="T38" s="186"/>
      <c r="U38" s="186"/>
      <c r="V38" s="186"/>
    </row>
    <row r="39" spans="1:22" ht="28.5" customHeight="1" x14ac:dyDescent="0.3">
      <c r="A39" s="178" t="s">
        <v>236</v>
      </c>
      <c r="B39" s="914" t="s">
        <v>255</v>
      </c>
      <c r="C39" s="914"/>
      <c r="D39" s="914"/>
      <c r="E39" s="914"/>
      <c r="F39" s="914"/>
      <c r="G39" s="914"/>
      <c r="H39" s="914"/>
      <c r="I39" s="914"/>
      <c r="J39" s="914"/>
      <c r="K39" s="914"/>
      <c r="L39" s="914"/>
      <c r="M39" s="914"/>
      <c r="N39" s="914"/>
      <c r="O39" s="914"/>
      <c r="P39" s="914"/>
      <c r="Q39" s="186"/>
      <c r="R39" s="186"/>
      <c r="S39" s="186"/>
      <c r="T39" s="186"/>
      <c r="U39" s="186"/>
      <c r="V39" s="186"/>
    </row>
    <row r="41" spans="1:22" ht="92.25" customHeight="1" x14ac:dyDescent="0.3">
      <c r="A41" s="894" t="s">
        <v>147</v>
      </c>
      <c r="B41" s="894"/>
      <c r="C41" s="894"/>
      <c r="D41" s="894"/>
      <c r="E41" s="894"/>
      <c r="F41" s="894"/>
      <c r="G41" s="894"/>
      <c r="H41" s="894"/>
      <c r="I41" s="894"/>
      <c r="J41" s="894"/>
      <c r="K41" s="894"/>
      <c r="L41" s="894"/>
      <c r="M41" s="894"/>
      <c r="N41" s="894"/>
      <c r="O41" s="894"/>
      <c r="P41" s="894"/>
    </row>
  </sheetData>
  <sheetProtection algorithmName="SHA-512" hashValue="RWnvcgaxDAuZTKxaxxkfOLH5IB3bhqzr1+IQ2HK1+xtCl3+bFPTx/SvyViWCgaJ7nmR3Bvsrf+BIV5MXlrACLA==" saltValue="PutGy50Zyma0hIhW/ssa5g==" spinCount="100000" sheet="1" objects="1" scenarios="1"/>
  <mergeCells count="17">
    <mergeCell ref="A5:A7"/>
    <mergeCell ref="B5:B7"/>
    <mergeCell ref="C3:I4"/>
    <mergeCell ref="C5:C6"/>
    <mergeCell ref="J3:N4"/>
    <mergeCell ref="B29:P29"/>
    <mergeCell ref="B31:P31"/>
    <mergeCell ref="B32:P32"/>
    <mergeCell ref="B34:P34"/>
    <mergeCell ref="B35:P35"/>
    <mergeCell ref="B33:O33"/>
    <mergeCell ref="A41:P41"/>
    <mergeCell ref="B36:N36"/>
    <mergeCell ref="P36:V36"/>
    <mergeCell ref="B37:N37"/>
    <mergeCell ref="B38:P38"/>
    <mergeCell ref="B39:P39"/>
  </mergeCells>
  <hyperlinks>
    <hyperlink ref="B27" location="BOYACA!A41" display="Ver Nota Informativa" xr:uid="{00000000-0004-0000-0A00-000000000000}"/>
  </hyperlinks>
  <pageMargins left="0.7" right="0.7" top="0.75" bottom="0.75" header="0.3" footer="0.3"/>
  <ignoredErrors>
    <ignoredError sqref="C11 C12:C13 C17:C24 N11 G11" formula="1"/>
    <ignoredError sqref="N12:N15 N17:N24 E17:E24 E12:E15 K17:K24 K15 K12:K13 G17:G24 G12:G15 I12:I15 I17:I24" numberStoredAsText="1" formula="1"/>
    <ignoredError sqref="N25:O25 O16:O24 E25 K25 G25 I2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S117"/>
  <sheetViews>
    <sheetView zoomScale="70" zoomScaleNormal="70" workbookViewId="0">
      <selection activeCell="N12" sqref="N12"/>
    </sheetView>
  </sheetViews>
  <sheetFormatPr baseColWidth="10" defaultColWidth="45" defaultRowHeight="14.4" x14ac:dyDescent="0.3"/>
  <cols>
    <col min="1" max="1" width="7" customWidth="1"/>
    <col min="2" max="2" width="65.44140625" customWidth="1"/>
    <col min="3" max="3" width="15.33203125" bestFit="1" customWidth="1"/>
    <col min="4" max="4" width="15.33203125" hidden="1" customWidth="1"/>
    <col min="5" max="5" width="15.33203125" style="614" customWidth="1"/>
    <col min="6" max="6" width="15.33203125" style="614" hidden="1" customWidth="1"/>
    <col min="7" max="7" width="15.77734375" customWidth="1"/>
    <col min="8" max="8" width="12.88671875" customWidth="1"/>
    <col min="9" max="9" width="15.109375" customWidth="1"/>
    <col min="10" max="10" width="18.21875" customWidth="1"/>
    <col min="11" max="11" width="19.33203125" customWidth="1"/>
    <col min="12" max="12" width="15.77734375" hidden="1" customWidth="1"/>
    <col min="13" max="13" width="13.21875" customWidth="1"/>
    <col min="14" max="14" width="13" customWidth="1"/>
    <col min="15" max="15" width="11.21875" customWidth="1"/>
    <col min="16" max="16" width="15.44140625" customWidth="1"/>
    <col min="17" max="17" width="14" customWidth="1"/>
    <col min="18" max="20" width="15.77734375" customWidth="1"/>
    <col min="21" max="26" width="15.6640625" customWidth="1"/>
  </cols>
  <sheetData>
    <row r="1" spans="1:16" x14ac:dyDescent="0.3">
      <c r="A1" s="233" t="s">
        <v>158</v>
      </c>
      <c r="B1" s="133" t="str">
        <f>+AMAZONAS!C1</f>
        <v>Vigencia: 16 de Julio de 2022; 00:00 horas</v>
      </c>
      <c r="C1" s="133"/>
      <c r="D1" s="234"/>
      <c r="E1" s="234"/>
      <c r="F1" s="234"/>
      <c r="G1" s="234"/>
      <c r="H1" s="234"/>
      <c r="I1" s="234"/>
      <c r="J1" s="234"/>
      <c r="K1" s="234"/>
      <c r="L1" s="234"/>
      <c r="M1" s="234"/>
    </row>
    <row r="2" spans="1:16" ht="15" thickBot="1" x14ac:dyDescent="0.35">
      <c r="A2" s="159" t="s">
        <v>179</v>
      </c>
      <c r="B2" s="160"/>
      <c r="C2" s="160"/>
      <c r="D2" s="160"/>
      <c r="E2" s="160"/>
      <c r="F2" s="160"/>
      <c r="G2" s="160"/>
      <c r="H2" s="234"/>
      <c r="I2" s="160"/>
      <c r="J2" s="160"/>
      <c r="K2" s="235"/>
      <c r="L2" s="160"/>
      <c r="M2" s="160"/>
    </row>
    <row r="3" spans="1:16" ht="15" thickTop="1" x14ac:dyDescent="0.3">
      <c r="A3" s="187"/>
      <c r="B3" s="162" t="s">
        <v>261</v>
      </c>
      <c r="C3" s="903" t="s">
        <v>180</v>
      </c>
      <c r="D3" s="904"/>
      <c r="E3" s="904"/>
      <c r="F3" s="904"/>
      <c r="G3" s="904"/>
      <c r="H3" s="904"/>
      <c r="I3" s="939"/>
      <c r="J3" s="932" t="s">
        <v>249</v>
      </c>
      <c r="K3" s="933"/>
      <c r="L3" s="934"/>
    </row>
    <row r="4" spans="1:16" ht="30" customHeight="1" x14ac:dyDescent="0.3">
      <c r="A4" s="163"/>
      <c r="B4" s="681" t="s">
        <v>500</v>
      </c>
      <c r="C4" s="905"/>
      <c r="D4" s="906"/>
      <c r="E4" s="906"/>
      <c r="F4" s="906"/>
      <c r="G4" s="906"/>
      <c r="H4" s="906"/>
      <c r="I4" s="940"/>
      <c r="J4" s="935"/>
      <c r="K4" s="936"/>
      <c r="L4" s="937"/>
    </row>
    <row r="5" spans="1:16" ht="38.25" customHeight="1" x14ac:dyDescent="0.3">
      <c r="A5" s="895" t="s">
        <v>181</v>
      </c>
      <c r="B5" s="897" t="s">
        <v>182</v>
      </c>
      <c r="C5" s="901" t="s">
        <v>240</v>
      </c>
      <c r="E5" s="769" t="s">
        <v>96</v>
      </c>
      <c r="F5" s="164" t="s">
        <v>96</v>
      </c>
      <c r="G5" s="769" t="s">
        <v>172</v>
      </c>
      <c r="H5" s="164" t="s">
        <v>397</v>
      </c>
      <c r="I5" s="899" t="s">
        <v>395</v>
      </c>
      <c r="J5" s="391" t="s">
        <v>96</v>
      </c>
      <c r="K5" s="390" t="str">
        <f>+H5</f>
        <v>Biodiesel B10</v>
      </c>
      <c r="L5" s="390"/>
    </row>
    <row r="6" spans="1:16" ht="21.75" customHeight="1" x14ac:dyDescent="0.3">
      <c r="A6" s="895"/>
      <c r="B6" s="897"/>
      <c r="C6" s="902"/>
      <c r="E6" s="545" t="s">
        <v>517</v>
      </c>
      <c r="F6" s="545" t="s">
        <v>488</v>
      </c>
      <c r="G6" s="545">
        <v>0.02</v>
      </c>
      <c r="H6" s="384">
        <v>0.1</v>
      </c>
      <c r="I6" s="900"/>
      <c r="J6" s="524" t="str">
        <f>+E6</f>
        <v>Oxigena 4%</v>
      </c>
      <c r="K6" s="385">
        <f>+H6</f>
        <v>0.1</v>
      </c>
      <c r="L6" s="264"/>
    </row>
    <row r="7" spans="1:16" x14ac:dyDescent="0.3">
      <c r="A7" s="896"/>
      <c r="B7" s="898"/>
      <c r="C7" s="135" t="s">
        <v>183</v>
      </c>
      <c r="E7" s="769" t="s">
        <v>183</v>
      </c>
      <c r="F7" s="164" t="s">
        <v>183</v>
      </c>
      <c r="G7" s="769" t="s">
        <v>183</v>
      </c>
      <c r="H7" s="164" t="s">
        <v>183</v>
      </c>
      <c r="I7" s="164" t="s">
        <v>183</v>
      </c>
      <c r="J7" s="391" t="s">
        <v>183</v>
      </c>
      <c r="K7" s="390" t="s">
        <v>183</v>
      </c>
      <c r="L7" s="253"/>
    </row>
    <row r="8" spans="1:16" x14ac:dyDescent="0.3">
      <c r="A8" s="137" t="s">
        <v>184</v>
      </c>
      <c r="B8" s="143" t="s">
        <v>185</v>
      </c>
      <c r="C8" s="254">
        <f>+'Calculo IP ZDF'!B31</f>
        <v>5064.8</v>
      </c>
      <c r="E8" s="614">
        <f>+'Calculo IP ZDF'!G31</f>
        <v>5384.1363999999994</v>
      </c>
      <c r="F8" s="254">
        <f>+'Calculo IP ZDF'!I31</f>
        <v>5543.8026</v>
      </c>
      <c r="G8" s="457">
        <f>+'Calculo IP ZDF'!F31</f>
        <v>4705.8137999999999</v>
      </c>
      <c r="H8" s="254">
        <f>+'Calculo IP ZDF'!L31</f>
        <v>6207.2739999999994</v>
      </c>
      <c r="I8" s="172">
        <f>+'Calculo IP ZDF'!C31</f>
        <v>4330.45</v>
      </c>
      <c r="J8" s="237">
        <f>+'GAS CTE'!D9</f>
        <v>5384.1363999999994</v>
      </c>
      <c r="K8" s="192">
        <f>+BIODIESEL!H9</f>
        <v>6207.2739999999994</v>
      </c>
      <c r="L8" s="214"/>
    </row>
    <row r="9" spans="1:16" x14ac:dyDescent="0.3">
      <c r="A9" s="137" t="s">
        <v>186</v>
      </c>
      <c r="B9" s="143" t="s">
        <v>187</v>
      </c>
      <c r="C9" s="190" t="str">
        <f>+G9</f>
        <v>------------------</v>
      </c>
      <c r="E9" s="190" t="s">
        <v>188</v>
      </c>
      <c r="F9" s="190" t="s">
        <v>188</v>
      </c>
      <c r="G9" s="190" t="s">
        <v>188</v>
      </c>
      <c r="H9" s="190" t="s">
        <v>188</v>
      </c>
      <c r="I9" s="167" t="s">
        <v>188</v>
      </c>
      <c r="J9" s="239">
        <f>+'GAS CTE'!D10</f>
        <v>562.79999999999995</v>
      </c>
      <c r="K9" s="189">
        <f>+BIODIESEL!H10</f>
        <v>505.00800000000004</v>
      </c>
      <c r="L9" s="211"/>
    </row>
    <row r="10" spans="1:16" x14ac:dyDescent="0.3">
      <c r="A10" s="137"/>
      <c r="B10" s="143" t="s">
        <v>132</v>
      </c>
      <c r="C10" s="190" t="str">
        <f>+G10</f>
        <v>------------------</v>
      </c>
      <c r="E10" s="190" t="s">
        <v>188</v>
      </c>
      <c r="F10" s="190" t="s">
        <v>188</v>
      </c>
      <c r="G10" s="190" t="s">
        <v>188</v>
      </c>
      <c r="H10" s="190" t="s">
        <v>188</v>
      </c>
      <c r="I10" s="167" t="s">
        <v>188</v>
      </c>
      <c r="J10" s="239" t="s">
        <v>133</v>
      </c>
      <c r="K10" s="189" t="s">
        <v>133</v>
      </c>
      <c r="L10" s="211"/>
      <c r="N10" s="614"/>
      <c r="O10" s="614"/>
      <c r="P10" s="614"/>
    </row>
    <row r="11" spans="1:16" x14ac:dyDescent="0.3">
      <c r="A11" s="137"/>
      <c r="B11" s="143" t="s">
        <v>134</v>
      </c>
      <c r="C11" s="240">
        <f>+'GAS CTE'!C12</f>
        <v>169</v>
      </c>
      <c r="E11" s="240">
        <f>+'GAS CTE'!D12</f>
        <v>162.23999999999998</v>
      </c>
      <c r="F11" s="240">
        <f>+'GAS CTE'!F12</f>
        <v>158.85999999999999</v>
      </c>
      <c r="G11" s="240">
        <f>+BIODIESEL!E12</f>
        <v>187.18</v>
      </c>
      <c r="H11" s="240">
        <f>+BIODIESEL!H12</f>
        <v>171.9</v>
      </c>
      <c r="I11" s="172">
        <f>+BIODIESEL!C12</f>
        <v>191</v>
      </c>
      <c r="J11" s="239">
        <f>+'GAS CTE'!D12</f>
        <v>162.23999999999998</v>
      </c>
      <c r="K11" s="189">
        <f>+H11</f>
        <v>171.9</v>
      </c>
      <c r="L11" s="211"/>
      <c r="N11" s="614"/>
      <c r="O11" s="614"/>
      <c r="P11" s="614"/>
    </row>
    <row r="12" spans="1:16" x14ac:dyDescent="0.3">
      <c r="A12" s="137" t="s">
        <v>189</v>
      </c>
      <c r="B12" s="143" t="s">
        <v>268</v>
      </c>
      <c r="C12" s="257" t="s">
        <v>217</v>
      </c>
      <c r="E12" s="190" t="s">
        <v>217</v>
      </c>
      <c r="F12" s="190" t="str">
        <f>+C12</f>
        <v>(2)</v>
      </c>
      <c r="G12" s="190" t="str">
        <f>+C12</f>
        <v>(2)</v>
      </c>
      <c r="H12" s="190" t="str">
        <f>+C12</f>
        <v>(2)</v>
      </c>
      <c r="I12" s="166" t="str">
        <f>+C12</f>
        <v>(2)</v>
      </c>
      <c r="J12" s="239">
        <f>+L12</f>
        <v>0</v>
      </c>
      <c r="K12" s="189" t="str">
        <f>+F12</f>
        <v>(2)</v>
      </c>
      <c r="L12" s="211"/>
      <c r="N12" s="614"/>
      <c r="O12" s="614"/>
      <c r="P12" s="614"/>
    </row>
    <row r="13" spans="1:16" x14ac:dyDescent="0.3">
      <c r="A13" s="137" t="s">
        <v>191</v>
      </c>
      <c r="B13" s="143" t="s">
        <v>192</v>
      </c>
      <c r="C13" s="240">
        <f>+RUBROS!AC13</f>
        <v>23.500029293035123</v>
      </c>
      <c r="E13" s="166">
        <f>+C13</f>
        <v>23.500029293035123</v>
      </c>
      <c r="F13" s="166">
        <f>+C13</f>
        <v>23.500029293035123</v>
      </c>
      <c r="G13" s="166">
        <f>+C13</f>
        <v>23.500029293035123</v>
      </c>
      <c r="H13" s="166">
        <f>+C13</f>
        <v>23.500029293035123</v>
      </c>
      <c r="I13" s="166">
        <f>+C13</f>
        <v>23.500029293035123</v>
      </c>
      <c r="J13" s="237">
        <f>+RUBROS!AD13</f>
        <v>23.500029293035123</v>
      </c>
      <c r="K13" s="166">
        <f>+F13</f>
        <v>23.500029293035123</v>
      </c>
      <c r="L13" s="140"/>
      <c r="N13" s="614"/>
      <c r="O13" s="614"/>
      <c r="P13" s="614"/>
    </row>
    <row r="14" spans="1:16" x14ac:dyDescent="0.3">
      <c r="A14" s="137" t="s">
        <v>195</v>
      </c>
      <c r="B14" s="143" t="s">
        <v>196</v>
      </c>
      <c r="C14" s="240">
        <f>+RUBROS!AU42</f>
        <v>13.326421256197724</v>
      </c>
      <c r="E14" s="166">
        <f>+C14</f>
        <v>13.326421256197724</v>
      </c>
      <c r="F14" s="166">
        <f>+C14</f>
        <v>13.326421256197724</v>
      </c>
      <c r="G14" s="166">
        <f>+C14</f>
        <v>13.326421256197724</v>
      </c>
      <c r="H14" s="166">
        <f>+C14</f>
        <v>13.326421256197724</v>
      </c>
      <c r="I14" s="166">
        <f>+C14</f>
        <v>13.326421256197724</v>
      </c>
      <c r="J14" s="237">
        <f>+C14</f>
        <v>13.326421256197724</v>
      </c>
      <c r="K14" s="166">
        <f>+J14</f>
        <v>13.326421256197724</v>
      </c>
      <c r="L14" s="140"/>
      <c r="N14" s="614"/>
      <c r="O14" s="614"/>
      <c r="P14" s="614"/>
    </row>
    <row r="15" spans="1:16" hidden="1" x14ac:dyDescent="0.3">
      <c r="A15" s="137"/>
      <c r="B15" s="143" t="s">
        <v>197</v>
      </c>
      <c r="C15" s="240"/>
      <c r="F15" s="166"/>
      <c r="G15" s="614"/>
      <c r="H15" s="166"/>
      <c r="I15" s="166"/>
      <c r="J15" s="237"/>
      <c r="K15" s="166"/>
      <c r="L15" s="140"/>
      <c r="N15" s="614"/>
      <c r="O15" s="614"/>
      <c r="P15" s="614"/>
    </row>
    <row r="16" spans="1:16" x14ac:dyDescent="0.3">
      <c r="A16" s="144" t="s">
        <v>198</v>
      </c>
      <c r="B16" s="173" t="s">
        <v>199</v>
      </c>
      <c r="C16" s="241">
        <f>SUM(C8:C15)</f>
        <v>5270.6264505492336</v>
      </c>
      <c r="E16" s="241">
        <f>SUM(E8:E15)</f>
        <v>5583.2028505492326</v>
      </c>
      <c r="F16" s="241">
        <f>SUM(F8:F15)</f>
        <v>5739.4890505492331</v>
      </c>
      <c r="G16" s="241">
        <f t="shared" ref="G16:K16" si="0">SUM(G8:G15)</f>
        <v>4929.8202505492336</v>
      </c>
      <c r="H16" s="241">
        <f>SUM(H8:H15)</f>
        <v>6416.0004505492325</v>
      </c>
      <c r="I16" s="241">
        <f t="shared" si="0"/>
        <v>4558.2764505492332</v>
      </c>
      <c r="J16" s="243">
        <f t="shared" si="0"/>
        <v>6146.0028505492328</v>
      </c>
      <c r="K16" s="241">
        <f t="shared" si="0"/>
        <v>6921.0084505492323</v>
      </c>
      <c r="L16" s="244"/>
      <c r="N16" s="614"/>
      <c r="O16" s="614"/>
      <c r="P16" s="614"/>
    </row>
    <row r="17" spans="1:17" x14ac:dyDescent="0.3">
      <c r="A17" s="137" t="s">
        <v>200</v>
      </c>
      <c r="B17" s="143" t="s">
        <v>263</v>
      </c>
      <c r="C17" s="258" t="s">
        <v>231</v>
      </c>
      <c r="E17" s="166" t="s">
        <v>231</v>
      </c>
      <c r="F17" s="166" t="str">
        <f>+C17</f>
        <v>***</v>
      </c>
      <c r="G17" s="166" t="str">
        <f>+C17</f>
        <v>***</v>
      </c>
      <c r="H17" s="166" t="str">
        <f>+G17</f>
        <v>***</v>
      </c>
      <c r="I17" s="166" t="str">
        <f>+G17</f>
        <v>***</v>
      </c>
      <c r="J17" s="237">
        <f>L17</f>
        <v>0</v>
      </c>
      <c r="K17" s="166">
        <f>+L17</f>
        <v>0</v>
      </c>
      <c r="L17" s="140"/>
      <c r="N17" s="614"/>
      <c r="O17" s="614"/>
      <c r="P17" s="614"/>
    </row>
    <row r="18" spans="1:17" x14ac:dyDescent="0.3">
      <c r="A18" s="137" t="s">
        <v>202</v>
      </c>
      <c r="B18" s="143" t="s">
        <v>203</v>
      </c>
      <c r="C18" s="257" t="s">
        <v>229</v>
      </c>
      <c r="E18" s="166" t="s">
        <v>229</v>
      </c>
      <c r="F18" s="166" t="str">
        <f>+C18</f>
        <v>**</v>
      </c>
      <c r="G18" s="166" t="str">
        <f>+C18</f>
        <v>**</v>
      </c>
      <c r="H18" s="166" t="str">
        <f>+C18</f>
        <v>**</v>
      </c>
      <c r="I18" s="166" t="str">
        <f>+C18</f>
        <v>**</v>
      </c>
      <c r="J18" s="237" t="str">
        <f>+H18</f>
        <v>**</v>
      </c>
      <c r="K18" s="166" t="str">
        <f>+J18</f>
        <v>**</v>
      </c>
      <c r="L18" s="140"/>
      <c r="N18" s="614"/>
      <c r="O18" s="614"/>
      <c r="P18" s="614"/>
    </row>
    <row r="19" spans="1:17" x14ac:dyDescent="0.3">
      <c r="A19" s="137" t="s">
        <v>204</v>
      </c>
      <c r="B19" s="209" t="s">
        <v>139</v>
      </c>
      <c r="C19" s="245" t="str">
        <f>+G19</f>
        <v>****</v>
      </c>
      <c r="E19" s="166" t="s">
        <v>233</v>
      </c>
      <c r="F19" s="166" t="str">
        <f>+G19</f>
        <v>****</v>
      </c>
      <c r="G19" s="166" t="str">
        <f>+A112</f>
        <v>****</v>
      </c>
      <c r="H19" s="172" t="str">
        <f>+G19</f>
        <v>****</v>
      </c>
      <c r="I19" s="172" t="str">
        <f>+A112</f>
        <v>****</v>
      </c>
      <c r="J19" s="260" t="str">
        <f>C19</f>
        <v>****</v>
      </c>
      <c r="K19" s="166">
        <f>+L19</f>
        <v>0</v>
      </c>
      <c r="L19" s="142"/>
      <c r="N19" s="614"/>
      <c r="O19" s="614"/>
      <c r="P19" s="614"/>
    </row>
    <row r="20" spans="1:17" x14ac:dyDescent="0.3">
      <c r="A20" s="144" t="s">
        <v>206</v>
      </c>
      <c r="B20" s="173" t="s">
        <v>207</v>
      </c>
      <c r="C20" s="246">
        <f t="shared" ref="C20:K20" si="1">+C16</f>
        <v>5270.6264505492336</v>
      </c>
      <c r="E20" s="174">
        <f>+E16</f>
        <v>5583.2028505492326</v>
      </c>
      <c r="F20" s="174">
        <f>+F16</f>
        <v>5739.4890505492331</v>
      </c>
      <c r="G20" s="174">
        <f t="shared" si="1"/>
        <v>4929.8202505492336</v>
      </c>
      <c r="H20" s="174">
        <f t="shared" si="1"/>
        <v>6416.0004505492325</v>
      </c>
      <c r="I20" s="174">
        <f t="shared" si="1"/>
        <v>4558.2764505492332</v>
      </c>
      <c r="J20" s="243">
        <f t="shared" si="1"/>
        <v>6146.0028505492328</v>
      </c>
      <c r="K20" s="174">
        <f t="shared" si="1"/>
        <v>6921.0084505492323</v>
      </c>
      <c r="L20" s="146"/>
      <c r="N20" s="614"/>
      <c r="O20" s="614"/>
      <c r="P20" s="614"/>
    </row>
    <row r="21" spans="1:17" x14ac:dyDescent="0.3">
      <c r="A21" s="137" t="s">
        <v>208</v>
      </c>
      <c r="B21" s="143" t="s">
        <v>160</v>
      </c>
      <c r="C21" s="240" t="str">
        <f>+G21</f>
        <v>***</v>
      </c>
      <c r="E21" s="166" t="s">
        <v>231</v>
      </c>
      <c r="F21" s="166" t="str">
        <f>+G21</f>
        <v>***</v>
      </c>
      <c r="G21" s="166" t="str">
        <f t="shared" ref="G21" si="2">+G17</f>
        <v>***</v>
      </c>
      <c r="H21" s="166" t="str">
        <f>+G21</f>
        <v>***</v>
      </c>
      <c r="I21" s="166" t="str">
        <f>+I17</f>
        <v>***</v>
      </c>
      <c r="J21" s="237">
        <f>L21</f>
        <v>0</v>
      </c>
      <c r="K21" s="166">
        <f>+L21</f>
        <v>0</v>
      </c>
      <c r="L21" s="140"/>
    </row>
    <row r="22" spans="1:17" x14ac:dyDescent="0.3">
      <c r="A22" s="137" t="s">
        <v>209</v>
      </c>
      <c r="B22" s="138" t="s">
        <v>210</v>
      </c>
      <c r="C22" s="247" t="s">
        <v>235</v>
      </c>
      <c r="E22" s="166" t="s">
        <v>235</v>
      </c>
      <c r="F22" s="166" t="str">
        <f>+C22</f>
        <v>*****</v>
      </c>
      <c r="G22" s="166" t="s">
        <v>211</v>
      </c>
      <c r="H22" s="166" t="str">
        <f>+G22</f>
        <v>N.A</v>
      </c>
      <c r="I22" s="166" t="s">
        <v>211</v>
      </c>
      <c r="J22" s="237" t="str">
        <f>+F22</f>
        <v>*****</v>
      </c>
      <c r="K22" s="166" t="s">
        <v>253</v>
      </c>
      <c r="L22" s="140"/>
    </row>
    <row r="23" spans="1:17" ht="24.75" customHeight="1" x14ac:dyDescent="0.3">
      <c r="A23" s="137" t="s">
        <v>212</v>
      </c>
      <c r="B23" s="138" t="s">
        <v>213</v>
      </c>
      <c r="C23" s="247" t="s">
        <v>236</v>
      </c>
      <c r="E23" s="166" t="s">
        <v>236</v>
      </c>
      <c r="F23" s="166" t="str">
        <f>+C23</f>
        <v>******</v>
      </c>
      <c r="G23" s="166" t="str">
        <f>+C23</f>
        <v>******</v>
      </c>
      <c r="H23" s="166" t="str">
        <f>+C23</f>
        <v>******</v>
      </c>
      <c r="I23" s="166" t="str">
        <f>+C23</f>
        <v>******</v>
      </c>
      <c r="J23" s="237" t="str">
        <f>+C23</f>
        <v>******</v>
      </c>
      <c r="K23" s="166" t="str">
        <f>+C23</f>
        <v>******</v>
      </c>
      <c r="L23" s="140"/>
    </row>
    <row r="24" spans="1:17" ht="15" thickBot="1" x14ac:dyDescent="0.35">
      <c r="A24" s="148" t="s">
        <v>214</v>
      </c>
      <c r="B24" s="149" t="s">
        <v>215</v>
      </c>
      <c r="C24" s="248"/>
      <c r="D24" s="176"/>
      <c r="E24" s="176"/>
      <c r="F24" s="176"/>
      <c r="G24" s="176"/>
      <c r="H24" s="176"/>
      <c r="I24" s="176"/>
      <c r="J24" s="392"/>
      <c r="K24" s="393"/>
      <c r="L24" s="394"/>
    </row>
    <row r="25" spans="1:17" ht="15" thickTop="1" x14ac:dyDescent="0.3">
      <c r="A25" s="153"/>
      <c r="B25" s="154"/>
      <c r="C25" s="154"/>
      <c r="D25" s="155"/>
      <c r="E25" s="155"/>
      <c r="F25" s="155"/>
      <c r="G25" s="155"/>
      <c r="H25" s="155"/>
      <c r="I25" s="155"/>
      <c r="J25" s="155"/>
      <c r="K25" s="155"/>
      <c r="L25" s="155"/>
      <c r="M25" s="155"/>
    </row>
    <row r="26" spans="1:17" ht="15" thickBot="1" x14ac:dyDescent="0.35">
      <c r="A26" s="153"/>
      <c r="B26" s="154"/>
      <c r="C26" s="154"/>
      <c r="D26" s="155"/>
      <c r="E26" s="155"/>
      <c r="F26" s="155"/>
      <c r="G26" s="155"/>
      <c r="H26" s="155"/>
      <c r="I26" s="155"/>
      <c r="J26" s="155"/>
      <c r="K26" s="155"/>
      <c r="L26" s="155"/>
      <c r="M26" s="155"/>
    </row>
    <row r="27" spans="1:17" ht="26.25" customHeight="1" thickTop="1" x14ac:dyDescent="0.3">
      <c r="A27" s="187"/>
      <c r="B27" s="162" t="s">
        <v>520</v>
      </c>
      <c r="C27" s="772" t="s">
        <v>180</v>
      </c>
      <c r="D27" s="773"/>
      <c r="E27" s="773"/>
      <c r="F27" s="773"/>
      <c r="G27" s="773"/>
      <c r="H27" s="773"/>
      <c r="I27" s="774"/>
      <c r="J27" s="715" t="s">
        <v>249</v>
      </c>
      <c r="K27" s="461"/>
      <c r="M27" s="614"/>
      <c r="N27" s="155"/>
      <c r="O27" s="614"/>
    </row>
    <row r="28" spans="1:17" ht="31.8" customHeight="1" x14ac:dyDescent="0.3">
      <c r="A28" s="163"/>
      <c r="B28" s="681" t="s">
        <v>500</v>
      </c>
      <c r="C28" s="775"/>
      <c r="D28" s="776"/>
      <c r="E28" s="776"/>
      <c r="F28" s="776"/>
      <c r="G28" s="776"/>
      <c r="H28" s="776"/>
      <c r="I28" s="777"/>
      <c r="J28" s="705"/>
      <c r="K28" s="462"/>
      <c r="M28" s="614"/>
      <c r="N28" s="155"/>
      <c r="O28" s="614"/>
    </row>
    <row r="29" spans="1:17" ht="38.25" customHeight="1" x14ac:dyDescent="0.3">
      <c r="A29" s="895" t="s">
        <v>181</v>
      </c>
      <c r="B29" s="897" t="s">
        <v>182</v>
      </c>
      <c r="C29" s="901" t="s">
        <v>240</v>
      </c>
      <c r="D29" s="164" t="s">
        <v>96</v>
      </c>
      <c r="E29" s="769" t="s">
        <v>96</v>
      </c>
      <c r="F29" s="785"/>
      <c r="G29" s="769" t="s">
        <v>505</v>
      </c>
      <c r="H29" s="769" t="s">
        <v>474</v>
      </c>
      <c r="I29" s="765" t="s">
        <v>394</v>
      </c>
      <c r="J29" s="768" t="s">
        <v>96</v>
      </c>
      <c r="K29" s="687" t="s">
        <v>474</v>
      </c>
      <c r="M29" s="614"/>
      <c r="N29" s="155"/>
      <c r="O29" s="614"/>
    </row>
    <row r="30" spans="1:17" x14ac:dyDescent="0.3">
      <c r="A30" s="895"/>
      <c r="B30" s="897"/>
      <c r="C30" s="902"/>
      <c r="D30" s="525">
        <v>0</v>
      </c>
      <c r="E30" s="545" t="s">
        <v>517</v>
      </c>
      <c r="F30" s="786"/>
      <c r="G30" s="182">
        <v>0.02</v>
      </c>
      <c r="H30" s="182">
        <v>0.05</v>
      </c>
      <c r="I30" s="766"/>
      <c r="J30" s="525" t="str">
        <f>+J6</f>
        <v>Oxigena 4%</v>
      </c>
      <c r="K30" s="385">
        <v>0.05</v>
      </c>
      <c r="M30" s="614"/>
      <c r="N30" s="155"/>
      <c r="O30" s="614"/>
    </row>
    <row r="31" spans="1:17" x14ac:dyDescent="0.3">
      <c r="A31" s="896"/>
      <c r="B31" s="898"/>
      <c r="C31" s="135" t="s">
        <v>183</v>
      </c>
      <c r="D31" s="164" t="s">
        <v>183</v>
      </c>
      <c r="E31" s="769" t="s">
        <v>183</v>
      </c>
      <c r="F31" s="785"/>
      <c r="G31" s="769" t="s">
        <v>183</v>
      </c>
      <c r="H31" s="769" t="s">
        <v>183</v>
      </c>
      <c r="I31" s="769" t="s">
        <v>183</v>
      </c>
      <c r="J31" s="768" t="s">
        <v>183</v>
      </c>
      <c r="K31" s="687" t="s">
        <v>183</v>
      </c>
      <c r="M31" s="614"/>
      <c r="N31" s="155"/>
      <c r="O31" s="614"/>
    </row>
    <row r="32" spans="1:17" x14ac:dyDescent="0.3">
      <c r="A32" s="137" t="s">
        <v>184</v>
      </c>
      <c r="B32" s="143" t="s">
        <v>185</v>
      </c>
      <c r="C32" s="254">
        <f>+'Calculo IP ZDF'!B32</f>
        <v>4620.1105600000001</v>
      </c>
      <c r="D32" s="254">
        <f>+'Calculo IP ZDF'!B32</f>
        <v>4620.1105600000001</v>
      </c>
      <c r="E32" s="787">
        <f>+'Calculo IP ZDF'!G32</f>
        <v>4957.2345375999994</v>
      </c>
      <c r="F32" s="787"/>
      <c r="G32" s="254">
        <f>+'Calculo IP ZDF'!F32</f>
        <v>4089.6138000000001</v>
      </c>
      <c r="H32" s="797">
        <f>+'Calculo IP ZDF'!Q32</f>
        <v>4671.5197269999999</v>
      </c>
      <c r="I32" s="172">
        <f>+'Calculo IP ZDF'!C32</f>
        <v>3701.6686599999998</v>
      </c>
      <c r="J32" s="237">
        <f>+J8</f>
        <v>5384.1363999999994</v>
      </c>
      <c r="K32" s="189">
        <f>+BIODIESEL!G9</f>
        <v>5268.8620000000001</v>
      </c>
      <c r="M32" s="614"/>
      <c r="N32" s="155"/>
      <c r="O32" s="614"/>
      <c r="P32" s="531"/>
      <c r="Q32" s="531"/>
    </row>
    <row r="33" spans="1:19" x14ac:dyDescent="0.3">
      <c r="A33" s="137" t="s">
        <v>186</v>
      </c>
      <c r="B33" s="143" t="s">
        <v>187</v>
      </c>
      <c r="C33" s="190" t="str">
        <f>+G33</f>
        <v>------------------</v>
      </c>
      <c r="D33" s="190" t="s">
        <v>188</v>
      </c>
      <c r="E33" s="190" t="s">
        <v>188</v>
      </c>
      <c r="F33" s="788"/>
      <c r="G33" s="190" t="s">
        <v>188</v>
      </c>
      <c r="H33" s="261" t="s">
        <v>188</v>
      </c>
      <c r="I33" s="167" t="s">
        <v>188</v>
      </c>
      <c r="J33" s="239">
        <f>+J9</f>
        <v>562.79999999999995</v>
      </c>
      <c r="K33" s="189">
        <f>+BIODIESEL!G10</f>
        <v>533.06399999999996</v>
      </c>
      <c r="M33" s="614"/>
      <c r="N33" s="155"/>
      <c r="O33" s="614"/>
      <c r="P33" s="531"/>
      <c r="Q33" s="531"/>
    </row>
    <row r="34" spans="1:19" x14ac:dyDescent="0.3">
      <c r="A34" s="137"/>
      <c r="B34" s="143" t="s">
        <v>132</v>
      </c>
      <c r="C34" s="190" t="str">
        <f>+G34</f>
        <v>------------------</v>
      </c>
      <c r="D34" s="190" t="s">
        <v>188</v>
      </c>
      <c r="E34" s="190" t="s">
        <v>188</v>
      </c>
      <c r="F34" s="788"/>
      <c r="G34" s="190" t="s">
        <v>188</v>
      </c>
      <c r="H34" s="261" t="s">
        <v>188</v>
      </c>
      <c r="I34" s="167" t="s">
        <v>188</v>
      </c>
      <c r="J34" s="239" t="str">
        <f>+J10</f>
        <v>(3)</v>
      </c>
      <c r="K34" s="189" t="str">
        <f>+J34</f>
        <v>(3)</v>
      </c>
      <c r="M34" s="614"/>
      <c r="N34" s="155"/>
      <c r="O34" s="614"/>
      <c r="P34" s="531"/>
      <c r="Q34" s="531"/>
    </row>
    <row r="35" spans="1:19" x14ac:dyDescent="0.3">
      <c r="A35" s="137"/>
      <c r="B35" s="143" t="s">
        <v>134</v>
      </c>
      <c r="C35" s="240">
        <f>'GAS CTE'!C12</f>
        <v>169</v>
      </c>
      <c r="D35" s="240">
        <f>+'GAS CTE'!C12</f>
        <v>169</v>
      </c>
      <c r="E35" s="789">
        <f>+'GAS CTE'!D12</f>
        <v>162.23999999999998</v>
      </c>
      <c r="F35" s="789"/>
      <c r="G35" s="240">
        <f>+BIODIESEL!E12</f>
        <v>187.18</v>
      </c>
      <c r="H35" s="245">
        <f>+BIODIESEL!G12</f>
        <v>181.45</v>
      </c>
      <c r="I35" s="172">
        <f>+BIODIESEL!C12</f>
        <v>191</v>
      </c>
      <c r="J35" s="239">
        <f>+J11</f>
        <v>162.23999999999998</v>
      </c>
      <c r="K35" s="189">
        <f>+BIODIESEL!G12</f>
        <v>181.45</v>
      </c>
      <c r="M35" s="614"/>
      <c r="N35" s="155"/>
      <c r="O35" s="614"/>
      <c r="P35" s="531"/>
      <c r="Q35" s="531"/>
    </row>
    <row r="36" spans="1:19" x14ac:dyDescent="0.3">
      <c r="A36" s="137" t="s">
        <v>189</v>
      </c>
      <c r="B36" s="143" t="s">
        <v>268</v>
      </c>
      <c r="C36" s="190" t="str">
        <f>+C12</f>
        <v>(2)</v>
      </c>
      <c r="D36" s="190" t="str">
        <f>+C36</f>
        <v>(2)</v>
      </c>
      <c r="E36" s="788" t="str">
        <f>+D36</f>
        <v>(2)</v>
      </c>
      <c r="F36" s="788"/>
      <c r="G36" s="190" t="str">
        <f t="shared" ref="G36:H39" si="3">+C36</f>
        <v>(2)</v>
      </c>
      <c r="H36" s="261" t="str">
        <f t="shared" si="3"/>
        <v>(2)</v>
      </c>
      <c r="I36" s="166" t="str">
        <f>+C36</f>
        <v>(2)</v>
      </c>
      <c r="J36" s="189" t="str">
        <f>+C36</f>
        <v>(2)</v>
      </c>
      <c r="K36" s="189" t="str">
        <f>+D36</f>
        <v>(2)</v>
      </c>
      <c r="M36" s="614"/>
      <c r="N36" s="155"/>
      <c r="O36" s="614"/>
      <c r="P36" s="531"/>
      <c r="Q36" s="531"/>
    </row>
    <row r="37" spans="1:19" x14ac:dyDescent="0.3">
      <c r="A37" s="137" t="s">
        <v>193</v>
      </c>
      <c r="B37" s="143" t="s">
        <v>194</v>
      </c>
      <c r="C37" s="190">
        <f>+RUBROS!AC50</f>
        <v>112.5832368093597</v>
      </c>
      <c r="D37" s="190">
        <f>+C37</f>
        <v>112.5832368093597</v>
      </c>
      <c r="E37" s="788">
        <f>+C37</f>
        <v>112.5832368093597</v>
      </c>
      <c r="F37" s="788"/>
      <c r="G37" s="190">
        <f t="shared" si="3"/>
        <v>112.5832368093597</v>
      </c>
      <c r="H37" s="261">
        <f t="shared" si="3"/>
        <v>112.5832368093597</v>
      </c>
      <c r="I37" s="166">
        <f>+C37</f>
        <v>112.5832368093597</v>
      </c>
      <c r="J37" s="239">
        <f>+C37</f>
        <v>112.5832368093597</v>
      </c>
      <c r="K37" s="189">
        <f>+J37</f>
        <v>112.5832368093597</v>
      </c>
      <c r="M37" s="614"/>
      <c r="N37" s="155"/>
      <c r="O37" s="614"/>
      <c r="P37" s="531"/>
      <c r="Q37" s="531"/>
    </row>
    <row r="38" spans="1:19" x14ac:dyDescent="0.3">
      <c r="A38" s="137" t="s">
        <v>191</v>
      </c>
      <c r="B38" s="143" t="s">
        <v>192</v>
      </c>
      <c r="C38" s="240">
        <f>+RUBROS!AC21</f>
        <v>23.500029293035123</v>
      </c>
      <c r="D38" s="166">
        <f>+C38</f>
        <v>23.500029293035123</v>
      </c>
      <c r="E38" s="788">
        <f>+C38</f>
        <v>23.500029293035123</v>
      </c>
      <c r="F38" s="790"/>
      <c r="G38" s="166">
        <f t="shared" si="3"/>
        <v>23.500029293035123</v>
      </c>
      <c r="H38" s="172">
        <f t="shared" si="3"/>
        <v>23.500029293035123</v>
      </c>
      <c r="I38" s="166">
        <f>+C38</f>
        <v>23.500029293035123</v>
      </c>
      <c r="J38" s="237">
        <f>+C38</f>
        <v>23.500029293035123</v>
      </c>
      <c r="K38" s="172">
        <f>+C38</f>
        <v>23.500029293035123</v>
      </c>
      <c r="M38" s="614"/>
      <c r="N38" s="155"/>
      <c r="O38" s="614"/>
      <c r="P38" s="531"/>
      <c r="Q38" s="531"/>
    </row>
    <row r="39" spans="1:19" x14ac:dyDescent="0.3">
      <c r="A39" s="137" t="s">
        <v>195</v>
      </c>
      <c r="B39" s="143" t="s">
        <v>196</v>
      </c>
      <c r="C39" s="240">
        <f>+C14</f>
        <v>13.326421256197724</v>
      </c>
      <c r="D39" s="166">
        <f>+C39</f>
        <v>13.326421256197724</v>
      </c>
      <c r="E39" s="788">
        <f>+C39</f>
        <v>13.326421256197724</v>
      </c>
      <c r="F39" s="790"/>
      <c r="G39" s="166">
        <f t="shared" si="3"/>
        <v>13.326421256197724</v>
      </c>
      <c r="H39" s="172">
        <f t="shared" si="3"/>
        <v>13.326421256197724</v>
      </c>
      <c r="I39" s="166">
        <f>+C39</f>
        <v>13.326421256197724</v>
      </c>
      <c r="J39" s="237">
        <f>+C39</f>
        <v>13.326421256197724</v>
      </c>
      <c r="K39" s="172">
        <f>+J39</f>
        <v>13.326421256197724</v>
      </c>
      <c r="M39" s="614"/>
      <c r="N39" s="155"/>
      <c r="O39" s="614"/>
      <c r="P39" s="531"/>
      <c r="Q39" s="531"/>
    </row>
    <row r="40" spans="1:19" x14ac:dyDescent="0.3">
      <c r="A40" s="144" t="s">
        <v>198</v>
      </c>
      <c r="B40" s="173" t="s">
        <v>199</v>
      </c>
      <c r="C40" s="241">
        <f>SUM(C32:C39)</f>
        <v>4938.5202473585932</v>
      </c>
      <c r="D40" s="241">
        <f>SUM(D32:D39)</f>
        <v>4938.5202473585932</v>
      </c>
      <c r="E40" s="241">
        <f>SUM(E32:E39)</f>
        <v>5268.8842249585923</v>
      </c>
      <c r="F40" s="791"/>
      <c r="G40" s="241">
        <f>SUM(G32:G39)</f>
        <v>4426.2034873585935</v>
      </c>
      <c r="H40" s="241">
        <f>SUM(H32:H39)</f>
        <v>5002.3794143585928</v>
      </c>
      <c r="I40" s="241">
        <f>SUM(I32:I39)</f>
        <v>4042.0783473585921</v>
      </c>
      <c r="J40" s="243">
        <f>SUM(J32:J39)</f>
        <v>6258.5860873585925</v>
      </c>
      <c r="K40" s="241">
        <f>SUM(K32:K39)</f>
        <v>6132.7856873585933</v>
      </c>
      <c r="M40" s="614"/>
      <c r="N40" s="155"/>
      <c r="O40" s="614"/>
      <c r="P40" s="531"/>
      <c r="Q40" s="531"/>
      <c r="S40" s="19"/>
    </row>
    <row r="41" spans="1:19" x14ac:dyDescent="0.3">
      <c r="A41" s="137" t="s">
        <v>200</v>
      </c>
      <c r="B41" s="143" t="s">
        <v>263</v>
      </c>
      <c r="C41" s="257" t="s">
        <v>231</v>
      </c>
      <c r="D41" s="166" t="str">
        <f>+C41</f>
        <v>***</v>
      </c>
      <c r="E41" s="257" t="s">
        <v>231</v>
      </c>
      <c r="F41" s="790"/>
      <c r="G41" s="166" t="str">
        <f t="shared" ref="G41:H43" si="4">+C41</f>
        <v>***</v>
      </c>
      <c r="H41" s="166" t="str">
        <f t="shared" si="4"/>
        <v>***</v>
      </c>
      <c r="I41" s="166" t="str">
        <f>+G41</f>
        <v>***</v>
      </c>
      <c r="J41" s="237" t="str">
        <f>+E41</f>
        <v>***</v>
      </c>
      <c r="K41" s="166">
        <f>+N41</f>
        <v>0</v>
      </c>
      <c r="M41" s="614"/>
      <c r="N41" s="155"/>
      <c r="O41" s="614"/>
      <c r="P41" s="531"/>
      <c r="Q41" s="531"/>
    </row>
    <row r="42" spans="1:19" x14ac:dyDescent="0.3">
      <c r="A42" s="137" t="s">
        <v>202</v>
      </c>
      <c r="B42" s="143" t="s">
        <v>203</v>
      </c>
      <c r="C42" s="257" t="s">
        <v>229</v>
      </c>
      <c r="D42" s="166" t="str">
        <f>+C42</f>
        <v>**</v>
      </c>
      <c r="E42" s="257" t="s">
        <v>229</v>
      </c>
      <c r="F42" s="790"/>
      <c r="G42" s="166" t="str">
        <f t="shared" si="4"/>
        <v>**</v>
      </c>
      <c r="H42" s="166" t="str">
        <f t="shared" si="4"/>
        <v>**</v>
      </c>
      <c r="I42" s="166" t="str">
        <f>+C42</f>
        <v>**</v>
      </c>
      <c r="J42" s="237" t="str">
        <f>+D42</f>
        <v>**</v>
      </c>
      <c r="K42" s="166" t="str">
        <f>+J42</f>
        <v>**</v>
      </c>
      <c r="M42" s="614"/>
      <c r="N42" s="155"/>
      <c r="O42" s="614"/>
      <c r="P42" s="614"/>
    </row>
    <row r="43" spans="1:19" x14ac:dyDescent="0.3">
      <c r="A43" s="137" t="s">
        <v>204</v>
      </c>
      <c r="B43" s="209" t="s">
        <v>139</v>
      </c>
      <c r="C43" s="261" t="str">
        <f>+C19</f>
        <v>****</v>
      </c>
      <c r="D43" s="166" t="str">
        <f>+C43</f>
        <v>****</v>
      </c>
      <c r="E43" s="261" t="str">
        <f>+E19</f>
        <v>****</v>
      </c>
      <c r="F43" s="790"/>
      <c r="G43" s="172" t="str">
        <f t="shared" si="4"/>
        <v>****</v>
      </c>
      <c r="H43" s="172" t="str">
        <f t="shared" si="4"/>
        <v>****</v>
      </c>
      <c r="I43" s="172" t="str">
        <f>+C43</f>
        <v>****</v>
      </c>
      <c r="J43" s="260" t="str">
        <f>C43</f>
        <v>****</v>
      </c>
      <c r="K43" s="166">
        <f>+N43</f>
        <v>0</v>
      </c>
      <c r="M43" s="614"/>
      <c r="N43" s="155"/>
      <c r="O43" s="614"/>
      <c r="P43" s="614"/>
    </row>
    <row r="44" spans="1:19" x14ac:dyDescent="0.3">
      <c r="A44" s="144" t="s">
        <v>206</v>
      </c>
      <c r="B44" s="173" t="s">
        <v>207</v>
      </c>
      <c r="C44" s="246">
        <f t="shared" ref="C44:D44" si="5">+C40</f>
        <v>4938.5202473585932</v>
      </c>
      <c r="D44" s="174">
        <f t="shared" si="5"/>
        <v>4938.5202473585932</v>
      </c>
      <c r="E44" s="246">
        <f t="shared" ref="E44" si="6">+E40</f>
        <v>5268.8842249585923</v>
      </c>
      <c r="F44" s="196"/>
      <c r="G44" s="174">
        <f>+G40</f>
        <v>4426.2034873585935</v>
      </c>
      <c r="H44" s="174">
        <f>+H40</f>
        <v>5002.3794143585928</v>
      </c>
      <c r="I44" s="174">
        <f>+I40</f>
        <v>4042.0783473585921</v>
      </c>
      <c r="J44" s="243">
        <f>+J40</f>
        <v>6258.5860873585925</v>
      </c>
      <c r="K44" s="174">
        <f>+K40</f>
        <v>6132.7856873585933</v>
      </c>
      <c r="M44" s="614"/>
      <c r="N44" s="155"/>
      <c r="O44" s="614"/>
      <c r="P44" s="614"/>
    </row>
    <row r="45" spans="1:19" x14ac:dyDescent="0.3">
      <c r="A45" s="137" t="s">
        <v>208</v>
      </c>
      <c r="B45" s="143" t="s">
        <v>160</v>
      </c>
      <c r="C45" s="259" t="str">
        <f>+C41</f>
        <v>***</v>
      </c>
      <c r="D45" s="166" t="str">
        <f>+G45</f>
        <v>***</v>
      </c>
      <c r="E45" s="259" t="str">
        <f>+E41</f>
        <v>***</v>
      </c>
      <c r="F45" s="790"/>
      <c r="G45" s="166" t="str">
        <f>+G41</f>
        <v>***</v>
      </c>
      <c r="H45" s="166" t="str">
        <f>+H41</f>
        <v>***</v>
      </c>
      <c r="I45" s="166" t="str">
        <f>+I41</f>
        <v>***</v>
      </c>
      <c r="J45" s="237" t="str">
        <f>+E45</f>
        <v>***</v>
      </c>
      <c r="K45" s="166">
        <f>+N45</f>
        <v>0</v>
      </c>
      <c r="M45" s="614"/>
      <c r="N45" s="155"/>
      <c r="O45" s="614"/>
      <c r="P45" s="614"/>
    </row>
    <row r="46" spans="1:19" x14ac:dyDescent="0.3">
      <c r="A46" s="137" t="s">
        <v>209</v>
      </c>
      <c r="B46" s="138" t="s">
        <v>210</v>
      </c>
      <c r="C46" s="192" t="str">
        <f>+C22</f>
        <v>*****</v>
      </c>
      <c r="D46" s="192" t="str">
        <f>+F22</f>
        <v>*****</v>
      </c>
      <c r="E46" s="192" t="str">
        <f>+E22</f>
        <v>*****</v>
      </c>
      <c r="F46" s="790"/>
      <c r="G46" s="192" t="str">
        <f t="shared" ref="G46:K47" si="7">+G22</f>
        <v>N.A</v>
      </c>
      <c r="H46" s="192" t="str">
        <f t="shared" si="7"/>
        <v>N.A</v>
      </c>
      <c r="I46" s="192" t="str">
        <f t="shared" si="7"/>
        <v>N.A</v>
      </c>
      <c r="J46" s="237" t="str">
        <f t="shared" si="7"/>
        <v>*****</v>
      </c>
      <c r="K46" s="192" t="str">
        <f t="shared" si="7"/>
        <v>N.A.</v>
      </c>
      <c r="M46" s="614"/>
      <c r="N46" s="155"/>
      <c r="O46" s="614"/>
      <c r="P46" s="614"/>
    </row>
    <row r="47" spans="1:19" x14ac:dyDescent="0.3">
      <c r="A47" s="137" t="s">
        <v>212</v>
      </c>
      <c r="B47" s="138" t="s">
        <v>213</v>
      </c>
      <c r="C47" s="192" t="str">
        <f>+C23</f>
        <v>******</v>
      </c>
      <c r="D47" s="192" t="str">
        <f>+F23</f>
        <v>******</v>
      </c>
      <c r="E47" s="192" t="str">
        <f>+E23</f>
        <v>******</v>
      </c>
      <c r="F47" s="790"/>
      <c r="G47" s="192" t="str">
        <f t="shared" si="7"/>
        <v>******</v>
      </c>
      <c r="H47" s="192" t="str">
        <f t="shared" si="7"/>
        <v>******</v>
      </c>
      <c r="I47" s="192" t="str">
        <f t="shared" si="7"/>
        <v>******</v>
      </c>
      <c r="J47" s="237" t="str">
        <f t="shared" si="7"/>
        <v>******</v>
      </c>
      <c r="K47" s="192" t="str">
        <f t="shared" si="7"/>
        <v>******</v>
      </c>
      <c r="M47" s="614"/>
      <c r="N47" s="155"/>
      <c r="O47" s="614"/>
      <c r="P47" s="614"/>
    </row>
    <row r="48" spans="1:19" ht="15" thickBot="1" x14ac:dyDescent="0.35">
      <c r="A48" s="148" t="s">
        <v>214</v>
      </c>
      <c r="B48" s="149" t="s">
        <v>215</v>
      </c>
      <c r="C48" s="248"/>
      <c r="D48" s="176"/>
      <c r="E48" s="196"/>
      <c r="F48" s="196"/>
      <c r="G48" s="176"/>
      <c r="H48" s="176"/>
      <c r="I48" s="176"/>
      <c r="J48" s="249"/>
      <c r="K48" s="176"/>
      <c r="M48" s="614"/>
      <c r="N48" s="155"/>
      <c r="O48" s="614"/>
      <c r="P48" s="614"/>
    </row>
    <row r="49" spans="1:16" ht="15" hidden="1" customHeight="1" thickTop="1" x14ac:dyDescent="0.3">
      <c r="A49" s="153"/>
      <c r="B49" s="154"/>
      <c r="C49" s="154"/>
      <c r="D49" s="155"/>
      <c r="E49" s="155"/>
      <c r="F49" s="155"/>
      <c r="G49" s="155"/>
      <c r="H49" s="155"/>
      <c r="I49" s="155"/>
      <c r="J49" s="155"/>
      <c r="K49" s="155"/>
      <c r="L49" s="155"/>
      <c r="M49" s="155"/>
      <c r="N49" s="614"/>
      <c r="O49" s="614"/>
    </row>
    <row r="50" spans="1:16" ht="15" hidden="1" customHeight="1" thickTop="1" x14ac:dyDescent="0.3">
      <c r="A50" s="187"/>
      <c r="B50" s="162" t="s">
        <v>450</v>
      </c>
      <c r="C50" s="903" t="s">
        <v>180</v>
      </c>
      <c r="D50" s="904"/>
      <c r="E50" s="904"/>
      <c r="F50" s="904"/>
      <c r="G50" s="904"/>
      <c r="H50" s="904"/>
      <c r="I50" s="904"/>
      <c r="J50" s="904"/>
      <c r="K50" s="932" t="s">
        <v>249</v>
      </c>
      <c r="L50" s="933"/>
      <c r="M50" s="934"/>
      <c r="N50" s="614"/>
      <c r="O50" s="614"/>
    </row>
    <row r="51" spans="1:16" ht="63.45" hidden="1" customHeight="1" thickTop="1" x14ac:dyDescent="0.3">
      <c r="A51" s="163"/>
      <c r="B51" s="262" t="s">
        <v>271</v>
      </c>
      <c r="C51" s="905"/>
      <c r="D51" s="906"/>
      <c r="E51" s="906"/>
      <c r="F51" s="906"/>
      <c r="G51" s="906"/>
      <c r="H51" s="906"/>
      <c r="I51" s="906"/>
      <c r="J51" s="906"/>
      <c r="K51" s="935"/>
      <c r="L51" s="936"/>
      <c r="M51" s="937"/>
      <c r="N51" s="614"/>
      <c r="O51" s="614"/>
    </row>
    <row r="52" spans="1:16" ht="38.25" hidden="1" customHeight="1" thickTop="1" x14ac:dyDescent="0.3">
      <c r="A52" s="895" t="s">
        <v>181</v>
      </c>
      <c r="B52" s="897" t="s">
        <v>182</v>
      </c>
      <c r="C52" s="901" t="s">
        <v>240</v>
      </c>
      <c r="D52" s="482" t="s">
        <v>96</v>
      </c>
      <c r="E52" s="769"/>
      <c r="F52" s="769"/>
      <c r="G52" s="482" t="s">
        <v>172</v>
      </c>
      <c r="H52" s="523"/>
      <c r="I52" s="482" t="s">
        <v>422</v>
      </c>
      <c r="J52" s="899" t="s">
        <v>395</v>
      </c>
      <c r="K52" s="688" t="s">
        <v>96</v>
      </c>
      <c r="L52" s="687" t="str">
        <f>+I52</f>
        <v>Biodiesel B12</v>
      </c>
      <c r="M52" s="687" t="s">
        <v>124</v>
      </c>
      <c r="N52" s="614"/>
      <c r="O52" s="614"/>
    </row>
    <row r="53" spans="1:16" ht="21.75" hidden="1" customHeight="1" thickTop="1" x14ac:dyDescent="0.3">
      <c r="A53" s="895"/>
      <c r="B53" s="897"/>
      <c r="C53" s="902"/>
      <c r="D53" s="479">
        <v>0.08</v>
      </c>
      <c r="E53" s="545"/>
      <c r="F53" s="545"/>
      <c r="G53" s="182">
        <v>0.02</v>
      </c>
      <c r="H53" s="182"/>
      <c r="I53" s="384">
        <f>+BOYACA!I54</f>
        <v>0</v>
      </c>
      <c r="J53" s="900"/>
      <c r="K53" s="263">
        <v>0.04</v>
      </c>
      <c r="L53" s="385">
        <f>+I53</f>
        <v>0</v>
      </c>
      <c r="M53" s="264" t="s">
        <v>262</v>
      </c>
      <c r="N53" s="614"/>
      <c r="O53" s="614"/>
    </row>
    <row r="54" spans="1:16" ht="15" hidden="1" customHeight="1" thickTop="1" x14ac:dyDescent="0.3">
      <c r="A54" s="896"/>
      <c r="B54" s="898"/>
      <c r="C54" s="481" t="s">
        <v>183</v>
      </c>
      <c r="D54" s="482" t="s">
        <v>183</v>
      </c>
      <c r="E54" s="769"/>
      <c r="F54" s="769"/>
      <c r="G54" s="482" t="s">
        <v>183</v>
      </c>
      <c r="H54" s="523"/>
      <c r="I54" s="482" t="s">
        <v>183</v>
      </c>
      <c r="J54" s="482" t="s">
        <v>183</v>
      </c>
      <c r="K54" s="688" t="s">
        <v>183</v>
      </c>
      <c r="L54" s="687" t="s">
        <v>183</v>
      </c>
      <c r="M54" s="253" t="s">
        <v>183</v>
      </c>
      <c r="N54" s="614"/>
      <c r="O54" s="614"/>
    </row>
    <row r="55" spans="1:16" ht="15" hidden="1" customHeight="1" thickTop="1" x14ac:dyDescent="0.3">
      <c r="A55" s="137" t="s">
        <v>184</v>
      </c>
      <c r="B55" s="143" t="s">
        <v>185</v>
      </c>
      <c r="C55" s="254">
        <f>+'Calculo IP ZDF'!$B$42</f>
        <v>5064.8</v>
      </c>
      <c r="D55" s="254">
        <f>+'Calculo IP ZDF'!$G$42</f>
        <v>5384.1363999999994</v>
      </c>
      <c r="E55" s="254"/>
      <c r="F55" s="254"/>
      <c r="G55" s="254">
        <f>+'Calculo IP ZDF'!$F$42</f>
        <v>4705.8137999999999</v>
      </c>
      <c r="H55" s="254"/>
      <c r="I55" s="254">
        <f>+'Calculo IP ZDF'!$N$42</f>
        <v>6582.6387999999997</v>
      </c>
      <c r="J55" s="172">
        <f>+'Calculo IP ZDF'!$C$42</f>
        <v>4330.45</v>
      </c>
      <c r="K55" s="237">
        <f>+'GAS CTE'!$D$9</f>
        <v>5384.1363999999994</v>
      </c>
      <c r="L55" s="192">
        <f>+BIODIESEL!$J$9</f>
        <v>6582.6387999999997</v>
      </c>
      <c r="M55" s="214" t="e">
        <f>+#REF!</f>
        <v>#REF!</v>
      </c>
      <c r="N55" s="614"/>
      <c r="O55" s="614"/>
    </row>
    <row r="56" spans="1:16" ht="15" hidden="1" customHeight="1" thickTop="1" x14ac:dyDescent="0.3">
      <c r="A56" s="137" t="s">
        <v>186</v>
      </c>
      <c r="B56" s="143" t="s">
        <v>187</v>
      </c>
      <c r="C56" s="190" t="str">
        <f>+G56</f>
        <v>------------------</v>
      </c>
      <c r="D56" s="190" t="s">
        <v>188</v>
      </c>
      <c r="E56" s="190"/>
      <c r="F56" s="190"/>
      <c r="G56" s="190" t="s">
        <v>188</v>
      </c>
      <c r="H56" s="190"/>
      <c r="I56" s="190" t="s">
        <v>188</v>
      </c>
      <c r="J56" s="167" t="s">
        <v>188</v>
      </c>
      <c r="K56" s="239">
        <f>+'GAS CTE'!$D$10</f>
        <v>562.79999999999995</v>
      </c>
      <c r="L56" s="189">
        <f>+BIODIESEL!$H$10</f>
        <v>505.00800000000004</v>
      </c>
      <c r="M56" s="211">
        <f>+'GAS EXTRA'!D58</f>
        <v>0</v>
      </c>
      <c r="N56" s="614"/>
      <c r="O56" s="614"/>
    </row>
    <row r="57" spans="1:16" ht="15" hidden="1" customHeight="1" thickTop="1" x14ac:dyDescent="0.3">
      <c r="A57" s="137"/>
      <c r="B57" s="143" t="s">
        <v>132</v>
      </c>
      <c r="C57" s="190" t="str">
        <f>+G57</f>
        <v>------------------</v>
      </c>
      <c r="D57" s="190" t="s">
        <v>188</v>
      </c>
      <c r="E57" s="190"/>
      <c r="F57" s="190"/>
      <c r="G57" s="190" t="s">
        <v>188</v>
      </c>
      <c r="H57" s="190"/>
      <c r="I57" s="190" t="s">
        <v>188</v>
      </c>
      <c r="J57" s="167" t="s">
        <v>188</v>
      </c>
      <c r="K57" s="239" t="str">
        <f>+J10</f>
        <v>(3)</v>
      </c>
      <c r="L57" s="239" t="str">
        <f>+K10</f>
        <v>(3)</v>
      </c>
      <c r="M57" s="211">
        <f>'[6]CORRIENTE OXIGENADA'!D60</f>
        <v>0</v>
      </c>
      <c r="N57" s="614"/>
      <c r="O57" s="614"/>
    </row>
    <row r="58" spans="1:16" ht="15" hidden="1" customHeight="1" thickTop="1" x14ac:dyDescent="0.3">
      <c r="A58" s="137"/>
      <c r="B58" s="143" t="s">
        <v>134</v>
      </c>
      <c r="C58" s="240">
        <f>+'GAS CTE'!$C$12</f>
        <v>169</v>
      </c>
      <c r="D58" s="240">
        <f>+'GAS CTE'!$D$12</f>
        <v>162.23999999999998</v>
      </c>
      <c r="E58" s="240"/>
      <c r="F58" s="240"/>
      <c r="G58" s="240">
        <f>+BIODIESEL!$E$12</f>
        <v>187.18</v>
      </c>
      <c r="H58" s="240"/>
      <c r="I58" s="240">
        <f>+BIODIESEL!$H$12</f>
        <v>171.9</v>
      </c>
      <c r="J58" s="172">
        <f>+BIODIESEL!$C$12</f>
        <v>191</v>
      </c>
      <c r="K58" s="239">
        <f>+'GAS CTE'!$D$12</f>
        <v>162.23999999999998</v>
      </c>
      <c r="L58" s="189">
        <f>+I58</f>
        <v>171.9</v>
      </c>
      <c r="M58" s="211" t="e">
        <f>+#REF!</f>
        <v>#REF!</v>
      </c>
      <c r="N58" s="614"/>
      <c r="O58" s="425" t="s">
        <v>413</v>
      </c>
    </row>
    <row r="59" spans="1:16" ht="15" hidden="1" customHeight="1" thickTop="1" x14ac:dyDescent="0.3">
      <c r="A59" s="137" t="s">
        <v>189</v>
      </c>
      <c r="B59" s="143" t="s">
        <v>268</v>
      </c>
      <c r="C59" s="257" t="s">
        <v>217</v>
      </c>
      <c r="D59" s="190" t="str">
        <f>+C59</f>
        <v>(2)</v>
      </c>
      <c r="E59" s="190"/>
      <c r="F59" s="190"/>
      <c r="G59" s="190" t="str">
        <f>+C59</f>
        <v>(2)</v>
      </c>
      <c r="H59" s="190"/>
      <c r="I59" s="190" t="str">
        <f>+C59</f>
        <v>(2)</v>
      </c>
      <c r="J59" s="166" t="str">
        <f>+C59</f>
        <v>(2)</v>
      </c>
      <c r="K59" s="239" t="str">
        <f>+M59</f>
        <v>(2)</v>
      </c>
      <c r="L59" s="189" t="str">
        <f>+D59</f>
        <v>(2)</v>
      </c>
      <c r="M59" s="211" t="str">
        <f>+G59</f>
        <v>(2)</v>
      </c>
      <c r="N59" s="614"/>
      <c r="O59" s="614"/>
    </row>
    <row r="60" spans="1:16" ht="15" hidden="1" customHeight="1" thickTop="1" x14ac:dyDescent="0.3">
      <c r="A60" s="137" t="s">
        <v>191</v>
      </c>
      <c r="B60" s="143" t="s">
        <v>192</v>
      </c>
      <c r="C60" s="240">
        <f>+RUBROS!$Z$13</f>
        <v>22.249601678692599</v>
      </c>
      <c r="D60" s="166">
        <f>+C60</f>
        <v>22.249601678692599</v>
      </c>
      <c r="E60" s="166"/>
      <c r="F60" s="166"/>
      <c r="G60" s="166">
        <f>+C60</f>
        <v>22.249601678692599</v>
      </c>
      <c r="H60" s="166"/>
      <c r="I60" s="166">
        <f>+C60</f>
        <v>22.249601678692599</v>
      </c>
      <c r="J60" s="166">
        <f>+C60</f>
        <v>22.249601678692599</v>
      </c>
      <c r="K60" s="237" t="e">
        <f>+#REF!</f>
        <v>#REF!</v>
      </c>
      <c r="L60" s="166" t="e">
        <f>+#REF!</f>
        <v>#REF!</v>
      </c>
      <c r="M60" s="140" t="e">
        <f>+#REF!</f>
        <v>#REF!</v>
      </c>
      <c r="N60" s="614"/>
      <c r="O60" s="425" t="s">
        <v>413</v>
      </c>
      <c r="P60" s="425" t="s">
        <v>412</v>
      </c>
    </row>
    <row r="61" spans="1:16" ht="15" hidden="1" customHeight="1" thickTop="1" x14ac:dyDescent="0.3">
      <c r="A61" s="137" t="s">
        <v>195</v>
      </c>
      <c r="B61" s="143" t="s">
        <v>196</v>
      </c>
      <c r="C61" s="240">
        <f>+RUBROS!$AP$42</f>
        <v>12.938273064269636</v>
      </c>
      <c r="D61" s="166">
        <f>+C61</f>
        <v>12.938273064269636</v>
      </c>
      <c r="E61" s="166"/>
      <c r="F61" s="166"/>
      <c r="G61" s="166">
        <f>+C61</f>
        <v>12.938273064269636</v>
      </c>
      <c r="H61" s="166"/>
      <c r="I61" s="166">
        <f>+C61</f>
        <v>12.938273064269636</v>
      </c>
      <c r="J61" s="166">
        <f>+C61</f>
        <v>12.938273064269636</v>
      </c>
      <c r="K61" s="237">
        <f>+C61</f>
        <v>12.938273064269636</v>
      </c>
      <c r="L61" s="166">
        <f>+K61</f>
        <v>12.938273064269636</v>
      </c>
      <c r="M61" s="140">
        <f>+K61</f>
        <v>12.938273064269636</v>
      </c>
      <c r="N61" s="614"/>
      <c r="O61" s="425" t="s">
        <v>412</v>
      </c>
    </row>
    <row r="62" spans="1:16" ht="15" hidden="1" customHeight="1" thickTop="1" x14ac:dyDescent="0.3">
      <c r="A62" s="137"/>
      <c r="B62" s="143" t="s">
        <v>197</v>
      </c>
      <c r="C62" s="240"/>
      <c r="D62" s="166"/>
      <c r="E62" s="166"/>
      <c r="F62" s="166"/>
      <c r="G62" s="166"/>
      <c r="H62" s="166"/>
      <c r="I62" s="166"/>
      <c r="J62" s="166"/>
      <c r="K62" s="237"/>
      <c r="L62" s="166"/>
      <c r="M62" s="140">
        <f>+C62</f>
        <v>0</v>
      </c>
      <c r="N62" s="614"/>
      <c r="O62" s="429" t="s">
        <v>414</v>
      </c>
    </row>
    <row r="63" spans="1:16" ht="15" hidden="1" customHeight="1" thickTop="1" x14ac:dyDescent="0.3">
      <c r="A63" s="144" t="s">
        <v>198</v>
      </c>
      <c r="B63" s="173" t="s">
        <v>199</v>
      </c>
      <c r="C63" s="241">
        <f>SUM(C55:C62)</f>
        <v>5268.987874742962</v>
      </c>
      <c r="D63" s="241">
        <f t="shared" ref="D63:M63" si="8">SUM(D55:D62)</f>
        <v>5581.5642747429611</v>
      </c>
      <c r="E63" s="241"/>
      <c r="F63" s="241"/>
      <c r="G63" s="241">
        <f t="shared" si="8"/>
        <v>4928.1816747429621</v>
      </c>
      <c r="H63" s="241"/>
      <c r="I63" s="241">
        <f t="shared" si="8"/>
        <v>6789.7266747429612</v>
      </c>
      <c r="J63" s="241">
        <f t="shared" si="8"/>
        <v>4556.6378747429617</v>
      </c>
      <c r="K63" s="243" t="e">
        <f t="shared" si="8"/>
        <v>#REF!</v>
      </c>
      <c r="L63" s="241" t="e">
        <f t="shared" si="8"/>
        <v>#REF!</v>
      </c>
      <c r="M63" s="244" t="e">
        <f t="shared" si="8"/>
        <v>#REF!</v>
      </c>
      <c r="N63" s="614"/>
      <c r="O63" s="614"/>
    </row>
    <row r="64" spans="1:16" ht="15" hidden="1" customHeight="1" thickTop="1" x14ac:dyDescent="0.3">
      <c r="A64" s="137" t="s">
        <v>200</v>
      </c>
      <c r="B64" s="143" t="s">
        <v>263</v>
      </c>
      <c r="C64" s="258" t="s">
        <v>231</v>
      </c>
      <c r="D64" s="166" t="str">
        <f>+C64</f>
        <v>***</v>
      </c>
      <c r="E64" s="166"/>
      <c r="F64" s="166"/>
      <c r="G64" s="166" t="str">
        <f>+C64</f>
        <v>***</v>
      </c>
      <c r="H64" s="166"/>
      <c r="I64" s="166" t="str">
        <f>+G64</f>
        <v>***</v>
      </c>
      <c r="J64" s="166" t="str">
        <f>+G64</f>
        <v>***</v>
      </c>
      <c r="K64" s="237" t="str">
        <f>M64</f>
        <v>***</v>
      </c>
      <c r="L64" s="166" t="str">
        <f>+M64</f>
        <v>***</v>
      </c>
      <c r="M64" s="140" t="str">
        <f>+G64</f>
        <v>***</v>
      </c>
      <c r="N64" s="614"/>
      <c r="O64" s="614"/>
    </row>
    <row r="65" spans="1:13" ht="15" hidden="1" customHeight="1" thickTop="1" x14ac:dyDescent="0.3">
      <c r="A65" s="137" t="s">
        <v>202</v>
      </c>
      <c r="B65" s="143" t="s">
        <v>203</v>
      </c>
      <c r="C65" s="257" t="s">
        <v>229</v>
      </c>
      <c r="D65" s="166" t="str">
        <f>+C65</f>
        <v>**</v>
      </c>
      <c r="E65" s="166"/>
      <c r="F65" s="166"/>
      <c r="G65" s="166" t="str">
        <f>+C65</f>
        <v>**</v>
      </c>
      <c r="H65" s="166"/>
      <c r="I65" s="166" t="str">
        <f>+C65</f>
        <v>**</v>
      </c>
      <c r="J65" s="166" t="str">
        <f>+C65</f>
        <v>**</v>
      </c>
      <c r="K65" s="237" t="e">
        <f>+#REF!</f>
        <v>#REF!</v>
      </c>
      <c r="L65" s="166" t="e">
        <f>+K65</f>
        <v>#REF!</v>
      </c>
      <c r="M65" s="140" t="e">
        <f>+L65</f>
        <v>#REF!</v>
      </c>
    </row>
    <row r="66" spans="1:13" ht="15" hidden="1" customHeight="1" thickTop="1" x14ac:dyDescent="0.3">
      <c r="A66" s="137" t="s">
        <v>204</v>
      </c>
      <c r="B66" s="209" t="s">
        <v>139</v>
      </c>
      <c r="C66" s="245">
        <f>+G66</f>
        <v>0</v>
      </c>
      <c r="D66" s="166">
        <f t="shared" ref="D66" si="9">+G66</f>
        <v>0</v>
      </c>
      <c r="E66" s="166"/>
      <c r="F66" s="166"/>
      <c r="G66" s="172">
        <f>+A161</f>
        <v>0</v>
      </c>
      <c r="H66" s="172"/>
      <c r="I66" s="172">
        <f>+G66</f>
        <v>0</v>
      </c>
      <c r="J66" s="172">
        <f>+A161</f>
        <v>0</v>
      </c>
      <c r="K66" s="260">
        <f>C66</f>
        <v>0</v>
      </c>
      <c r="L66" s="166">
        <f>+M66</f>
        <v>0</v>
      </c>
      <c r="M66" s="142">
        <f>K66</f>
        <v>0</v>
      </c>
    </row>
    <row r="67" spans="1:13" ht="15" hidden="1" customHeight="1" thickTop="1" x14ac:dyDescent="0.3">
      <c r="A67" s="144" t="s">
        <v>206</v>
      </c>
      <c r="B67" s="173" t="s">
        <v>207</v>
      </c>
      <c r="C67" s="246">
        <f t="shared" ref="C67:M68" si="10">+C63</f>
        <v>5268.987874742962</v>
      </c>
      <c r="D67" s="174">
        <f t="shared" si="10"/>
        <v>5581.5642747429611</v>
      </c>
      <c r="E67" s="174"/>
      <c r="F67" s="174"/>
      <c r="G67" s="174">
        <f t="shared" si="10"/>
        <v>4928.1816747429621</v>
      </c>
      <c r="H67" s="174"/>
      <c r="I67" s="174">
        <f t="shared" si="10"/>
        <v>6789.7266747429612</v>
      </c>
      <c r="J67" s="174">
        <f t="shared" si="10"/>
        <v>4556.6378747429617</v>
      </c>
      <c r="K67" s="243" t="e">
        <f t="shared" si="10"/>
        <v>#REF!</v>
      </c>
      <c r="L67" s="174" t="e">
        <f t="shared" si="10"/>
        <v>#REF!</v>
      </c>
      <c r="M67" s="146" t="e">
        <f t="shared" si="10"/>
        <v>#REF!</v>
      </c>
    </row>
    <row r="68" spans="1:13" ht="15" hidden="1" customHeight="1" thickTop="1" x14ac:dyDescent="0.3">
      <c r="A68" s="137" t="s">
        <v>208</v>
      </c>
      <c r="B68" s="143" t="s">
        <v>160</v>
      </c>
      <c r="C68" s="240" t="str">
        <f>+G68</f>
        <v>***</v>
      </c>
      <c r="D68" s="166" t="str">
        <f t="shared" ref="D68" si="11">+G68</f>
        <v>***</v>
      </c>
      <c r="E68" s="166"/>
      <c r="F68" s="166"/>
      <c r="G68" s="166" t="str">
        <f t="shared" si="10"/>
        <v>***</v>
      </c>
      <c r="H68" s="166"/>
      <c r="I68" s="166" t="str">
        <f>+G68</f>
        <v>***</v>
      </c>
      <c r="J68" s="166" t="str">
        <f>+J64</f>
        <v>***</v>
      </c>
      <c r="K68" s="237" t="str">
        <f>M68</f>
        <v>***</v>
      </c>
      <c r="L68" s="166" t="str">
        <f>+M68</f>
        <v>***</v>
      </c>
      <c r="M68" s="140" t="str">
        <f>+M64</f>
        <v>***</v>
      </c>
    </row>
    <row r="69" spans="1:13" ht="15" hidden="1" customHeight="1" thickTop="1" x14ac:dyDescent="0.3">
      <c r="A69" s="137" t="s">
        <v>209</v>
      </c>
      <c r="B69" s="138" t="s">
        <v>210</v>
      </c>
      <c r="C69" s="247" t="s">
        <v>235</v>
      </c>
      <c r="D69" s="166" t="str">
        <f>+C69</f>
        <v>*****</v>
      </c>
      <c r="E69" s="166"/>
      <c r="F69" s="166"/>
      <c r="G69" s="166" t="s">
        <v>211</v>
      </c>
      <c r="H69" s="166"/>
      <c r="I69" s="166" t="str">
        <f>+G69</f>
        <v>N.A</v>
      </c>
      <c r="J69" s="166" t="s">
        <v>211</v>
      </c>
      <c r="K69" s="237" t="e">
        <f>+#REF!</f>
        <v>#REF!</v>
      </c>
      <c r="L69" s="166" t="s">
        <v>253</v>
      </c>
      <c r="M69" s="140" t="e">
        <f>+#REF!</f>
        <v>#REF!</v>
      </c>
    </row>
    <row r="70" spans="1:13" ht="24.75" hidden="1" customHeight="1" thickTop="1" x14ac:dyDescent="0.3">
      <c r="A70" s="137" t="s">
        <v>212</v>
      </c>
      <c r="B70" s="138" t="s">
        <v>213</v>
      </c>
      <c r="C70" s="247" t="s">
        <v>236</v>
      </c>
      <c r="D70" s="166" t="str">
        <f>+C70</f>
        <v>******</v>
      </c>
      <c r="E70" s="166"/>
      <c r="F70" s="166"/>
      <c r="G70" s="166" t="str">
        <f>+C70</f>
        <v>******</v>
      </c>
      <c r="H70" s="166"/>
      <c r="I70" s="166" t="str">
        <f>+C70</f>
        <v>******</v>
      </c>
      <c r="J70" s="166" t="str">
        <f>+C70</f>
        <v>******</v>
      </c>
      <c r="K70" s="237" t="str">
        <f>+C70</f>
        <v>******</v>
      </c>
      <c r="L70" s="166" t="str">
        <f>+C70</f>
        <v>******</v>
      </c>
      <c r="M70" s="140" t="str">
        <f>+C70</f>
        <v>******</v>
      </c>
    </row>
    <row r="71" spans="1:13" ht="15.6" hidden="1" customHeight="1" thickTop="1" thickBot="1" x14ac:dyDescent="0.35">
      <c r="A71" s="148" t="s">
        <v>214</v>
      </c>
      <c r="B71" s="149" t="s">
        <v>215</v>
      </c>
      <c r="C71" s="248"/>
      <c r="D71" s="176"/>
      <c r="E71" s="176"/>
      <c r="F71" s="176"/>
      <c r="G71" s="176"/>
      <c r="H71" s="176"/>
      <c r="I71" s="176"/>
      <c r="J71" s="176"/>
      <c r="K71" s="392"/>
      <c r="L71" s="393"/>
      <c r="M71" s="394"/>
    </row>
    <row r="72" spans="1:13" ht="15" hidden="1" customHeight="1" thickTop="1" x14ac:dyDescent="0.3">
      <c r="A72" s="153"/>
      <c r="B72" s="154"/>
      <c r="C72" s="154"/>
      <c r="D72" s="155"/>
      <c r="E72" s="155"/>
      <c r="F72" s="155"/>
      <c r="G72" s="155"/>
      <c r="H72" s="155"/>
      <c r="I72" s="155"/>
      <c r="J72" s="155"/>
      <c r="K72" s="155"/>
      <c r="L72" s="155"/>
      <c r="M72" s="155"/>
    </row>
    <row r="73" spans="1:13" ht="15" hidden="1" customHeight="1" thickTop="1" x14ac:dyDescent="0.3">
      <c r="A73" s="153"/>
      <c r="B73" s="154"/>
      <c r="C73" s="154"/>
      <c r="D73" s="155"/>
      <c r="E73" s="155"/>
      <c r="F73" s="155"/>
      <c r="G73" s="155"/>
      <c r="H73" s="155"/>
      <c r="I73" s="155"/>
      <c r="J73" s="155"/>
      <c r="K73" s="155"/>
      <c r="L73" s="155"/>
      <c r="M73" s="155"/>
    </row>
    <row r="74" spans="1:13" ht="15" hidden="1" customHeight="1" thickTop="1" x14ac:dyDescent="0.3">
      <c r="A74" s="187"/>
      <c r="B74" s="162" t="s">
        <v>451</v>
      </c>
      <c r="C74" s="903" t="s">
        <v>180</v>
      </c>
      <c r="D74" s="904"/>
      <c r="E74" s="904"/>
      <c r="F74" s="904"/>
      <c r="G74" s="904"/>
      <c r="H74" s="904"/>
      <c r="I74" s="904"/>
      <c r="J74" s="904"/>
      <c r="K74" s="932" t="s">
        <v>249</v>
      </c>
      <c r="L74" s="933"/>
      <c r="M74" s="934"/>
    </row>
    <row r="75" spans="1:13" ht="43.2" hidden="1" customHeight="1" thickTop="1" x14ac:dyDescent="0.3">
      <c r="A75" s="163"/>
      <c r="B75" s="262" t="s">
        <v>271</v>
      </c>
      <c r="C75" s="905"/>
      <c r="D75" s="906"/>
      <c r="E75" s="906"/>
      <c r="F75" s="906"/>
      <c r="G75" s="906"/>
      <c r="H75" s="906"/>
      <c r="I75" s="906"/>
      <c r="J75" s="906"/>
      <c r="K75" s="935"/>
      <c r="L75" s="936"/>
      <c r="M75" s="937"/>
    </row>
    <row r="76" spans="1:13" ht="42" hidden="1" customHeight="1" thickTop="1" x14ac:dyDescent="0.3">
      <c r="A76" s="895" t="s">
        <v>181</v>
      </c>
      <c r="B76" s="897" t="s">
        <v>182</v>
      </c>
      <c r="C76" s="901" t="s">
        <v>240</v>
      </c>
      <c r="D76" s="482" t="s">
        <v>96</v>
      </c>
      <c r="E76" s="769"/>
      <c r="F76" s="769"/>
      <c r="G76" s="482" t="s">
        <v>172</v>
      </c>
      <c r="H76" s="523"/>
      <c r="I76" s="482" t="s">
        <v>422</v>
      </c>
      <c r="J76" s="899" t="s">
        <v>395</v>
      </c>
      <c r="K76" s="688" t="s">
        <v>96</v>
      </c>
      <c r="L76" s="687" t="str">
        <f>+I76</f>
        <v>Biodiesel B12</v>
      </c>
      <c r="M76" s="687" t="s">
        <v>124</v>
      </c>
    </row>
    <row r="77" spans="1:13" ht="15" hidden="1" customHeight="1" thickTop="1" x14ac:dyDescent="0.3">
      <c r="A77" s="895"/>
      <c r="B77" s="897"/>
      <c r="C77" s="902"/>
      <c r="D77" s="479">
        <v>0.08</v>
      </c>
      <c r="E77" s="545"/>
      <c r="F77" s="545"/>
      <c r="G77" s="182">
        <v>0.02</v>
      </c>
      <c r="H77" s="182"/>
      <c r="I77" s="384">
        <f>+BOYACA!I78</f>
        <v>0</v>
      </c>
      <c r="J77" s="900"/>
      <c r="K77" s="263">
        <v>0.04</v>
      </c>
      <c r="L77" s="385">
        <f>+I77</f>
        <v>0</v>
      </c>
      <c r="M77" s="264" t="s">
        <v>262</v>
      </c>
    </row>
    <row r="78" spans="1:13" ht="15" hidden="1" customHeight="1" thickTop="1" x14ac:dyDescent="0.3">
      <c r="A78" s="896"/>
      <c r="B78" s="898"/>
      <c r="C78" s="481" t="s">
        <v>183</v>
      </c>
      <c r="D78" s="482" t="s">
        <v>183</v>
      </c>
      <c r="E78" s="769"/>
      <c r="F78" s="769"/>
      <c r="G78" s="482" t="s">
        <v>183</v>
      </c>
      <c r="H78" s="523"/>
      <c r="I78" s="482" t="s">
        <v>183</v>
      </c>
      <c r="J78" s="482" t="s">
        <v>183</v>
      </c>
      <c r="K78" s="688" t="s">
        <v>183</v>
      </c>
      <c r="L78" s="687" t="s">
        <v>183</v>
      </c>
      <c r="M78" s="253" t="s">
        <v>183</v>
      </c>
    </row>
    <row r="79" spans="1:13" ht="15" hidden="1" customHeight="1" thickTop="1" x14ac:dyDescent="0.3">
      <c r="A79" s="137" t="s">
        <v>184</v>
      </c>
      <c r="B79" s="143" t="s">
        <v>185</v>
      </c>
      <c r="C79" s="254">
        <f>+'Calculo IP ZDF'!$B$43</f>
        <v>5064.8</v>
      </c>
      <c r="D79" s="254">
        <f>+'Calculo IP ZDF'!$G$43</f>
        <v>5384.1363999999994</v>
      </c>
      <c r="E79" s="254"/>
      <c r="F79" s="254"/>
      <c r="G79" s="254">
        <f>+'Calculo IP ZDF'!$F$43</f>
        <v>4705.8137999999999</v>
      </c>
      <c r="H79" s="254"/>
      <c r="I79" s="254">
        <f>+'Calculo IP ZDF'!$N$43</f>
        <v>6582.6387999999997</v>
      </c>
      <c r="J79" s="172">
        <f>+'Calculo IP ZDF'!$C$43</f>
        <v>4330.45</v>
      </c>
      <c r="K79" s="237">
        <f>+'GAS CTE'!$D$9</f>
        <v>5384.1363999999994</v>
      </c>
      <c r="L79" s="192">
        <f>+BIODIESEL!$J$9</f>
        <v>6582.6387999999997</v>
      </c>
      <c r="M79" s="214" t="e">
        <f>+#REF!</f>
        <v>#REF!</v>
      </c>
    </row>
    <row r="80" spans="1:13" ht="15" hidden="1" customHeight="1" thickTop="1" x14ac:dyDescent="0.3">
      <c r="A80" s="137" t="s">
        <v>186</v>
      </c>
      <c r="B80" s="143" t="s">
        <v>187</v>
      </c>
      <c r="C80" s="190" t="str">
        <f>+G80</f>
        <v>------------------</v>
      </c>
      <c r="D80" s="190" t="s">
        <v>188</v>
      </c>
      <c r="E80" s="190"/>
      <c r="F80" s="190"/>
      <c r="G80" s="190" t="s">
        <v>188</v>
      </c>
      <c r="H80" s="190"/>
      <c r="I80" s="190" t="s">
        <v>188</v>
      </c>
      <c r="J80" s="167" t="s">
        <v>188</v>
      </c>
      <c r="K80" s="239">
        <f>+'GAS CTE'!$D$10</f>
        <v>562.79999999999995</v>
      </c>
      <c r="L80" s="189">
        <f>+BIODIESEL!$H$10</f>
        <v>505.00800000000004</v>
      </c>
      <c r="M80" s="211">
        <f>+'GAS EXTRA'!D82</f>
        <v>0</v>
      </c>
    </row>
    <row r="81" spans="1:13" ht="15" hidden="1" customHeight="1" thickTop="1" x14ac:dyDescent="0.3">
      <c r="A81" s="137"/>
      <c r="B81" s="143" t="s">
        <v>132</v>
      </c>
      <c r="C81" s="190" t="str">
        <f>+G81</f>
        <v>------------------</v>
      </c>
      <c r="D81" s="190" t="s">
        <v>188</v>
      </c>
      <c r="E81" s="190"/>
      <c r="F81" s="190"/>
      <c r="G81" s="190" t="s">
        <v>188</v>
      </c>
      <c r="H81" s="190"/>
      <c r="I81" s="190" t="s">
        <v>188</v>
      </c>
      <c r="J81" s="167" t="s">
        <v>188</v>
      </c>
      <c r="K81" s="239" t="e">
        <f>+#REF!</f>
        <v>#REF!</v>
      </c>
      <c r="L81" s="239">
        <f>+M34</f>
        <v>0</v>
      </c>
      <c r="M81" s="211">
        <f>'[6]CORRIENTE OXIGENADA'!D84</f>
        <v>0</v>
      </c>
    </row>
    <row r="82" spans="1:13" ht="15" hidden="1" customHeight="1" thickTop="1" x14ac:dyDescent="0.3">
      <c r="A82" s="137"/>
      <c r="B82" s="143" t="s">
        <v>134</v>
      </c>
      <c r="C82" s="240">
        <f>+'GAS CTE'!$C$12</f>
        <v>169</v>
      </c>
      <c r="D82" s="240">
        <f>+'GAS CTE'!$D$12</f>
        <v>162.23999999999998</v>
      </c>
      <c r="E82" s="240"/>
      <c r="F82" s="240"/>
      <c r="G82" s="240">
        <f>+BIODIESEL!$E$12</f>
        <v>187.18</v>
      </c>
      <c r="H82" s="240"/>
      <c r="I82" s="240">
        <f>+BIODIESEL!$H$12</f>
        <v>171.9</v>
      </c>
      <c r="J82" s="172">
        <f>+BIODIESEL!$C$12</f>
        <v>191</v>
      </c>
      <c r="K82" s="239">
        <f>+'GAS CTE'!$D$12</f>
        <v>162.23999999999998</v>
      </c>
      <c r="L82" s="189">
        <f>+I82</f>
        <v>171.9</v>
      </c>
      <c r="M82" s="211" t="e">
        <f>+#REF!</f>
        <v>#REF!</v>
      </c>
    </row>
    <row r="83" spans="1:13" ht="15" hidden="1" customHeight="1" thickTop="1" x14ac:dyDescent="0.3">
      <c r="A83" s="137" t="s">
        <v>189</v>
      </c>
      <c r="B83" s="143" t="s">
        <v>268</v>
      </c>
      <c r="C83" s="257" t="s">
        <v>217</v>
      </c>
      <c r="D83" s="190" t="str">
        <f>+C83</f>
        <v>(2)</v>
      </c>
      <c r="E83" s="190"/>
      <c r="F83" s="190"/>
      <c r="G83" s="190" t="str">
        <f>+C83</f>
        <v>(2)</v>
      </c>
      <c r="H83" s="190"/>
      <c r="I83" s="190" t="str">
        <f>+C83</f>
        <v>(2)</v>
      </c>
      <c r="J83" s="166" t="str">
        <f>+C83</f>
        <v>(2)</v>
      </c>
      <c r="K83" s="239" t="str">
        <f>+M83</f>
        <v>(2)</v>
      </c>
      <c r="L83" s="189" t="str">
        <f>+D83</f>
        <v>(2)</v>
      </c>
      <c r="M83" s="211" t="str">
        <f>+G83</f>
        <v>(2)</v>
      </c>
    </row>
    <row r="84" spans="1:13" ht="15" hidden="1" customHeight="1" thickTop="1" x14ac:dyDescent="0.3">
      <c r="A84" s="137" t="s">
        <v>191</v>
      </c>
      <c r="B84" s="143" t="s">
        <v>192</v>
      </c>
      <c r="C84" s="240">
        <f>+RUBROS!$Z$13</f>
        <v>22.249601678692599</v>
      </c>
      <c r="D84" s="166">
        <f>+C84</f>
        <v>22.249601678692599</v>
      </c>
      <c r="E84" s="166"/>
      <c r="F84" s="166"/>
      <c r="G84" s="166">
        <f>+C84</f>
        <v>22.249601678692599</v>
      </c>
      <c r="H84" s="166"/>
      <c r="I84" s="166">
        <f>+C84</f>
        <v>22.249601678692599</v>
      </c>
      <c r="J84" s="166">
        <f>+C84</f>
        <v>22.249601678692599</v>
      </c>
      <c r="K84" s="237" t="e">
        <f>+#REF!</f>
        <v>#REF!</v>
      </c>
      <c r="L84" s="166" t="e">
        <f>+#REF!</f>
        <v>#REF!</v>
      </c>
      <c r="M84" s="140" t="e">
        <f>+#REF!</f>
        <v>#REF!</v>
      </c>
    </row>
    <row r="85" spans="1:13" ht="15" hidden="1" customHeight="1" thickTop="1" x14ac:dyDescent="0.3">
      <c r="A85" s="137" t="s">
        <v>195</v>
      </c>
      <c r="B85" s="143" t="s">
        <v>196</v>
      </c>
      <c r="C85" s="240">
        <f>+RUBROS!$AP$42</f>
        <v>12.938273064269636</v>
      </c>
      <c r="D85" s="166">
        <f>+C85</f>
        <v>12.938273064269636</v>
      </c>
      <c r="E85" s="166"/>
      <c r="F85" s="166"/>
      <c r="G85" s="166">
        <f>+C85</f>
        <v>12.938273064269636</v>
      </c>
      <c r="H85" s="166"/>
      <c r="I85" s="166">
        <f>+C85</f>
        <v>12.938273064269636</v>
      </c>
      <c r="J85" s="166">
        <f>+C85</f>
        <v>12.938273064269636</v>
      </c>
      <c r="K85" s="237">
        <f>+C85</f>
        <v>12.938273064269636</v>
      </c>
      <c r="L85" s="166">
        <f>+K85</f>
        <v>12.938273064269636</v>
      </c>
      <c r="M85" s="140">
        <f>+K85</f>
        <v>12.938273064269636</v>
      </c>
    </row>
    <row r="86" spans="1:13" ht="15" hidden="1" customHeight="1" thickTop="1" x14ac:dyDescent="0.3">
      <c r="A86" s="137"/>
      <c r="B86" s="143" t="s">
        <v>197</v>
      </c>
      <c r="C86" s="240"/>
      <c r="D86" s="166"/>
      <c r="E86" s="166"/>
      <c r="F86" s="166"/>
      <c r="G86" s="166"/>
      <c r="H86" s="166"/>
      <c r="I86" s="166"/>
      <c r="J86" s="166"/>
      <c r="K86" s="237"/>
      <c r="L86" s="166"/>
      <c r="M86" s="140">
        <f>+C86</f>
        <v>0</v>
      </c>
    </row>
    <row r="87" spans="1:13" ht="15" hidden="1" customHeight="1" thickTop="1" x14ac:dyDescent="0.3">
      <c r="A87" s="144" t="s">
        <v>198</v>
      </c>
      <c r="B87" s="173" t="s">
        <v>199</v>
      </c>
      <c r="C87" s="241">
        <f>SUM(C79:C86)</f>
        <v>5268.987874742962</v>
      </c>
      <c r="D87" s="241">
        <f t="shared" ref="D87:M87" si="12">SUM(D79:D86)</f>
        <v>5581.5642747429611</v>
      </c>
      <c r="E87" s="241"/>
      <c r="F87" s="241"/>
      <c r="G87" s="241">
        <f t="shared" si="12"/>
        <v>4928.1816747429621</v>
      </c>
      <c r="H87" s="241"/>
      <c r="I87" s="241">
        <f t="shared" si="12"/>
        <v>6789.7266747429612</v>
      </c>
      <c r="J87" s="241">
        <f t="shared" si="12"/>
        <v>4556.6378747429617</v>
      </c>
      <c r="K87" s="243" t="e">
        <f t="shared" si="12"/>
        <v>#REF!</v>
      </c>
      <c r="L87" s="241" t="e">
        <f t="shared" si="12"/>
        <v>#REF!</v>
      </c>
      <c r="M87" s="244" t="e">
        <f t="shared" si="12"/>
        <v>#REF!</v>
      </c>
    </row>
    <row r="88" spans="1:13" ht="15" hidden="1" customHeight="1" thickTop="1" x14ac:dyDescent="0.3">
      <c r="A88" s="137" t="s">
        <v>200</v>
      </c>
      <c r="B88" s="143" t="s">
        <v>263</v>
      </c>
      <c r="C88" s="258" t="s">
        <v>231</v>
      </c>
      <c r="D88" s="166" t="str">
        <f>+C88</f>
        <v>***</v>
      </c>
      <c r="E88" s="166"/>
      <c r="F88" s="166"/>
      <c r="G88" s="166" t="str">
        <f>+C88</f>
        <v>***</v>
      </c>
      <c r="H88" s="166"/>
      <c r="I88" s="166" t="str">
        <f>+G88</f>
        <v>***</v>
      </c>
      <c r="J88" s="166" t="str">
        <f>+G88</f>
        <v>***</v>
      </c>
      <c r="K88" s="237" t="str">
        <f>M88</f>
        <v>***</v>
      </c>
      <c r="L88" s="166" t="str">
        <f>+M88</f>
        <v>***</v>
      </c>
      <c r="M88" s="140" t="str">
        <f>+G88</f>
        <v>***</v>
      </c>
    </row>
    <row r="89" spans="1:13" ht="15" hidden="1" customHeight="1" thickTop="1" x14ac:dyDescent="0.3">
      <c r="A89" s="137" t="s">
        <v>202</v>
      </c>
      <c r="B89" s="143" t="s">
        <v>203</v>
      </c>
      <c r="C89" s="257" t="s">
        <v>229</v>
      </c>
      <c r="D89" s="166" t="str">
        <f>+C89</f>
        <v>**</v>
      </c>
      <c r="E89" s="166"/>
      <c r="F89" s="166"/>
      <c r="G89" s="166" t="str">
        <f>+C89</f>
        <v>**</v>
      </c>
      <c r="H89" s="166"/>
      <c r="I89" s="166" t="str">
        <f>+C89</f>
        <v>**</v>
      </c>
      <c r="J89" s="166" t="str">
        <f>+C89</f>
        <v>**</v>
      </c>
      <c r="K89" s="237" t="e">
        <f>+#REF!</f>
        <v>#REF!</v>
      </c>
      <c r="L89" s="166" t="e">
        <f>+K89</f>
        <v>#REF!</v>
      </c>
      <c r="M89" s="140" t="e">
        <f>+L89</f>
        <v>#REF!</v>
      </c>
    </row>
    <row r="90" spans="1:13" ht="15" hidden="1" customHeight="1" thickTop="1" x14ac:dyDescent="0.3">
      <c r="A90" s="137" t="s">
        <v>204</v>
      </c>
      <c r="B90" s="209" t="s">
        <v>139</v>
      </c>
      <c r="C90" s="245">
        <f>+G90</f>
        <v>0</v>
      </c>
      <c r="D90" s="166">
        <f t="shared" ref="D90" si="13">+G90</f>
        <v>0</v>
      </c>
      <c r="E90" s="166"/>
      <c r="F90" s="166"/>
      <c r="G90" s="172">
        <f>+A185</f>
        <v>0</v>
      </c>
      <c r="H90" s="172"/>
      <c r="I90" s="172">
        <f>+G90</f>
        <v>0</v>
      </c>
      <c r="J90" s="172">
        <f>+A185</f>
        <v>0</v>
      </c>
      <c r="K90" s="260">
        <f>C90</f>
        <v>0</v>
      </c>
      <c r="L90" s="166">
        <f>+M90</f>
        <v>0</v>
      </c>
      <c r="M90" s="142">
        <f>K90</f>
        <v>0</v>
      </c>
    </row>
    <row r="91" spans="1:13" ht="15" hidden="1" customHeight="1" thickTop="1" x14ac:dyDescent="0.3">
      <c r="A91" s="144" t="s">
        <v>206</v>
      </c>
      <c r="B91" s="173" t="s">
        <v>207</v>
      </c>
      <c r="C91" s="246">
        <f t="shared" ref="C91:M91" si="14">+C87</f>
        <v>5268.987874742962</v>
      </c>
      <c r="D91" s="174">
        <f t="shared" si="14"/>
        <v>5581.5642747429611</v>
      </c>
      <c r="E91" s="174"/>
      <c r="F91" s="174"/>
      <c r="G91" s="174">
        <f t="shared" si="14"/>
        <v>4928.1816747429621</v>
      </c>
      <c r="H91" s="174"/>
      <c r="I91" s="174">
        <f t="shared" si="14"/>
        <v>6789.7266747429612</v>
      </c>
      <c r="J91" s="174">
        <f t="shared" si="14"/>
        <v>4556.6378747429617</v>
      </c>
      <c r="K91" s="243" t="e">
        <f t="shared" si="14"/>
        <v>#REF!</v>
      </c>
      <c r="L91" s="174" t="e">
        <f t="shared" si="14"/>
        <v>#REF!</v>
      </c>
      <c r="M91" s="146" t="e">
        <f t="shared" si="14"/>
        <v>#REF!</v>
      </c>
    </row>
    <row r="92" spans="1:13" ht="15" hidden="1" customHeight="1" thickTop="1" x14ac:dyDescent="0.3">
      <c r="A92" s="137" t="s">
        <v>208</v>
      </c>
      <c r="B92" s="143" t="s">
        <v>160</v>
      </c>
      <c r="C92" s="240" t="str">
        <f>+G92</f>
        <v>***</v>
      </c>
      <c r="D92" s="166" t="str">
        <f t="shared" ref="D92" si="15">+G92</f>
        <v>***</v>
      </c>
      <c r="E92" s="166"/>
      <c r="F92" s="166"/>
      <c r="G92" s="166" t="str">
        <f t="shared" ref="G92" si="16">+G88</f>
        <v>***</v>
      </c>
      <c r="H92" s="166"/>
      <c r="I92" s="166" t="str">
        <f>+G92</f>
        <v>***</v>
      </c>
      <c r="J92" s="166" t="str">
        <f>+J88</f>
        <v>***</v>
      </c>
      <c r="K92" s="237" t="str">
        <f>M92</f>
        <v>***</v>
      </c>
      <c r="L92" s="166" t="str">
        <f>+M92</f>
        <v>***</v>
      </c>
      <c r="M92" s="140" t="str">
        <f>+M88</f>
        <v>***</v>
      </c>
    </row>
    <row r="93" spans="1:13" ht="15" hidden="1" customHeight="1" thickTop="1" x14ac:dyDescent="0.3">
      <c r="A93" s="137" t="s">
        <v>209</v>
      </c>
      <c r="B93" s="138" t="s">
        <v>210</v>
      </c>
      <c r="C93" s="247" t="s">
        <v>235</v>
      </c>
      <c r="D93" s="166" t="str">
        <f>+C93</f>
        <v>*****</v>
      </c>
      <c r="E93" s="166"/>
      <c r="F93" s="166"/>
      <c r="G93" s="166" t="s">
        <v>211</v>
      </c>
      <c r="H93" s="166"/>
      <c r="I93" s="166" t="str">
        <f>+G93</f>
        <v>N.A</v>
      </c>
      <c r="J93" s="166" t="s">
        <v>211</v>
      </c>
      <c r="K93" s="237" t="e">
        <f>+#REF!</f>
        <v>#REF!</v>
      </c>
      <c r="L93" s="166" t="s">
        <v>253</v>
      </c>
      <c r="M93" s="140" t="e">
        <f>+#REF!</f>
        <v>#REF!</v>
      </c>
    </row>
    <row r="94" spans="1:13" ht="15" hidden="1" customHeight="1" thickTop="1" x14ac:dyDescent="0.3">
      <c r="A94" s="137" t="s">
        <v>212</v>
      </c>
      <c r="B94" s="138" t="s">
        <v>213</v>
      </c>
      <c r="C94" s="247" t="s">
        <v>236</v>
      </c>
      <c r="D94" s="166" t="str">
        <f>+C94</f>
        <v>******</v>
      </c>
      <c r="E94" s="166"/>
      <c r="F94" s="166"/>
      <c r="G94" s="166" t="str">
        <f>+C94</f>
        <v>******</v>
      </c>
      <c r="H94" s="166"/>
      <c r="I94" s="166" t="str">
        <f>+C94</f>
        <v>******</v>
      </c>
      <c r="J94" s="166" t="str">
        <f>+C94</f>
        <v>******</v>
      </c>
      <c r="K94" s="237" t="str">
        <f>+C94</f>
        <v>******</v>
      </c>
      <c r="L94" s="166" t="str">
        <f>+C94</f>
        <v>******</v>
      </c>
      <c r="M94" s="140" t="str">
        <f>+C94</f>
        <v>******</v>
      </c>
    </row>
    <row r="95" spans="1:13" ht="15.6" hidden="1" customHeight="1" thickTop="1" thickBot="1" x14ac:dyDescent="0.35">
      <c r="A95" s="148" t="s">
        <v>214</v>
      </c>
      <c r="B95" s="149" t="s">
        <v>215</v>
      </c>
      <c r="C95" s="248"/>
      <c r="D95" s="176"/>
      <c r="E95" s="176"/>
      <c r="F95" s="176"/>
      <c r="G95" s="176"/>
      <c r="H95" s="176"/>
      <c r="I95" s="176"/>
      <c r="J95" s="176"/>
      <c r="K95" s="392"/>
      <c r="L95" s="393"/>
      <c r="M95" s="394"/>
    </row>
    <row r="96" spans="1:13" ht="15" hidden="1" customHeight="1" thickTop="1" x14ac:dyDescent="0.3">
      <c r="A96" s="153"/>
      <c r="B96" s="154"/>
      <c r="C96" s="154"/>
      <c r="D96" s="155"/>
      <c r="E96" s="155"/>
      <c r="F96" s="155"/>
      <c r="G96" s="155"/>
      <c r="H96" s="155"/>
      <c r="I96" s="155"/>
      <c r="J96" s="155"/>
      <c r="K96" s="155"/>
      <c r="L96" s="155"/>
      <c r="M96" s="155"/>
    </row>
    <row r="97" spans="1:13" ht="15" hidden="1" customHeight="1" thickTop="1" x14ac:dyDescent="0.3">
      <c r="A97" s="153"/>
      <c r="B97" s="154"/>
      <c r="C97" s="154"/>
      <c r="D97" s="155"/>
      <c r="E97" s="155"/>
      <c r="F97" s="155"/>
      <c r="G97" s="155"/>
      <c r="H97" s="155"/>
      <c r="I97" s="155"/>
      <c r="J97" s="155"/>
      <c r="K97" s="155"/>
      <c r="L97" s="155"/>
      <c r="M97" s="155"/>
    </row>
    <row r="98" spans="1:13" ht="15" hidden="1" customHeight="1" thickTop="1" x14ac:dyDescent="0.3">
      <c r="A98" s="153"/>
      <c r="B98" s="154"/>
      <c r="C98" s="154"/>
      <c r="D98" s="155"/>
      <c r="E98" s="155"/>
      <c r="F98" s="155"/>
      <c r="G98" s="155"/>
      <c r="H98" s="155"/>
      <c r="I98" s="155"/>
      <c r="J98" s="155"/>
      <c r="K98" s="155"/>
      <c r="L98" s="155"/>
      <c r="M98" s="155"/>
    </row>
    <row r="99" spans="1:13" ht="15" thickTop="1" x14ac:dyDescent="0.3">
      <c r="A99" s="153"/>
      <c r="B99" s="154"/>
      <c r="C99" s="154"/>
      <c r="D99" s="155"/>
      <c r="E99" s="155"/>
      <c r="F99" s="155"/>
      <c r="G99" s="155"/>
      <c r="H99" s="155"/>
      <c r="I99" s="155"/>
      <c r="J99" s="155"/>
      <c r="K99" s="155"/>
      <c r="L99" s="155"/>
      <c r="M99" s="155"/>
    </row>
    <row r="100" spans="1:13" x14ac:dyDescent="0.3">
      <c r="A100" s="153"/>
      <c r="B100" s="154"/>
      <c r="C100" s="154"/>
      <c r="D100" s="155"/>
      <c r="E100" s="155"/>
      <c r="F100" s="155"/>
      <c r="G100" s="155"/>
      <c r="H100" s="155"/>
      <c r="I100" s="155"/>
      <c r="J100" s="155"/>
      <c r="K100" s="155"/>
      <c r="L100" s="155"/>
      <c r="M100" s="155"/>
    </row>
    <row r="101" spans="1:13" x14ac:dyDescent="0.3">
      <c r="A101" s="153"/>
      <c r="B101" s="256" t="s">
        <v>227</v>
      </c>
      <c r="C101" s="154"/>
      <c r="D101" s="155"/>
      <c r="E101" s="155"/>
      <c r="F101" s="155"/>
      <c r="G101" s="155"/>
      <c r="H101" s="155"/>
      <c r="I101" s="155"/>
      <c r="J101" s="155"/>
      <c r="K101" s="155"/>
      <c r="L101" s="155"/>
      <c r="M101" s="155"/>
    </row>
    <row r="102" spans="1:13" x14ac:dyDescent="0.3">
      <c r="A102" s="153"/>
      <c r="B102" s="154"/>
      <c r="C102" s="154"/>
      <c r="D102" s="155"/>
      <c r="E102" s="155"/>
      <c r="F102" s="155"/>
      <c r="G102" s="155"/>
      <c r="H102" s="155"/>
      <c r="I102" s="155"/>
      <c r="J102" s="155"/>
      <c r="K102" s="155"/>
      <c r="L102" s="155"/>
      <c r="M102" s="155"/>
    </row>
    <row r="103" spans="1:13" ht="39.6" customHeight="1" x14ac:dyDescent="0.3">
      <c r="A103" s="156" t="s">
        <v>190</v>
      </c>
      <c r="B103" s="914" t="str">
        <f>+BOYACA!B29</f>
        <v>De acuerdo con lo establecido en la Resoluccion 91349 de 2014 del MME para combustible de origen nacional o importado a ser distribuido en zonas de frontera, aplica la tarifa de marcación o remarcación vigente a la fecha según corresponda</v>
      </c>
      <c r="C103" s="914"/>
      <c r="D103" s="914"/>
      <c r="E103" s="914"/>
      <c r="F103" s="914"/>
      <c r="G103" s="914"/>
      <c r="H103" s="914"/>
      <c r="I103" s="914"/>
      <c r="J103" s="914"/>
      <c r="K103" s="914"/>
      <c r="L103" s="155"/>
      <c r="M103" s="155"/>
    </row>
    <row r="104" spans="1:13" ht="24.75" customHeight="1" x14ac:dyDescent="0.3">
      <c r="A104" s="156" t="s">
        <v>217</v>
      </c>
      <c r="B104" s="892" t="s">
        <v>269</v>
      </c>
      <c r="C104" s="892"/>
      <c r="D104" s="892"/>
      <c r="E104" s="892"/>
      <c r="F104" s="892"/>
      <c r="G104" s="892"/>
      <c r="H104" s="892"/>
      <c r="I104" s="892"/>
      <c r="J104" s="892"/>
      <c r="K104" s="892"/>
      <c r="L104" s="155"/>
      <c r="M104" s="155"/>
    </row>
    <row r="105" spans="1:13" ht="39.15" customHeight="1" x14ac:dyDescent="0.3">
      <c r="A105" s="156" t="s">
        <v>133</v>
      </c>
      <c r="B105" s="914" t="s">
        <v>325</v>
      </c>
      <c r="C105" s="914"/>
      <c r="D105" s="914"/>
      <c r="E105" s="914"/>
      <c r="F105" s="914"/>
      <c r="G105" s="914"/>
      <c r="H105" s="914"/>
      <c r="I105" s="914"/>
      <c r="J105" s="914"/>
      <c r="K105" s="914"/>
      <c r="L105" s="155"/>
      <c r="M105" s="155"/>
    </row>
    <row r="106" spans="1:13" ht="7.5" customHeight="1" x14ac:dyDescent="0.3">
      <c r="A106" s="156"/>
      <c r="B106" s="208"/>
      <c r="C106" s="208"/>
      <c r="D106" s="208"/>
      <c r="E106" s="763"/>
      <c r="F106" s="763"/>
      <c r="G106" s="208"/>
      <c r="H106" s="522"/>
      <c r="I106" s="208"/>
      <c r="J106" s="208"/>
      <c r="K106" s="208"/>
      <c r="L106" s="155"/>
      <c r="M106" s="155"/>
    </row>
    <row r="107" spans="1:13" ht="25.5" customHeight="1" x14ac:dyDescent="0.3">
      <c r="A107" s="250">
        <v>2</v>
      </c>
      <c r="B107" s="938" t="s">
        <v>264</v>
      </c>
      <c r="C107" s="938"/>
      <c r="D107" s="938"/>
      <c r="E107" s="938"/>
      <c r="F107" s="938"/>
      <c r="G107" s="938"/>
      <c r="H107" s="938"/>
      <c r="I107" s="938"/>
      <c r="J107" s="938"/>
      <c r="K107" s="938"/>
      <c r="L107" s="938"/>
      <c r="M107" s="938"/>
    </row>
    <row r="108" spans="1:13" ht="39" customHeight="1" x14ac:dyDescent="0.3">
      <c r="A108" s="156"/>
      <c r="B108" s="914" t="s">
        <v>491</v>
      </c>
      <c r="C108" s="914"/>
      <c r="D108" s="914"/>
      <c r="E108" s="914"/>
      <c r="F108" s="914"/>
      <c r="G108" s="914"/>
      <c r="H108" s="914"/>
      <c r="I108" s="914"/>
      <c r="J108" s="914"/>
      <c r="K108" s="914"/>
      <c r="L108" s="914"/>
      <c r="M108" s="914"/>
    </row>
    <row r="109" spans="1:13" x14ac:dyDescent="0.3">
      <c r="A109" s="178" t="s">
        <v>102</v>
      </c>
      <c r="B109" s="891" t="s">
        <v>228</v>
      </c>
      <c r="C109" s="891"/>
      <c r="D109" s="891"/>
      <c r="E109" s="891"/>
      <c r="F109" s="891"/>
      <c r="G109" s="891"/>
      <c r="H109" s="891"/>
      <c r="I109" s="891"/>
      <c r="J109" s="891"/>
      <c r="K109" s="891"/>
      <c r="L109" s="251"/>
      <c r="M109" s="251"/>
    </row>
    <row r="110" spans="1:13" x14ac:dyDescent="0.3">
      <c r="A110" s="178" t="s">
        <v>229</v>
      </c>
      <c r="B110" s="891" t="s">
        <v>260</v>
      </c>
      <c r="C110" s="891"/>
      <c r="D110" s="891"/>
      <c r="E110" s="891"/>
      <c r="F110" s="891"/>
      <c r="G110" s="891"/>
      <c r="H110" s="891"/>
      <c r="I110" s="891"/>
      <c r="J110" s="891"/>
      <c r="K110" s="891"/>
      <c r="L110" s="891"/>
      <c r="M110" s="891"/>
    </row>
    <row r="111" spans="1:13" x14ac:dyDescent="0.3">
      <c r="A111" s="178" t="s">
        <v>231</v>
      </c>
      <c r="B111" s="891" t="s">
        <v>270</v>
      </c>
      <c r="C111" s="891"/>
      <c r="D111" s="891"/>
      <c r="E111" s="891"/>
      <c r="F111" s="891"/>
      <c r="G111" s="891"/>
      <c r="H111" s="891"/>
      <c r="I111" s="891"/>
      <c r="J111" s="891"/>
      <c r="K111" s="891"/>
      <c r="L111" s="891"/>
      <c r="M111" s="891"/>
    </row>
    <row r="112" spans="1:13" ht="17.7" customHeight="1" x14ac:dyDescent="0.3">
      <c r="A112" s="178" t="s">
        <v>233</v>
      </c>
      <c r="B112" s="891" t="s">
        <v>454</v>
      </c>
      <c r="C112" s="891"/>
      <c r="D112" s="891"/>
      <c r="E112" s="891"/>
      <c r="F112" s="891"/>
      <c r="G112" s="891"/>
      <c r="H112" s="891"/>
      <c r="I112" s="891"/>
      <c r="J112" s="891"/>
      <c r="K112" s="891"/>
      <c r="L112" s="891"/>
      <c r="M112" s="891"/>
    </row>
    <row r="113" spans="1:13" x14ac:dyDescent="0.3">
      <c r="A113" s="178" t="s">
        <v>235</v>
      </c>
      <c r="B113" s="891" t="s">
        <v>237</v>
      </c>
      <c r="C113" s="891"/>
      <c r="D113" s="891"/>
      <c r="E113" s="891"/>
      <c r="F113" s="891"/>
      <c r="G113" s="891"/>
      <c r="H113" s="891"/>
      <c r="I113" s="891"/>
      <c r="J113" s="891"/>
      <c r="K113" s="183"/>
      <c r="L113" s="252"/>
      <c r="M113" s="252"/>
    </row>
    <row r="114" spans="1:13" x14ac:dyDescent="0.3">
      <c r="A114" s="178" t="s">
        <v>236</v>
      </c>
      <c r="B114" s="891" t="s">
        <v>266</v>
      </c>
      <c r="C114" s="891"/>
      <c r="D114" s="891"/>
      <c r="E114" s="891"/>
      <c r="F114" s="891"/>
      <c r="G114" s="891"/>
      <c r="H114" s="891"/>
      <c r="I114" s="891"/>
      <c r="J114" s="891"/>
      <c r="K114" s="891"/>
      <c r="L114" s="891"/>
      <c r="M114" s="891"/>
    </row>
    <row r="115" spans="1:13" ht="38.700000000000003" customHeight="1" x14ac:dyDescent="0.3">
      <c r="A115" s="233"/>
      <c r="B115" s="891" t="s">
        <v>458</v>
      </c>
      <c r="C115" s="891"/>
      <c r="D115" s="891"/>
      <c r="E115" s="891"/>
      <c r="F115" s="891"/>
      <c r="G115" s="891"/>
      <c r="H115" s="891"/>
      <c r="I115" s="891"/>
      <c r="J115" s="891"/>
      <c r="K115" s="234"/>
      <c r="L115" s="234"/>
      <c r="M115" s="234"/>
    </row>
    <row r="116" spans="1:13" ht="45.9" customHeight="1" x14ac:dyDescent="0.3">
      <c r="A116" s="233"/>
      <c r="B116" s="484"/>
      <c r="C116" s="484"/>
      <c r="D116" s="484"/>
      <c r="E116" s="762"/>
      <c r="F116" s="762"/>
      <c r="G116" s="484"/>
      <c r="H116" s="521"/>
      <c r="I116" s="484"/>
      <c r="J116" s="484"/>
      <c r="K116" s="234"/>
      <c r="L116" s="234"/>
      <c r="M116" s="234"/>
    </row>
    <row r="117" spans="1:13" ht="87.9" customHeight="1" x14ac:dyDescent="0.3">
      <c r="A117" s="894" t="s">
        <v>147</v>
      </c>
      <c r="B117" s="894"/>
      <c r="C117" s="894"/>
      <c r="D117" s="894"/>
      <c r="E117" s="894"/>
      <c r="F117" s="894"/>
      <c r="G117" s="894"/>
      <c r="H117" s="894"/>
      <c r="I117" s="894"/>
      <c r="J117" s="894"/>
      <c r="K117" s="894"/>
    </row>
  </sheetData>
  <sheetProtection algorithmName="SHA-512" hashValue="FtMNF4OE/9jJm1a+Qt/CROd7/TEtn7aGYbdUPaAszQNiomFkaYjoQSsbtw6I+TYP4A8HXGyJUoceFE/mUYBiUw==" saltValue="IP5OUMUOpuD+mbPX03cGjA==" spinCount="100000" sheet="1" objects="1" scenarios="1"/>
  <mergeCells count="34">
    <mergeCell ref="A29:A31"/>
    <mergeCell ref="B29:B31"/>
    <mergeCell ref="C29:C30"/>
    <mergeCell ref="C50:J51"/>
    <mergeCell ref="K50:M51"/>
    <mergeCell ref="J3:L4"/>
    <mergeCell ref="A5:A7"/>
    <mergeCell ref="B5:B7"/>
    <mergeCell ref="C5:C6"/>
    <mergeCell ref="I5:I6"/>
    <mergeCell ref="C3:I4"/>
    <mergeCell ref="A117:K117"/>
    <mergeCell ref="B103:K103"/>
    <mergeCell ref="B105:K105"/>
    <mergeCell ref="B114:M114"/>
    <mergeCell ref="B110:M110"/>
    <mergeCell ref="B111:M111"/>
    <mergeCell ref="B112:M112"/>
    <mergeCell ref="B113:J113"/>
    <mergeCell ref="B115:J115"/>
    <mergeCell ref="B108:M108"/>
    <mergeCell ref="B107:M107"/>
    <mergeCell ref="B104:K104"/>
    <mergeCell ref="B109:K109"/>
    <mergeCell ref="C52:C53"/>
    <mergeCell ref="J52:J53"/>
    <mergeCell ref="C74:J75"/>
    <mergeCell ref="K74:M75"/>
    <mergeCell ref="A76:A78"/>
    <mergeCell ref="B76:B78"/>
    <mergeCell ref="C76:C77"/>
    <mergeCell ref="J76:J77"/>
    <mergeCell ref="A52:A54"/>
    <mergeCell ref="B52:B54"/>
  </mergeCells>
  <hyperlinks>
    <hyperlink ref="B101" location="CESAR!A66" display="Ver Nota Informativa" xr:uid="{00000000-0004-0000-0B00-000001000000}"/>
  </hyperlinks>
  <pageMargins left="0.7" right="0.7" top="0.75" bottom="0.75" header="0.3" footer="0.3"/>
  <pageSetup orientation="portrait" r:id="rId1"/>
  <ignoredErrors>
    <ignoredError sqref="C17:C19 G13:G14 H13:I13 G12:K12 H14:K14 C12" numberStoredAsText="1"/>
    <ignoredError sqref="D40:D47 G20:K20 C20" formula="1"/>
    <ignoredError sqref="I16 G21:G23 G16:G19 H17:I18 K18 H22:I22 K22 H21:K21 J16:K17 H19:K19 H23:K23 C21:C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Q41"/>
  <sheetViews>
    <sheetView zoomScale="70" zoomScaleNormal="70" workbookViewId="0">
      <selection activeCell="P12" sqref="P12"/>
    </sheetView>
  </sheetViews>
  <sheetFormatPr baseColWidth="10" defaultColWidth="45" defaultRowHeight="14.4" x14ac:dyDescent="0.3"/>
  <cols>
    <col min="1" max="1" width="7" customWidth="1"/>
    <col min="2" max="2" width="48" customWidth="1"/>
    <col min="3" max="3" width="15.33203125" bestFit="1" customWidth="1"/>
    <col min="4" max="4" width="15.33203125" style="614" customWidth="1"/>
    <col min="5" max="5" width="15.6640625" hidden="1" customWidth="1"/>
    <col min="6" max="6" width="15.33203125" style="614" customWidth="1"/>
    <col min="7" max="7" width="12.88671875" customWidth="1"/>
    <col min="8" max="8" width="12.88671875" style="614" customWidth="1"/>
    <col min="9" max="9" width="15.109375" hidden="1" customWidth="1"/>
    <col min="10" max="10" width="15" customWidth="1"/>
    <col min="11" max="11" width="15" style="614" customWidth="1"/>
    <col min="12" max="12" width="19.6640625" hidden="1" customWidth="1"/>
    <col min="13" max="13" width="17.21875" style="614" customWidth="1"/>
    <col min="14" max="14" width="15.6640625" style="614" customWidth="1"/>
    <col min="15" max="15" width="19.109375" hidden="1" customWidth="1"/>
    <col min="16" max="16" width="33.109375" customWidth="1"/>
    <col min="17" max="17" width="17.33203125" hidden="1" customWidth="1"/>
  </cols>
  <sheetData>
    <row r="1" spans="1:17" x14ac:dyDescent="0.3">
      <c r="A1" s="233" t="s">
        <v>158</v>
      </c>
      <c r="B1" s="133" t="str">
        <f>+AMAZONAS!C1</f>
        <v>Vigencia: 16 de Julio de 2022; 00:00 horas</v>
      </c>
      <c r="C1" s="133"/>
      <c r="D1" s="133"/>
      <c r="E1" s="234"/>
      <c r="F1" s="234"/>
      <c r="G1" s="234"/>
      <c r="H1" s="234"/>
      <c r="I1" s="234"/>
      <c r="J1" s="234"/>
      <c r="K1" s="234"/>
      <c r="L1" s="234"/>
      <c r="M1" s="234"/>
      <c r="N1" s="234"/>
      <c r="O1" s="234"/>
    </row>
    <row r="2" spans="1:17" ht="15" thickBot="1" x14ac:dyDescent="0.35">
      <c r="A2" s="159" t="s">
        <v>179</v>
      </c>
      <c r="B2" s="160"/>
      <c r="C2" s="160"/>
      <c r="D2" s="160"/>
      <c r="E2" s="160"/>
      <c r="F2" s="160"/>
      <c r="G2" s="160"/>
      <c r="H2" s="160"/>
      <c r="I2" s="160"/>
      <c r="J2" s="160"/>
      <c r="K2" s="160"/>
      <c r="L2" s="235"/>
      <c r="M2" s="235"/>
      <c r="N2" s="235"/>
      <c r="O2" s="160"/>
    </row>
    <row r="3" spans="1:17" ht="22.2" customHeight="1" thickTop="1" x14ac:dyDescent="0.3">
      <c r="A3" s="187"/>
      <c r="B3" s="162" t="s">
        <v>272</v>
      </c>
      <c r="C3" s="903" t="s">
        <v>180</v>
      </c>
      <c r="D3" s="904"/>
      <c r="E3" s="904"/>
      <c r="F3" s="904"/>
      <c r="G3" s="904"/>
      <c r="H3" s="904"/>
      <c r="I3" s="904"/>
      <c r="J3" s="904"/>
      <c r="K3" s="903" t="s">
        <v>249</v>
      </c>
      <c r="L3" s="904"/>
      <c r="M3" s="904"/>
      <c r="N3" s="904"/>
      <c r="O3" s="904"/>
    </row>
    <row r="4" spans="1:17" ht="22.8" customHeight="1" x14ac:dyDescent="0.3">
      <c r="A4" s="163"/>
      <c r="B4" s="681" t="s">
        <v>500</v>
      </c>
      <c r="C4" s="905"/>
      <c r="D4" s="906"/>
      <c r="E4" s="906"/>
      <c r="F4" s="906"/>
      <c r="G4" s="906"/>
      <c r="H4" s="906"/>
      <c r="I4" s="906"/>
      <c r="J4" s="906"/>
      <c r="K4" s="905"/>
      <c r="L4" s="906"/>
      <c r="M4" s="906"/>
      <c r="N4" s="906"/>
      <c r="O4" s="906"/>
    </row>
    <row r="5" spans="1:17" ht="26.4" customHeight="1" x14ac:dyDescent="0.3">
      <c r="A5" s="895" t="s">
        <v>181</v>
      </c>
      <c r="B5" s="897" t="s">
        <v>182</v>
      </c>
      <c r="C5" s="901" t="s">
        <v>240</v>
      </c>
      <c r="D5" s="769" t="s">
        <v>96</v>
      </c>
      <c r="E5" s="778" t="s">
        <v>96</v>
      </c>
      <c r="F5" s="623" t="s">
        <v>96</v>
      </c>
      <c r="G5" s="164" t="s">
        <v>172</v>
      </c>
      <c r="H5" s="663" t="s">
        <v>397</v>
      </c>
      <c r="I5" s="164" t="s">
        <v>489</v>
      </c>
      <c r="J5" s="941" t="s">
        <v>267</v>
      </c>
      <c r="K5" s="269" t="s">
        <v>96</v>
      </c>
      <c r="L5" s="269" t="s">
        <v>96</v>
      </c>
      <c r="M5" s="269" t="s">
        <v>96</v>
      </c>
      <c r="N5" s="663" t="s">
        <v>397</v>
      </c>
      <c r="O5" s="663" t="str">
        <f>+I5</f>
        <v>Biodiesel B11</v>
      </c>
    </row>
    <row r="6" spans="1:17" x14ac:dyDescent="0.3">
      <c r="A6" s="895"/>
      <c r="B6" s="897"/>
      <c r="C6" s="902"/>
      <c r="D6" s="545" t="s">
        <v>517</v>
      </c>
      <c r="E6" s="792" t="s">
        <v>483</v>
      </c>
      <c r="F6" s="545" t="s">
        <v>488</v>
      </c>
      <c r="G6" s="182">
        <v>0.02</v>
      </c>
      <c r="H6" s="384">
        <v>0.1</v>
      </c>
      <c r="I6" s="384">
        <v>0.11</v>
      </c>
      <c r="J6" s="942"/>
      <c r="K6" s="524" t="str">
        <f>+D6</f>
        <v>Oxigena 4%</v>
      </c>
      <c r="L6" s="524" t="str">
        <f>+E6</f>
        <v>Oxigena 5%</v>
      </c>
      <c r="M6" s="524" t="str">
        <f>+F6</f>
        <v>Oxigena 6%</v>
      </c>
      <c r="N6" s="271">
        <v>0.1</v>
      </c>
      <c r="O6" s="271">
        <f>+I6</f>
        <v>0.11</v>
      </c>
    </row>
    <row r="7" spans="1:17" x14ac:dyDescent="0.3">
      <c r="A7" s="896"/>
      <c r="B7" s="898"/>
      <c r="C7" s="135" t="s">
        <v>183</v>
      </c>
      <c r="D7" s="769" t="s">
        <v>183</v>
      </c>
      <c r="E7" s="778" t="s">
        <v>183</v>
      </c>
      <c r="F7" s="623" t="s">
        <v>183</v>
      </c>
      <c r="G7" s="164" t="s">
        <v>183</v>
      </c>
      <c r="H7" s="663" t="s">
        <v>183</v>
      </c>
      <c r="I7" s="164" t="s">
        <v>183</v>
      </c>
      <c r="J7" s="236" t="s">
        <v>183</v>
      </c>
      <c r="K7" s="269" t="s">
        <v>183</v>
      </c>
      <c r="L7" s="269" t="s">
        <v>183</v>
      </c>
      <c r="M7" s="269" t="s">
        <v>183</v>
      </c>
      <c r="N7" s="270" t="s">
        <v>183</v>
      </c>
      <c r="O7" s="270" t="s">
        <v>183</v>
      </c>
    </row>
    <row r="8" spans="1:17" x14ac:dyDescent="0.3">
      <c r="A8" s="137" t="s">
        <v>184</v>
      </c>
      <c r="B8" s="143" t="s">
        <v>185</v>
      </c>
      <c r="C8" s="254">
        <f>+'Calculo IP ZDF'!B33</f>
        <v>5064.8</v>
      </c>
      <c r="D8" s="254">
        <f>+'Calculo IP ZDF'!G33</f>
        <v>5384.1363999999994</v>
      </c>
      <c r="E8" s="779">
        <f>+'Calculo IP ZDF'!H33</f>
        <v>5463.9705000000004</v>
      </c>
      <c r="F8" s="631">
        <f>+'Calculo IP ZDF'!I33</f>
        <v>5543.8026</v>
      </c>
      <c r="G8" s="254">
        <f>+'Calculo IP ZDF'!F33</f>
        <v>4488.1037999999999</v>
      </c>
      <c r="H8" s="254">
        <f>+'Calculo IP ZDF'!L33</f>
        <v>6007.3371235000004</v>
      </c>
      <c r="I8" s="254">
        <f>+'Calculo IP ZDF'!K33</f>
        <v>6197.2410443500003</v>
      </c>
      <c r="J8" s="210">
        <f>+'Calculo IP ZDF'!C33</f>
        <v>4108.2979150000001</v>
      </c>
      <c r="K8" s="274">
        <f>+'GAS CTE'!D9</f>
        <v>5384.1363999999994</v>
      </c>
      <c r="L8" s="793">
        <f>+'GAS CTE'!E9</f>
        <v>5463.9705000000004</v>
      </c>
      <c r="M8" s="635">
        <f>+'GAS CTE'!F9</f>
        <v>5543.8026</v>
      </c>
      <c r="N8" s="218">
        <f>+BIODIESEL!H9</f>
        <v>6207.2739999999994</v>
      </c>
      <c r="O8" s="218">
        <f>+BIODIESEL!I9</f>
        <v>6394.9564</v>
      </c>
    </row>
    <row r="9" spans="1:17" x14ac:dyDescent="0.3">
      <c r="A9" s="137" t="s">
        <v>186</v>
      </c>
      <c r="B9" s="143" t="s">
        <v>187</v>
      </c>
      <c r="C9" s="190" t="str">
        <f>+G9</f>
        <v>------------------</v>
      </c>
      <c r="D9" s="190" t="s">
        <v>188</v>
      </c>
      <c r="E9" s="780" t="s">
        <v>188</v>
      </c>
      <c r="F9" s="632" t="s">
        <v>188</v>
      </c>
      <c r="G9" s="190" t="s">
        <v>188</v>
      </c>
      <c r="H9" s="190" t="s">
        <v>188</v>
      </c>
      <c r="I9" s="190" t="s">
        <v>188</v>
      </c>
      <c r="J9" s="238" t="s">
        <v>188</v>
      </c>
      <c r="K9" s="239">
        <f>+'GAS CTE'!D10</f>
        <v>562.79999999999995</v>
      </c>
      <c r="L9" s="794">
        <f>+'GAS CTE'!E10</f>
        <v>556.9375</v>
      </c>
      <c r="M9" s="636">
        <f>+'GAS CTE'!F10</f>
        <v>551.07499999999993</v>
      </c>
      <c r="N9" s="211">
        <f>+BIODIESEL!H10</f>
        <v>505.00800000000004</v>
      </c>
      <c r="O9" s="211">
        <f>+BIODIESEL!I10</f>
        <v>499.39679999999998</v>
      </c>
    </row>
    <row r="10" spans="1:17" x14ac:dyDescent="0.3">
      <c r="A10" s="137"/>
      <c r="B10" s="143" t="s">
        <v>132</v>
      </c>
      <c r="C10" s="190" t="str">
        <f>+G10</f>
        <v>------------------</v>
      </c>
      <c r="D10" s="190" t="s">
        <v>188</v>
      </c>
      <c r="E10" s="780" t="s">
        <v>188</v>
      </c>
      <c r="F10" s="632" t="s">
        <v>188</v>
      </c>
      <c r="G10" s="190" t="s">
        <v>188</v>
      </c>
      <c r="H10" s="190" t="s">
        <v>188</v>
      </c>
      <c r="I10" s="190" t="s">
        <v>188</v>
      </c>
      <c r="J10" s="238" t="s">
        <v>188</v>
      </c>
      <c r="K10" s="239" t="s">
        <v>133</v>
      </c>
      <c r="L10" s="794" t="s">
        <v>133</v>
      </c>
      <c r="M10" s="636" t="s">
        <v>133</v>
      </c>
      <c r="N10" s="211" t="s">
        <v>133</v>
      </c>
      <c r="O10" s="211" t="s">
        <v>133</v>
      </c>
    </row>
    <row r="11" spans="1:17" x14ac:dyDescent="0.3">
      <c r="A11" s="137"/>
      <c r="B11" s="143" t="s">
        <v>134</v>
      </c>
      <c r="C11" s="240" t="str">
        <f>+VAUPES!C11</f>
        <v>(4)</v>
      </c>
      <c r="D11" s="240" t="s">
        <v>218</v>
      </c>
      <c r="E11" s="781" t="str">
        <f>+C11</f>
        <v>(4)</v>
      </c>
      <c r="F11" s="633" t="str">
        <f t="shared" ref="F11:F14" si="0">+E11</f>
        <v>(4)</v>
      </c>
      <c r="G11" s="240" t="str">
        <f>+C11</f>
        <v>(4)</v>
      </c>
      <c r="H11" s="240" t="s">
        <v>218</v>
      </c>
      <c r="I11" s="240" t="str">
        <f>+C11</f>
        <v>(4)</v>
      </c>
      <c r="J11" s="210" t="str">
        <f>+C11</f>
        <v>(4)</v>
      </c>
      <c r="K11" s="239" t="s">
        <v>218</v>
      </c>
      <c r="L11" s="794" t="str">
        <f>+C11</f>
        <v>(4)</v>
      </c>
      <c r="M11" s="636" t="str">
        <f>+E11</f>
        <v>(4)</v>
      </c>
      <c r="N11" s="211" t="str">
        <f>+C11</f>
        <v>(4)</v>
      </c>
      <c r="O11" s="211" t="str">
        <f>+E11</f>
        <v>(4)</v>
      </c>
    </row>
    <row r="12" spans="1:17" x14ac:dyDescent="0.3">
      <c r="A12" s="137" t="s">
        <v>189</v>
      </c>
      <c r="B12" s="143" t="s">
        <v>268</v>
      </c>
      <c r="C12" s="257" t="s">
        <v>217</v>
      </c>
      <c r="D12" s="257" t="s">
        <v>217</v>
      </c>
      <c r="E12" s="780" t="str">
        <f>+C12</f>
        <v>(2)</v>
      </c>
      <c r="F12" s="632" t="str">
        <f t="shared" si="0"/>
        <v>(2)</v>
      </c>
      <c r="G12" s="190" t="str">
        <f>+C12</f>
        <v>(2)</v>
      </c>
      <c r="H12" s="190" t="s">
        <v>217</v>
      </c>
      <c r="I12" s="190" t="str">
        <f>+C12</f>
        <v>(2)</v>
      </c>
      <c r="J12" s="222" t="str">
        <f>+C12</f>
        <v>(2)</v>
      </c>
      <c r="K12" s="239" t="s">
        <v>217</v>
      </c>
      <c r="L12" s="794" t="str">
        <f>+C12</f>
        <v>(2)</v>
      </c>
      <c r="M12" s="636" t="str">
        <f>+E12</f>
        <v>(2)</v>
      </c>
      <c r="N12" s="211" t="str">
        <f>+C12</f>
        <v>(2)</v>
      </c>
      <c r="O12" s="211" t="str">
        <f>+E12</f>
        <v>(2)</v>
      </c>
    </row>
    <row r="13" spans="1:17" x14ac:dyDescent="0.3">
      <c r="A13" s="137" t="s">
        <v>191</v>
      </c>
      <c r="B13" s="143" t="s">
        <v>192</v>
      </c>
      <c r="C13" s="240">
        <f>+RUBROS!AC13</f>
        <v>23.500029293035123</v>
      </c>
      <c r="D13" s="240">
        <f>+C13</f>
        <v>23.500029293035123</v>
      </c>
      <c r="E13" s="782">
        <f>+C13</f>
        <v>23.500029293035123</v>
      </c>
      <c r="F13" s="625">
        <f t="shared" si="0"/>
        <v>23.500029293035123</v>
      </c>
      <c r="G13" s="166">
        <f>+C13</f>
        <v>23.500029293035123</v>
      </c>
      <c r="H13" s="166">
        <f>+C13</f>
        <v>23.500029293035123</v>
      </c>
      <c r="I13" s="166">
        <f>+C13</f>
        <v>23.500029293035123</v>
      </c>
      <c r="J13" s="222">
        <f>+C13</f>
        <v>23.500029293035123</v>
      </c>
      <c r="K13" s="237">
        <f>+D13</f>
        <v>23.500029293035123</v>
      </c>
      <c r="L13" s="795">
        <f>+C13</f>
        <v>23.500029293035123</v>
      </c>
      <c r="M13" s="627">
        <f>+RUBROS!AD13</f>
        <v>23.500029293035123</v>
      </c>
      <c r="N13" s="140">
        <f>+C13</f>
        <v>23.500029293035123</v>
      </c>
      <c r="O13" s="140">
        <f>+C13</f>
        <v>23.500029293035123</v>
      </c>
      <c r="Q13" s="425" t="s">
        <v>412</v>
      </c>
    </row>
    <row r="14" spans="1:17" x14ac:dyDescent="0.3">
      <c r="A14" s="137" t="s">
        <v>195</v>
      </c>
      <c r="B14" s="143" t="s">
        <v>196</v>
      </c>
      <c r="C14" s="240">
        <f>+RUBROS!AU43</f>
        <v>13.326421256197724</v>
      </c>
      <c r="D14" s="240">
        <f>+C14</f>
        <v>13.326421256197724</v>
      </c>
      <c r="E14" s="782">
        <f>+C14</f>
        <v>13.326421256197724</v>
      </c>
      <c r="F14" s="625">
        <f t="shared" si="0"/>
        <v>13.326421256197724</v>
      </c>
      <c r="G14" s="166">
        <f>+C14</f>
        <v>13.326421256197724</v>
      </c>
      <c r="H14" s="166">
        <f>+C14</f>
        <v>13.326421256197724</v>
      </c>
      <c r="I14" s="166">
        <f>+C14</f>
        <v>13.326421256197724</v>
      </c>
      <c r="J14" s="222">
        <f>+C14</f>
        <v>13.326421256197724</v>
      </c>
      <c r="K14" s="237">
        <f>+D14</f>
        <v>13.326421256197724</v>
      </c>
      <c r="L14" s="795">
        <f>+C14</f>
        <v>13.326421256197724</v>
      </c>
      <c r="M14" s="192">
        <f>+L14</f>
        <v>13.326421256197724</v>
      </c>
      <c r="N14" s="140">
        <f>+L14</f>
        <v>13.326421256197724</v>
      </c>
      <c r="O14" s="140">
        <f>+L14</f>
        <v>13.326421256197724</v>
      </c>
      <c r="Q14" s="425" t="s">
        <v>412</v>
      </c>
    </row>
    <row r="15" spans="1:17" ht="14.25" hidden="1" customHeight="1" x14ac:dyDescent="0.3">
      <c r="A15" s="137"/>
      <c r="B15" s="143" t="s">
        <v>197</v>
      </c>
      <c r="C15" s="240"/>
      <c r="D15" s="240"/>
      <c r="E15" s="782"/>
      <c r="F15" s="166"/>
      <c r="G15" s="166"/>
      <c r="H15" s="166"/>
      <c r="I15" s="166"/>
      <c r="J15" s="222"/>
      <c r="K15" s="237"/>
      <c r="L15" s="237"/>
      <c r="M15" s="192"/>
      <c r="N15" s="140"/>
      <c r="O15" s="140"/>
      <c r="Q15" t="s">
        <v>414</v>
      </c>
    </row>
    <row r="16" spans="1:17" x14ac:dyDescent="0.3">
      <c r="A16" s="144" t="s">
        <v>198</v>
      </c>
      <c r="B16" s="173" t="s">
        <v>199</v>
      </c>
      <c r="C16" s="241">
        <f>SUM(C8:C15)</f>
        <v>5101.6264505492336</v>
      </c>
      <c r="D16" s="241">
        <f>SUM(D8:D15)</f>
        <v>5420.9628505492328</v>
      </c>
      <c r="E16" s="783">
        <f t="shared" ref="E16:O16" si="1">SUM(E8:E15)</f>
        <v>5500.7969505492338</v>
      </c>
      <c r="F16" s="241">
        <f t="shared" si="1"/>
        <v>5580.6290505492334</v>
      </c>
      <c r="G16" s="241">
        <f t="shared" si="1"/>
        <v>4524.9302505492333</v>
      </c>
      <c r="H16" s="241">
        <f t="shared" si="1"/>
        <v>6044.1635740492338</v>
      </c>
      <c r="I16" s="241">
        <f t="shared" si="1"/>
        <v>6234.0674948992337</v>
      </c>
      <c r="J16" s="242">
        <f t="shared" si="1"/>
        <v>4145.1243655492335</v>
      </c>
      <c r="K16" s="243">
        <f t="shared" si="1"/>
        <v>5983.762850549233</v>
      </c>
      <c r="L16" s="243">
        <f t="shared" si="1"/>
        <v>6057.7344505492338</v>
      </c>
      <c r="M16" s="243">
        <f t="shared" si="1"/>
        <v>6131.7040505492332</v>
      </c>
      <c r="N16" s="244">
        <f t="shared" si="1"/>
        <v>6749.1084505492327</v>
      </c>
      <c r="O16" s="244">
        <f t="shared" si="1"/>
        <v>6931.179650549233</v>
      </c>
    </row>
    <row r="17" spans="1:15" x14ac:dyDescent="0.3">
      <c r="A17" s="137" t="s">
        <v>200</v>
      </c>
      <c r="B17" s="143" t="s">
        <v>263</v>
      </c>
      <c r="C17" s="257" t="s">
        <v>231</v>
      </c>
      <c r="D17" s="257" t="s">
        <v>231</v>
      </c>
      <c r="E17" s="782" t="str">
        <f>+C17</f>
        <v>***</v>
      </c>
      <c r="F17" s="166" t="str">
        <f>+E17</f>
        <v>***</v>
      </c>
      <c r="G17" s="166" t="str">
        <f>+C17</f>
        <v>***</v>
      </c>
      <c r="H17" s="166" t="s">
        <v>231</v>
      </c>
      <c r="I17" s="166" t="str">
        <f>+G17</f>
        <v>***</v>
      </c>
      <c r="J17" s="222" t="str">
        <f>+G17</f>
        <v>***</v>
      </c>
      <c r="K17" s="237" t="s">
        <v>231</v>
      </c>
      <c r="L17" s="237" t="str">
        <f>+J17</f>
        <v>***</v>
      </c>
      <c r="M17" s="237" t="str">
        <f>+L17</f>
        <v>***</v>
      </c>
      <c r="N17" s="140" t="s">
        <v>231</v>
      </c>
      <c r="O17" s="140" t="str">
        <f>+J17</f>
        <v>***</v>
      </c>
    </row>
    <row r="18" spans="1:15" x14ac:dyDescent="0.3">
      <c r="A18" s="137" t="s">
        <v>202</v>
      </c>
      <c r="B18" s="143" t="s">
        <v>203</v>
      </c>
      <c r="C18" s="257" t="s">
        <v>229</v>
      </c>
      <c r="D18" s="257" t="s">
        <v>229</v>
      </c>
      <c r="E18" s="782" t="str">
        <f>+C18</f>
        <v>**</v>
      </c>
      <c r="F18" s="166" t="str">
        <f>+E18</f>
        <v>**</v>
      </c>
      <c r="G18" s="166" t="str">
        <f>+C18</f>
        <v>**</v>
      </c>
      <c r="H18" s="166" t="s">
        <v>229</v>
      </c>
      <c r="I18" s="166" t="str">
        <f>+C18</f>
        <v>**</v>
      </c>
      <c r="J18" s="222" t="str">
        <f>+C18</f>
        <v>**</v>
      </c>
      <c r="K18" s="237" t="s">
        <v>229</v>
      </c>
      <c r="L18" s="237" t="str">
        <f>+C18</f>
        <v>**</v>
      </c>
      <c r="M18" s="237" t="str">
        <f>+E18</f>
        <v>**</v>
      </c>
      <c r="N18" s="140" t="s">
        <v>229</v>
      </c>
      <c r="O18" s="140" t="str">
        <f>+L18</f>
        <v>**</v>
      </c>
    </row>
    <row r="19" spans="1:15" x14ac:dyDescent="0.3">
      <c r="A19" s="137" t="s">
        <v>204</v>
      </c>
      <c r="B19" s="209" t="s">
        <v>139</v>
      </c>
      <c r="C19" s="261" t="str">
        <f>+G19</f>
        <v>****</v>
      </c>
      <c r="D19" s="261" t="str">
        <f>+H19</f>
        <v>****</v>
      </c>
      <c r="E19" s="782" t="str">
        <f t="shared" ref="E19:E21" si="2">+G19</f>
        <v>****</v>
      </c>
      <c r="F19" s="166" t="str">
        <f>+E19</f>
        <v>****</v>
      </c>
      <c r="G19" s="172" t="str">
        <f>+A37</f>
        <v>****</v>
      </c>
      <c r="H19" s="172" t="s">
        <v>233</v>
      </c>
      <c r="I19" s="172" t="str">
        <f>+G19</f>
        <v>****</v>
      </c>
      <c r="J19" s="210" t="str">
        <f>+A37</f>
        <v>****</v>
      </c>
      <c r="K19" s="260" t="s">
        <v>233</v>
      </c>
      <c r="L19" s="260" t="str">
        <f>C19</f>
        <v>****</v>
      </c>
      <c r="M19" s="260" t="str">
        <f>E19</f>
        <v>****</v>
      </c>
      <c r="N19" s="140" t="s">
        <v>233</v>
      </c>
      <c r="O19" s="140" t="str">
        <f>+L19</f>
        <v>****</v>
      </c>
    </row>
    <row r="20" spans="1:15" x14ac:dyDescent="0.3">
      <c r="A20" s="144" t="s">
        <v>206</v>
      </c>
      <c r="B20" s="173" t="s">
        <v>207</v>
      </c>
      <c r="C20" s="246">
        <f t="shared" ref="C20:O20" si="3">+C16</f>
        <v>5101.6264505492336</v>
      </c>
      <c r="D20" s="246">
        <f t="shared" si="3"/>
        <v>5420.9628505492328</v>
      </c>
      <c r="E20" s="784">
        <f t="shared" si="3"/>
        <v>5500.7969505492338</v>
      </c>
      <c r="F20" s="174">
        <f t="shared" si="3"/>
        <v>5580.6290505492334</v>
      </c>
      <c r="G20" s="174">
        <f t="shared" si="3"/>
        <v>4524.9302505492333</v>
      </c>
      <c r="H20" s="174">
        <f t="shared" si="3"/>
        <v>6044.1635740492338</v>
      </c>
      <c r="I20" s="174">
        <f t="shared" si="3"/>
        <v>6234.0674948992337</v>
      </c>
      <c r="J20" s="223">
        <f t="shared" si="3"/>
        <v>4145.1243655492335</v>
      </c>
      <c r="K20" s="243">
        <f t="shared" ref="K20" si="4">+K16</f>
        <v>5983.762850549233</v>
      </c>
      <c r="L20" s="243">
        <f t="shared" si="3"/>
        <v>6057.7344505492338</v>
      </c>
      <c r="M20" s="243">
        <f t="shared" ref="M20" si="5">+M16</f>
        <v>6131.7040505492332</v>
      </c>
      <c r="N20" s="146">
        <f t="shared" si="3"/>
        <v>6749.1084505492327</v>
      </c>
      <c r="O20" s="146">
        <f t="shared" si="3"/>
        <v>6931.179650549233</v>
      </c>
    </row>
    <row r="21" spans="1:15" x14ac:dyDescent="0.3">
      <c r="A21" s="137" t="s">
        <v>208</v>
      </c>
      <c r="B21" s="143" t="s">
        <v>160</v>
      </c>
      <c r="C21" s="240" t="str">
        <f>+G21</f>
        <v>***</v>
      </c>
      <c r="D21" s="240" t="str">
        <f>+H21</f>
        <v>***</v>
      </c>
      <c r="E21" s="782" t="str">
        <f t="shared" si="2"/>
        <v>***</v>
      </c>
      <c r="F21" s="166" t="str">
        <f>+I21</f>
        <v>***</v>
      </c>
      <c r="G21" s="166" t="str">
        <f t="shared" ref="G21" si="6">+G17</f>
        <v>***</v>
      </c>
      <c r="H21" s="166" t="s">
        <v>231</v>
      </c>
      <c r="I21" s="166" t="str">
        <f>+G21</f>
        <v>***</v>
      </c>
      <c r="J21" s="222" t="str">
        <f>+J17</f>
        <v>***</v>
      </c>
      <c r="K21" s="237" t="s">
        <v>231</v>
      </c>
      <c r="L21" s="237" t="str">
        <f>+J21</f>
        <v>***</v>
      </c>
      <c r="M21" s="237" t="str">
        <f>+L21</f>
        <v>***</v>
      </c>
      <c r="N21" s="140" t="s">
        <v>231</v>
      </c>
      <c r="O21" s="140" t="str">
        <f>+C21</f>
        <v>***</v>
      </c>
    </row>
    <row r="22" spans="1:15" x14ac:dyDescent="0.3">
      <c r="A22" s="137" t="s">
        <v>209</v>
      </c>
      <c r="B22" s="138" t="s">
        <v>210</v>
      </c>
      <c r="C22" s="247" t="s">
        <v>235</v>
      </c>
      <c r="D22" s="247" t="s">
        <v>235</v>
      </c>
      <c r="E22" s="782" t="str">
        <f>+C22</f>
        <v>*****</v>
      </c>
      <c r="F22" s="166" t="str">
        <f>+E22</f>
        <v>*****</v>
      </c>
      <c r="G22" s="166" t="s">
        <v>211</v>
      </c>
      <c r="H22" s="166" t="s">
        <v>211</v>
      </c>
      <c r="I22" s="166" t="str">
        <f>+G22</f>
        <v>N.A</v>
      </c>
      <c r="J22" s="222" t="s">
        <v>211</v>
      </c>
      <c r="K22" s="237" t="s">
        <v>235</v>
      </c>
      <c r="L22" s="237" t="str">
        <f>+E22</f>
        <v>*****</v>
      </c>
      <c r="M22" s="237" t="str">
        <f>+F22</f>
        <v>*****</v>
      </c>
      <c r="N22" s="140" t="s">
        <v>253</v>
      </c>
      <c r="O22" s="140" t="s">
        <v>253</v>
      </c>
    </row>
    <row r="23" spans="1:15" ht="17.399999999999999" customHeight="1" x14ac:dyDescent="0.3">
      <c r="A23" s="137" t="s">
        <v>212</v>
      </c>
      <c r="B23" s="138" t="s">
        <v>213</v>
      </c>
      <c r="C23" s="247" t="s">
        <v>236</v>
      </c>
      <c r="D23" s="247" t="s">
        <v>236</v>
      </c>
      <c r="E23" s="782" t="str">
        <f>+C23</f>
        <v>******</v>
      </c>
      <c r="F23" s="166" t="str">
        <f>+E23</f>
        <v>******</v>
      </c>
      <c r="G23" s="166" t="str">
        <f>+C23</f>
        <v>******</v>
      </c>
      <c r="H23" s="166" t="s">
        <v>236</v>
      </c>
      <c r="I23" s="166" t="str">
        <f>+C23</f>
        <v>******</v>
      </c>
      <c r="J23" s="222" t="str">
        <f>+C23</f>
        <v>******</v>
      </c>
      <c r="K23" s="275" t="s">
        <v>236</v>
      </c>
      <c r="L23" s="275" t="str">
        <f>+C23</f>
        <v>******</v>
      </c>
      <c r="M23" s="275" t="str">
        <f>+E23</f>
        <v>******</v>
      </c>
      <c r="N23" s="276" t="s">
        <v>236</v>
      </c>
      <c r="O23" s="276" t="str">
        <f>+C23</f>
        <v>******</v>
      </c>
    </row>
    <row r="24" spans="1:15" ht="15" thickBot="1" x14ac:dyDescent="0.35">
      <c r="A24" s="148" t="s">
        <v>214</v>
      </c>
      <c r="B24" s="149" t="s">
        <v>215</v>
      </c>
      <c r="C24" s="248"/>
      <c r="D24" s="248"/>
      <c r="E24" s="176"/>
      <c r="F24" s="176"/>
      <c r="G24" s="176"/>
      <c r="H24" s="176"/>
      <c r="I24" s="176"/>
      <c r="J24" s="224"/>
      <c r="K24" s="272"/>
      <c r="L24" s="272"/>
      <c r="M24" s="634"/>
      <c r="N24" s="634"/>
      <c r="O24" s="273"/>
    </row>
    <row r="25" spans="1:15" ht="15" thickTop="1" x14ac:dyDescent="0.3">
      <c r="A25" s="153"/>
      <c r="B25" s="154"/>
      <c r="C25" s="154"/>
      <c r="D25" s="154"/>
      <c r="E25" s="155"/>
      <c r="F25" s="155"/>
      <c r="G25" s="155"/>
      <c r="H25" s="155"/>
      <c r="I25" s="155"/>
      <c r="J25" s="155"/>
      <c r="K25" s="155"/>
      <c r="L25" s="155"/>
      <c r="M25" s="155"/>
      <c r="N25" s="155"/>
      <c r="O25" s="155"/>
    </row>
    <row r="26" spans="1:15" x14ac:dyDescent="0.3">
      <c r="A26" s="153"/>
      <c r="B26" s="154"/>
      <c r="C26" s="154"/>
      <c r="D26" s="154"/>
      <c r="E26" s="155"/>
      <c r="F26" s="155"/>
      <c r="G26" s="155"/>
      <c r="H26" s="155"/>
      <c r="I26" s="155"/>
      <c r="J26" s="155"/>
      <c r="K26" s="155"/>
      <c r="L26" s="155"/>
      <c r="M26" s="155"/>
      <c r="N26" s="155"/>
      <c r="O26" s="155"/>
    </row>
    <row r="27" spans="1:15" ht="15" customHeight="1" x14ac:dyDescent="0.3">
      <c r="A27" s="153"/>
      <c r="B27" s="256" t="s">
        <v>227</v>
      </c>
      <c r="C27" s="154"/>
      <c r="D27" s="154"/>
      <c r="E27" s="155"/>
      <c r="F27" s="155"/>
      <c r="G27" s="155"/>
      <c r="H27" s="155"/>
      <c r="I27" s="155"/>
      <c r="J27" s="155"/>
      <c r="K27" s="155"/>
      <c r="L27" s="155"/>
      <c r="M27" s="155"/>
      <c r="N27" s="155"/>
      <c r="O27" s="155"/>
    </row>
    <row r="28" spans="1:15" x14ac:dyDescent="0.3">
      <c r="A28" s="153"/>
      <c r="B28" s="154"/>
      <c r="C28" s="154"/>
      <c r="D28" s="154"/>
      <c r="E28" s="155"/>
      <c r="F28" s="155"/>
      <c r="G28" s="155"/>
      <c r="H28" s="155"/>
      <c r="I28" s="155"/>
      <c r="J28" s="155"/>
      <c r="K28" s="155"/>
      <c r="L28" s="155"/>
      <c r="M28" s="155"/>
      <c r="N28" s="155"/>
      <c r="O28" s="155"/>
    </row>
    <row r="29" spans="1:15" ht="19.649999999999999" customHeight="1" x14ac:dyDescent="0.3">
      <c r="A29" s="156" t="s">
        <v>190</v>
      </c>
      <c r="B29" s="914" t="str">
        <f>+CESAR!B103</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618"/>
      <c r="N29" s="659"/>
      <c r="O29" s="155"/>
    </row>
    <row r="30" spans="1:15" ht="24.75" customHeight="1" x14ac:dyDescent="0.3">
      <c r="A30" s="156" t="s">
        <v>217</v>
      </c>
      <c r="B30" s="892" t="s">
        <v>269</v>
      </c>
      <c r="C30" s="892"/>
      <c r="D30" s="892"/>
      <c r="E30" s="892"/>
      <c r="F30" s="892"/>
      <c r="G30" s="892"/>
      <c r="H30" s="892"/>
      <c r="I30" s="892"/>
      <c r="J30" s="892"/>
      <c r="K30" s="892"/>
      <c r="L30" s="892"/>
      <c r="M30" s="892"/>
      <c r="N30" s="892"/>
      <c r="O30" s="892"/>
    </row>
    <row r="31" spans="1:15" ht="52.5" customHeight="1" x14ac:dyDescent="0.3">
      <c r="A31" s="156" t="s">
        <v>133</v>
      </c>
      <c r="B31" s="892" t="s">
        <v>325</v>
      </c>
      <c r="C31" s="892"/>
      <c r="D31" s="892"/>
      <c r="E31" s="892"/>
      <c r="F31" s="892"/>
      <c r="G31" s="892"/>
      <c r="H31" s="892"/>
      <c r="I31" s="892"/>
      <c r="J31" s="892"/>
      <c r="K31" s="892"/>
      <c r="L31" s="892"/>
      <c r="M31" s="892"/>
      <c r="N31" s="892"/>
      <c r="O31" s="892"/>
    </row>
    <row r="32" spans="1:15" ht="52.5" customHeight="1" x14ac:dyDescent="0.3">
      <c r="A32" s="180" t="s">
        <v>218</v>
      </c>
      <c r="B32" s="913" t="s">
        <v>398</v>
      </c>
      <c r="C32" s="913"/>
      <c r="D32" s="913"/>
      <c r="E32" s="913"/>
      <c r="F32" s="913"/>
      <c r="G32" s="913"/>
      <c r="H32" s="913"/>
      <c r="I32" s="913"/>
      <c r="J32" s="913"/>
      <c r="K32" s="913"/>
      <c r="L32" s="913"/>
      <c r="M32" s="913"/>
      <c r="N32" s="913"/>
      <c r="O32" s="913"/>
    </row>
    <row r="33" spans="1:16" ht="17.399999999999999" customHeight="1" x14ac:dyDescent="0.3">
      <c r="A33" s="156"/>
      <c r="B33" s="914"/>
      <c r="C33" s="914"/>
      <c r="D33" s="914"/>
      <c r="E33" s="914"/>
      <c r="F33" s="914"/>
      <c r="G33" s="914"/>
      <c r="H33" s="914"/>
      <c r="I33" s="914"/>
      <c r="J33" s="914"/>
      <c r="K33" s="914"/>
      <c r="L33" s="914"/>
      <c r="M33" s="914"/>
      <c r="N33" s="914"/>
      <c r="O33" s="914"/>
    </row>
    <row r="34" spans="1:16" x14ac:dyDescent="0.3">
      <c r="A34" s="178" t="s">
        <v>102</v>
      </c>
      <c r="B34" s="891" t="s">
        <v>228</v>
      </c>
      <c r="C34" s="891"/>
      <c r="D34" s="891"/>
      <c r="E34" s="891"/>
      <c r="F34" s="891"/>
      <c r="G34" s="891"/>
      <c r="H34" s="891"/>
      <c r="I34" s="891"/>
      <c r="J34" s="891"/>
      <c r="K34" s="891"/>
      <c r="L34" s="891"/>
      <c r="M34" s="615"/>
      <c r="N34" s="658"/>
      <c r="O34" s="251"/>
    </row>
    <row r="35" spans="1:16" ht="15" customHeight="1" x14ac:dyDescent="0.3">
      <c r="A35" s="178" t="s">
        <v>229</v>
      </c>
      <c r="B35" s="891" t="s">
        <v>260</v>
      </c>
      <c r="C35" s="891"/>
      <c r="D35" s="891"/>
      <c r="E35" s="891"/>
      <c r="F35" s="891"/>
      <c r="G35" s="891"/>
      <c r="H35" s="891"/>
      <c r="I35" s="891"/>
      <c r="J35" s="891"/>
      <c r="K35" s="891"/>
      <c r="L35" s="891"/>
      <c r="M35" s="891"/>
      <c r="N35" s="891"/>
      <c r="O35" s="891"/>
    </row>
    <row r="36" spans="1:16" ht="26.25" customHeight="1" x14ac:dyDescent="0.3">
      <c r="A36" s="178" t="s">
        <v>231</v>
      </c>
      <c r="B36" s="892" t="s">
        <v>270</v>
      </c>
      <c r="C36" s="892"/>
      <c r="D36" s="892"/>
      <c r="E36" s="892"/>
      <c r="F36" s="892"/>
      <c r="G36" s="892"/>
      <c r="H36" s="892"/>
      <c r="I36" s="892"/>
      <c r="J36" s="892"/>
      <c r="K36" s="892"/>
      <c r="L36" s="892"/>
      <c r="M36" s="892"/>
      <c r="N36" s="892"/>
      <c r="O36" s="892"/>
    </row>
    <row r="37" spans="1:16" x14ac:dyDescent="0.3">
      <c r="A37" s="178" t="s">
        <v>233</v>
      </c>
      <c r="B37" s="891" t="s">
        <v>454</v>
      </c>
      <c r="C37" s="891"/>
      <c r="D37" s="891"/>
      <c r="E37" s="891"/>
      <c r="F37" s="891"/>
      <c r="G37" s="891"/>
      <c r="H37" s="891"/>
      <c r="I37" s="891"/>
      <c r="J37" s="891"/>
      <c r="K37" s="891"/>
      <c r="L37" s="891"/>
      <c r="M37" s="891"/>
      <c r="N37" s="891"/>
      <c r="O37" s="891"/>
    </row>
    <row r="38" spans="1:16" x14ac:dyDescent="0.3">
      <c r="A38" s="178" t="s">
        <v>235</v>
      </c>
      <c r="B38" s="892" t="s">
        <v>237</v>
      </c>
      <c r="C38" s="892"/>
      <c r="D38" s="892"/>
      <c r="E38" s="892"/>
      <c r="F38" s="892"/>
      <c r="G38" s="892"/>
      <c r="H38" s="892"/>
      <c r="I38" s="892"/>
      <c r="J38" s="892"/>
      <c r="K38" s="892"/>
      <c r="L38" s="892"/>
      <c r="M38" s="892"/>
      <c r="N38" s="892"/>
      <c r="O38" s="892"/>
    </row>
    <row r="39" spans="1:16" x14ac:dyDescent="0.3">
      <c r="A39" s="178" t="s">
        <v>236</v>
      </c>
      <c r="B39" s="891" t="s">
        <v>266</v>
      </c>
      <c r="C39" s="891"/>
      <c r="D39" s="891"/>
      <c r="E39" s="891"/>
      <c r="F39" s="891"/>
      <c r="G39" s="891"/>
      <c r="H39" s="891"/>
      <c r="I39" s="891"/>
      <c r="J39" s="891"/>
      <c r="K39" s="891"/>
      <c r="L39" s="891"/>
      <c r="M39" s="891"/>
      <c r="N39" s="891"/>
      <c r="O39" s="891"/>
    </row>
    <row r="40" spans="1:16" x14ac:dyDescent="0.3">
      <c r="A40" s="233"/>
      <c r="B40" s="234"/>
      <c r="C40" s="234"/>
      <c r="D40" s="234"/>
      <c r="E40" s="234"/>
      <c r="F40" s="234"/>
      <c r="G40" s="234"/>
      <c r="H40" s="234"/>
      <c r="I40" s="234"/>
      <c r="J40" s="234"/>
      <c r="K40" s="234"/>
      <c r="L40" s="234"/>
      <c r="M40" s="234"/>
      <c r="N40" s="234"/>
      <c r="O40" s="234"/>
    </row>
    <row r="41" spans="1:16" ht="88.5" customHeight="1" x14ac:dyDescent="0.3">
      <c r="A41" s="894" t="s">
        <v>147</v>
      </c>
      <c r="B41" s="894"/>
      <c r="C41" s="894"/>
      <c r="D41" s="894"/>
      <c r="E41" s="894"/>
      <c r="F41" s="894"/>
      <c r="G41" s="894"/>
      <c r="H41" s="894"/>
      <c r="I41" s="894"/>
      <c r="J41" s="894"/>
      <c r="K41" s="894"/>
      <c r="L41" s="894"/>
      <c r="M41" s="894"/>
      <c r="N41" s="894"/>
      <c r="O41" s="894"/>
      <c r="P41" s="894"/>
    </row>
  </sheetData>
  <sheetProtection algorithmName="SHA-512" hashValue="9+2K/utDjVIntnX9ph8ZZjcpEs7QdSc52INkCG8TU7OjMv69Ed5gA4axO7LQ2ZSfE4XhMYVt+RAs4kWKwwwtPw==" saltValue="xltD3OIuvGp3uQ2wcROfGg==" spinCount="100000" sheet="1" objects="1" scenarios="1"/>
  <mergeCells count="18">
    <mergeCell ref="B38:O38"/>
    <mergeCell ref="B32:O32"/>
    <mergeCell ref="A41:P41"/>
    <mergeCell ref="B36:O36"/>
    <mergeCell ref="B37:O37"/>
    <mergeCell ref="B39:O39"/>
    <mergeCell ref="B34:L34"/>
    <mergeCell ref="B35:O35"/>
    <mergeCell ref="B33:O33"/>
    <mergeCell ref="C3:J4"/>
    <mergeCell ref="B31:O31"/>
    <mergeCell ref="A5:A7"/>
    <mergeCell ref="B5:B7"/>
    <mergeCell ref="C5:C6"/>
    <mergeCell ref="J5:J6"/>
    <mergeCell ref="B30:O30"/>
    <mergeCell ref="B29:L29"/>
    <mergeCell ref="K3:O4"/>
  </mergeCells>
  <hyperlinks>
    <hyperlink ref="B27" location="CHOCO!A40" display="Ver Nota Informativa" xr:uid="{00000000-0004-0000-0C00-000001000000}"/>
  </hyperlinks>
  <pageMargins left="0.7" right="0.7" top="0.75" bottom="0.75" header="0.3" footer="0.3"/>
  <pageSetup orientation="portrait" r:id="rId1"/>
  <ignoredErrors>
    <ignoredError sqref="O22 E21:E22 L22 G22 C21:C22 I22:J22" numberStoredAsText="1"/>
    <ignoredError sqref="O12:O14 L12:L14 O16 E16:E19 E12:E14 L16 G16 G12:G14 C12 C16:C19 I16:J16 I12:J14" numberStoredAsText="1" formula="1"/>
    <ignoredError sqref="O17:O21 L11 I8:J10 E20 E10 L17:L21 G17:G20 G10 C10 C20 I17:J2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X83"/>
  <sheetViews>
    <sheetView zoomScale="70" zoomScaleNormal="70" workbookViewId="0">
      <selection activeCell="P19" sqref="P19"/>
    </sheetView>
  </sheetViews>
  <sheetFormatPr baseColWidth="10" defaultColWidth="45" defaultRowHeight="14.4" x14ac:dyDescent="0.3"/>
  <cols>
    <col min="1" max="1" width="7" customWidth="1"/>
    <col min="2" max="2" width="47.77734375" customWidth="1"/>
    <col min="3" max="3" width="16.88671875" customWidth="1"/>
    <col min="4" max="4" width="16.88671875" style="614" customWidth="1"/>
    <col min="5" max="5" width="13.109375" hidden="1" customWidth="1"/>
    <col min="6" max="6" width="15.21875" style="614" customWidth="1"/>
    <col min="7" max="7" width="16.6640625" customWidth="1"/>
    <col min="8" max="8" width="15.109375" style="614" customWidth="1"/>
    <col min="9" max="9" width="14.77734375" hidden="1" customWidth="1"/>
    <col min="10" max="10" width="14.77734375" customWidth="1"/>
    <col min="11" max="11" width="14.77734375" style="614" customWidth="1"/>
    <col min="12" max="12" width="15.88671875" hidden="1" customWidth="1"/>
    <col min="13" max="14" width="17.21875" style="614" customWidth="1"/>
    <col min="15" max="15" width="17.88671875" hidden="1" customWidth="1"/>
    <col min="16" max="16" width="20.77734375" customWidth="1"/>
    <col min="17" max="17" width="12.77734375" hidden="1" customWidth="1"/>
  </cols>
  <sheetData>
    <row r="1" spans="1:17" x14ac:dyDescent="0.3">
      <c r="A1" s="233" t="s">
        <v>158</v>
      </c>
      <c r="B1" s="133" t="str">
        <f>+AMAZONAS!C1</f>
        <v>Vigencia: 16 de Julio de 2022; 00:00 horas</v>
      </c>
      <c r="C1" s="133"/>
      <c r="D1" s="133"/>
      <c r="E1" s="234"/>
      <c r="F1" s="234"/>
      <c r="G1" s="234"/>
      <c r="H1" s="234"/>
      <c r="I1" s="234"/>
      <c r="J1" s="234"/>
      <c r="K1" s="234"/>
      <c r="L1" s="234"/>
      <c r="M1" s="234"/>
      <c r="N1" s="234"/>
      <c r="O1" s="234"/>
    </row>
    <row r="2" spans="1:17" ht="15" thickBot="1" x14ac:dyDescent="0.35">
      <c r="A2" s="159" t="s">
        <v>179</v>
      </c>
      <c r="B2" s="160"/>
      <c r="C2" s="160"/>
      <c r="D2" s="160"/>
      <c r="E2" s="160"/>
      <c r="F2" s="160"/>
      <c r="G2" s="160"/>
      <c r="H2" s="160"/>
      <c r="I2" s="160"/>
      <c r="J2" s="160"/>
      <c r="K2" s="160"/>
      <c r="L2" s="235"/>
      <c r="M2" s="235"/>
      <c r="N2" s="235"/>
      <c r="O2" s="160"/>
    </row>
    <row r="3" spans="1:17" ht="15" customHeight="1" thickTop="1" x14ac:dyDescent="0.3">
      <c r="A3" s="187"/>
      <c r="B3" s="162" t="s">
        <v>279</v>
      </c>
      <c r="C3" s="903" t="s">
        <v>180</v>
      </c>
      <c r="D3" s="904"/>
      <c r="E3" s="904"/>
      <c r="F3" s="904"/>
      <c r="G3" s="904"/>
      <c r="H3" s="904"/>
      <c r="I3" s="904"/>
      <c r="J3" s="904"/>
      <c r="K3" s="943" t="s">
        <v>249</v>
      </c>
      <c r="L3" s="944"/>
      <c r="M3" s="944"/>
      <c r="N3" s="944"/>
      <c r="O3" s="461"/>
    </row>
    <row r="4" spans="1:17" ht="34.049999999999997" customHeight="1" x14ac:dyDescent="0.3">
      <c r="A4" s="163"/>
      <c r="B4" s="681" t="s">
        <v>500</v>
      </c>
      <c r="C4" s="905"/>
      <c r="D4" s="906"/>
      <c r="E4" s="906"/>
      <c r="F4" s="906"/>
      <c r="G4" s="906"/>
      <c r="H4" s="906"/>
      <c r="I4" s="906"/>
      <c r="J4" s="906"/>
      <c r="K4" s="935"/>
      <c r="L4" s="936"/>
      <c r="M4" s="936"/>
      <c r="N4" s="936"/>
      <c r="O4" s="462"/>
    </row>
    <row r="5" spans="1:17" ht="25.5" customHeight="1" x14ac:dyDescent="0.3">
      <c r="A5" s="895" t="s">
        <v>181</v>
      </c>
      <c r="B5" s="897" t="s">
        <v>182</v>
      </c>
      <c r="C5" s="901" t="s">
        <v>240</v>
      </c>
      <c r="D5" s="769" t="s">
        <v>96</v>
      </c>
      <c r="E5" s="164" t="s">
        <v>96</v>
      </c>
      <c r="F5" s="623" t="s">
        <v>96</v>
      </c>
      <c r="G5" s="164" t="s">
        <v>172</v>
      </c>
      <c r="H5" s="663" t="s">
        <v>397</v>
      </c>
      <c r="I5" s="164" t="str">
        <f>+'LA GUAJIRA'!I5</f>
        <v>Biodiesel B11</v>
      </c>
      <c r="J5" s="899" t="s">
        <v>395</v>
      </c>
      <c r="K5" s="768" t="s">
        <v>96</v>
      </c>
      <c r="L5" s="135" t="s">
        <v>96</v>
      </c>
      <c r="M5" s="622" t="s">
        <v>96</v>
      </c>
      <c r="N5" s="660" t="str">
        <f>+H5</f>
        <v>Biodiesel B10</v>
      </c>
      <c r="O5" s="226" t="str">
        <f>+I5</f>
        <v>Biodiesel B11</v>
      </c>
    </row>
    <row r="6" spans="1:17" ht="20.100000000000001" customHeight="1" x14ac:dyDescent="0.3">
      <c r="A6" s="895"/>
      <c r="B6" s="897"/>
      <c r="C6" s="902"/>
      <c r="D6" s="545" t="s">
        <v>517</v>
      </c>
      <c r="E6" s="545" t="s">
        <v>483</v>
      </c>
      <c r="F6" s="545" t="s">
        <v>488</v>
      </c>
      <c r="G6" s="182">
        <v>0.02</v>
      </c>
      <c r="H6" s="165">
        <v>0.1</v>
      </c>
      <c r="I6" s="165">
        <f>+'LA GUAJIRA'!I6</f>
        <v>0.11</v>
      </c>
      <c r="J6" s="900"/>
      <c r="K6" s="524" t="str">
        <f>+D6</f>
        <v>Oxigena 4%</v>
      </c>
      <c r="L6" s="524" t="str">
        <f>+E6</f>
        <v>Oxigena 5%</v>
      </c>
      <c r="M6" s="524" t="str">
        <f>+F6</f>
        <v>Oxigena 6%</v>
      </c>
      <c r="N6" s="165">
        <f>+H6</f>
        <v>0.1</v>
      </c>
      <c r="O6" s="165">
        <f>+I6</f>
        <v>0.11</v>
      </c>
    </row>
    <row r="7" spans="1:17" x14ac:dyDescent="0.3">
      <c r="A7" s="896"/>
      <c r="B7" s="898"/>
      <c r="C7" s="135" t="s">
        <v>183</v>
      </c>
      <c r="D7" s="769" t="s">
        <v>183</v>
      </c>
      <c r="E7" s="164" t="s">
        <v>183</v>
      </c>
      <c r="F7" s="623" t="s">
        <v>183</v>
      </c>
      <c r="G7" s="164" t="s">
        <v>183</v>
      </c>
      <c r="H7" s="663" t="s">
        <v>183</v>
      </c>
      <c r="I7" s="164" t="s">
        <v>183</v>
      </c>
      <c r="J7" s="164" t="s">
        <v>183</v>
      </c>
      <c r="K7" s="768" t="s">
        <v>183</v>
      </c>
      <c r="L7" s="135" t="s">
        <v>183</v>
      </c>
      <c r="M7" s="622" t="s">
        <v>183</v>
      </c>
      <c r="N7" s="660" t="s">
        <v>183</v>
      </c>
      <c r="O7" s="226" t="s">
        <v>183</v>
      </c>
    </row>
    <row r="8" spans="1:17" x14ac:dyDescent="0.3">
      <c r="A8" s="137" t="s">
        <v>184</v>
      </c>
      <c r="B8" s="143" t="s">
        <v>185</v>
      </c>
      <c r="C8" s="254">
        <f>+'Calculo IP ZDF'!B36</f>
        <v>5064.8</v>
      </c>
      <c r="D8" s="254">
        <f>+'Calculo IP ZDF'!G36</f>
        <v>5384.1363999999994</v>
      </c>
      <c r="E8" s="254">
        <f>+'Calculo IP ZDF'!H36</f>
        <v>5463.9705000000004</v>
      </c>
      <c r="F8" s="631">
        <f>+'Calculo IP ZDF'!I36</f>
        <v>5543.8026</v>
      </c>
      <c r="G8" s="254">
        <f>+'Calculo IP ZDF'!F36</f>
        <v>4477.9237999999996</v>
      </c>
      <c r="H8" s="255">
        <f>+'Calculo IP ZDF'!L36</f>
        <v>5997.9833515000009</v>
      </c>
      <c r="I8" s="255">
        <f>+'Calculo IP ZDF'!K36</f>
        <v>6187.9912031500007</v>
      </c>
      <c r="J8" s="172">
        <f>+'Calculo IP ZDF'!C36</f>
        <v>4097.9048350000003</v>
      </c>
      <c r="K8" s="237">
        <f>+'GAS CTE'!D9</f>
        <v>5384.1363999999994</v>
      </c>
      <c r="L8" s="237">
        <f>+'GAS CTE'!E9</f>
        <v>5463.9705000000004</v>
      </c>
      <c r="M8" s="636">
        <f>+'GAS CTE'!F9</f>
        <v>5543.8026</v>
      </c>
      <c r="N8" s="192">
        <f>+BIODIESEL!H9</f>
        <v>6207.2739999999994</v>
      </c>
      <c r="O8" s="192">
        <f>+BIODIESEL!I9</f>
        <v>6394.9564</v>
      </c>
    </row>
    <row r="9" spans="1:17" x14ac:dyDescent="0.3">
      <c r="A9" s="137" t="s">
        <v>186</v>
      </c>
      <c r="B9" s="143" t="s">
        <v>187</v>
      </c>
      <c r="C9" s="190" t="str">
        <f>+G9</f>
        <v>------------------</v>
      </c>
      <c r="D9" s="190" t="s">
        <v>188</v>
      </c>
      <c r="E9" s="190" t="s">
        <v>188</v>
      </c>
      <c r="F9" s="632" t="s">
        <v>188</v>
      </c>
      <c r="G9" s="190" t="s">
        <v>188</v>
      </c>
      <c r="H9" s="190"/>
      <c r="I9" s="190" t="s">
        <v>188</v>
      </c>
      <c r="J9" s="167" t="s">
        <v>188</v>
      </c>
      <c r="K9" s="239">
        <f>+'GAS CTE'!D10</f>
        <v>562.79999999999995</v>
      </c>
      <c r="L9" s="239">
        <f>+'GAS CTE'!E10</f>
        <v>556.9375</v>
      </c>
      <c r="M9" s="636">
        <f>+'GAS CTE'!F10</f>
        <v>551.07499999999993</v>
      </c>
      <c r="N9" s="189">
        <f>+BIODIESEL!H10</f>
        <v>505.00800000000004</v>
      </c>
      <c r="O9" s="189">
        <f>+BIODIESEL!I10</f>
        <v>499.39679999999998</v>
      </c>
    </row>
    <row r="10" spans="1:17" x14ac:dyDescent="0.3">
      <c r="A10" s="137"/>
      <c r="B10" s="143" t="s">
        <v>132</v>
      </c>
      <c r="C10" s="190" t="str">
        <f>+G10</f>
        <v>------------------</v>
      </c>
      <c r="D10" s="190" t="s">
        <v>188</v>
      </c>
      <c r="E10" s="190" t="s">
        <v>188</v>
      </c>
      <c r="F10" s="632" t="s">
        <v>188</v>
      </c>
      <c r="G10" s="190" t="s">
        <v>188</v>
      </c>
      <c r="H10" s="190"/>
      <c r="I10" s="190" t="s">
        <v>188</v>
      </c>
      <c r="J10" s="167" t="s">
        <v>188</v>
      </c>
      <c r="K10" s="640" t="s">
        <v>133</v>
      </c>
      <c r="L10" s="640" t="s">
        <v>133</v>
      </c>
      <c r="M10" s="640" t="s">
        <v>133</v>
      </c>
      <c r="N10" s="640"/>
      <c r="O10" s="640" t="s">
        <v>133</v>
      </c>
    </row>
    <row r="11" spans="1:17" x14ac:dyDescent="0.3">
      <c r="A11" s="137"/>
      <c r="B11" s="143" t="s">
        <v>134</v>
      </c>
      <c r="C11" s="240">
        <f>+'GAS CTE'!C12</f>
        <v>169</v>
      </c>
      <c r="D11" s="240">
        <f>+'GAS CTE'!D12</f>
        <v>162.23999999999998</v>
      </c>
      <c r="E11" s="240">
        <f>+'GAS CTE'!E12</f>
        <v>160.54999999999998</v>
      </c>
      <c r="F11" s="633">
        <f>+'GAS CTE'!F12</f>
        <v>158.85999999999999</v>
      </c>
      <c r="G11" s="240">
        <f>+BIODIESEL!E12</f>
        <v>187.18</v>
      </c>
      <c r="H11" s="240">
        <f>+BIODIESEL!H12</f>
        <v>171.9</v>
      </c>
      <c r="I11" s="240">
        <f>+BIODIESEL!I12</f>
        <v>169.99</v>
      </c>
      <c r="J11" s="172">
        <f>+BIODIESEL!C12</f>
        <v>191</v>
      </c>
      <c r="K11" s="239">
        <f>+D11</f>
        <v>162.23999999999998</v>
      </c>
      <c r="L11" s="239">
        <f>+E11</f>
        <v>160.54999999999998</v>
      </c>
      <c r="M11" s="627">
        <f>+'GAS CTE'!F12</f>
        <v>158.85999999999999</v>
      </c>
      <c r="N11" s="189">
        <f>+H11</f>
        <v>171.9</v>
      </c>
      <c r="O11" s="189">
        <f>+I11</f>
        <v>169.99</v>
      </c>
    </row>
    <row r="12" spans="1:17" ht="16.2" customHeight="1" x14ac:dyDescent="0.3">
      <c r="A12" s="137" t="s">
        <v>189</v>
      </c>
      <c r="B12" s="143" t="s">
        <v>268</v>
      </c>
      <c r="C12" s="257" t="s">
        <v>217</v>
      </c>
      <c r="D12" s="257" t="s">
        <v>217</v>
      </c>
      <c r="E12" s="190" t="str">
        <f>+C12</f>
        <v>(2)</v>
      </c>
      <c r="F12" s="190" t="str">
        <f t="shared" ref="F12:F15" si="0">+E12</f>
        <v>(2)</v>
      </c>
      <c r="G12" s="190" t="str">
        <f>+C12</f>
        <v>(2)</v>
      </c>
      <c r="H12" s="190">
        <v>12</v>
      </c>
      <c r="I12" s="190" t="str">
        <f>+C12</f>
        <v>(2)</v>
      </c>
      <c r="J12" s="166" t="str">
        <f>+C12</f>
        <v>(2)</v>
      </c>
      <c r="K12" s="239" t="s">
        <v>217</v>
      </c>
      <c r="L12" s="239" t="str">
        <f>+J12</f>
        <v>(2)</v>
      </c>
      <c r="M12" s="627" t="str">
        <f>+L12</f>
        <v>(2)</v>
      </c>
      <c r="N12" s="189"/>
      <c r="O12" s="189" t="str">
        <f>+E12</f>
        <v>(2)</v>
      </c>
    </row>
    <row r="13" spans="1:17" x14ac:dyDescent="0.3">
      <c r="A13" s="137" t="s">
        <v>191</v>
      </c>
      <c r="B13" s="143" t="s">
        <v>192</v>
      </c>
      <c r="C13" s="240">
        <f>+RUBROS!AC18</f>
        <v>16.002047868544253</v>
      </c>
      <c r="D13" s="166">
        <f>+C13</f>
        <v>16.002047868544253</v>
      </c>
      <c r="E13" s="166">
        <f>+C13</f>
        <v>16.002047868544253</v>
      </c>
      <c r="F13" s="625">
        <f t="shared" si="0"/>
        <v>16.002047868544253</v>
      </c>
      <c r="G13" s="166">
        <f>+C13</f>
        <v>16.002047868544253</v>
      </c>
      <c r="H13" s="166">
        <f>+C13</f>
        <v>16.002047868544253</v>
      </c>
      <c r="I13" s="166">
        <f>+C13</f>
        <v>16.002047868544253</v>
      </c>
      <c r="J13" s="166">
        <f>+C13</f>
        <v>16.002047868544253</v>
      </c>
      <c r="K13" s="166">
        <f>+RUBROS!$AD$18</f>
        <v>23.500029293035123</v>
      </c>
      <c r="L13" s="166">
        <f>+RUBROS!$AD$18</f>
        <v>23.500029293035123</v>
      </c>
      <c r="M13" s="627">
        <f>+RUBROS!$AD$18</f>
        <v>23.500029293035123</v>
      </c>
      <c r="N13" s="166">
        <f>+RUBROS!$AD$18</f>
        <v>23.500029293035123</v>
      </c>
      <c r="O13" s="166">
        <f>+RUBROS!AD18</f>
        <v>23.500029293035123</v>
      </c>
      <c r="Q13" s="425" t="s">
        <v>412</v>
      </c>
    </row>
    <row r="14" spans="1:17" x14ac:dyDescent="0.3">
      <c r="A14" s="137" t="s">
        <v>193</v>
      </c>
      <c r="B14" s="286" t="s">
        <v>194</v>
      </c>
      <c r="C14" s="323">
        <f>+RUBROS!AC54</f>
        <v>112.5832368093597</v>
      </c>
      <c r="D14" s="166">
        <f>+C14</f>
        <v>112.5832368093597</v>
      </c>
      <c r="E14" s="166">
        <f>+C14</f>
        <v>112.5832368093597</v>
      </c>
      <c r="F14" s="625">
        <f t="shared" si="0"/>
        <v>112.5832368093597</v>
      </c>
      <c r="G14" s="166">
        <f>+E14</f>
        <v>112.5832368093597</v>
      </c>
      <c r="H14" s="166">
        <f>+G14</f>
        <v>112.5832368093597</v>
      </c>
      <c r="I14" s="166">
        <f>+G14</f>
        <v>112.5832368093597</v>
      </c>
      <c r="J14" s="166">
        <f>+I14</f>
        <v>112.5832368093597</v>
      </c>
      <c r="K14" s="237">
        <f>+D14</f>
        <v>112.5832368093597</v>
      </c>
      <c r="L14" s="237">
        <f>+C14</f>
        <v>112.5832368093597</v>
      </c>
      <c r="M14" s="627">
        <f>+RUBROS!AD54</f>
        <v>112.5832368093597</v>
      </c>
      <c r="N14" s="166">
        <f>+RUBROS!AD54</f>
        <v>112.5832368093597</v>
      </c>
      <c r="O14" s="166">
        <f>+RUBROS!AD54</f>
        <v>112.5832368093597</v>
      </c>
      <c r="Q14" s="425" t="s">
        <v>412</v>
      </c>
    </row>
    <row r="15" spans="1:17" x14ac:dyDescent="0.3">
      <c r="A15" s="137" t="s">
        <v>195</v>
      </c>
      <c r="B15" s="143" t="s">
        <v>280</v>
      </c>
      <c r="C15" s="240">
        <f>+RUBROS!AU40</f>
        <v>13.326421256197724</v>
      </c>
      <c r="D15" s="166">
        <f>+C15</f>
        <v>13.326421256197724</v>
      </c>
      <c r="E15" s="166">
        <f>+C15</f>
        <v>13.326421256197724</v>
      </c>
      <c r="F15" s="625">
        <f t="shared" si="0"/>
        <v>13.326421256197724</v>
      </c>
      <c r="G15" s="166">
        <f>+C15</f>
        <v>13.326421256197724</v>
      </c>
      <c r="H15" s="166">
        <f>+C15</f>
        <v>13.326421256197724</v>
      </c>
      <c r="I15" s="166">
        <f>+C15</f>
        <v>13.326421256197724</v>
      </c>
      <c r="J15" s="166">
        <f>+C15</f>
        <v>13.326421256197724</v>
      </c>
      <c r="K15" s="237">
        <f>+D15</f>
        <v>13.326421256197724</v>
      </c>
      <c r="L15" s="237">
        <f>+C15</f>
        <v>13.326421256197724</v>
      </c>
      <c r="M15" s="627">
        <f>+L15</f>
        <v>13.326421256197724</v>
      </c>
      <c r="N15" s="166">
        <f>+L15</f>
        <v>13.326421256197724</v>
      </c>
      <c r="O15" s="166">
        <f>+L15</f>
        <v>13.326421256197724</v>
      </c>
      <c r="Q15" s="425" t="s">
        <v>412</v>
      </c>
    </row>
    <row r="16" spans="1:17" hidden="1" x14ac:dyDescent="0.3">
      <c r="A16" s="137"/>
      <c r="B16" s="143" t="s">
        <v>197</v>
      </c>
      <c r="C16" s="240"/>
      <c r="D16" s="240"/>
      <c r="E16" s="166"/>
      <c r="F16" s="166"/>
      <c r="G16" s="166"/>
      <c r="H16" s="166"/>
      <c r="I16" s="166"/>
      <c r="J16" s="166"/>
      <c r="K16" s="237"/>
      <c r="L16" s="237"/>
      <c r="M16" s="192"/>
      <c r="N16" s="166"/>
      <c r="O16" s="166"/>
    </row>
    <row r="17" spans="1:15" x14ac:dyDescent="0.3">
      <c r="A17" s="144" t="s">
        <v>198</v>
      </c>
      <c r="B17" s="173" t="s">
        <v>199</v>
      </c>
      <c r="C17" s="241">
        <f>SUM(C8:C16)</f>
        <v>5375.7117059341026</v>
      </c>
      <c r="D17" s="241">
        <f>SUM(D8:D16)</f>
        <v>5688.2881059341016</v>
      </c>
      <c r="E17" s="241">
        <f t="shared" ref="E17:O17" si="1">SUM(E8:E16)</f>
        <v>5766.432205934103</v>
      </c>
      <c r="F17" s="241">
        <f t="shared" si="1"/>
        <v>5844.5743059341021</v>
      </c>
      <c r="G17" s="241">
        <f t="shared" si="1"/>
        <v>4807.0155059341023</v>
      </c>
      <c r="H17" s="241">
        <f t="shared" si="1"/>
        <v>6323.795057434103</v>
      </c>
      <c r="I17" s="241">
        <f t="shared" si="1"/>
        <v>6499.8929090841029</v>
      </c>
      <c r="J17" s="241">
        <f t="shared" si="1"/>
        <v>4430.8165409341027</v>
      </c>
      <c r="K17" s="243">
        <f t="shared" si="1"/>
        <v>6258.5860873585925</v>
      </c>
      <c r="L17" s="243">
        <f t="shared" si="1"/>
        <v>6330.8676873585937</v>
      </c>
      <c r="M17" s="243">
        <f t="shared" ref="M17" si="2">SUM(M8:M16)</f>
        <v>6403.1472873585926</v>
      </c>
      <c r="N17" s="241">
        <f t="shared" si="1"/>
        <v>7033.591687358592</v>
      </c>
      <c r="O17" s="241">
        <f t="shared" si="1"/>
        <v>7213.7528873585925</v>
      </c>
    </row>
    <row r="18" spans="1:15" x14ac:dyDescent="0.3">
      <c r="A18" s="137" t="s">
        <v>200</v>
      </c>
      <c r="B18" s="143" t="s">
        <v>263</v>
      </c>
      <c r="C18" s="258" t="s">
        <v>231</v>
      </c>
      <c r="D18" s="258" t="s">
        <v>231</v>
      </c>
      <c r="E18" s="166" t="str">
        <f>+C18</f>
        <v>***</v>
      </c>
      <c r="F18" s="166" t="str">
        <f>+E18</f>
        <v>***</v>
      </c>
      <c r="G18" s="166" t="str">
        <f>+C18</f>
        <v>***</v>
      </c>
      <c r="H18" s="166" t="s">
        <v>231</v>
      </c>
      <c r="I18" s="166" t="str">
        <f>+G18</f>
        <v>***</v>
      </c>
      <c r="J18" s="166" t="str">
        <f>+G18</f>
        <v>***</v>
      </c>
      <c r="K18" s="237" t="s">
        <v>231</v>
      </c>
      <c r="L18" s="237" t="str">
        <f>+J18</f>
        <v>***</v>
      </c>
      <c r="M18" s="237" t="str">
        <f>+L18</f>
        <v>***</v>
      </c>
      <c r="N18" s="166" t="s">
        <v>231</v>
      </c>
      <c r="O18" s="166" t="str">
        <f>+L18</f>
        <v>***</v>
      </c>
    </row>
    <row r="19" spans="1:15" x14ac:dyDescent="0.3">
      <c r="A19" s="137" t="s">
        <v>202</v>
      </c>
      <c r="B19" s="143" t="s">
        <v>203</v>
      </c>
      <c r="C19" s="257" t="s">
        <v>229</v>
      </c>
      <c r="D19" s="257" t="s">
        <v>229</v>
      </c>
      <c r="E19" s="166" t="str">
        <f>+C19</f>
        <v>**</v>
      </c>
      <c r="F19" s="166" t="str">
        <f>+E19</f>
        <v>**</v>
      </c>
      <c r="G19" s="166" t="str">
        <f>+C19</f>
        <v>**</v>
      </c>
      <c r="H19" s="166" t="s">
        <v>229</v>
      </c>
      <c r="I19" s="166" t="str">
        <f>+C19</f>
        <v>**</v>
      </c>
      <c r="J19" s="166" t="str">
        <f>+C19</f>
        <v>**</v>
      </c>
      <c r="K19" s="237" t="s">
        <v>229</v>
      </c>
      <c r="L19" s="237" t="str">
        <f>+J19</f>
        <v>**</v>
      </c>
      <c r="M19" s="237" t="str">
        <f>+L19</f>
        <v>**</v>
      </c>
      <c r="N19" s="166" t="s">
        <v>229</v>
      </c>
      <c r="O19" s="166" t="str">
        <f>+L19</f>
        <v>**</v>
      </c>
    </row>
    <row r="20" spans="1:15" x14ac:dyDescent="0.3">
      <c r="A20" s="137" t="s">
        <v>204</v>
      </c>
      <c r="B20" s="209" t="s">
        <v>139</v>
      </c>
      <c r="C20" s="245" t="str">
        <f>+G20</f>
        <v>****</v>
      </c>
      <c r="D20" s="245" t="s">
        <v>233</v>
      </c>
      <c r="E20" s="166" t="str">
        <f t="shared" ref="E20:E22" si="3">+G20</f>
        <v>****</v>
      </c>
      <c r="F20" s="166" t="str">
        <f>+I20</f>
        <v>****</v>
      </c>
      <c r="G20" s="172" t="str">
        <f>+A37</f>
        <v>****</v>
      </c>
      <c r="H20" s="172" t="s">
        <v>233</v>
      </c>
      <c r="I20" s="172" t="str">
        <f>+G20</f>
        <v>****</v>
      </c>
      <c r="J20" s="172" t="str">
        <f>+A37</f>
        <v>****</v>
      </c>
      <c r="K20" s="260" t="s">
        <v>233</v>
      </c>
      <c r="L20" s="260" t="str">
        <f>C20</f>
        <v>****</v>
      </c>
      <c r="M20" s="260" t="str">
        <f>E20</f>
        <v>****</v>
      </c>
      <c r="N20" s="166" t="s">
        <v>233</v>
      </c>
      <c r="O20" s="166" t="str">
        <f>+L20</f>
        <v>****</v>
      </c>
    </row>
    <row r="21" spans="1:15" x14ac:dyDescent="0.3">
      <c r="A21" s="144" t="s">
        <v>206</v>
      </c>
      <c r="B21" s="173" t="s">
        <v>207</v>
      </c>
      <c r="C21" s="246">
        <f>SUM(C17:C20)</f>
        <v>5375.7117059341026</v>
      </c>
      <c r="D21" s="246">
        <f>SUM(D17:D20)</f>
        <v>5688.2881059341016</v>
      </c>
      <c r="E21" s="174">
        <f t="shared" ref="E21:O21" si="4">SUM(E17:E20)</f>
        <v>5766.432205934103</v>
      </c>
      <c r="F21" s="174">
        <f t="shared" ref="F21" si="5">SUM(F17:F20)</f>
        <v>5844.5743059341021</v>
      </c>
      <c r="G21" s="174">
        <f t="shared" si="4"/>
        <v>4807.0155059341023</v>
      </c>
      <c r="H21" s="174">
        <f t="shared" si="4"/>
        <v>6323.795057434103</v>
      </c>
      <c r="I21" s="174">
        <f t="shared" si="4"/>
        <v>6499.8929090841029</v>
      </c>
      <c r="J21" s="174">
        <f t="shared" si="4"/>
        <v>4430.8165409341027</v>
      </c>
      <c r="K21" s="243">
        <f t="shared" si="4"/>
        <v>6258.5860873585925</v>
      </c>
      <c r="L21" s="243">
        <f t="shared" si="4"/>
        <v>6330.8676873585937</v>
      </c>
      <c r="M21" s="243">
        <f t="shared" ref="M21" si="6">SUM(M17:M20)</f>
        <v>6403.1472873585926</v>
      </c>
      <c r="N21" s="174">
        <f t="shared" si="4"/>
        <v>7033.591687358592</v>
      </c>
      <c r="O21" s="174">
        <f t="shared" si="4"/>
        <v>7213.7528873585925</v>
      </c>
    </row>
    <row r="22" spans="1:15" x14ac:dyDescent="0.3">
      <c r="A22" s="137" t="s">
        <v>208</v>
      </c>
      <c r="B22" s="143" t="s">
        <v>160</v>
      </c>
      <c r="C22" s="240" t="str">
        <f>+G22</f>
        <v>***</v>
      </c>
      <c r="D22" s="240" t="str">
        <f>+H22</f>
        <v>***</v>
      </c>
      <c r="E22" s="166" t="str">
        <f t="shared" si="3"/>
        <v>***</v>
      </c>
      <c r="F22" s="166" t="str">
        <f>+I22</f>
        <v>***</v>
      </c>
      <c r="G22" s="166" t="str">
        <f t="shared" ref="G22" si="7">+G18</f>
        <v>***</v>
      </c>
      <c r="H22" s="166" t="s">
        <v>231</v>
      </c>
      <c r="I22" s="166" t="str">
        <f>+G22</f>
        <v>***</v>
      </c>
      <c r="J22" s="166" t="str">
        <f>+J18</f>
        <v>***</v>
      </c>
      <c r="K22" s="237" t="s">
        <v>231</v>
      </c>
      <c r="L22" s="237" t="str">
        <f>+J22</f>
        <v>***</v>
      </c>
      <c r="M22" s="237" t="str">
        <f>+L22</f>
        <v>***</v>
      </c>
      <c r="N22" s="166" t="s">
        <v>231</v>
      </c>
      <c r="O22" s="166" t="str">
        <f>+L22</f>
        <v>***</v>
      </c>
    </row>
    <row r="23" spans="1:15" x14ac:dyDescent="0.3">
      <c r="A23" s="137" t="s">
        <v>209</v>
      </c>
      <c r="B23" s="138" t="s">
        <v>210</v>
      </c>
      <c r="C23" s="247" t="s">
        <v>235</v>
      </c>
      <c r="D23" s="247" t="s">
        <v>235</v>
      </c>
      <c r="E23" s="166" t="str">
        <f>+C23</f>
        <v>*****</v>
      </c>
      <c r="F23" s="166" t="str">
        <f>+E23</f>
        <v>*****</v>
      </c>
      <c r="G23" s="166" t="s">
        <v>211</v>
      </c>
      <c r="H23" s="166" t="s">
        <v>211</v>
      </c>
      <c r="I23" s="166" t="str">
        <f>+G23</f>
        <v>N.A</v>
      </c>
      <c r="J23" s="166" t="s">
        <v>211</v>
      </c>
      <c r="K23" s="237" t="s">
        <v>235</v>
      </c>
      <c r="L23" s="237" t="str">
        <f>+E23</f>
        <v>*****</v>
      </c>
      <c r="M23" s="237" t="str">
        <f>+F23</f>
        <v>*****</v>
      </c>
      <c r="N23" s="166" t="s">
        <v>253</v>
      </c>
      <c r="O23" s="166" t="s">
        <v>253</v>
      </c>
    </row>
    <row r="24" spans="1:15" x14ac:dyDescent="0.3">
      <c r="A24" s="137" t="s">
        <v>212</v>
      </c>
      <c r="B24" s="138" t="s">
        <v>213</v>
      </c>
      <c r="C24" s="247" t="s">
        <v>236</v>
      </c>
      <c r="D24" s="247" t="s">
        <v>236</v>
      </c>
      <c r="E24" s="166" t="str">
        <f>+C24</f>
        <v>******</v>
      </c>
      <c r="F24" s="166" t="str">
        <f>+E24</f>
        <v>******</v>
      </c>
      <c r="G24" s="166" t="str">
        <f>+C24</f>
        <v>******</v>
      </c>
      <c r="H24" s="166" t="s">
        <v>236</v>
      </c>
      <c r="I24" s="166" t="str">
        <f>+C24</f>
        <v>******</v>
      </c>
      <c r="J24" s="166" t="str">
        <f>+C24</f>
        <v>******</v>
      </c>
      <c r="K24" s="237" t="s">
        <v>236</v>
      </c>
      <c r="L24" s="237" t="str">
        <f>+C24</f>
        <v>******</v>
      </c>
      <c r="M24" s="237" t="str">
        <f>+E24</f>
        <v>******</v>
      </c>
      <c r="N24" s="166" t="s">
        <v>236</v>
      </c>
      <c r="O24" s="166" t="str">
        <f>+C24</f>
        <v>******</v>
      </c>
    </row>
    <row r="25" spans="1:15" ht="15" thickBot="1" x14ac:dyDescent="0.35">
      <c r="A25" s="148" t="s">
        <v>214</v>
      </c>
      <c r="B25" s="149" t="s">
        <v>215</v>
      </c>
      <c r="C25" s="248"/>
      <c r="D25" s="248"/>
      <c r="E25" s="176"/>
      <c r="F25" s="176"/>
      <c r="G25" s="176"/>
      <c r="H25" s="176"/>
      <c r="I25" s="176"/>
      <c r="J25" s="176"/>
      <c r="K25" s="249"/>
      <c r="L25" s="249"/>
      <c r="M25" s="202"/>
      <c r="N25" s="202"/>
      <c r="O25" s="176"/>
    </row>
    <row r="26" spans="1:15" ht="15" thickTop="1" x14ac:dyDescent="0.3">
      <c r="A26" s="153"/>
      <c r="B26" s="154"/>
      <c r="C26" s="154"/>
      <c r="D26" s="154"/>
      <c r="E26" s="155"/>
      <c r="F26" s="155"/>
      <c r="G26" s="155"/>
      <c r="H26" s="155"/>
      <c r="I26" s="155"/>
      <c r="J26" s="155"/>
      <c r="K26" s="155"/>
      <c r="L26" s="155"/>
      <c r="M26" s="155"/>
      <c r="N26" s="155"/>
      <c r="O26" s="155"/>
    </row>
    <row r="27" spans="1:15" x14ac:dyDescent="0.3">
      <c r="A27" s="153"/>
      <c r="B27" s="256" t="s">
        <v>227</v>
      </c>
      <c r="C27" s="154"/>
      <c r="D27" s="154"/>
      <c r="E27" s="155"/>
      <c r="F27" s="155"/>
      <c r="G27" s="155"/>
      <c r="H27" s="155"/>
      <c r="I27" s="155"/>
      <c r="J27" s="155"/>
      <c r="K27" s="155"/>
      <c r="L27" s="155"/>
      <c r="M27" s="155"/>
      <c r="N27" s="155"/>
      <c r="O27" s="155"/>
    </row>
    <row r="28" spans="1:15" x14ac:dyDescent="0.3">
      <c r="A28" s="153"/>
      <c r="B28" s="154"/>
      <c r="C28" s="154"/>
      <c r="D28" s="154"/>
      <c r="E28" s="155"/>
      <c r="F28" s="155"/>
      <c r="G28" s="155"/>
      <c r="H28" s="155"/>
      <c r="I28" s="155"/>
      <c r="J28" s="155"/>
      <c r="K28" s="155"/>
      <c r="L28" s="155"/>
      <c r="M28" s="155"/>
      <c r="N28" s="155"/>
      <c r="O28" s="155"/>
    </row>
    <row r="29" spans="1:15" ht="31.05" customHeight="1" x14ac:dyDescent="0.3">
      <c r="A29" s="156" t="s">
        <v>190</v>
      </c>
      <c r="B29" s="914" t="str">
        <f>+'LA GUAJIRA'!B78:J78</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618"/>
      <c r="N29" s="659"/>
      <c r="O29" s="155"/>
    </row>
    <row r="30" spans="1:15" x14ac:dyDescent="0.3">
      <c r="A30" s="156" t="s">
        <v>217</v>
      </c>
      <c r="B30" s="892" t="s">
        <v>269</v>
      </c>
      <c r="C30" s="892"/>
      <c r="D30" s="892"/>
      <c r="E30" s="892"/>
      <c r="F30" s="892"/>
      <c r="G30" s="892"/>
      <c r="H30" s="892"/>
      <c r="I30" s="892"/>
      <c r="J30" s="892"/>
      <c r="K30" s="892"/>
      <c r="L30" s="892"/>
      <c r="M30" s="616"/>
      <c r="N30" s="657"/>
      <c r="O30" s="155"/>
    </row>
    <row r="31" spans="1:15" ht="72.599999999999994" customHeight="1" x14ac:dyDescent="0.3">
      <c r="A31" s="156" t="s">
        <v>133</v>
      </c>
      <c r="B31" s="914" t="s">
        <v>325</v>
      </c>
      <c r="C31" s="914"/>
      <c r="D31" s="914"/>
      <c r="E31" s="914"/>
      <c r="F31" s="914"/>
      <c r="G31" s="914"/>
      <c r="H31" s="914"/>
      <c r="I31" s="914"/>
      <c r="J31" s="914"/>
      <c r="K31" s="914"/>
      <c r="L31" s="914"/>
      <c r="M31" s="618"/>
      <c r="N31" s="659"/>
      <c r="O31" s="155"/>
    </row>
    <row r="32" spans="1:15" ht="21" customHeight="1" x14ac:dyDescent="0.3">
      <c r="A32" s="156"/>
      <c r="B32" s="957"/>
      <c r="C32" s="957"/>
      <c r="D32" s="957"/>
      <c r="E32" s="957"/>
      <c r="F32" s="957"/>
      <c r="G32" s="957"/>
      <c r="H32" s="957"/>
      <c r="I32" s="957"/>
      <c r="J32" s="957"/>
      <c r="K32" s="767"/>
      <c r="L32" s="227"/>
      <c r="M32" s="618"/>
      <c r="N32" s="659"/>
      <c r="O32" s="155"/>
    </row>
    <row r="33" spans="1:24" x14ac:dyDescent="0.3">
      <c r="A33" s="156"/>
      <c r="B33" s="177"/>
      <c r="C33" s="177"/>
      <c r="D33" s="177"/>
      <c r="E33" s="206"/>
      <c r="F33" s="206"/>
      <c r="G33" s="206"/>
      <c r="H33" s="206"/>
      <c r="I33" s="206"/>
      <c r="J33" s="206"/>
      <c r="K33" s="206"/>
      <c r="L33" s="206"/>
      <c r="M33" s="206"/>
      <c r="N33" s="206"/>
      <c r="O33" s="206"/>
    </row>
    <row r="34" spans="1:24" x14ac:dyDescent="0.3">
      <c r="A34" s="178" t="s">
        <v>102</v>
      </c>
      <c r="B34" s="891" t="s">
        <v>228</v>
      </c>
      <c r="C34" s="891"/>
      <c r="D34" s="891"/>
      <c r="E34" s="891"/>
      <c r="F34" s="891"/>
      <c r="G34" s="891"/>
      <c r="H34" s="891"/>
      <c r="I34" s="891"/>
      <c r="J34" s="891"/>
      <c r="K34" s="891"/>
      <c r="L34" s="891"/>
      <c r="M34" s="615"/>
      <c r="N34" s="658"/>
      <c r="O34" s="251"/>
    </row>
    <row r="35" spans="1:24" ht="23.4" customHeight="1" x14ac:dyDescent="0.3">
      <c r="A35" s="178" t="s">
        <v>229</v>
      </c>
      <c r="B35" s="891" t="s">
        <v>260</v>
      </c>
      <c r="C35" s="891"/>
      <c r="D35" s="891"/>
      <c r="E35" s="891"/>
      <c r="F35" s="891"/>
      <c r="G35" s="891"/>
      <c r="H35" s="891"/>
      <c r="I35" s="891"/>
      <c r="J35" s="891"/>
      <c r="K35" s="891"/>
      <c r="L35" s="891"/>
      <c r="M35" s="891"/>
      <c r="N35" s="891"/>
      <c r="O35" s="891"/>
    </row>
    <row r="36" spans="1:24" ht="22.65" customHeight="1" x14ac:dyDescent="0.3">
      <c r="A36" s="178" t="s">
        <v>231</v>
      </c>
      <c r="B36" s="891" t="s">
        <v>270</v>
      </c>
      <c r="C36" s="891"/>
      <c r="D36" s="891"/>
      <c r="E36" s="891"/>
      <c r="F36" s="891"/>
      <c r="G36" s="891"/>
      <c r="H36" s="891"/>
      <c r="I36" s="891"/>
      <c r="J36" s="891"/>
      <c r="K36" s="891"/>
      <c r="L36" s="891"/>
      <c r="M36" s="891"/>
      <c r="N36" s="891"/>
      <c r="O36" s="891"/>
    </row>
    <row r="37" spans="1:24" x14ac:dyDescent="0.3">
      <c r="A37" s="178" t="s">
        <v>233</v>
      </c>
      <c r="B37" s="891" t="s">
        <v>454</v>
      </c>
      <c r="C37" s="891"/>
      <c r="D37" s="891"/>
      <c r="E37" s="891"/>
      <c r="F37" s="891"/>
      <c r="G37" s="891"/>
      <c r="H37" s="891"/>
      <c r="I37" s="891"/>
      <c r="J37" s="891"/>
      <c r="K37" s="891"/>
      <c r="L37" s="891"/>
      <c r="M37" s="891"/>
      <c r="N37" s="891"/>
      <c r="O37" s="891"/>
    </row>
    <row r="38" spans="1:24" ht="23.4" customHeight="1" x14ac:dyDescent="0.3">
      <c r="A38" s="178" t="s">
        <v>235</v>
      </c>
      <c r="B38" s="891" t="s">
        <v>237</v>
      </c>
      <c r="C38" s="891"/>
      <c r="D38" s="891"/>
      <c r="E38" s="891"/>
      <c r="F38" s="891"/>
      <c r="G38" s="891"/>
      <c r="H38" s="891"/>
      <c r="I38" s="891"/>
      <c r="J38" s="891"/>
      <c r="K38" s="762"/>
      <c r="L38" s="225"/>
      <c r="M38" s="615"/>
      <c r="N38" s="658"/>
      <c r="O38" s="252"/>
    </row>
    <row r="39" spans="1:24" x14ac:dyDescent="0.3">
      <c r="A39" s="178" t="s">
        <v>236</v>
      </c>
      <c r="B39" s="891" t="s">
        <v>266</v>
      </c>
      <c r="C39" s="891"/>
      <c r="D39" s="891"/>
      <c r="E39" s="891"/>
      <c r="F39" s="891"/>
      <c r="G39" s="891"/>
      <c r="H39" s="891"/>
      <c r="I39" s="891"/>
      <c r="J39" s="891"/>
      <c r="K39" s="891"/>
      <c r="L39" s="891"/>
      <c r="M39" s="891"/>
      <c r="N39" s="891"/>
      <c r="O39" s="891"/>
    </row>
    <row r="40" spans="1:24" x14ac:dyDescent="0.3">
      <c r="A40" s="233"/>
      <c r="B40" s="234"/>
      <c r="C40" s="234"/>
      <c r="D40" s="234"/>
      <c r="E40" s="234"/>
      <c r="F40" s="234"/>
      <c r="G40" s="234"/>
      <c r="H40" s="234"/>
      <c r="I40" s="234"/>
      <c r="J40" s="234"/>
      <c r="K40" s="234"/>
      <c r="L40" s="234"/>
      <c r="M40" s="234"/>
      <c r="N40" s="234"/>
      <c r="O40" s="234"/>
    </row>
    <row r="41" spans="1:24" ht="97.5" customHeight="1" x14ac:dyDescent="0.3">
      <c r="A41" s="894" t="s">
        <v>147</v>
      </c>
      <c r="B41" s="894"/>
      <c r="C41" s="894"/>
      <c r="D41" s="894"/>
      <c r="E41" s="894"/>
      <c r="F41" s="894"/>
      <c r="G41" s="894"/>
      <c r="H41" s="894"/>
      <c r="I41" s="894"/>
      <c r="J41" s="894"/>
      <c r="K41" s="894"/>
      <c r="L41" s="894"/>
      <c r="M41" s="617"/>
      <c r="N41" s="661"/>
    </row>
    <row r="42" spans="1:24" x14ac:dyDescent="0.3">
      <c r="A42" s="266"/>
      <c r="B42" s="266"/>
      <c r="C42" s="266"/>
      <c r="D42" s="764"/>
      <c r="E42" s="266"/>
      <c r="F42" s="617"/>
      <c r="G42" s="266"/>
      <c r="H42" s="661"/>
      <c r="I42" s="266"/>
      <c r="J42" s="266"/>
      <c r="K42" s="764"/>
      <c r="L42" s="266"/>
      <c r="M42" s="617"/>
      <c r="N42" s="661"/>
    </row>
    <row r="43" spans="1:24" hidden="1" x14ac:dyDescent="0.3">
      <c r="B43" t="str">
        <f>+AMAZONAS!C1</f>
        <v>Vigencia: 16 de Julio de 2022; 00:00 horas</v>
      </c>
    </row>
    <row r="44" spans="1:24" hidden="1" x14ac:dyDescent="0.3">
      <c r="A44" s="955" t="s">
        <v>179</v>
      </c>
      <c r="B44" s="955"/>
      <c r="C44" s="956"/>
      <c r="D44" s="956"/>
      <c r="E44" s="956"/>
      <c r="F44" s="956"/>
      <c r="G44" s="956"/>
      <c r="H44" s="956"/>
      <c r="I44" s="956"/>
      <c r="J44" s="956"/>
      <c r="K44" s="956"/>
      <c r="L44" s="956"/>
      <c r="M44" s="956"/>
      <c r="N44" s="956"/>
      <c r="O44" s="956"/>
      <c r="P44" s="956"/>
      <c r="Q44" s="956"/>
      <c r="R44" s="956"/>
      <c r="S44" s="956"/>
      <c r="T44" s="228"/>
      <c r="U44" s="228"/>
      <c r="V44" s="228"/>
      <c r="W44" s="278"/>
      <c r="X44" s="278"/>
    </row>
    <row r="45" spans="1:24" ht="15" hidden="1" thickTop="1" x14ac:dyDescent="0.3">
      <c r="A45" s="279"/>
      <c r="B45" s="953" t="s">
        <v>279</v>
      </c>
      <c r="C45" s="917" t="s">
        <v>180</v>
      </c>
      <c r="D45" s="917"/>
      <c r="E45" s="917"/>
      <c r="F45" s="619"/>
      <c r="G45" s="949" t="s">
        <v>249</v>
      </c>
      <c r="H45" s="949"/>
      <c r="I45" s="950"/>
    </row>
    <row r="46" spans="1:24" hidden="1" x14ac:dyDescent="0.3">
      <c r="A46" s="134"/>
      <c r="B46" s="954"/>
      <c r="C46" s="948"/>
      <c r="D46" s="948"/>
      <c r="E46" s="948"/>
      <c r="F46" s="621"/>
      <c r="G46" s="951"/>
      <c r="H46" s="951"/>
      <c r="I46" s="952"/>
    </row>
    <row r="47" spans="1:24" ht="25.5" hidden="1" customHeight="1" x14ac:dyDescent="0.3">
      <c r="A47" s="895" t="s">
        <v>181</v>
      </c>
      <c r="B47" s="945" t="s">
        <v>182</v>
      </c>
      <c r="C47" s="280" t="s">
        <v>96</v>
      </c>
      <c r="D47" s="637"/>
      <c r="E47" s="281" t="s">
        <v>281</v>
      </c>
      <c r="F47" s="637"/>
      <c r="G47" s="280" t="s">
        <v>96</v>
      </c>
      <c r="H47" s="637"/>
      <c r="I47" s="281" t="s">
        <v>281</v>
      </c>
    </row>
    <row r="48" spans="1:24" ht="27.6" hidden="1" x14ac:dyDescent="0.3">
      <c r="A48" s="895"/>
      <c r="B48" s="945"/>
      <c r="C48" s="282" t="s">
        <v>282</v>
      </c>
      <c r="D48" s="669"/>
      <c r="E48" s="283" t="s">
        <v>282</v>
      </c>
      <c r="F48" s="638"/>
      <c r="G48" s="282" t="s">
        <v>282</v>
      </c>
      <c r="H48" s="669"/>
      <c r="I48" s="283" t="s">
        <v>282</v>
      </c>
    </row>
    <row r="49" spans="1:9" hidden="1" x14ac:dyDescent="0.3">
      <c r="A49" s="896"/>
      <c r="B49" s="946"/>
      <c r="C49" s="284" t="s">
        <v>183</v>
      </c>
      <c r="D49" s="639"/>
      <c r="E49" s="285" t="s">
        <v>183</v>
      </c>
      <c r="F49" s="639"/>
      <c r="G49" s="284" t="s">
        <v>183</v>
      </c>
      <c r="H49" s="639"/>
      <c r="I49" s="285" t="s">
        <v>183</v>
      </c>
    </row>
    <row r="50" spans="1:9" hidden="1" x14ac:dyDescent="0.3">
      <c r="A50" s="137" t="s">
        <v>184</v>
      </c>
      <c r="B50" s="286" t="s">
        <v>185</v>
      </c>
      <c r="C50" s="139" t="e">
        <f>+'Calculo IP ZDF'!#REF!</f>
        <v>#REF!</v>
      </c>
      <c r="D50" s="139"/>
      <c r="E50" s="139" t="e">
        <f>+'Calculo IP ZDF'!#REF!</f>
        <v>#REF!</v>
      </c>
      <c r="F50" s="139"/>
      <c r="G50" s="175" t="e">
        <f>+'Calculo IP ZDF'!#REF!</f>
        <v>#REF!</v>
      </c>
      <c r="H50" s="189"/>
      <c r="I50" s="140" t="e">
        <f>+'Calculo IP ZDF'!#REF!</f>
        <v>#REF!</v>
      </c>
    </row>
    <row r="51" spans="1:9" hidden="1" x14ac:dyDescent="0.3">
      <c r="A51" s="137" t="s">
        <v>186</v>
      </c>
      <c r="B51" s="286" t="s">
        <v>187</v>
      </c>
      <c r="C51" s="147" t="s">
        <v>188</v>
      </c>
      <c r="D51" s="670"/>
      <c r="E51" s="142" t="s">
        <v>188</v>
      </c>
      <c r="F51" s="189"/>
      <c r="G51" s="175">
        <v>526.26030379999997</v>
      </c>
      <c r="H51" s="189"/>
      <c r="I51" s="140">
        <v>503.70629078000002</v>
      </c>
    </row>
    <row r="52" spans="1:9" hidden="1" x14ac:dyDescent="0.3">
      <c r="A52" s="137"/>
      <c r="B52" s="286" t="s">
        <v>132</v>
      </c>
      <c r="C52" s="147" t="s">
        <v>188</v>
      </c>
      <c r="D52" s="670"/>
      <c r="E52" s="142" t="s">
        <v>188</v>
      </c>
      <c r="F52" s="189"/>
      <c r="G52" s="287" t="s">
        <v>217</v>
      </c>
      <c r="H52" s="665"/>
      <c r="I52" s="142" t="s">
        <v>217</v>
      </c>
    </row>
    <row r="53" spans="1:9" hidden="1" x14ac:dyDescent="0.3">
      <c r="A53" s="137"/>
      <c r="B53" s="286" t="s">
        <v>134</v>
      </c>
      <c r="C53" s="147">
        <v>148</v>
      </c>
      <c r="D53" s="670"/>
      <c r="E53" s="142">
        <v>166</v>
      </c>
      <c r="F53" s="189"/>
      <c r="G53" s="200">
        <v>148</v>
      </c>
      <c r="H53" s="189"/>
      <c r="I53" s="142">
        <v>166</v>
      </c>
    </row>
    <row r="54" spans="1:9" hidden="1" x14ac:dyDescent="0.3">
      <c r="A54" s="137" t="s">
        <v>191</v>
      </c>
      <c r="B54" s="286" t="s">
        <v>192</v>
      </c>
      <c r="C54" s="147" t="s">
        <v>188</v>
      </c>
      <c r="D54" s="670"/>
      <c r="E54" s="142" t="s">
        <v>188</v>
      </c>
      <c r="F54" s="189"/>
      <c r="G54" s="147" t="s">
        <v>188</v>
      </c>
      <c r="H54" s="670"/>
      <c r="I54" s="142" t="s">
        <v>188</v>
      </c>
    </row>
    <row r="55" spans="1:9" hidden="1" x14ac:dyDescent="0.3">
      <c r="A55" s="137" t="s">
        <v>193</v>
      </c>
      <c r="B55" s="286" t="s">
        <v>194</v>
      </c>
      <c r="C55" s="147" t="s">
        <v>188</v>
      </c>
      <c r="D55" s="670"/>
      <c r="E55" s="142" t="s">
        <v>188</v>
      </c>
      <c r="F55" s="189"/>
      <c r="G55" s="147" t="s">
        <v>188</v>
      </c>
      <c r="H55" s="670"/>
      <c r="I55" s="142" t="s">
        <v>188</v>
      </c>
    </row>
    <row r="56" spans="1:9" hidden="1" x14ac:dyDescent="0.3">
      <c r="A56" s="137" t="s">
        <v>195</v>
      </c>
      <c r="B56" s="286" t="s">
        <v>283</v>
      </c>
      <c r="C56" s="147">
        <v>12.2</v>
      </c>
      <c r="D56" s="670"/>
      <c r="E56" s="142">
        <f>+C56</f>
        <v>12.2</v>
      </c>
      <c r="F56" s="189"/>
      <c r="G56" s="147">
        <f>+E56</f>
        <v>12.2</v>
      </c>
      <c r="H56" s="670"/>
      <c r="I56" s="142">
        <f>+C56</f>
        <v>12.2</v>
      </c>
    </row>
    <row r="57" spans="1:9" hidden="1" x14ac:dyDescent="0.3">
      <c r="A57" s="137"/>
      <c r="B57" s="286" t="s">
        <v>197</v>
      </c>
      <c r="C57" s="139">
        <v>71.510000000000005</v>
      </c>
      <c r="D57" s="192"/>
      <c r="E57" s="140">
        <f>+C57</f>
        <v>71.510000000000005</v>
      </c>
      <c r="F57" s="192"/>
      <c r="G57" s="139">
        <f>+C57</f>
        <v>71.510000000000005</v>
      </c>
      <c r="H57" s="192"/>
      <c r="I57" s="140">
        <f>+E57</f>
        <v>71.510000000000005</v>
      </c>
    </row>
    <row r="58" spans="1:9" hidden="1" x14ac:dyDescent="0.3">
      <c r="A58" s="144" t="s">
        <v>198</v>
      </c>
      <c r="B58" s="288" t="s">
        <v>199</v>
      </c>
      <c r="C58" s="145" t="e">
        <f>SUM(C50:C57)</f>
        <v>#REF!</v>
      </c>
      <c r="D58" s="198"/>
      <c r="E58" s="146" t="e">
        <f t="shared" ref="E58:I58" si="8">SUM(E50:E57)</f>
        <v>#REF!</v>
      </c>
      <c r="F58" s="198"/>
      <c r="G58" s="145" t="e">
        <f t="shared" si="8"/>
        <v>#REF!</v>
      </c>
      <c r="H58" s="198"/>
      <c r="I58" s="146" t="e">
        <f t="shared" si="8"/>
        <v>#REF!</v>
      </c>
    </row>
    <row r="59" spans="1:9" hidden="1" x14ac:dyDescent="0.3">
      <c r="A59" s="137" t="s">
        <v>200</v>
      </c>
      <c r="B59" s="286" t="s">
        <v>263</v>
      </c>
      <c r="C59" s="139" t="s">
        <v>231</v>
      </c>
      <c r="D59" s="192"/>
      <c r="E59" s="140" t="s">
        <v>231</v>
      </c>
      <c r="F59" s="192"/>
      <c r="G59" s="139" t="s">
        <v>231</v>
      </c>
      <c r="H59" s="192"/>
      <c r="I59" s="140" t="s">
        <v>231</v>
      </c>
    </row>
    <row r="60" spans="1:9" hidden="1" x14ac:dyDescent="0.3">
      <c r="A60" s="137" t="s">
        <v>204</v>
      </c>
      <c r="B60" s="286" t="s">
        <v>139</v>
      </c>
      <c r="C60" s="139" t="s">
        <v>233</v>
      </c>
      <c r="D60" s="192"/>
      <c r="E60" s="140" t="s">
        <v>233</v>
      </c>
      <c r="F60" s="192"/>
      <c r="G60" s="139" t="s">
        <v>233</v>
      </c>
      <c r="H60" s="192"/>
      <c r="I60" s="140" t="s">
        <v>233</v>
      </c>
    </row>
    <row r="61" spans="1:9" hidden="1" x14ac:dyDescent="0.3">
      <c r="A61" s="144" t="s">
        <v>206</v>
      </c>
      <c r="B61" s="288" t="s">
        <v>207</v>
      </c>
      <c r="C61" s="145">
        <v>5316.4418400000004</v>
      </c>
      <c r="D61" s="198"/>
      <c r="E61" s="146">
        <v>5474.7219600000008</v>
      </c>
      <c r="F61" s="198"/>
      <c r="G61" s="145">
        <v>6314.9703037999998</v>
      </c>
      <c r="H61" s="198"/>
      <c r="I61" s="146">
        <v>6956.0162907800004</v>
      </c>
    </row>
    <row r="62" spans="1:9" hidden="1" x14ac:dyDescent="0.3">
      <c r="A62" s="137" t="s">
        <v>208</v>
      </c>
      <c r="B62" s="286" t="s">
        <v>160</v>
      </c>
      <c r="C62" s="139" t="s">
        <v>231</v>
      </c>
      <c r="D62" s="192"/>
      <c r="E62" s="140" t="s">
        <v>231</v>
      </c>
      <c r="F62" s="192"/>
      <c r="G62" s="139" t="s">
        <v>231</v>
      </c>
      <c r="H62" s="192"/>
      <c r="I62" s="140" t="s">
        <v>231</v>
      </c>
    </row>
    <row r="63" spans="1:9" hidden="1" x14ac:dyDescent="0.3">
      <c r="A63" s="137" t="s">
        <v>209</v>
      </c>
      <c r="B63" s="286" t="s">
        <v>210</v>
      </c>
      <c r="C63" s="175" t="s">
        <v>235</v>
      </c>
      <c r="D63" s="189"/>
      <c r="E63" s="140" t="s">
        <v>211</v>
      </c>
      <c r="F63" s="192"/>
      <c r="G63" s="139" t="s">
        <v>235</v>
      </c>
      <c r="H63" s="192"/>
      <c r="I63" s="142" t="s">
        <v>211</v>
      </c>
    </row>
    <row r="64" spans="1:9" hidden="1" x14ac:dyDescent="0.3">
      <c r="A64" s="137" t="s">
        <v>212</v>
      </c>
      <c r="B64" s="286" t="s">
        <v>284</v>
      </c>
      <c r="C64" s="175" t="s">
        <v>236</v>
      </c>
      <c r="D64" s="189"/>
      <c r="E64" s="142" t="s">
        <v>236</v>
      </c>
      <c r="F64" s="189"/>
      <c r="G64" s="175" t="s">
        <v>236</v>
      </c>
      <c r="H64" s="189"/>
      <c r="I64" s="142" t="s">
        <v>236</v>
      </c>
    </row>
    <row r="65" spans="1:24" ht="15" hidden="1" thickBot="1" x14ac:dyDescent="0.35">
      <c r="A65" s="148" t="s">
        <v>214</v>
      </c>
      <c r="B65" s="289" t="s">
        <v>215</v>
      </c>
      <c r="C65" s="176"/>
      <c r="D65" s="176"/>
      <c r="E65" s="176"/>
      <c r="F65" s="176"/>
      <c r="G65" s="176"/>
      <c r="H65" s="224"/>
      <c r="I65" s="151"/>
    </row>
    <row r="66" spans="1:24" hidden="1" x14ac:dyDescent="0.3">
      <c r="A66" s="153"/>
      <c r="B66" s="290"/>
      <c r="C66" s="290"/>
      <c r="D66" s="290"/>
      <c r="E66" s="291"/>
      <c r="F66" s="291"/>
      <c r="G66" s="291"/>
      <c r="H66" s="291"/>
      <c r="I66" s="291"/>
      <c r="J66" s="291"/>
      <c r="K66" s="291"/>
      <c r="L66" s="292"/>
      <c r="M66" s="292"/>
      <c r="N66" s="292"/>
      <c r="O66" s="292"/>
      <c r="P66" s="292"/>
      <c r="Q66" s="292"/>
      <c r="R66" s="292"/>
      <c r="S66" s="292"/>
      <c r="T66" s="292"/>
      <c r="U66" s="292"/>
      <c r="V66" s="292"/>
      <c r="W66" s="251"/>
      <c r="X66" s="251"/>
    </row>
    <row r="67" spans="1:24" hidden="1" x14ac:dyDescent="0.3">
      <c r="A67" s="153"/>
      <c r="B67" s="256" t="s">
        <v>227</v>
      </c>
      <c r="C67" s="154"/>
      <c r="D67" s="154"/>
      <c r="E67" s="155"/>
      <c r="F67" s="155"/>
      <c r="G67" s="155"/>
      <c r="H67" s="155"/>
      <c r="I67" s="155"/>
      <c r="J67" s="155"/>
      <c r="K67" s="155"/>
      <c r="L67" s="155"/>
      <c r="M67" s="155"/>
      <c r="N67" s="155"/>
      <c r="O67" s="155"/>
      <c r="P67" s="252"/>
      <c r="Q67" s="252"/>
      <c r="R67" s="252"/>
      <c r="S67" s="252"/>
      <c r="T67" s="252"/>
      <c r="U67" s="252"/>
      <c r="V67" s="252"/>
      <c r="W67" s="251"/>
      <c r="X67" s="251"/>
    </row>
    <row r="68" spans="1:24" hidden="1" x14ac:dyDescent="0.3">
      <c r="A68" s="153"/>
      <c r="B68" s="154"/>
      <c r="C68" s="154"/>
      <c r="D68" s="154"/>
      <c r="E68" s="155"/>
      <c r="F68" s="155"/>
      <c r="G68" s="155"/>
      <c r="H68" s="155"/>
      <c r="I68" s="155"/>
      <c r="J68" s="155"/>
      <c r="K68" s="155"/>
      <c r="L68" s="155"/>
      <c r="M68" s="155"/>
      <c r="N68" s="155"/>
      <c r="O68" s="155"/>
      <c r="P68" s="252"/>
      <c r="Q68" s="252"/>
      <c r="R68" s="252"/>
      <c r="S68" s="252"/>
      <c r="T68" s="252"/>
      <c r="U68" s="252"/>
      <c r="V68" s="252"/>
      <c r="W68" s="251"/>
      <c r="X68" s="251"/>
    </row>
    <row r="69" spans="1:24" hidden="1" x14ac:dyDescent="0.3">
      <c r="A69" s="156" t="s">
        <v>190</v>
      </c>
      <c r="B69" s="947" t="s">
        <v>259</v>
      </c>
      <c r="C69" s="947"/>
      <c r="D69" s="947"/>
      <c r="E69" s="947"/>
      <c r="F69" s="947"/>
      <c r="G69" s="947"/>
      <c r="H69" s="947"/>
      <c r="I69" s="947"/>
      <c r="J69" s="947"/>
      <c r="K69" s="947"/>
      <c r="L69" s="947"/>
      <c r="M69" s="620"/>
      <c r="N69" s="662"/>
      <c r="O69" s="155"/>
      <c r="P69" s="252"/>
      <c r="Q69" s="252"/>
      <c r="R69" s="252"/>
      <c r="S69" s="252"/>
      <c r="T69" s="252"/>
      <c r="U69" s="252"/>
      <c r="V69" s="252"/>
      <c r="W69" s="251"/>
      <c r="X69" s="251"/>
    </row>
    <row r="70" spans="1:24" hidden="1" x14ac:dyDescent="0.3">
      <c r="A70" s="156" t="s">
        <v>133</v>
      </c>
      <c r="B70" s="914" t="s">
        <v>241</v>
      </c>
      <c r="C70" s="914"/>
      <c r="D70" s="914"/>
      <c r="E70" s="914"/>
      <c r="F70" s="914"/>
      <c r="G70" s="914"/>
      <c r="H70" s="914"/>
      <c r="I70" s="914"/>
      <c r="J70" s="914"/>
      <c r="K70" s="914"/>
      <c r="L70" s="914"/>
      <c r="M70" s="618"/>
      <c r="N70" s="659"/>
      <c r="O70" s="155"/>
      <c r="P70" s="252"/>
      <c r="Q70" s="252"/>
      <c r="R70" s="252"/>
      <c r="S70" s="252"/>
      <c r="T70" s="252"/>
      <c r="U70" s="252"/>
      <c r="V70" s="252"/>
      <c r="W70" s="251"/>
      <c r="X70" s="251"/>
    </row>
    <row r="71" spans="1:24" hidden="1" x14ac:dyDescent="0.3">
      <c r="A71" s="156"/>
      <c r="B71" s="268"/>
      <c r="C71" s="268"/>
      <c r="D71" s="763"/>
      <c r="E71" s="268"/>
      <c r="F71" s="618"/>
      <c r="G71" s="268"/>
      <c r="H71" s="659"/>
      <c r="I71" s="268"/>
      <c r="J71" s="268"/>
      <c r="K71" s="763"/>
      <c r="L71" s="268"/>
      <c r="M71" s="618"/>
      <c r="N71" s="659"/>
      <c r="O71" s="155"/>
      <c r="P71" s="252"/>
      <c r="Q71" s="252"/>
      <c r="R71" s="252"/>
      <c r="S71" s="252"/>
      <c r="T71" s="252"/>
      <c r="U71" s="252"/>
      <c r="V71" s="252"/>
      <c r="W71" s="251"/>
      <c r="X71" s="251"/>
    </row>
    <row r="72" spans="1:24" hidden="1" x14ac:dyDescent="0.3">
      <c r="A72" s="156"/>
      <c r="B72" s="177" t="s">
        <v>158</v>
      </c>
      <c r="C72" s="177"/>
      <c r="D72" s="177"/>
      <c r="E72" s="206"/>
      <c r="F72" s="206"/>
      <c r="G72" s="206"/>
      <c r="H72" s="206"/>
      <c r="I72" s="206"/>
      <c r="J72" s="206"/>
      <c r="K72" s="206"/>
      <c r="L72" s="206"/>
      <c r="M72" s="206"/>
      <c r="N72" s="206"/>
      <c r="O72" s="206"/>
      <c r="P72" s="252"/>
      <c r="Q72" s="252"/>
      <c r="R72" s="252"/>
      <c r="S72" s="252"/>
      <c r="T72" s="252"/>
      <c r="U72" s="252"/>
      <c r="V72" s="252"/>
      <c r="W72" s="251"/>
      <c r="X72" s="251"/>
    </row>
    <row r="73" spans="1:24" hidden="1" x14ac:dyDescent="0.3">
      <c r="A73" s="178" t="s">
        <v>102</v>
      </c>
      <c r="B73" s="891" t="s">
        <v>228</v>
      </c>
      <c r="C73" s="891"/>
      <c r="D73" s="891"/>
      <c r="E73" s="891"/>
      <c r="F73" s="891"/>
      <c r="G73" s="891"/>
      <c r="H73" s="891"/>
      <c r="I73" s="891"/>
      <c r="J73" s="891"/>
      <c r="K73" s="891"/>
      <c r="L73" s="891"/>
      <c r="M73" s="615"/>
      <c r="N73" s="658"/>
      <c r="O73" s="251"/>
      <c r="P73" s="252"/>
      <c r="Q73" s="252"/>
      <c r="R73" s="252"/>
      <c r="S73" s="252"/>
      <c r="T73" s="252"/>
      <c r="U73" s="252"/>
      <c r="V73" s="252"/>
      <c r="W73" s="251"/>
      <c r="X73" s="251"/>
    </row>
    <row r="74" spans="1:24" hidden="1" x14ac:dyDescent="0.3">
      <c r="A74" s="178" t="s">
        <v>229</v>
      </c>
      <c r="B74" s="891" t="s">
        <v>260</v>
      </c>
      <c r="C74" s="891"/>
      <c r="D74" s="891"/>
      <c r="E74" s="891"/>
      <c r="F74" s="891"/>
      <c r="G74" s="891"/>
      <c r="H74" s="891"/>
      <c r="I74" s="891"/>
      <c r="J74" s="891"/>
      <c r="K74" s="891"/>
      <c r="L74" s="891"/>
      <c r="M74" s="891"/>
      <c r="N74" s="891"/>
      <c r="O74" s="891"/>
      <c r="P74" s="252"/>
      <c r="Q74" s="252"/>
      <c r="R74" s="252"/>
      <c r="S74" s="252"/>
      <c r="T74" s="252"/>
      <c r="U74" s="252"/>
      <c r="V74" s="252"/>
      <c r="W74" s="251"/>
      <c r="X74" s="251"/>
    </row>
    <row r="75" spans="1:24" hidden="1" x14ac:dyDescent="0.3">
      <c r="A75" s="178" t="s">
        <v>231</v>
      </c>
      <c r="B75" s="891" t="s">
        <v>270</v>
      </c>
      <c r="C75" s="891"/>
      <c r="D75" s="891"/>
      <c r="E75" s="891"/>
      <c r="F75" s="891"/>
      <c r="G75" s="891"/>
      <c r="H75" s="891"/>
      <c r="I75" s="891"/>
      <c r="J75" s="891"/>
      <c r="K75" s="891"/>
      <c r="L75" s="891"/>
      <c r="M75" s="891"/>
      <c r="N75" s="891"/>
      <c r="O75" s="891"/>
      <c r="P75" s="252"/>
      <c r="Q75" s="252"/>
      <c r="R75" s="252"/>
      <c r="S75" s="252"/>
      <c r="T75" s="252"/>
      <c r="U75" s="252"/>
      <c r="V75" s="252"/>
      <c r="W75" s="251"/>
      <c r="X75" s="251"/>
    </row>
    <row r="76" spans="1:24" hidden="1" x14ac:dyDescent="0.3">
      <c r="A76" s="178" t="s">
        <v>233</v>
      </c>
      <c r="B76" s="891" t="s">
        <v>265</v>
      </c>
      <c r="C76" s="891"/>
      <c r="D76" s="891"/>
      <c r="E76" s="891"/>
      <c r="F76" s="891"/>
      <c r="G76" s="891"/>
      <c r="H76" s="891"/>
      <c r="I76" s="891"/>
      <c r="J76" s="891"/>
      <c r="K76" s="891"/>
      <c r="L76" s="891"/>
      <c r="M76" s="891"/>
      <c r="N76" s="891"/>
      <c r="O76" s="891"/>
      <c r="P76" s="252"/>
      <c r="Q76" s="252"/>
      <c r="R76" s="252"/>
      <c r="S76" s="252"/>
      <c r="T76" s="252"/>
      <c r="U76" s="252"/>
      <c r="V76" s="252"/>
      <c r="W76" s="251"/>
      <c r="X76" s="251"/>
    </row>
    <row r="77" spans="1:24" hidden="1" x14ac:dyDescent="0.3">
      <c r="A77" s="178" t="s">
        <v>235</v>
      </c>
      <c r="B77" s="891" t="s">
        <v>237</v>
      </c>
      <c r="C77" s="891"/>
      <c r="D77" s="891"/>
      <c r="E77" s="891"/>
      <c r="F77" s="891"/>
      <c r="G77" s="891"/>
      <c r="H77" s="891"/>
      <c r="I77" s="891"/>
      <c r="J77" s="891"/>
      <c r="K77" s="762"/>
      <c r="L77" s="265"/>
      <c r="M77" s="615"/>
      <c r="N77" s="658"/>
      <c r="O77" s="252"/>
      <c r="P77" s="252"/>
      <c r="Q77" s="252"/>
      <c r="R77" s="252"/>
      <c r="S77" s="252"/>
      <c r="T77" s="252"/>
      <c r="U77" s="252"/>
      <c r="V77" s="252"/>
      <c r="W77" s="251"/>
      <c r="X77" s="251"/>
    </row>
    <row r="78" spans="1:24" hidden="1" x14ac:dyDescent="0.3">
      <c r="A78" s="178" t="s">
        <v>236</v>
      </c>
      <c r="B78" s="891" t="s">
        <v>266</v>
      </c>
      <c r="C78" s="891"/>
      <c r="D78" s="891"/>
      <c r="E78" s="891"/>
      <c r="F78" s="891"/>
      <c r="G78" s="891"/>
      <c r="H78" s="891"/>
      <c r="I78" s="891"/>
      <c r="J78" s="891"/>
      <c r="K78" s="891"/>
      <c r="L78" s="891"/>
      <c r="M78" s="891"/>
      <c r="N78" s="891"/>
      <c r="O78" s="891"/>
      <c r="P78" s="252"/>
      <c r="Q78" s="252"/>
      <c r="R78" s="252"/>
      <c r="S78" s="252"/>
      <c r="T78" s="252"/>
      <c r="U78" s="252"/>
      <c r="V78" s="252"/>
      <c r="W78" s="251"/>
      <c r="X78" s="251"/>
    </row>
    <row r="79" spans="1:24" hidden="1" x14ac:dyDescent="0.3">
      <c r="A79" s="233"/>
      <c r="B79" s="234"/>
      <c r="C79" s="234"/>
      <c r="D79" s="234"/>
      <c r="E79" s="234"/>
      <c r="F79" s="234"/>
      <c r="G79" s="234"/>
      <c r="H79" s="234"/>
      <c r="I79" s="234"/>
      <c r="J79" s="234"/>
      <c r="K79" s="234"/>
      <c r="L79" s="234"/>
      <c r="M79" s="234"/>
      <c r="N79" s="234"/>
      <c r="O79" s="234"/>
      <c r="P79" s="252"/>
      <c r="Q79" s="252"/>
      <c r="R79" s="252"/>
      <c r="S79" s="252"/>
      <c r="T79" s="252"/>
      <c r="U79" s="252"/>
      <c r="V79" s="252"/>
      <c r="W79" s="251"/>
      <c r="X79" s="251"/>
    </row>
    <row r="80" spans="1:24" hidden="1" x14ac:dyDescent="0.3">
      <c r="A80" s="894" t="s">
        <v>147</v>
      </c>
      <c r="B80" s="894"/>
      <c r="C80" s="894"/>
      <c r="D80" s="894"/>
      <c r="E80" s="894"/>
      <c r="F80" s="894"/>
      <c r="G80" s="894"/>
      <c r="H80" s="894"/>
      <c r="I80" s="894"/>
      <c r="J80" s="894"/>
      <c r="K80" s="894"/>
      <c r="L80" s="894"/>
      <c r="M80" s="617"/>
      <c r="N80" s="661"/>
      <c r="P80" s="252"/>
      <c r="Q80" s="252"/>
      <c r="R80" s="252"/>
      <c r="S80" s="252"/>
      <c r="T80" s="252"/>
      <c r="U80" s="252"/>
      <c r="V80" s="252"/>
      <c r="W80" s="251"/>
      <c r="X80" s="251"/>
    </row>
    <row r="81" spans="1:24" hidden="1" x14ac:dyDescent="0.3">
      <c r="A81" s="293"/>
      <c r="B81" s="177"/>
      <c r="C81" s="177"/>
      <c r="D81" s="177"/>
      <c r="E81" s="252"/>
      <c r="F81" s="252"/>
      <c r="G81" s="252"/>
      <c r="H81" s="252"/>
      <c r="I81" s="252"/>
      <c r="J81" s="252"/>
      <c r="K81" s="252"/>
      <c r="L81" s="252"/>
      <c r="M81" s="252"/>
      <c r="N81" s="252"/>
      <c r="O81" s="252"/>
      <c r="P81" s="252"/>
      <c r="Q81" s="252"/>
      <c r="R81" s="252"/>
      <c r="S81" s="252"/>
      <c r="T81" s="252"/>
      <c r="U81" s="252"/>
      <c r="V81" s="252"/>
      <c r="W81" s="251"/>
      <c r="X81" s="251"/>
    </row>
    <row r="82" spans="1:24" hidden="1" x14ac:dyDescent="0.3">
      <c r="A82" s="293"/>
      <c r="B82" s="177"/>
      <c r="C82" s="177"/>
      <c r="D82" s="177"/>
      <c r="E82" s="252"/>
      <c r="F82" s="252"/>
      <c r="G82" s="252"/>
      <c r="H82" s="252"/>
      <c r="I82" s="252"/>
      <c r="J82" s="252"/>
      <c r="K82" s="252"/>
      <c r="L82" s="252"/>
      <c r="M82" s="252"/>
      <c r="N82" s="252"/>
      <c r="O82" s="252"/>
      <c r="P82" s="252"/>
      <c r="Q82" s="252"/>
      <c r="R82" s="252"/>
      <c r="S82" s="252"/>
      <c r="T82" s="252"/>
      <c r="U82" s="252"/>
      <c r="V82" s="252"/>
      <c r="W82" s="251"/>
      <c r="X82" s="251"/>
    </row>
    <row r="83" spans="1:24" hidden="1" x14ac:dyDescent="0.3">
      <c r="A83" s="293"/>
      <c r="B83" s="177"/>
      <c r="C83" s="177"/>
      <c r="D83" s="177"/>
      <c r="E83" s="252"/>
      <c r="F83" s="252"/>
      <c r="G83" s="252"/>
      <c r="H83" s="252"/>
      <c r="I83" s="252"/>
      <c r="J83" s="252"/>
      <c r="K83" s="252"/>
      <c r="L83" s="252"/>
      <c r="M83" s="252"/>
      <c r="N83" s="252"/>
      <c r="O83" s="252"/>
      <c r="P83" s="252"/>
      <c r="Q83" s="252"/>
      <c r="R83" s="252"/>
      <c r="S83" s="252"/>
      <c r="T83" s="252"/>
      <c r="U83" s="252"/>
      <c r="V83" s="252"/>
      <c r="W83" s="251"/>
      <c r="X83" s="251"/>
    </row>
  </sheetData>
  <sheetProtection algorithmName="SHA-512" hashValue="Q6irwiWKxRtLw8b3MeBg1k9/lST2IDdqnWtZpEBIjtZ/mGI58EkErBQQVK4yaa7Sw88j0CXA46tasjljPkDC9A==" saltValue="glzaXNQDfCmcVkOa28KYKw==" spinCount="100000" sheet="1" objects="1" scenarios="1"/>
  <mergeCells count="32">
    <mergeCell ref="B36:O36"/>
    <mergeCell ref="B37:O37"/>
    <mergeCell ref="B38:J38"/>
    <mergeCell ref="B39:O39"/>
    <mergeCell ref="A41:L41"/>
    <mergeCell ref="B29:L29"/>
    <mergeCell ref="B30:L30"/>
    <mergeCell ref="B31:L31"/>
    <mergeCell ref="B34:L34"/>
    <mergeCell ref="B35:O35"/>
    <mergeCell ref="B32:J32"/>
    <mergeCell ref="B69:L69"/>
    <mergeCell ref="C45:E46"/>
    <mergeCell ref="G45:I46"/>
    <mergeCell ref="B45:B46"/>
    <mergeCell ref="A44:S44"/>
    <mergeCell ref="K3:N4"/>
    <mergeCell ref="B77:J77"/>
    <mergeCell ref="B78:O78"/>
    <mergeCell ref="A80:L80"/>
    <mergeCell ref="B70:L70"/>
    <mergeCell ref="B73:L73"/>
    <mergeCell ref="B74:O74"/>
    <mergeCell ref="B75:O75"/>
    <mergeCell ref="B76:O76"/>
    <mergeCell ref="C3:J4"/>
    <mergeCell ref="A5:A7"/>
    <mergeCell ref="B5:B7"/>
    <mergeCell ref="C5:C6"/>
    <mergeCell ref="J5:J6"/>
    <mergeCell ref="A47:A49"/>
    <mergeCell ref="B47:B49"/>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I17:J21 O19 O17 L20:L21 I22 O21 O23:O24 E17:E21 L24 L17 G17:G21 C17:C21" formula="1"/>
    <ignoredError sqref="I12:J12 E12 G12 C12" numberStoredAsText="1"/>
    <ignoredError sqref="O15 O12 I13:J15 E14:E15 L14:L15 G13:G15" numberStoredAsText="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S42"/>
  <sheetViews>
    <sheetView zoomScale="85" zoomScaleNormal="85" workbookViewId="0">
      <selection activeCell="G18" sqref="G18"/>
    </sheetView>
  </sheetViews>
  <sheetFormatPr baseColWidth="10" defaultRowHeight="14.4" x14ac:dyDescent="0.3"/>
  <cols>
    <col min="2" max="2" width="44.77734375" customWidth="1"/>
    <col min="3" max="3" width="12.33203125" customWidth="1"/>
    <col min="4" max="4" width="12.33203125" style="614" customWidth="1"/>
    <col min="5" max="5" width="14.6640625" hidden="1" customWidth="1"/>
    <col min="6" max="7" width="13.88671875" customWidth="1"/>
    <col min="8" max="8" width="13.6640625" style="614" customWidth="1"/>
    <col min="9" max="9" width="11.6640625" hidden="1" customWidth="1"/>
    <col min="10" max="10" width="16.88671875" customWidth="1"/>
    <col min="11" max="11" width="16.109375" hidden="1" customWidth="1"/>
    <col min="12" max="12" width="14" style="614" customWidth="1"/>
    <col min="13" max="13" width="15.6640625" hidden="1" customWidth="1"/>
    <col min="14" max="14" width="15.21875" customWidth="1"/>
  </cols>
  <sheetData>
    <row r="1" spans="1:14" x14ac:dyDescent="0.3">
      <c r="A1" s="132"/>
      <c r="B1" s="132" t="str">
        <f>+AMAZONAS!C1</f>
        <v>Vigencia: 16 de Julio de 2022; 00:00 horas</v>
      </c>
    </row>
    <row r="2" spans="1:14" ht="15" thickBot="1" x14ac:dyDescent="0.35">
      <c r="A2" s="159" t="s">
        <v>179</v>
      </c>
      <c r="B2" s="159"/>
    </row>
    <row r="3" spans="1:14" ht="15.9" customHeight="1" thickTop="1" x14ac:dyDescent="0.3">
      <c r="A3" s="187"/>
      <c r="B3" s="188" t="s">
        <v>273</v>
      </c>
      <c r="C3" s="916" t="s">
        <v>180</v>
      </c>
      <c r="D3" s="917"/>
      <c r="E3" s="917"/>
      <c r="F3" s="917"/>
      <c r="G3" s="917"/>
      <c r="H3" s="917"/>
      <c r="I3" s="918"/>
      <c r="J3" s="922" t="s">
        <v>249</v>
      </c>
      <c r="K3" s="923"/>
      <c r="L3" s="923"/>
      <c r="M3" s="923"/>
      <c r="N3" s="923"/>
    </row>
    <row r="4" spans="1:14" ht="27.6" x14ac:dyDescent="0.3">
      <c r="A4" s="134"/>
      <c r="B4" s="681" t="s">
        <v>500</v>
      </c>
      <c r="C4" s="919"/>
      <c r="D4" s="920"/>
      <c r="E4" s="920"/>
      <c r="F4" s="920"/>
      <c r="G4" s="920"/>
      <c r="H4" s="920"/>
      <c r="I4" s="921"/>
      <c r="J4" s="924"/>
      <c r="K4" s="925"/>
      <c r="L4" s="925"/>
      <c r="M4" s="925"/>
      <c r="N4" s="925"/>
    </row>
    <row r="5" spans="1:14" ht="38.25" customHeight="1" x14ac:dyDescent="0.3">
      <c r="A5" s="895" t="s">
        <v>181</v>
      </c>
      <c r="B5" s="897" t="s">
        <v>182</v>
      </c>
      <c r="C5" s="901" t="s">
        <v>240</v>
      </c>
      <c r="D5" s="769" t="s">
        <v>96</v>
      </c>
      <c r="E5" s="589" t="s">
        <v>96</v>
      </c>
      <c r="F5" s="164" t="s">
        <v>511</v>
      </c>
      <c r="G5" s="164" t="s">
        <v>392</v>
      </c>
      <c r="H5" s="682" t="s">
        <v>397</v>
      </c>
      <c r="I5" s="164" t="str">
        <f>+CHOCO!I5</f>
        <v>Biodiesel B11</v>
      </c>
      <c r="J5" s="164" t="s">
        <v>96</v>
      </c>
      <c r="K5" s="589" t="s">
        <v>96</v>
      </c>
      <c r="L5" s="694" t="s">
        <v>511</v>
      </c>
      <c r="M5" s="226" t="str">
        <f>+G5</f>
        <v>Biodiesel B2</v>
      </c>
      <c r="N5" s="687" t="str">
        <f>+H5</f>
        <v>Biodiesel B10</v>
      </c>
    </row>
    <row r="6" spans="1:14" x14ac:dyDescent="0.3">
      <c r="A6" s="895"/>
      <c r="B6" s="897"/>
      <c r="C6" s="902"/>
      <c r="D6" s="545" t="s">
        <v>514</v>
      </c>
      <c r="E6" s="545" t="s">
        <v>477</v>
      </c>
      <c r="F6" s="695">
        <v>0.1</v>
      </c>
      <c r="G6" s="695">
        <v>0.02</v>
      </c>
      <c r="H6" s="695">
        <v>0.1</v>
      </c>
      <c r="I6" s="384">
        <f>+CHOCO!I6</f>
        <v>0.11</v>
      </c>
      <c r="J6" s="545" t="s">
        <v>514</v>
      </c>
      <c r="K6" s="525">
        <v>5</v>
      </c>
      <c r="L6" s="695">
        <v>0.1</v>
      </c>
      <c r="M6" s="165">
        <f>+G6</f>
        <v>0.02</v>
      </c>
      <c r="N6" s="165">
        <f>+H6</f>
        <v>0.1</v>
      </c>
    </row>
    <row r="7" spans="1:14" x14ac:dyDescent="0.3">
      <c r="A7" s="896"/>
      <c r="B7" s="898"/>
      <c r="C7" s="135" t="s">
        <v>183</v>
      </c>
      <c r="D7" s="769" t="s">
        <v>183</v>
      </c>
      <c r="E7" s="589" t="s">
        <v>183</v>
      </c>
      <c r="F7" s="164" t="s">
        <v>183</v>
      </c>
      <c r="G7" s="164" t="s">
        <v>183</v>
      </c>
      <c r="H7" s="689" t="s">
        <v>183</v>
      </c>
      <c r="I7" s="164" t="s">
        <v>183</v>
      </c>
      <c r="J7" s="135" t="s">
        <v>183</v>
      </c>
      <c r="K7" s="588" t="s">
        <v>183</v>
      </c>
      <c r="L7" s="694" t="s">
        <v>183</v>
      </c>
      <c r="M7" s="226" t="s">
        <v>183</v>
      </c>
      <c r="N7" s="687" t="s">
        <v>183</v>
      </c>
    </row>
    <row r="8" spans="1:14" x14ac:dyDescent="0.3">
      <c r="A8" s="137" t="s">
        <v>184</v>
      </c>
      <c r="B8" s="143" t="s">
        <v>185</v>
      </c>
      <c r="C8" s="204">
        <f>+'Calculo IP ZDF'!B34</f>
        <v>4830.8062399999999</v>
      </c>
      <c r="D8" s="204">
        <f>+'Calculo IP ZDF'!G34</f>
        <v>5159.5023903999991</v>
      </c>
      <c r="E8" s="747">
        <f>+'Calculo IP ZDF'!H34</f>
        <v>5241.6764279999998</v>
      </c>
      <c r="F8" s="210">
        <f>+'Calculo IP ZDF'!J34</f>
        <v>5652.5466159999996</v>
      </c>
      <c r="G8" s="212">
        <f>+'Calculo IP ZDF'!F34</f>
        <v>3486.9838</v>
      </c>
      <c r="H8" s="189">
        <f>+'Calculo IP ZDF'!L34</f>
        <v>5087.939284</v>
      </c>
      <c r="I8" s="211">
        <f>+'Calculo IP ZDF'!L34</f>
        <v>5087.939284</v>
      </c>
      <c r="J8" s="189">
        <f>+'GAS CTE'!D9</f>
        <v>5384.1363999999994</v>
      </c>
      <c r="K8" s="691">
        <f>+'GAS CTE'!E9</f>
        <v>5463.9705000000004</v>
      </c>
      <c r="L8" s="212">
        <f>+'GAS CTE'!H9</f>
        <v>5863.1410000000005</v>
      </c>
      <c r="M8" s="211">
        <f>+BIODIESEL!G9</f>
        <v>5268.8620000000001</v>
      </c>
      <c r="N8" s="211">
        <f>+BIODIESEL!H9</f>
        <v>6207.2739999999994</v>
      </c>
    </row>
    <row r="9" spans="1:14" x14ac:dyDescent="0.3">
      <c r="A9" s="137" t="s">
        <v>186</v>
      </c>
      <c r="B9" s="143" t="s">
        <v>187</v>
      </c>
      <c r="C9" s="190" t="str">
        <f t="shared" ref="C9:C13" si="0">+F9</f>
        <v>------------------</v>
      </c>
      <c r="D9" s="190" t="s">
        <v>188</v>
      </c>
      <c r="E9" s="697" t="s">
        <v>188</v>
      </c>
      <c r="F9" s="606" t="s">
        <v>188</v>
      </c>
      <c r="G9" s="606" t="s">
        <v>188</v>
      </c>
      <c r="H9" s="606" t="s">
        <v>188</v>
      </c>
      <c r="I9" s="140" t="s">
        <v>188</v>
      </c>
      <c r="J9" s="189">
        <f>+'GAS CTE'!D10</f>
        <v>562.79999999999995</v>
      </c>
      <c r="K9" s="691">
        <f>+'GAS CTE'!E10</f>
        <v>556.9375</v>
      </c>
      <c r="L9" s="189">
        <f>+'GAS CTE'!H10</f>
        <v>501.24375000000003</v>
      </c>
      <c r="M9" s="798">
        <f>+BIODIESEL!G10</f>
        <v>533.06399999999996</v>
      </c>
      <c r="N9" s="798">
        <f>+BIODIESEL!H10</f>
        <v>505.00800000000004</v>
      </c>
    </row>
    <row r="10" spans="1:14" x14ac:dyDescent="0.3">
      <c r="A10" s="137"/>
      <c r="B10" s="143" t="s">
        <v>132</v>
      </c>
      <c r="C10" s="190" t="str">
        <f>+F10</f>
        <v>------------------</v>
      </c>
      <c r="D10" s="190" t="s">
        <v>188</v>
      </c>
      <c r="E10" s="697" t="s">
        <v>188</v>
      </c>
      <c r="F10" s="606" t="s">
        <v>188</v>
      </c>
      <c r="G10" s="606" t="s">
        <v>188</v>
      </c>
      <c r="H10" s="606" t="s">
        <v>188</v>
      </c>
      <c r="I10" s="140" t="s">
        <v>188</v>
      </c>
      <c r="J10" s="205" t="s">
        <v>133</v>
      </c>
      <c r="K10" s="696" t="str">
        <f>+BIODIESEL!F11</f>
        <v>(3)</v>
      </c>
      <c r="L10" s="798" t="str">
        <f>+BIODIESEL!G11</f>
        <v>(3)</v>
      </c>
      <c r="M10" s="798" t="str">
        <f>+BIODIESEL!H11</f>
        <v>(3)</v>
      </c>
      <c r="N10" s="798" t="s">
        <v>133</v>
      </c>
    </row>
    <row r="11" spans="1:14" x14ac:dyDescent="0.3">
      <c r="A11" s="137"/>
      <c r="B11" s="143" t="s">
        <v>134</v>
      </c>
      <c r="C11" s="257" t="s">
        <v>218</v>
      </c>
      <c r="D11" s="257" t="s">
        <v>218</v>
      </c>
      <c r="E11" s="697" t="str">
        <f>+C11</f>
        <v>(4)</v>
      </c>
      <c r="F11" s="606" t="s">
        <v>218</v>
      </c>
      <c r="G11" s="606" t="str">
        <f>+C11</f>
        <v>(4)</v>
      </c>
      <c r="H11" s="606" t="str">
        <f>+E11</f>
        <v>(4)</v>
      </c>
      <c r="I11" s="140" t="str">
        <f>+C11</f>
        <v>(4)</v>
      </c>
      <c r="J11" s="189" t="s">
        <v>218</v>
      </c>
      <c r="K11" s="691" t="str">
        <f>+G11</f>
        <v>(4)</v>
      </c>
      <c r="L11" s="189" t="str">
        <f>+H11</f>
        <v>(4)</v>
      </c>
      <c r="M11" s="211" t="str">
        <f>+I11</f>
        <v>(4)</v>
      </c>
      <c r="N11" s="211" t="s">
        <v>218</v>
      </c>
    </row>
    <row r="12" spans="1:14" ht="18.600000000000001" customHeight="1" x14ac:dyDescent="0.3">
      <c r="A12" s="137" t="s">
        <v>189</v>
      </c>
      <c r="B12" s="143" t="s">
        <v>268</v>
      </c>
      <c r="C12" s="190" t="str">
        <f>+AMAZONAS!C12</f>
        <v>(2)</v>
      </c>
      <c r="D12" s="190" t="s">
        <v>217</v>
      </c>
      <c r="E12" s="698" t="s">
        <v>217</v>
      </c>
      <c r="F12" s="200" t="s">
        <v>217</v>
      </c>
      <c r="G12" s="200" t="s">
        <v>217</v>
      </c>
      <c r="H12" s="200" t="s">
        <v>217</v>
      </c>
      <c r="I12" s="140" t="s">
        <v>217</v>
      </c>
      <c r="J12" s="189">
        <v>0</v>
      </c>
      <c r="K12" s="691">
        <f>+J12</f>
        <v>0</v>
      </c>
      <c r="L12" s="189">
        <f>+K12</f>
        <v>0</v>
      </c>
      <c r="M12" s="211" t="s">
        <v>217</v>
      </c>
      <c r="N12" s="211" t="s">
        <v>217</v>
      </c>
    </row>
    <row r="13" spans="1:14" x14ac:dyDescent="0.3">
      <c r="A13" s="137" t="s">
        <v>251</v>
      </c>
      <c r="B13" s="143" t="s">
        <v>252</v>
      </c>
      <c r="C13" s="190" t="str">
        <f t="shared" si="0"/>
        <v>N.A.</v>
      </c>
      <c r="D13" s="190" t="s">
        <v>253</v>
      </c>
      <c r="E13" s="698" t="s">
        <v>253</v>
      </c>
      <c r="F13" s="200" t="s">
        <v>253</v>
      </c>
      <c r="G13" s="606" t="s">
        <v>218</v>
      </c>
      <c r="H13" s="606" t="s">
        <v>218</v>
      </c>
      <c r="I13" s="142" t="str">
        <f>+G13</f>
        <v>(4)</v>
      </c>
      <c r="J13" s="189" t="s">
        <v>253</v>
      </c>
      <c r="K13" s="691" t="s">
        <v>253</v>
      </c>
      <c r="L13" s="189" t="s">
        <v>253</v>
      </c>
      <c r="M13" s="211" t="str">
        <f>+I13</f>
        <v>(4)</v>
      </c>
      <c r="N13" s="211" t="s">
        <v>218</v>
      </c>
    </row>
    <row r="14" spans="1:14" x14ac:dyDescent="0.3">
      <c r="A14" s="137" t="s">
        <v>191</v>
      </c>
      <c r="B14" s="143" t="s">
        <v>192</v>
      </c>
      <c r="C14" s="190">
        <f>+RUBROS!AC16</f>
        <v>10.866833607342301</v>
      </c>
      <c r="D14" s="190">
        <f>+C14</f>
        <v>10.866833607342301</v>
      </c>
      <c r="E14" s="698">
        <f>+C14</f>
        <v>10.866833607342301</v>
      </c>
      <c r="F14" s="200">
        <f>+C14</f>
        <v>10.866833607342301</v>
      </c>
      <c r="G14" s="200">
        <f>+C14</f>
        <v>10.866833607342301</v>
      </c>
      <c r="H14" s="189">
        <f>+C14</f>
        <v>10.866833607342301</v>
      </c>
      <c r="I14" s="140">
        <f>+C14</f>
        <v>10.866833607342301</v>
      </c>
      <c r="J14" s="189">
        <f>+RUBROS!$AD$16</f>
        <v>23.500029293035123</v>
      </c>
      <c r="K14" s="691">
        <f>+RUBROS!$AD$16</f>
        <v>23.500029293035123</v>
      </c>
      <c r="L14" s="189">
        <f>+RUBROS!$AD$16</f>
        <v>23.500029293035123</v>
      </c>
      <c r="M14" s="211">
        <f>+RUBROS!AD16</f>
        <v>23.500029293035123</v>
      </c>
      <c r="N14" s="211">
        <f>+RUBROS!AD16</f>
        <v>23.500029293035123</v>
      </c>
    </row>
    <row r="15" spans="1:14" x14ac:dyDescent="0.3">
      <c r="A15" s="137" t="s">
        <v>193</v>
      </c>
      <c r="B15" s="143" t="s">
        <v>194</v>
      </c>
      <c r="C15" s="190">
        <f>+RUBROS!AC52</f>
        <v>112.5832368093597</v>
      </c>
      <c r="D15" s="190">
        <f>+C15</f>
        <v>112.5832368093597</v>
      </c>
      <c r="E15" s="698">
        <f>+C15</f>
        <v>112.5832368093597</v>
      </c>
      <c r="F15" s="200">
        <f>+C15</f>
        <v>112.5832368093597</v>
      </c>
      <c r="G15" s="200">
        <f>+C15</f>
        <v>112.5832368093597</v>
      </c>
      <c r="H15" s="189">
        <f>+G15</f>
        <v>112.5832368093597</v>
      </c>
      <c r="I15" s="140">
        <f>+C15</f>
        <v>112.5832368093597</v>
      </c>
      <c r="J15" s="189">
        <f>+RUBROS!$AC$52</f>
        <v>112.5832368093597</v>
      </c>
      <c r="K15" s="691">
        <f>+RUBROS!$AC$52</f>
        <v>112.5832368093597</v>
      </c>
      <c r="L15" s="189">
        <f>+RUBROS!$AC$52</f>
        <v>112.5832368093597</v>
      </c>
      <c r="M15" s="211">
        <f>+C15</f>
        <v>112.5832368093597</v>
      </c>
      <c r="N15" s="211">
        <f>+E15</f>
        <v>112.5832368093597</v>
      </c>
    </row>
    <row r="16" spans="1:14" x14ac:dyDescent="0.3">
      <c r="A16" s="137" t="s">
        <v>195</v>
      </c>
      <c r="B16" s="209" t="s">
        <v>196</v>
      </c>
      <c r="C16" s="190">
        <f>+RUBROS!AU30</f>
        <v>13.326421256197724</v>
      </c>
      <c r="D16" s="190">
        <f>+C16</f>
        <v>13.326421256197724</v>
      </c>
      <c r="E16" s="141">
        <f>+C16</f>
        <v>13.326421256197724</v>
      </c>
      <c r="F16" s="200">
        <f>+C16</f>
        <v>13.326421256197724</v>
      </c>
      <c r="G16" s="189">
        <f>+C16</f>
        <v>13.326421256197724</v>
      </c>
      <c r="H16" s="189">
        <f>+G16</f>
        <v>13.326421256197724</v>
      </c>
      <c r="I16" s="140">
        <f>+C16</f>
        <v>13.326421256197724</v>
      </c>
      <c r="J16" s="189">
        <f>+D16</f>
        <v>13.326421256197724</v>
      </c>
      <c r="K16" s="691">
        <f>+C16</f>
        <v>13.326421256197724</v>
      </c>
      <c r="L16" s="189">
        <f>+C16</f>
        <v>13.326421256197724</v>
      </c>
      <c r="M16" s="211">
        <f>+C16</f>
        <v>13.326421256197724</v>
      </c>
      <c r="N16" s="211">
        <f>+E16</f>
        <v>13.326421256197724</v>
      </c>
    </row>
    <row r="17" spans="1:19" hidden="1" x14ac:dyDescent="0.3">
      <c r="A17" s="137"/>
      <c r="B17" s="143" t="s">
        <v>197</v>
      </c>
      <c r="C17" s="190"/>
      <c r="D17" s="590"/>
      <c r="E17" s="193"/>
      <c r="F17" s="592"/>
      <c r="G17" s="194"/>
      <c r="H17" s="692"/>
      <c r="I17" s="140"/>
      <c r="J17" s="198"/>
      <c r="K17" s="189"/>
      <c r="L17" s="593"/>
      <c r="M17" s="216"/>
      <c r="N17" s="216"/>
    </row>
    <row r="18" spans="1:19" x14ac:dyDescent="0.3">
      <c r="A18" s="144" t="s">
        <v>198</v>
      </c>
      <c r="B18" s="173" t="s">
        <v>199</v>
      </c>
      <c r="C18" s="195">
        <f t="shared" ref="C18:M18" si="1">SUM(C8:C17)</f>
        <v>4967.5827316729001</v>
      </c>
      <c r="D18" s="195">
        <f t="shared" si="1"/>
        <v>5296.2788820728993</v>
      </c>
      <c r="E18" s="196">
        <f>SUM(E8:E17)</f>
        <v>5378.4529196729</v>
      </c>
      <c r="F18" s="196">
        <f>SUM(F8:F17)</f>
        <v>5789.3231076728998</v>
      </c>
      <c r="G18" s="196">
        <f t="shared" si="1"/>
        <v>3623.7602916728997</v>
      </c>
      <c r="H18" s="196">
        <f t="shared" si="1"/>
        <v>5224.7157756729002</v>
      </c>
      <c r="I18" s="197">
        <f t="shared" si="1"/>
        <v>5224.7157756729002</v>
      </c>
      <c r="J18" s="198">
        <f t="shared" ref="J18:L18" si="2">SUM(J8:J17)</f>
        <v>6096.3460873585927</v>
      </c>
      <c r="K18" s="198">
        <f t="shared" si="2"/>
        <v>6170.3176873585935</v>
      </c>
      <c r="L18" s="198">
        <f t="shared" si="2"/>
        <v>6513.7944373585933</v>
      </c>
      <c r="M18" s="217">
        <f t="shared" si="1"/>
        <v>5951.3356873585935</v>
      </c>
      <c r="N18" s="217">
        <f t="shared" ref="N18" si="3">SUM(N8:N17)</f>
        <v>6861.6916873585924</v>
      </c>
    </row>
    <row r="19" spans="1:19" x14ac:dyDescent="0.3">
      <c r="A19" s="137" t="s">
        <v>200</v>
      </c>
      <c r="B19" s="143" t="s">
        <v>201</v>
      </c>
      <c r="C19" s="190" t="s">
        <v>231</v>
      </c>
      <c r="D19" s="190" t="s">
        <v>231</v>
      </c>
      <c r="E19" s="199" t="str">
        <f>+C19</f>
        <v>***</v>
      </c>
      <c r="F19" s="199" t="str">
        <f>+E19</f>
        <v>***</v>
      </c>
      <c r="G19" s="199" t="str">
        <f>+C19</f>
        <v>***</v>
      </c>
      <c r="H19" s="199" t="str">
        <f>+E19</f>
        <v>***</v>
      </c>
      <c r="I19" s="140" t="str">
        <f>+C19</f>
        <v>***</v>
      </c>
      <c r="J19" s="192" t="s">
        <v>231</v>
      </c>
      <c r="K19" s="192" t="s">
        <v>231</v>
      </c>
      <c r="L19" s="192" t="s">
        <v>231</v>
      </c>
      <c r="M19" s="218" t="s">
        <v>231</v>
      </c>
      <c r="N19" s="218" t="s">
        <v>231</v>
      </c>
    </row>
    <row r="20" spans="1:19" x14ac:dyDescent="0.3">
      <c r="A20" s="137" t="s">
        <v>202</v>
      </c>
      <c r="B20" s="143" t="s">
        <v>203</v>
      </c>
      <c r="C20" s="190" t="str">
        <f>+F20</f>
        <v>**</v>
      </c>
      <c r="D20" s="190" t="str">
        <f>+G20</f>
        <v>**</v>
      </c>
      <c r="E20" s="200" t="s">
        <v>229</v>
      </c>
      <c r="F20" s="200" t="s">
        <v>229</v>
      </c>
      <c r="G20" s="200" t="s">
        <v>229</v>
      </c>
      <c r="H20" s="200" t="s">
        <v>229</v>
      </c>
      <c r="I20" s="140" t="s">
        <v>229</v>
      </c>
      <c r="J20" s="192" t="str">
        <f>+L20</f>
        <v>**</v>
      </c>
      <c r="K20" s="192" t="str">
        <f>+M20</f>
        <v>**</v>
      </c>
      <c r="L20" s="192" t="str">
        <f>+N20</f>
        <v>**</v>
      </c>
      <c r="M20" s="211" t="s">
        <v>229</v>
      </c>
      <c r="N20" s="211" t="s">
        <v>229</v>
      </c>
    </row>
    <row r="21" spans="1:19" x14ac:dyDescent="0.3">
      <c r="A21" s="137" t="s">
        <v>204</v>
      </c>
      <c r="B21" s="143" t="s">
        <v>205</v>
      </c>
      <c r="C21" s="190" t="str">
        <f>+F21</f>
        <v>****</v>
      </c>
      <c r="D21" s="190" t="str">
        <f>+G21</f>
        <v>****</v>
      </c>
      <c r="E21" s="141" t="s">
        <v>233</v>
      </c>
      <c r="F21" s="141" t="s">
        <v>233</v>
      </c>
      <c r="G21" s="141" t="str">
        <f>+F21</f>
        <v>****</v>
      </c>
      <c r="H21" s="141" t="str">
        <f>+G21</f>
        <v>****</v>
      </c>
      <c r="I21" s="140" t="str">
        <f>+G21</f>
        <v>****</v>
      </c>
      <c r="J21" s="192" t="s">
        <v>233</v>
      </c>
      <c r="K21" s="192" t="s">
        <v>233</v>
      </c>
      <c r="L21" s="192" t="s">
        <v>233</v>
      </c>
      <c r="M21" s="214" t="str">
        <f>+I21</f>
        <v>****</v>
      </c>
      <c r="N21" s="214" t="str">
        <f>+J21</f>
        <v>****</v>
      </c>
      <c r="O21" s="19"/>
    </row>
    <row r="22" spans="1:19" x14ac:dyDescent="0.3">
      <c r="A22" s="144" t="s">
        <v>206</v>
      </c>
      <c r="B22" s="173" t="s">
        <v>207</v>
      </c>
      <c r="C22" s="195">
        <f>+C18</f>
        <v>4967.5827316729001</v>
      </c>
      <c r="D22" s="195">
        <f>+D18</f>
        <v>5296.2788820728993</v>
      </c>
      <c r="E22" s="195">
        <f t="shared" ref="E22:F22" si="4">+E18</f>
        <v>5378.4529196729</v>
      </c>
      <c r="F22" s="195">
        <f t="shared" si="4"/>
        <v>5789.3231076728998</v>
      </c>
      <c r="G22" s="195">
        <f t="shared" ref="G22:M22" si="5">+G18</f>
        <v>3623.7602916728997</v>
      </c>
      <c r="H22" s="195">
        <f t="shared" ref="H22" si="6">+H18</f>
        <v>5224.7157756729002</v>
      </c>
      <c r="I22" s="213">
        <f t="shared" si="5"/>
        <v>5224.7157756729002</v>
      </c>
      <c r="J22" s="195">
        <f t="shared" si="5"/>
        <v>6096.3460873585927</v>
      </c>
      <c r="K22" s="195">
        <f t="shared" ref="K22:L22" si="7">+K18</f>
        <v>6170.3176873585935</v>
      </c>
      <c r="L22" s="195">
        <f t="shared" si="7"/>
        <v>6513.7944373585933</v>
      </c>
      <c r="M22" s="213">
        <f t="shared" si="5"/>
        <v>5951.3356873585935</v>
      </c>
      <c r="N22" s="213">
        <f t="shared" ref="N22" si="8">+N18</f>
        <v>6861.6916873585924</v>
      </c>
    </row>
    <row r="23" spans="1:19" x14ac:dyDescent="0.3">
      <c r="A23" s="137" t="s">
        <v>208</v>
      </c>
      <c r="B23" s="143" t="s">
        <v>160</v>
      </c>
      <c r="C23" s="190" t="s">
        <v>231</v>
      </c>
      <c r="D23" s="190" t="s">
        <v>231</v>
      </c>
      <c r="E23" s="141" t="str">
        <f>+C23</f>
        <v>***</v>
      </c>
      <c r="F23" s="141" t="str">
        <f>+E23</f>
        <v>***</v>
      </c>
      <c r="G23" s="141" t="str">
        <f>+F23</f>
        <v>***</v>
      </c>
      <c r="H23" s="141" t="str">
        <f>+G23</f>
        <v>***</v>
      </c>
      <c r="I23" s="140" t="str">
        <f>+G23</f>
        <v>***</v>
      </c>
      <c r="J23" s="192" t="str">
        <f>+L23</f>
        <v>***</v>
      </c>
      <c r="K23" s="192" t="str">
        <f>+M23</f>
        <v>***</v>
      </c>
      <c r="L23" s="192" t="str">
        <f>+N23</f>
        <v>***</v>
      </c>
      <c r="M23" s="214" t="s">
        <v>231</v>
      </c>
      <c r="N23" s="214" t="s">
        <v>231</v>
      </c>
    </row>
    <row r="24" spans="1:19" x14ac:dyDescent="0.3">
      <c r="A24" s="137" t="s">
        <v>209</v>
      </c>
      <c r="B24" s="138" t="s">
        <v>210</v>
      </c>
      <c r="C24" s="190" t="str">
        <f>+F24</f>
        <v>*****</v>
      </c>
      <c r="D24" s="190" t="str">
        <f>+G24</f>
        <v>N.A.</v>
      </c>
      <c r="E24" s="141" t="s">
        <v>235</v>
      </c>
      <c r="F24" s="141" t="s">
        <v>235</v>
      </c>
      <c r="G24" s="141" t="s">
        <v>253</v>
      </c>
      <c r="H24" s="141" t="s">
        <v>253</v>
      </c>
      <c r="I24" s="140" t="s">
        <v>211</v>
      </c>
      <c r="J24" s="192" t="str">
        <f>+E24</f>
        <v>*****</v>
      </c>
      <c r="K24" s="192" t="str">
        <f>+F24</f>
        <v>*****</v>
      </c>
      <c r="L24" s="192" t="str">
        <f>+G24</f>
        <v>N.A.</v>
      </c>
      <c r="M24" s="214" t="s">
        <v>254</v>
      </c>
      <c r="N24" s="214" t="s">
        <v>254</v>
      </c>
    </row>
    <row r="25" spans="1:19" x14ac:dyDescent="0.3">
      <c r="A25" s="137" t="s">
        <v>212</v>
      </c>
      <c r="B25" s="143" t="s">
        <v>213</v>
      </c>
      <c r="C25" s="190" t="str">
        <f>+F25</f>
        <v>******</v>
      </c>
      <c r="D25" s="190" t="str">
        <f>+G25</f>
        <v>******</v>
      </c>
      <c r="E25" s="200" t="s">
        <v>236</v>
      </c>
      <c r="F25" s="200" t="s">
        <v>236</v>
      </c>
      <c r="G25" s="200" t="str">
        <f>+F25</f>
        <v>******</v>
      </c>
      <c r="H25" s="200" t="str">
        <f>+G25</f>
        <v>******</v>
      </c>
      <c r="I25" s="142" t="str">
        <f>+G25</f>
        <v>******</v>
      </c>
      <c r="J25" s="192" t="str">
        <f>+I25</f>
        <v>******</v>
      </c>
      <c r="K25" s="192" t="str">
        <f>+J25</f>
        <v>******</v>
      </c>
      <c r="L25" s="192" t="str">
        <f>+K25</f>
        <v>******</v>
      </c>
      <c r="M25" s="211" t="str">
        <f>+J25</f>
        <v>******</v>
      </c>
      <c r="N25" s="211" t="str">
        <f>+K25</f>
        <v>******</v>
      </c>
    </row>
    <row r="26" spans="1:19" ht="15" thickBot="1" x14ac:dyDescent="0.35">
      <c r="A26" s="148" t="s">
        <v>214</v>
      </c>
      <c r="B26" s="149" t="s">
        <v>215</v>
      </c>
      <c r="C26" s="201"/>
      <c r="D26" s="201"/>
      <c r="E26" s="201"/>
      <c r="F26" s="152"/>
      <c r="G26" s="202"/>
      <c r="H26" s="202"/>
      <c r="I26" s="151"/>
      <c r="J26" s="202"/>
      <c r="K26" s="202"/>
      <c r="L26" s="202"/>
      <c r="M26" s="219"/>
      <c r="N26" s="219"/>
    </row>
    <row r="27" spans="1:19" ht="15" thickTop="1" x14ac:dyDescent="0.3"/>
    <row r="28" spans="1:19" x14ac:dyDescent="0.3">
      <c r="A28" s="156"/>
      <c r="B28" s="256" t="s">
        <v>227</v>
      </c>
      <c r="C28" s="206"/>
      <c r="D28" s="206"/>
      <c r="E28" s="206"/>
      <c r="F28" s="206"/>
      <c r="G28" s="206"/>
      <c r="H28" s="206"/>
      <c r="I28" s="206"/>
      <c r="J28" s="186"/>
      <c r="K28" s="186"/>
      <c r="L28" s="186"/>
      <c r="M28" s="186"/>
      <c r="N28" s="186"/>
      <c r="O28" s="186"/>
      <c r="P28" s="186"/>
      <c r="Q28" s="186"/>
      <c r="R28" s="186"/>
      <c r="S28" s="186"/>
    </row>
    <row r="29" spans="1:19" x14ac:dyDescent="0.3">
      <c r="A29" s="156"/>
      <c r="B29" s="177"/>
      <c r="C29" s="206"/>
      <c r="D29" s="206"/>
      <c r="E29" s="206"/>
      <c r="F29" s="206"/>
      <c r="G29" s="206"/>
      <c r="H29" s="206"/>
      <c r="I29" s="206"/>
      <c r="J29" s="186"/>
      <c r="K29" s="186"/>
      <c r="L29" s="186"/>
      <c r="M29" s="186"/>
      <c r="N29" s="186"/>
      <c r="O29" s="186"/>
      <c r="P29" s="186"/>
      <c r="Q29" s="186"/>
      <c r="R29" s="186"/>
      <c r="S29" s="186"/>
    </row>
    <row r="30" spans="1:19" ht="28.5" customHeight="1" x14ac:dyDescent="0.3">
      <c r="A30" s="156" t="s">
        <v>190</v>
      </c>
      <c r="B30" s="914" t="str">
        <f>+CHOCO!B29</f>
        <v>De acuerdo con lo establecido en la Resoluccion 91349 de 2014 del MME para combustible de origen nacional o importado a ser distribuido en zonas de frontera, aplica la tarifa de marcación o remarcación vigente a la fecha según corresponda</v>
      </c>
      <c r="C30" s="914"/>
      <c r="D30" s="914"/>
      <c r="E30" s="914"/>
      <c r="F30" s="914"/>
      <c r="G30" s="914"/>
      <c r="H30" s="914"/>
      <c r="I30" s="914"/>
      <c r="J30" s="914"/>
      <c r="K30" s="914"/>
      <c r="L30" s="914"/>
      <c r="M30" s="914"/>
      <c r="N30" s="914"/>
      <c r="O30" s="207"/>
      <c r="P30" s="207"/>
      <c r="Q30" s="207"/>
      <c r="R30" s="207"/>
      <c r="S30" s="207"/>
    </row>
    <row r="31" spans="1:19" ht="27.15" customHeight="1" x14ac:dyDescent="0.3">
      <c r="A31" s="156" t="s">
        <v>217</v>
      </c>
      <c r="B31" s="892" t="s">
        <v>269</v>
      </c>
      <c r="C31" s="892"/>
      <c r="D31" s="892"/>
      <c r="E31" s="892"/>
      <c r="F31" s="892"/>
      <c r="G31" s="892"/>
      <c r="H31" s="892"/>
      <c r="I31" s="892"/>
      <c r="J31" s="892"/>
      <c r="K31" s="892"/>
      <c r="L31" s="892"/>
      <c r="M31" s="892"/>
      <c r="N31" s="892"/>
      <c r="O31" s="186"/>
      <c r="P31" s="186"/>
      <c r="Q31" s="186"/>
      <c r="R31" s="186"/>
      <c r="S31" s="186"/>
    </row>
    <row r="32" spans="1:19" ht="53.4" customHeight="1" x14ac:dyDescent="0.3">
      <c r="A32" s="156" t="s">
        <v>133</v>
      </c>
      <c r="B32" s="914" t="s">
        <v>325</v>
      </c>
      <c r="C32" s="914"/>
      <c r="D32" s="914"/>
      <c r="E32" s="914"/>
      <c r="F32" s="914"/>
      <c r="G32" s="914"/>
      <c r="H32" s="914"/>
      <c r="I32" s="914"/>
      <c r="J32" s="914"/>
      <c r="K32" s="914"/>
      <c r="L32" s="914"/>
      <c r="M32" s="914"/>
      <c r="N32" s="914"/>
      <c r="O32" s="186"/>
      <c r="P32" s="186"/>
      <c r="Q32" s="186"/>
      <c r="R32" s="186"/>
      <c r="S32" s="186"/>
    </row>
    <row r="33" spans="1:19" ht="53.4" customHeight="1" x14ac:dyDescent="0.3">
      <c r="A33" s="156" t="s">
        <v>218</v>
      </c>
      <c r="B33" s="913" t="s">
        <v>398</v>
      </c>
      <c r="C33" s="913"/>
      <c r="D33" s="913"/>
      <c r="E33" s="913"/>
      <c r="F33" s="913"/>
      <c r="G33" s="913"/>
      <c r="H33" s="913"/>
      <c r="I33" s="913"/>
      <c r="J33" s="913"/>
      <c r="K33" s="913"/>
      <c r="L33" s="913"/>
      <c r="M33" s="913"/>
      <c r="N33" s="913"/>
      <c r="O33" s="186"/>
      <c r="P33" s="186"/>
      <c r="Q33" s="186"/>
      <c r="R33" s="186"/>
      <c r="S33" s="186"/>
    </row>
    <row r="34" spans="1:19" ht="25.8" customHeight="1" x14ac:dyDescent="0.3">
      <c r="A34" s="156"/>
      <c r="B34" s="914"/>
      <c r="C34" s="914"/>
      <c r="D34" s="914"/>
      <c r="E34" s="914"/>
      <c r="F34" s="914"/>
      <c r="G34" s="914"/>
      <c r="H34" s="914"/>
      <c r="I34" s="914"/>
      <c r="J34" s="914"/>
      <c r="K34" s="914"/>
      <c r="L34" s="914"/>
      <c r="M34" s="914"/>
      <c r="N34" s="914"/>
      <c r="O34" s="186"/>
      <c r="P34" s="186"/>
      <c r="Q34" s="186"/>
      <c r="R34" s="186"/>
      <c r="S34" s="186"/>
    </row>
    <row r="35" spans="1:19" ht="15" customHeight="1" x14ac:dyDescent="0.3">
      <c r="A35" s="178" t="s">
        <v>102</v>
      </c>
      <c r="B35" s="891" t="s">
        <v>228</v>
      </c>
      <c r="C35" s="891"/>
      <c r="D35" s="891"/>
      <c r="E35" s="891"/>
      <c r="F35" s="891"/>
      <c r="G35" s="891"/>
      <c r="H35" s="891"/>
      <c r="I35" s="891"/>
      <c r="J35" s="891"/>
      <c r="K35" s="891"/>
      <c r="L35" s="891"/>
      <c r="M35" s="891"/>
      <c r="N35" s="891"/>
      <c r="O35" s="186"/>
      <c r="P35" s="186"/>
      <c r="Q35" s="186"/>
      <c r="R35" s="186"/>
      <c r="S35" s="186"/>
    </row>
    <row r="36" spans="1:19" ht="15" customHeight="1" x14ac:dyDescent="0.3">
      <c r="A36" s="178" t="s">
        <v>229</v>
      </c>
      <c r="B36" s="914" t="s">
        <v>312</v>
      </c>
      <c r="C36" s="914"/>
      <c r="D36" s="914"/>
      <c r="E36" s="914"/>
      <c r="F36" s="914"/>
      <c r="G36" s="914"/>
      <c r="H36" s="914"/>
      <c r="I36" s="914"/>
      <c r="J36" s="914"/>
      <c r="K36" s="914"/>
      <c r="L36" s="914"/>
      <c r="M36" s="914"/>
      <c r="N36" s="914"/>
      <c r="O36" s="186"/>
      <c r="P36" s="186"/>
      <c r="Q36" s="186"/>
      <c r="R36" s="186"/>
      <c r="S36" s="186"/>
    </row>
    <row r="37" spans="1:19" ht="15" customHeight="1" x14ac:dyDescent="0.3">
      <c r="A37" s="156" t="s">
        <v>231</v>
      </c>
      <c r="B37" s="914" t="s">
        <v>232</v>
      </c>
      <c r="C37" s="914"/>
      <c r="D37" s="914"/>
      <c r="E37" s="914"/>
      <c r="F37" s="914"/>
      <c r="G37" s="914"/>
      <c r="H37" s="914"/>
      <c r="I37" s="914"/>
      <c r="J37" s="914"/>
      <c r="K37" s="914"/>
      <c r="L37" s="914"/>
      <c r="M37" s="914"/>
      <c r="N37" s="156"/>
      <c r="O37" s="891"/>
      <c r="P37" s="891"/>
      <c r="Q37" s="891"/>
      <c r="R37" s="891"/>
      <c r="S37" s="891"/>
    </row>
    <row r="38" spans="1:19" ht="15" customHeight="1" x14ac:dyDescent="0.3">
      <c r="A38" s="156" t="s">
        <v>233</v>
      </c>
      <c r="B38" s="891" t="s">
        <v>454</v>
      </c>
      <c r="C38" s="891"/>
      <c r="D38" s="891"/>
      <c r="E38" s="891"/>
      <c r="F38" s="891"/>
      <c r="G38" s="891"/>
      <c r="H38" s="891"/>
      <c r="I38" s="891"/>
      <c r="J38" s="891"/>
      <c r="K38" s="891"/>
      <c r="L38" s="891"/>
      <c r="M38" s="891"/>
      <c r="N38" s="156"/>
      <c r="O38" s="225"/>
      <c r="P38" s="225"/>
      <c r="Q38" s="225"/>
      <c r="R38" s="225"/>
      <c r="S38" s="225"/>
    </row>
    <row r="39" spans="1:19" ht="24" customHeight="1" x14ac:dyDescent="0.3">
      <c r="A39" s="178" t="s">
        <v>235</v>
      </c>
      <c r="B39" s="914" t="s">
        <v>237</v>
      </c>
      <c r="C39" s="914"/>
      <c r="D39" s="914"/>
      <c r="E39" s="914"/>
      <c r="F39" s="914"/>
      <c r="G39" s="914"/>
      <c r="H39" s="914"/>
      <c r="I39" s="914"/>
      <c r="J39" s="914"/>
      <c r="K39" s="914"/>
      <c r="L39" s="914"/>
      <c r="M39" s="914"/>
      <c r="N39" s="914"/>
      <c r="O39" s="186"/>
      <c r="P39" s="186"/>
      <c r="Q39" s="186"/>
      <c r="R39" s="186"/>
      <c r="S39" s="186"/>
    </row>
    <row r="40" spans="1:19" x14ac:dyDescent="0.3">
      <c r="A40" s="178" t="s">
        <v>236</v>
      </c>
      <c r="B40" s="914" t="s">
        <v>274</v>
      </c>
      <c r="C40" s="914"/>
      <c r="D40" s="914"/>
      <c r="E40" s="914"/>
      <c r="F40" s="914"/>
      <c r="G40" s="914"/>
      <c r="H40" s="914"/>
      <c r="I40" s="914"/>
      <c r="J40" s="914"/>
      <c r="K40" s="914"/>
      <c r="L40" s="914"/>
      <c r="M40" s="914"/>
      <c r="N40" s="914"/>
      <c r="O40" s="186"/>
      <c r="P40" s="186"/>
      <c r="Q40" s="186"/>
      <c r="R40" s="186"/>
      <c r="S40" s="186"/>
    </row>
    <row r="41" spans="1:19" x14ac:dyDescent="0.3">
      <c r="B41" s="891" t="s">
        <v>459</v>
      </c>
      <c r="C41" s="891"/>
      <c r="D41" s="891"/>
      <c r="E41" s="891"/>
      <c r="F41" s="891"/>
      <c r="G41" s="891"/>
      <c r="H41" s="891"/>
      <c r="I41" s="891"/>
      <c r="J41" s="891"/>
      <c r="K41" s="891"/>
      <c r="L41" s="891"/>
      <c r="M41" s="891"/>
      <c r="N41" s="891"/>
    </row>
    <row r="42" spans="1:19" ht="87.9" customHeight="1" x14ac:dyDescent="0.3">
      <c r="A42" s="894" t="s">
        <v>147</v>
      </c>
      <c r="B42" s="894"/>
      <c r="C42" s="894"/>
      <c r="D42" s="894"/>
      <c r="E42" s="894"/>
      <c r="F42" s="894"/>
      <c r="G42" s="894"/>
      <c r="H42" s="894"/>
      <c r="I42" s="894"/>
      <c r="J42" s="894"/>
      <c r="K42" s="894"/>
      <c r="L42" s="894"/>
      <c r="M42" s="894"/>
      <c r="N42" s="894"/>
    </row>
  </sheetData>
  <sheetProtection algorithmName="SHA-512" hashValue="pG462S+spH4ktePLuqGrfWHlt74+v/M3FfNPGA981rIcHEbMUgIaZl9kXln/UY6WeygLrCM7WBAJu9SOQxG5Dw==" saltValue="JzyYefib/U77MAWtTpYcrw==" spinCount="100000" sheet="1" objects="1" scenarios="1"/>
  <mergeCells count="19">
    <mergeCell ref="O37:S37"/>
    <mergeCell ref="B33:N33"/>
    <mergeCell ref="B41:N41"/>
    <mergeCell ref="B38:M38"/>
    <mergeCell ref="B39:N39"/>
    <mergeCell ref="B40:N40"/>
    <mergeCell ref="A42:N42"/>
    <mergeCell ref="B31:N31"/>
    <mergeCell ref="B32:N32"/>
    <mergeCell ref="B35:N35"/>
    <mergeCell ref="B36:N36"/>
    <mergeCell ref="B37:M37"/>
    <mergeCell ref="B34:N34"/>
    <mergeCell ref="B30:N30"/>
    <mergeCell ref="C3:I4"/>
    <mergeCell ref="A5:A7"/>
    <mergeCell ref="B5:B7"/>
    <mergeCell ref="C5:C6"/>
    <mergeCell ref="J3:N4"/>
  </mergeCells>
  <hyperlinks>
    <hyperlink ref="B28" location="GUAINIA!A41" display="Ver Nota Informativa" xr:uid="{00000000-0004-0000-0D00-000000000000}"/>
  </hyperlinks>
  <pageMargins left="0.7" right="0.7" top="0.75" bottom="0.75" header="0.3" footer="0.3"/>
  <pageSetup orientation="portrait" r:id="rId1"/>
  <ignoredErrors>
    <ignoredError sqref="M11:M12 I12" numberStoredAsText="1"/>
    <ignoredError sqref="G12 G13" numberStoredAsText="1" formula="1"/>
    <ignoredError sqref="G18:G22 I22 G14:G16 C13 C18:C2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P90"/>
  <sheetViews>
    <sheetView zoomScale="85" zoomScaleNormal="85" workbookViewId="0">
      <selection activeCell="F8" sqref="F8"/>
    </sheetView>
  </sheetViews>
  <sheetFormatPr baseColWidth="10" defaultColWidth="45" defaultRowHeight="14.4" x14ac:dyDescent="0.3"/>
  <cols>
    <col min="1" max="1" width="7" customWidth="1"/>
    <col min="2" max="2" width="51.44140625" customWidth="1"/>
    <col min="3" max="3" width="15.33203125" bestFit="1" customWidth="1"/>
    <col min="4" max="4" width="17.109375" customWidth="1"/>
    <col min="5" max="5" width="15.33203125" hidden="1" customWidth="1"/>
    <col min="6" max="6" width="15.33203125" style="614" customWidth="1"/>
    <col min="7" max="7" width="14.5546875" hidden="1" customWidth="1"/>
    <col min="8" max="8" width="14.5546875" style="614" customWidth="1"/>
    <col min="9" max="9" width="15.33203125" hidden="1" customWidth="1"/>
    <col min="10" max="10" width="17.109375" customWidth="1"/>
    <col min="11" max="11" width="16.6640625" hidden="1" customWidth="1"/>
    <col min="12" max="12" width="15" customWidth="1"/>
    <col min="13" max="13" width="15.21875" hidden="1" customWidth="1"/>
    <col min="14" max="14" width="16.6640625" customWidth="1"/>
  </cols>
  <sheetData>
    <row r="1" spans="1:14" x14ac:dyDescent="0.3">
      <c r="A1" s="233" t="s">
        <v>158</v>
      </c>
      <c r="B1" s="133" t="str">
        <f>+AMAZONAS!C1</f>
        <v>Vigencia: 16 de Julio de 2022; 00:00 horas</v>
      </c>
      <c r="C1" s="133"/>
      <c r="D1" s="234"/>
      <c r="E1" s="234"/>
      <c r="F1" s="234"/>
      <c r="G1" s="234"/>
      <c r="H1" s="234"/>
      <c r="I1" s="234"/>
      <c r="J1" s="234"/>
    </row>
    <row r="2" spans="1:14" ht="15" thickBot="1" x14ac:dyDescent="0.35">
      <c r="A2" s="159" t="s">
        <v>179</v>
      </c>
      <c r="B2" s="160"/>
      <c r="C2" s="160"/>
      <c r="D2" s="160"/>
      <c r="E2" s="160"/>
      <c r="F2" s="160"/>
      <c r="G2" s="160"/>
      <c r="H2" s="160"/>
      <c r="I2" s="693"/>
      <c r="J2" s="160"/>
      <c r="L2" s="614"/>
    </row>
    <row r="3" spans="1:14" ht="15" customHeight="1" thickTop="1" x14ac:dyDescent="0.3">
      <c r="A3" s="187"/>
      <c r="B3" s="162" t="s">
        <v>275</v>
      </c>
      <c r="C3" s="748" t="s">
        <v>180</v>
      </c>
      <c r="D3" s="749"/>
      <c r="E3" s="749"/>
      <c r="F3" s="749"/>
      <c r="G3" s="749"/>
      <c r="H3" s="749"/>
      <c r="I3" s="750"/>
      <c r="J3" s="755"/>
      <c r="K3" s="944" t="s">
        <v>513</v>
      </c>
      <c r="L3" s="944"/>
      <c r="M3" s="944"/>
      <c r="N3" s="944"/>
    </row>
    <row r="4" spans="1:14" ht="37.799999999999997" customHeight="1" x14ac:dyDescent="0.3">
      <c r="A4" s="163"/>
      <c r="B4" s="681" t="s">
        <v>500</v>
      </c>
      <c r="C4" s="751"/>
      <c r="D4" s="752"/>
      <c r="E4" s="752"/>
      <c r="F4" s="752"/>
      <c r="G4" s="752"/>
      <c r="H4" s="752"/>
      <c r="I4" s="753"/>
      <c r="J4" s="705"/>
      <c r="K4" s="936"/>
      <c r="L4" s="936"/>
      <c r="M4" s="936"/>
      <c r="N4" s="936"/>
    </row>
    <row r="5" spans="1:14" ht="38.25" customHeight="1" x14ac:dyDescent="0.3">
      <c r="A5" s="895" t="s">
        <v>181</v>
      </c>
      <c r="B5" s="897" t="s">
        <v>182</v>
      </c>
      <c r="C5" s="901" t="s">
        <v>240</v>
      </c>
      <c r="D5" s="769" t="s">
        <v>96</v>
      </c>
      <c r="E5" s="589" t="s">
        <v>96</v>
      </c>
      <c r="F5" s="694" t="s">
        <v>511</v>
      </c>
      <c r="G5" s="164" t="s">
        <v>474</v>
      </c>
      <c r="H5" s="689" t="s">
        <v>397</v>
      </c>
      <c r="I5" s="383" t="str">
        <f>+GUAINIA!I5</f>
        <v>Biodiesel B11</v>
      </c>
      <c r="J5" s="768" t="s">
        <v>96</v>
      </c>
      <c r="K5" s="588" t="s">
        <v>96</v>
      </c>
      <c r="L5" s="694" t="s">
        <v>511</v>
      </c>
      <c r="M5" s="226" t="str">
        <f>+G5</f>
        <v>Biodiesel B5</v>
      </c>
      <c r="N5" s="687" t="str">
        <f>+H5</f>
        <v>Biodiesel B10</v>
      </c>
    </row>
    <row r="6" spans="1:14" ht="21.75" customHeight="1" x14ac:dyDescent="0.3">
      <c r="A6" s="895"/>
      <c r="B6" s="897"/>
      <c r="C6" s="902"/>
      <c r="D6" s="525" t="s">
        <v>514</v>
      </c>
      <c r="E6" s="525">
        <v>5</v>
      </c>
      <c r="F6" s="695">
        <v>0.1</v>
      </c>
      <c r="G6" s="545" t="s">
        <v>477</v>
      </c>
      <c r="H6" s="702">
        <v>0.1</v>
      </c>
      <c r="I6" s="165">
        <f>+GUAINIA!I6</f>
        <v>0.11</v>
      </c>
      <c r="J6" s="525" t="str">
        <f>+D6</f>
        <v>Oxigenada 4%</v>
      </c>
      <c r="K6" s="525">
        <v>5</v>
      </c>
      <c r="L6" s="695">
        <v>0.1</v>
      </c>
      <c r="M6" s="165" t="str">
        <f>+G6</f>
        <v>Oxigenada 5%</v>
      </c>
      <c r="N6" s="165">
        <f>+H6</f>
        <v>0.1</v>
      </c>
    </row>
    <row r="7" spans="1:14" x14ac:dyDescent="0.3">
      <c r="A7" s="896"/>
      <c r="B7" s="898"/>
      <c r="C7" s="135" t="s">
        <v>183</v>
      </c>
      <c r="D7" s="769" t="s">
        <v>183</v>
      </c>
      <c r="E7" s="589" t="s">
        <v>183</v>
      </c>
      <c r="F7" s="694" t="s">
        <v>183</v>
      </c>
      <c r="G7" s="164" t="s">
        <v>183</v>
      </c>
      <c r="H7" s="689" t="s">
        <v>183</v>
      </c>
      <c r="I7" s="164" t="s">
        <v>183</v>
      </c>
      <c r="J7" s="768" t="s">
        <v>183</v>
      </c>
      <c r="K7" s="588" t="s">
        <v>183</v>
      </c>
      <c r="L7" s="694" t="s">
        <v>183</v>
      </c>
      <c r="M7" s="226" t="s">
        <v>183</v>
      </c>
      <c r="N7" s="687" t="s">
        <v>183</v>
      </c>
    </row>
    <row r="8" spans="1:14" x14ac:dyDescent="0.3">
      <c r="A8" s="137" t="s">
        <v>184</v>
      </c>
      <c r="B8" s="143" t="s">
        <v>185</v>
      </c>
      <c r="C8" s="254">
        <f>+'Calculo IP ZDF'!$B$35</f>
        <v>4503.1136800000004</v>
      </c>
      <c r="D8" s="254">
        <f>+'Calculo IP ZDF'!G35</f>
        <v>4844.9175328000001</v>
      </c>
      <c r="E8" s="754">
        <f>+'Calculo IP ZDF'!H35</f>
        <v>4930.3684960000001</v>
      </c>
      <c r="F8" s="797">
        <f>+'Calculo IP ZDF'!J35</f>
        <v>5357.6233119999997</v>
      </c>
      <c r="G8" s="240">
        <f>+'Calculo IP ZDF'!Q35</f>
        <v>3924.8418857500001</v>
      </c>
      <c r="H8" s="245">
        <f>+'Calculo IP ZDF'!L35</f>
        <v>4933.9917865000007</v>
      </c>
      <c r="I8" s="172">
        <f>+'Calculo IP ZDF'!L35</f>
        <v>4933.9917865000007</v>
      </c>
      <c r="J8" s="214">
        <f>+'GAS CTE'!D9</f>
        <v>5384.1363999999994</v>
      </c>
      <c r="K8" s="756">
        <f>+'GAS CTE'!E9</f>
        <v>5463.9705000000004</v>
      </c>
      <c r="L8" s="189">
        <f>+'GAS CTE'!H9</f>
        <v>5863.1410000000005</v>
      </c>
      <c r="M8" s="211">
        <f>+BIODIESEL!G9</f>
        <v>5268.8620000000001</v>
      </c>
      <c r="N8" s="211">
        <f>+BIODIESEL!H9</f>
        <v>6207.2739999999994</v>
      </c>
    </row>
    <row r="9" spans="1:14" x14ac:dyDescent="0.3">
      <c r="A9" s="137" t="s">
        <v>186</v>
      </c>
      <c r="B9" s="143" t="s">
        <v>493</v>
      </c>
      <c r="C9" s="190" t="s">
        <v>188</v>
      </c>
      <c r="D9" s="190" t="s">
        <v>188</v>
      </c>
      <c r="E9" s="704" t="s">
        <v>188</v>
      </c>
      <c r="F9" s="261" t="s">
        <v>188</v>
      </c>
      <c r="G9" s="190" t="s">
        <v>188</v>
      </c>
      <c r="H9" s="261" t="s">
        <v>188</v>
      </c>
      <c r="I9" s="167" t="s">
        <v>188</v>
      </c>
      <c r="J9" s="211">
        <f>+'GAS CTE'!D10</f>
        <v>562.79999999999995</v>
      </c>
      <c r="K9" s="756">
        <f>+'GAS CTE'!E10</f>
        <v>556.9375</v>
      </c>
      <c r="L9" s="189">
        <f>+'GAS CTE'!H10</f>
        <v>501.24375000000003</v>
      </c>
      <c r="M9" s="211">
        <f>+BIODIESEL!G10</f>
        <v>533.06399999999996</v>
      </c>
      <c r="N9" s="211">
        <f>+BIODIESEL!H10</f>
        <v>505.00800000000004</v>
      </c>
    </row>
    <row r="10" spans="1:14" x14ac:dyDescent="0.3">
      <c r="A10" s="137"/>
      <c r="B10" s="143" t="s">
        <v>132</v>
      </c>
      <c r="C10" s="190" t="s">
        <v>188</v>
      </c>
      <c r="D10" s="190" t="s">
        <v>188</v>
      </c>
      <c r="E10" s="704" t="s">
        <v>188</v>
      </c>
      <c r="F10" s="261" t="s">
        <v>188</v>
      </c>
      <c r="G10" s="190" t="s">
        <v>188</v>
      </c>
      <c r="H10" s="261" t="s">
        <v>188</v>
      </c>
      <c r="I10" s="167" t="s">
        <v>188</v>
      </c>
      <c r="J10" s="211" t="s">
        <v>133</v>
      </c>
      <c r="K10" s="756" t="s">
        <v>133</v>
      </c>
      <c r="L10" s="239" t="s">
        <v>133</v>
      </c>
      <c r="M10" s="211" t="s">
        <v>133</v>
      </c>
      <c r="N10" s="211" t="s">
        <v>133</v>
      </c>
    </row>
    <row r="11" spans="1:14" x14ac:dyDescent="0.3">
      <c r="A11" s="137"/>
      <c r="B11" s="143" t="s">
        <v>492</v>
      </c>
      <c r="C11" s="240">
        <f>+'GAS CTE'!$C$12</f>
        <v>169</v>
      </c>
      <c r="D11" s="240">
        <f>+'GAS CTE'!D12</f>
        <v>162.23999999999998</v>
      </c>
      <c r="E11" s="703">
        <f>+'GAS CTE'!E12</f>
        <v>160.54999999999998</v>
      </c>
      <c r="F11" s="245">
        <f>+'GAS CTE'!H12</f>
        <v>144.49499999999998</v>
      </c>
      <c r="G11" s="240">
        <f>+BIODIESEL!$E$12</f>
        <v>187.18</v>
      </c>
      <c r="H11" s="245">
        <f>+BIODIESEL!H12</f>
        <v>171.9</v>
      </c>
      <c r="I11" s="172">
        <f>+BIODIESEL!H12</f>
        <v>171.9</v>
      </c>
      <c r="J11" s="211">
        <f>+D11</f>
        <v>162.23999999999998</v>
      </c>
      <c r="K11" s="756">
        <f>+E11</f>
        <v>160.54999999999998</v>
      </c>
      <c r="L11" s="189">
        <f>+F11</f>
        <v>144.49499999999998</v>
      </c>
      <c r="M11" s="211">
        <f>+BIODIESEL!G12</f>
        <v>181.45</v>
      </c>
      <c r="N11" s="211">
        <f>+BIODIESEL!H12</f>
        <v>171.9</v>
      </c>
    </row>
    <row r="12" spans="1:14" x14ac:dyDescent="0.3">
      <c r="A12" s="137" t="s">
        <v>189</v>
      </c>
      <c r="B12" s="143" t="s">
        <v>268</v>
      </c>
      <c r="C12" s="257" t="s">
        <v>217</v>
      </c>
      <c r="D12" s="257" t="str">
        <f>+C12</f>
        <v>(2)</v>
      </c>
      <c r="E12" s="704" t="str">
        <f>+D12</f>
        <v>(2)</v>
      </c>
      <c r="F12" s="261" t="str">
        <f>+E12</f>
        <v>(2)</v>
      </c>
      <c r="G12" s="190" t="str">
        <f>+C12</f>
        <v>(2)</v>
      </c>
      <c r="H12" s="261" t="s">
        <v>217</v>
      </c>
      <c r="I12" s="166" t="str">
        <f>+C12</f>
        <v>(2)</v>
      </c>
      <c r="J12" s="211" t="str">
        <f>+C12</f>
        <v>(2)</v>
      </c>
      <c r="K12" s="756" t="str">
        <f>+C12</f>
        <v>(2)</v>
      </c>
      <c r="L12" s="239" t="str">
        <f>+D12</f>
        <v>(2)</v>
      </c>
      <c r="M12" s="211" t="str">
        <f>+D12</f>
        <v>(2)</v>
      </c>
      <c r="N12" s="211" t="str">
        <f>+E12</f>
        <v>(2)</v>
      </c>
    </row>
    <row r="13" spans="1:14" x14ac:dyDescent="0.3">
      <c r="A13" s="137" t="s">
        <v>193</v>
      </c>
      <c r="B13" s="143" t="s">
        <v>194</v>
      </c>
      <c r="C13" s="257">
        <f>+RUBROS!$AC$53</f>
        <v>82.836649224944082</v>
      </c>
      <c r="D13" s="257">
        <f>+C13</f>
        <v>82.836649224944082</v>
      </c>
      <c r="E13" s="704">
        <f>+C13</f>
        <v>82.836649224944082</v>
      </c>
      <c r="F13" s="261">
        <f>+C13</f>
        <v>82.836649224944082</v>
      </c>
      <c r="G13" s="190">
        <f>+C13</f>
        <v>82.836649224944082</v>
      </c>
      <c r="H13" s="261">
        <f>+G13</f>
        <v>82.836649224944082</v>
      </c>
      <c r="I13" s="166">
        <f>+C13</f>
        <v>82.836649224944082</v>
      </c>
      <c r="J13" s="211">
        <f>+C13</f>
        <v>82.836649224944082</v>
      </c>
      <c r="K13" s="756">
        <f>+RUBROS!$AD$53</f>
        <v>82.836649224944082</v>
      </c>
      <c r="L13" s="239">
        <f>+RUBROS!$AD$53</f>
        <v>82.836649224944082</v>
      </c>
      <c r="M13" s="211">
        <f>+RUBROS!$AD$53</f>
        <v>82.836649224944082</v>
      </c>
      <c r="N13" s="211">
        <f>+RUBROS!$AD$53</f>
        <v>82.836649224944082</v>
      </c>
    </row>
    <row r="14" spans="1:14" x14ac:dyDescent="0.3">
      <c r="A14" s="137" t="s">
        <v>191</v>
      </c>
      <c r="B14" s="143" t="s">
        <v>192</v>
      </c>
      <c r="C14" s="240">
        <f>+RUBROS!$AC$17</f>
        <v>23.500029293035123</v>
      </c>
      <c r="D14" s="240">
        <f>+C14</f>
        <v>23.500029293035123</v>
      </c>
      <c r="E14" s="166">
        <f>+C14</f>
        <v>23.500029293035123</v>
      </c>
      <c r="F14" s="261">
        <f>+C14</f>
        <v>23.500029293035123</v>
      </c>
      <c r="G14" s="166">
        <f>+C14</f>
        <v>23.500029293035123</v>
      </c>
      <c r="H14" s="172">
        <f>+G14</f>
        <v>23.500029293035123</v>
      </c>
      <c r="I14" s="166">
        <f>+C14</f>
        <v>23.500029293035123</v>
      </c>
      <c r="J14" s="140">
        <f>+C14</f>
        <v>23.500029293035123</v>
      </c>
      <c r="K14" s="756">
        <f>+RUBROS!$AD$17</f>
        <v>23.500029293035123</v>
      </c>
      <c r="L14" s="239">
        <f>+RUBROS!$AD$17</f>
        <v>23.500029293035123</v>
      </c>
      <c r="M14" s="142">
        <f>+RUBROS!$AD$17</f>
        <v>23.500029293035123</v>
      </c>
      <c r="N14" s="142">
        <f>+RUBROS!$AD$17</f>
        <v>23.500029293035123</v>
      </c>
    </row>
    <row r="15" spans="1:14" x14ac:dyDescent="0.3">
      <c r="A15" s="137" t="s">
        <v>195</v>
      </c>
      <c r="B15" s="143" t="s">
        <v>196</v>
      </c>
      <c r="C15" s="240">
        <f>+RUBROS!$AU$42</f>
        <v>13.326421256197724</v>
      </c>
      <c r="D15" s="240">
        <f>+C15</f>
        <v>13.326421256197724</v>
      </c>
      <c r="E15" s="166">
        <f>+C15</f>
        <v>13.326421256197724</v>
      </c>
      <c r="F15" s="261">
        <f>+C15</f>
        <v>13.326421256197724</v>
      </c>
      <c r="G15" s="166">
        <f>+C15</f>
        <v>13.326421256197724</v>
      </c>
      <c r="H15" s="172">
        <f>+G15</f>
        <v>13.326421256197724</v>
      </c>
      <c r="I15" s="166">
        <f>+C15</f>
        <v>13.326421256197724</v>
      </c>
      <c r="J15" s="140">
        <f>+C15</f>
        <v>13.326421256197724</v>
      </c>
      <c r="K15" s="756">
        <f>+C15</f>
        <v>13.326421256197724</v>
      </c>
      <c r="L15" s="239">
        <f>+D15</f>
        <v>13.326421256197724</v>
      </c>
      <c r="M15" s="142">
        <f>+C15</f>
        <v>13.326421256197724</v>
      </c>
      <c r="N15" s="142">
        <f>+D15</f>
        <v>13.326421256197724</v>
      </c>
    </row>
    <row r="16" spans="1:14" hidden="1" x14ac:dyDescent="0.3">
      <c r="A16" s="137"/>
      <c r="B16" s="143" t="s">
        <v>197</v>
      </c>
      <c r="C16" s="240"/>
      <c r="D16" s="596"/>
      <c r="E16" s="166"/>
      <c r="F16" s="166"/>
      <c r="G16" s="166"/>
      <c r="H16" s="166"/>
      <c r="I16" s="166"/>
      <c r="J16" s="140"/>
      <c r="K16" s="237"/>
      <c r="L16" s="192"/>
      <c r="M16" s="140"/>
      <c r="N16" s="140"/>
    </row>
    <row r="17" spans="1:16" x14ac:dyDescent="0.3">
      <c r="A17" s="144" t="s">
        <v>198</v>
      </c>
      <c r="B17" s="173" t="s">
        <v>199</v>
      </c>
      <c r="C17" s="596">
        <f t="shared" ref="C17:L17" si="0">SUM(C8:C16)</f>
        <v>4791.7767797741781</v>
      </c>
      <c r="D17" s="596">
        <f t="shared" si="0"/>
        <v>5126.8206325741776</v>
      </c>
      <c r="E17" s="596">
        <f t="shared" ref="E17:F17" si="1">SUM(E8:E16)</f>
        <v>5210.5815957741779</v>
      </c>
      <c r="F17" s="596">
        <f t="shared" si="1"/>
        <v>5621.7814117741773</v>
      </c>
      <c r="G17" s="596">
        <f t="shared" si="0"/>
        <v>4231.684985524178</v>
      </c>
      <c r="H17" s="596">
        <f t="shared" si="0"/>
        <v>5225.554886274178</v>
      </c>
      <c r="I17" s="596">
        <f t="shared" si="0"/>
        <v>5225.554886274178</v>
      </c>
      <c r="J17" s="757">
        <f t="shared" si="0"/>
        <v>6228.8394997741771</v>
      </c>
      <c r="K17" s="597">
        <f t="shared" si="0"/>
        <v>6301.1210997741782</v>
      </c>
      <c r="L17" s="597">
        <f t="shared" si="0"/>
        <v>6628.5428497741777</v>
      </c>
      <c r="M17" s="757">
        <f>SUM(M8:M16)</f>
        <v>6103.0390997741779</v>
      </c>
      <c r="N17" s="757">
        <f>SUM(N8:N16)</f>
        <v>7003.8450997741766</v>
      </c>
    </row>
    <row r="18" spans="1:16" x14ac:dyDescent="0.3">
      <c r="A18" s="137" t="s">
        <v>200</v>
      </c>
      <c r="B18" s="143" t="s">
        <v>263</v>
      </c>
      <c r="C18" s="257" t="s">
        <v>231</v>
      </c>
      <c r="D18" s="257" t="str">
        <f>+C18</f>
        <v>***</v>
      </c>
      <c r="E18" s="166" t="str">
        <f t="shared" ref="E18:F20" si="2">+C18</f>
        <v>***</v>
      </c>
      <c r="F18" s="166" t="str">
        <f t="shared" si="2"/>
        <v>***</v>
      </c>
      <c r="G18" s="166" t="s">
        <v>231</v>
      </c>
      <c r="H18" s="166" t="s">
        <v>231</v>
      </c>
      <c r="I18" s="166" t="str">
        <f>+G18</f>
        <v>***</v>
      </c>
      <c r="J18" s="140" t="str">
        <f>+C18</f>
        <v>***</v>
      </c>
      <c r="K18" s="237" t="str">
        <f t="shared" ref="K18:L20" si="3">+C18</f>
        <v>***</v>
      </c>
      <c r="L18" s="237" t="str">
        <f t="shared" si="3"/>
        <v>***</v>
      </c>
      <c r="M18" s="140" t="str">
        <f t="shared" ref="M18:N20" si="4">+C18</f>
        <v>***</v>
      </c>
      <c r="N18" s="140" t="str">
        <f t="shared" si="4"/>
        <v>***</v>
      </c>
    </row>
    <row r="19" spans="1:16" x14ac:dyDescent="0.3">
      <c r="A19" s="137" t="s">
        <v>202</v>
      </c>
      <c r="B19" s="143" t="s">
        <v>203</v>
      </c>
      <c r="C19" s="257" t="s">
        <v>229</v>
      </c>
      <c r="D19" s="257" t="str">
        <f>+C19</f>
        <v>**</v>
      </c>
      <c r="E19" s="166" t="str">
        <f t="shared" si="2"/>
        <v>**</v>
      </c>
      <c r="F19" s="166" t="str">
        <f t="shared" si="2"/>
        <v>**</v>
      </c>
      <c r="G19" s="166" t="s">
        <v>229</v>
      </c>
      <c r="H19" s="166" t="s">
        <v>229</v>
      </c>
      <c r="I19" s="166" t="str">
        <f>+C19</f>
        <v>**</v>
      </c>
      <c r="J19" s="140" t="str">
        <f>+C19</f>
        <v>**</v>
      </c>
      <c r="K19" s="237" t="str">
        <f t="shared" si="3"/>
        <v>**</v>
      </c>
      <c r="L19" s="237" t="str">
        <f t="shared" si="3"/>
        <v>**</v>
      </c>
      <c r="M19" s="140" t="str">
        <f t="shared" si="4"/>
        <v>**</v>
      </c>
      <c r="N19" s="140" t="str">
        <f t="shared" si="4"/>
        <v>**</v>
      </c>
    </row>
    <row r="20" spans="1:16" x14ac:dyDescent="0.3">
      <c r="A20" s="137" t="s">
        <v>204</v>
      </c>
      <c r="B20" s="209" t="s">
        <v>139</v>
      </c>
      <c r="C20" s="277" t="s">
        <v>233</v>
      </c>
      <c r="D20" s="277" t="str">
        <f>+C20</f>
        <v>****</v>
      </c>
      <c r="E20" s="166" t="str">
        <f t="shared" si="2"/>
        <v>****</v>
      </c>
      <c r="F20" s="166" t="str">
        <f t="shared" si="2"/>
        <v>****</v>
      </c>
      <c r="G20" s="172" t="s">
        <v>233</v>
      </c>
      <c r="H20" s="172" t="s">
        <v>233</v>
      </c>
      <c r="I20" s="172" t="str">
        <f>+C20</f>
        <v>****</v>
      </c>
      <c r="J20" s="140" t="str">
        <f>C20</f>
        <v>****</v>
      </c>
      <c r="K20" s="260" t="str">
        <f t="shared" si="3"/>
        <v>****</v>
      </c>
      <c r="L20" s="260" t="str">
        <f t="shared" si="3"/>
        <v>****</v>
      </c>
      <c r="M20" s="140" t="str">
        <f t="shared" si="4"/>
        <v>****</v>
      </c>
      <c r="N20" s="140" t="str">
        <f t="shared" si="4"/>
        <v>****</v>
      </c>
    </row>
    <row r="21" spans="1:16" x14ac:dyDescent="0.3">
      <c r="A21" s="144" t="s">
        <v>206</v>
      </c>
      <c r="B21" s="173" t="s">
        <v>207</v>
      </c>
      <c r="C21" s="595">
        <f t="shared" ref="C21:M21" si="5">+C17</f>
        <v>4791.7767797741781</v>
      </c>
      <c r="D21" s="595">
        <f t="shared" si="5"/>
        <v>5126.8206325741776</v>
      </c>
      <c r="E21" s="596">
        <f t="shared" ref="E21:F21" si="6">+E17</f>
        <v>5210.5815957741779</v>
      </c>
      <c r="F21" s="596">
        <f t="shared" si="6"/>
        <v>5621.7814117741773</v>
      </c>
      <c r="G21" s="596">
        <f t="shared" si="5"/>
        <v>4231.684985524178</v>
      </c>
      <c r="H21" s="596">
        <f t="shared" si="5"/>
        <v>5225.554886274178</v>
      </c>
      <c r="I21" s="596">
        <f t="shared" si="5"/>
        <v>5225.554886274178</v>
      </c>
      <c r="J21" s="757">
        <f t="shared" si="5"/>
        <v>6228.8394997741771</v>
      </c>
      <c r="K21" s="597">
        <f t="shared" si="5"/>
        <v>6301.1210997741782</v>
      </c>
      <c r="L21" s="597">
        <f t="shared" ref="L21" si="7">+L17</f>
        <v>6628.5428497741777</v>
      </c>
      <c r="M21" s="757">
        <f t="shared" si="5"/>
        <v>6103.0390997741779</v>
      </c>
      <c r="N21" s="757">
        <f t="shared" ref="N21" si="8">+N17</f>
        <v>7003.8450997741766</v>
      </c>
    </row>
    <row r="22" spans="1:16" x14ac:dyDescent="0.3">
      <c r="A22" s="137" t="s">
        <v>208</v>
      </c>
      <c r="B22" s="143" t="s">
        <v>160</v>
      </c>
      <c r="C22" s="240" t="str">
        <f>+C18</f>
        <v>***</v>
      </c>
      <c r="D22" s="240" t="str">
        <f t="shared" ref="D22:I22" si="9">+D18</f>
        <v>***</v>
      </c>
      <c r="E22" s="240" t="str">
        <f t="shared" ref="E22:F22" si="10">+E18</f>
        <v>***</v>
      </c>
      <c r="F22" s="240" t="str">
        <f t="shared" si="10"/>
        <v>***</v>
      </c>
      <c r="G22" s="240" t="str">
        <f t="shared" si="9"/>
        <v>***</v>
      </c>
      <c r="H22" s="240" t="s">
        <v>231</v>
      </c>
      <c r="I22" s="240" t="str">
        <f t="shared" si="9"/>
        <v>***</v>
      </c>
      <c r="J22" s="140" t="str">
        <f>+J18</f>
        <v>***</v>
      </c>
      <c r="K22" s="237" t="str">
        <f>+K18</f>
        <v>***</v>
      </c>
      <c r="L22" s="237" t="str">
        <f>+L18</f>
        <v>***</v>
      </c>
      <c r="M22" s="140" t="str">
        <f>+M18</f>
        <v>***</v>
      </c>
      <c r="N22" s="140" t="str">
        <f>+N18</f>
        <v>***</v>
      </c>
    </row>
    <row r="23" spans="1:16" x14ac:dyDescent="0.3">
      <c r="A23" s="137" t="s">
        <v>209</v>
      </c>
      <c r="B23" s="138" t="s">
        <v>210</v>
      </c>
      <c r="C23" s="247" t="s">
        <v>235</v>
      </c>
      <c r="D23" s="247" t="str">
        <f>+C23</f>
        <v>*****</v>
      </c>
      <c r="E23" s="166" t="str">
        <f>+C23</f>
        <v>*****</v>
      </c>
      <c r="F23" s="166" t="str">
        <f>+D23</f>
        <v>*****</v>
      </c>
      <c r="G23" s="166" t="s">
        <v>211</v>
      </c>
      <c r="H23" s="166" t="s">
        <v>211</v>
      </c>
      <c r="I23" s="166" t="s">
        <v>211</v>
      </c>
      <c r="J23" s="140" t="str">
        <f>+D23</f>
        <v>*****</v>
      </c>
      <c r="K23" s="237" t="str">
        <f>+C23</f>
        <v>*****</v>
      </c>
      <c r="L23" s="237" t="str">
        <f>+D23</f>
        <v>*****</v>
      </c>
      <c r="M23" s="140" t="s">
        <v>253</v>
      </c>
      <c r="N23" s="140" t="s">
        <v>253</v>
      </c>
      <c r="P23" s="19"/>
    </row>
    <row r="24" spans="1:16" ht="18" customHeight="1" x14ac:dyDescent="0.3">
      <c r="A24" s="137" t="s">
        <v>212</v>
      </c>
      <c r="B24" s="138" t="s">
        <v>213</v>
      </c>
      <c r="C24" s="247" t="s">
        <v>236</v>
      </c>
      <c r="D24" s="247" t="str">
        <f>+C24</f>
        <v>******</v>
      </c>
      <c r="E24" s="166" t="str">
        <f>+C24</f>
        <v>******</v>
      </c>
      <c r="F24" s="166" t="str">
        <f>+D24</f>
        <v>******</v>
      </c>
      <c r="G24" s="166" t="str">
        <f>+C24</f>
        <v>******</v>
      </c>
      <c r="H24" s="166" t="s">
        <v>236</v>
      </c>
      <c r="I24" s="166" t="str">
        <f>+C24</f>
        <v>******</v>
      </c>
      <c r="J24" s="140" t="str">
        <f>+C24</f>
        <v>******</v>
      </c>
      <c r="K24" s="237" t="str">
        <f>+C24</f>
        <v>******</v>
      </c>
      <c r="L24" s="237" t="str">
        <f>+D24</f>
        <v>******</v>
      </c>
      <c r="M24" s="140" t="str">
        <f>+C24</f>
        <v>******</v>
      </c>
      <c r="N24" s="140" t="str">
        <f>+D24</f>
        <v>******</v>
      </c>
    </row>
    <row r="25" spans="1:16" ht="15" thickBot="1" x14ac:dyDescent="0.35">
      <c r="A25" s="148" t="s">
        <v>214</v>
      </c>
      <c r="B25" s="149" t="s">
        <v>215</v>
      </c>
      <c r="C25" s="248"/>
      <c r="D25" s="176"/>
      <c r="E25" s="176"/>
      <c r="F25" s="176"/>
      <c r="G25" s="176"/>
      <c r="H25" s="176"/>
      <c r="I25" s="176"/>
      <c r="J25" s="598"/>
      <c r="K25" s="249"/>
      <c r="L25" s="202"/>
      <c r="M25" s="151"/>
      <c r="N25" s="151"/>
    </row>
    <row r="26" spans="1:16" ht="15" thickTop="1" x14ac:dyDescent="0.3">
      <c r="A26" s="153"/>
      <c r="B26" s="154"/>
      <c r="C26" s="154"/>
      <c r="D26" s="155"/>
      <c r="E26" s="155"/>
      <c r="F26" s="155"/>
      <c r="G26" s="155"/>
      <c r="H26" s="155"/>
      <c r="I26" s="155"/>
      <c r="J26" s="155"/>
      <c r="L26" s="614"/>
    </row>
    <row r="27" spans="1:16" ht="15" hidden="1" thickTop="1" x14ac:dyDescent="0.3">
      <c r="A27" s="187"/>
      <c r="B27" s="162" t="s">
        <v>452</v>
      </c>
      <c r="C27" s="903" t="s">
        <v>180</v>
      </c>
      <c r="D27" s="904"/>
      <c r="E27" s="904"/>
      <c r="F27" s="904"/>
      <c r="G27" s="904"/>
      <c r="H27" s="685"/>
      <c r="I27" s="932" t="s">
        <v>249</v>
      </c>
      <c r="J27" s="934"/>
    </row>
    <row r="28" spans="1:16" ht="41.4" hidden="1" x14ac:dyDescent="0.3">
      <c r="A28" s="163"/>
      <c r="B28" s="262" t="s">
        <v>276</v>
      </c>
      <c r="C28" s="905"/>
      <c r="D28" s="906"/>
      <c r="E28" s="906"/>
      <c r="F28" s="906"/>
      <c r="G28" s="906"/>
      <c r="H28" s="686"/>
      <c r="I28" s="935"/>
      <c r="J28" s="937"/>
    </row>
    <row r="29" spans="1:16" ht="27.6" hidden="1" x14ac:dyDescent="0.3">
      <c r="A29" s="895" t="s">
        <v>181</v>
      </c>
      <c r="B29" s="897" t="s">
        <v>182</v>
      </c>
      <c r="C29" s="901" t="s">
        <v>240</v>
      </c>
      <c r="D29" s="482" t="s">
        <v>96</v>
      </c>
      <c r="E29" s="482" t="s">
        <v>392</v>
      </c>
      <c r="F29" s="694"/>
      <c r="G29" s="482">
        <f>+GUAINIA!I29</f>
        <v>0</v>
      </c>
      <c r="H29" s="699"/>
      <c r="I29" s="481" t="s">
        <v>96</v>
      </c>
      <c r="J29" s="480">
        <f>+G29</f>
        <v>0</v>
      </c>
    </row>
    <row r="30" spans="1:16" hidden="1" x14ac:dyDescent="0.3">
      <c r="A30" s="895"/>
      <c r="B30" s="897"/>
      <c r="C30" s="902"/>
      <c r="D30" s="479">
        <v>0.08</v>
      </c>
      <c r="E30" s="165">
        <v>0.02</v>
      </c>
      <c r="F30" s="165"/>
      <c r="G30" s="165">
        <f>+GUAINIA!I30</f>
        <v>0</v>
      </c>
      <c r="H30" s="700"/>
      <c r="I30" s="263">
        <v>0.04</v>
      </c>
      <c r="J30" s="165">
        <f>+G30</f>
        <v>0</v>
      </c>
    </row>
    <row r="31" spans="1:16" hidden="1" x14ac:dyDescent="0.3">
      <c r="A31" s="896"/>
      <c r="B31" s="898"/>
      <c r="C31" s="481" t="s">
        <v>183</v>
      </c>
      <c r="D31" s="482" t="s">
        <v>183</v>
      </c>
      <c r="E31" s="482" t="s">
        <v>183</v>
      </c>
      <c r="F31" s="694"/>
      <c r="G31" s="482" t="s">
        <v>183</v>
      </c>
      <c r="H31" s="699"/>
      <c r="I31" s="481" t="s">
        <v>183</v>
      </c>
      <c r="J31" s="480" t="s">
        <v>183</v>
      </c>
    </row>
    <row r="32" spans="1:16" hidden="1" x14ac:dyDescent="0.3">
      <c r="A32" s="137" t="s">
        <v>184</v>
      </c>
      <c r="B32" s="143" t="s">
        <v>185</v>
      </c>
      <c r="C32" s="254">
        <f>+'Calculo IP ZDF'!$B$44</f>
        <v>4503.1136800000004</v>
      </c>
      <c r="D32" s="254">
        <f>+'Calculo IP ZDF'!$G$44</f>
        <v>4844.9175328000001</v>
      </c>
      <c r="E32" s="240">
        <f>+'Calculo IP ZDF'!$F$44</f>
        <v>3319.3537999999999</v>
      </c>
      <c r="F32" s="240"/>
      <c r="G32" s="172">
        <f>+'Calculo IP ZDF'!I59</f>
        <v>0</v>
      </c>
      <c r="H32" s="189"/>
      <c r="I32" s="237">
        <f>+'GAS CTE'!$D$9</f>
        <v>5384.1363999999994</v>
      </c>
      <c r="J32" s="214">
        <f>+BIODIESEL!H33</f>
        <v>0</v>
      </c>
    </row>
    <row r="33" spans="1:10" hidden="1" x14ac:dyDescent="0.3">
      <c r="A33" s="137" t="s">
        <v>186</v>
      </c>
      <c r="B33" s="143" t="s">
        <v>187</v>
      </c>
      <c r="C33" s="190" t="s">
        <v>188</v>
      </c>
      <c r="D33" s="190" t="s">
        <v>188</v>
      </c>
      <c r="E33" s="190" t="s">
        <v>188</v>
      </c>
      <c r="F33" s="190"/>
      <c r="G33" s="167" t="s">
        <v>188</v>
      </c>
      <c r="H33" s="670"/>
      <c r="I33" s="239">
        <f>+'GAS CTE'!$D$10</f>
        <v>562.79999999999995</v>
      </c>
      <c r="J33" s="211">
        <f>+BIODIESEL!H34</f>
        <v>0</v>
      </c>
    </row>
    <row r="34" spans="1:10" hidden="1" x14ac:dyDescent="0.3">
      <c r="A34" s="137"/>
      <c r="B34" s="143" t="s">
        <v>132</v>
      </c>
      <c r="C34" s="190" t="s">
        <v>188</v>
      </c>
      <c r="D34" s="190" t="s">
        <v>188</v>
      </c>
      <c r="E34" s="190" t="s">
        <v>188</v>
      </c>
      <c r="F34" s="190"/>
      <c r="G34" s="167" t="s">
        <v>188</v>
      </c>
      <c r="H34" s="670"/>
      <c r="I34" s="239" t="str">
        <f>+J10</f>
        <v>(3)</v>
      </c>
      <c r="J34" s="211">
        <f>'[6]CORRIENTE OXIGENADA'!C36</f>
        <v>0</v>
      </c>
    </row>
    <row r="35" spans="1:10" hidden="1" x14ac:dyDescent="0.3">
      <c r="A35" s="137"/>
      <c r="B35" s="143" t="s">
        <v>134</v>
      </c>
      <c r="C35" s="240">
        <f>+'GAS CTE'!$C$12</f>
        <v>169</v>
      </c>
      <c r="D35" s="240">
        <f>+'GAS CTE'!$D$12</f>
        <v>162.23999999999998</v>
      </c>
      <c r="E35" s="240">
        <f>+BIODIESEL!$E$12</f>
        <v>187.18</v>
      </c>
      <c r="F35" s="240"/>
      <c r="G35" s="172">
        <f>+BIODIESEL!H36</f>
        <v>0</v>
      </c>
      <c r="H35" s="189"/>
      <c r="I35" s="239">
        <f t="shared" ref="I35:I39" si="11">+C35</f>
        <v>169</v>
      </c>
      <c r="J35" s="211">
        <f>+BIODIESEL!H36</f>
        <v>0</v>
      </c>
    </row>
    <row r="36" spans="1:10" hidden="1" x14ac:dyDescent="0.3">
      <c r="A36" s="137" t="s">
        <v>189</v>
      </c>
      <c r="B36" s="143" t="s">
        <v>268</v>
      </c>
      <c r="C36" s="257" t="s">
        <v>217</v>
      </c>
      <c r="D36" s="190" t="str">
        <f>+C36</f>
        <v>(2)</v>
      </c>
      <c r="E36" s="190" t="str">
        <f>+C36</f>
        <v>(2)</v>
      </c>
      <c r="F36" s="190"/>
      <c r="G36" s="166" t="str">
        <f>+C36</f>
        <v>(2)</v>
      </c>
      <c r="H36" s="192"/>
      <c r="I36" s="239" t="str">
        <f t="shared" si="11"/>
        <v>(2)</v>
      </c>
      <c r="J36" s="211" t="str">
        <f>+D36</f>
        <v>(2)</v>
      </c>
    </row>
    <row r="37" spans="1:10" hidden="1" x14ac:dyDescent="0.3">
      <c r="A37" s="137" t="s">
        <v>193</v>
      </c>
      <c r="B37" s="143" t="s">
        <v>194</v>
      </c>
      <c r="C37" s="257">
        <f>+RUBROS!$Z$53</f>
        <v>78.428942648119744</v>
      </c>
      <c r="D37" s="190">
        <f>+C37</f>
        <v>78.428942648119744</v>
      </c>
      <c r="E37" s="190">
        <f>+C37</f>
        <v>78.428942648119744</v>
      </c>
      <c r="F37" s="190"/>
      <c r="G37" s="166">
        <f>+C37</f>
        <v>78.428942648119744</v>
      </c>
      <c r="H37" s="192"/>
      <c r="I37" s="239">
        <f t="shared" si="11"/>
        <v>78.428942648119744</v>
      </c>
      <c r="J37" s="211">
        <f>+C37</f>
        <v>78.428942648119744</v>
      </c>
    </row>
    <row r="38" spans="1:10" hidden="1" x14ac:dyDescent="0.3">
      <c r="A38" s="137" t="s">
        <v>191</v>
      </c>
      <c r="B38" s="143" t="s">
        <v>192</v>
      </c>
      <c r="C38" s="240">
        <f>+RUBROS!$Z$17</f>
        <v>22.249601678692599</v>
      </c>
      <c r="D38" s="166">
        <f>+C38</f>
        <v>22.249601678692599</v>
      </c>
      <c r="E38" s="166">
        <f>+C38</f>
        <v>22.249601678692599</v>
      </c>
      <c r="F38" s="166"/>
      <c r="G38" s="166">
        <f>+C38</f>
        <v>22.249601678692599</v>
      </c>
      <c r="H38" s="192"/>
      <c r="I38" s="237">
        <f t="shared" si="11"/>
        <v>22.249601678692599</v>
      </c>
      <c r="J38" s="140">
        <f>+C38</f>
        <v>22.249601678692599</v>
      </c>
    </row>
    <row r="39" spans="1:10" hidden="1" x14ac:dyDescent="0.3">
      <c r="A39" s="137" t="s">
        <v>195</v>
      </c>
      <c r="B39" s="143" t="s">
        <v>196</v>
      </c>
      <c r="C39" s="240">
        <f>+RUBROS!$AQ$42</f>
        <v>12.938273064269636</v>
      </c>
      <c r="D39" s="166">
        <f>+C39</f>
        <v>12.938273064269636</v>
      </c>
      <c r="E39" s="166">
        <f>+C39</f>
        <v>12.938273064269636</v>
      </c>
      <c r="F39" s="166"/>
      <c r="G39" s="166">
        <f>+C39</f>
        <v>12.938273064269636</v>
      </c>
      <c r="H39" s="192"/>
      <c r="I39" s="237">
        <f t="shared" si="11"/>
        <v>12.938273064269636</v>
      </c>
      <c r="J39" s="140">
        <f>+I39</f>
        <v>12.938273064269636</v>
      </c>
    </row>
    <row r="40" spans="1:10" hidden="1" x14ac:dyDescent="0.3">
      <c r="A40" s="137"/>
      <c r="B40" s="143" t="s">
        <v>197</v>
      </c>
      <c r="C40" s="240"/>
      <c r="D40" s="166"/>
      <c r="E40" s="166"/>
      <c r="F40" s="166"/>
      <c r="G40" s="166"/>
      <c r="H40" s="192"/>
      <c r="I40" s="237"/>
      <c r="J40" s="140"/>
    </row>
    <row r="41" spans="1:10" hidden="1" x14ac:dyDescent="0.3">
      <c r="A41" s="144" t="s">
        <v>198</v>
      </c>
      <c r="B41" s="173" t="s">
        <v>199</v>
      </c>
      <c r="C41" s="241">
        <f t="shared" ref="C41:I41" si="12">SUM(C32:C40)</f>
        <v>4785.7304973910823</v>
      </c>
      <c r="D41" s="241">
        <f t="shared" si="12"/>
        <v>5120.7743501910818</v>
      </c>
      <c r="E41" s="241">
        <f t="shared" si="12"/>
        <v>3620.1506173910816</v>
      </c>
      <c r="F41" s="241"/>
      <c r="G41" s="241">
        <f t="shared" si="12"/>
        <v>113.61681739108198</v>
      </c>
      <c r="H41" s="701"/>
      <c r="I41" s="243">
        <f t="shared" si="12"/>
        <v>6229.5532173910815</v>
      </c>
      <c r="J41" s="244">
        <f>SUM(J32:J40)</f>
        <v>113.61681739108198</v>
      </c>
    </row>
    <row r="42" spans="1:10" hidden="1" x14ac:dyDescent="0.3">
      <c r="A42" s="137" t="s">
        <v>200</v>
      </c>
      <c r="B42" s="143" t="s">
        <v>263</v>
      </c>
      <c r="C42" s="257" t="s">
        <v>231</v>
      </c>
      <c r="D42" s="166" t="str">
        <f>+C42</f>
        <v>***</v>
      </c>
      <c r="E42" s="166" t="str">
        <f>+D42</f>
        <v>***</v>
      </c>
      <c r="F42" s="166"/>
      <c r="G42" s="166" t="str">
        <f>+E42</f>
        <v>***</v>
      </c>
      <c r="H42" s="192"/>
      <c r="I42" s="237" t="str">
        <f>+G42</f>
        <v>***</v>
      </c>
      <c r="J42" s="140" t="str">
        <f>+C42</f>
        <v>***</v>
      </c>
    </row>
    <row r="43" spans="1:10" hidden="1" x14ac:dyDescent="0.3">
      <c r="A43" s="137" t="s">
        <v>202</v>
      </c>
      <c r="B43" s="143" t="s">
        <v>203</v>
      </c>
      <c r="C43" s="257" t="s">
        <v>229</v>
      </c>
      <c r="D43" s="166" t="str">
        <f>+C43</f>
        <v>**</v>
      </c>
      <c r="E43" s="166" t="str">
        <f>+C43</f>
        <v>**</v>
      </c>
      <c r="F43" s="166"/>
      <c r="G43" s="166" t="str">
        <f>+C43</f>
        <v>**</v>
      </c>
      <c r="H43" s="192"/>
      <c r="I43" s="237" t="str">
        <f>+C43</f>
        <v>**</v>
      </c>
      <c r="J43" s="140" t="str">
        <f>+C43</f>
        <v>**</v>
      </c>
    </row>
    <row r="44" spans="1:10" hidden="1" x14ac:dyDescent="0.3">
      <c r="A44" s="137" t="s">
        <v>204</v>
      </c>
      <c r="B44" s="209" t="s">
        <v>139</v>
      </c>
      <c r="C44" s="277" t="s">
        <v>233</v>
      </c>
      <c r="D44" s="166" t="str">
        <f>+C44</f>
        <v>****</v>
      </c>
      <c r="E44" s="172" t="str">
        <f>+C44</f>
        <v>****</v>
      </c>
      <c r="F44" s="172"/>
      <c r="G44" s="172" t="str">
        <f>+C44</f>
        <v>****</v>
      </c>
      <c r="H44" s="189"/>
      <c r="I44" s="260" t="str">
        <f>C44</f>
        <v>****</v>
      </c>
      <c r="J44" s="140" t="str">
        <f>+C44</f>
        <v>****</v>
      </c>
    </row>
    <row r="45" spans="1:10" hidden="1" x14ac:dyDescent="0.3">
      <c r="A45" s="144" t="s">
        <v>206</v>
      </c>
      <c r="B45" s="173" t="s">
        <v>207</v>
      </c>
      <c r="C45" s="246">
        <f t="shared" ref="C45:J45" si="13">+C41</f>
        <v>4785.7304973910823</v>
      </c>
      <c r="D45" s="174">
        <f t="shared" si="13"/>
        <v>5120.7743501910818</v>
      </c>
      <c r="E45" s="174">
        <f t="shared" si="13"/>
        <v>3620.1506173910816</v>
      </c>
      <c r="F45" s="174"/>
      <c r="G45" s="174">
        <f t="shared" si="13"/>
        <v>113.61681739108198</v>
      </c>
      <c r="H45" s="198"/>
      <c r="I45" s="243">
        <f t="shared" si="13"/>
        <v>6229.5532173910815</v>
      </c>
      <c r="J45" s="146">
        <f t="shared" si="13"/>
        <v>113.61681739108198</v>
      </c>
    </row>
    <row r="46" spans="1:10" hidden="1" x14ac:dyDescent="0.3">
      <c r="A46" s="137" t="s">
        <v>208</v>
      </c>
      <c r="B46" s="143" t="s">
        <v>160</v>
      </c>
      <c r="C46" s="240" t="str">
        <f>+C42</f>
        <v>***</v>
      </c>
      <c r="D46" s="240" t="str">
        <f t="shared" ref="D46:G46" si="14">+D42</f>
        <v>***</v>
      </c>
      <c r="E46" s="240" t="str">
        <f t="shared" si="14"/>
        <v>***</v>
      </c>
      <c r="F46" s="240"/>
      <c r="G46" s="240" t="str">
        <f t="shared" si="14"/>
        <v>***</v>
      </c>
      <c r="H46" s="240"/>
      <c r="I46" s="237" t="str">
        <f>+I42</f>
        <v>***</v>
      </c>
      <c r="J46" s="140" t="str">
        <f>+J42</f>
        <v>***</v>
      </c>
    </row>
    <row r="47" spans="1:10" hidden="1" x14ac:dyDescent="0.3">
      <c r="A47" s="137" t="s">
        <v>209</v>
      </c>
      <c r="B47" s="138" t="s">
        <v>210</v>
      </c>
      <c r="C47" s="247" t="s">
        <v>235</v>
      </c>
      <c r="D47" s="166" t="str">
        <f>+C47</f>
        <v>*****</v>
      </c>
      <c r="E47" s="166" t="s">
        <v>211</v>
      </c>
      <c r="F47" s="166"/>
      <c r="G47" s="166" t="s">
        <v>211</v>
      </c>
      <c r="H47" s="192"/>
      <c r="I47" s="237" t="str">
        <f>+D47</f>
        <v>*****</v>
      </c>
      <c r="J47" s="140" t="s">
        <v>253</v>
      </c>
    </row>
    <row r="48" spans="1:10" hidden="1" x14ac:dyDescent="0.3">
      <c r="A48" s="137" t="s">
        <v>212</v>
      </c>
      <c r="B48" s="138" t="s">
        <v>213</v>
      </c>
      <c r="C48" s="247" t="s">
        <v>236</v>
      </c>
      <c r="D48" s="166" t="str">
        <f>+C48</f>
        <v>******</v>
      </c>
      <c r="E48" s="166" t="str">
        <f>+C48</f>
        <v>******</v>
      </c>
      <c r="F48" s="166"/>
      <c r="G48" s="166" t="str">
        <f>+C48</f>
        <v>******</v>
      </c>
      <c r="H48" s="192"/>
      <c r="I48" s="237" t="str">
        <f>+C48</f>
        <v>******</v>
      </c>
      <c r="J48" s="140" t="str">
        <f>+C48</f>
        <v>******</v>
      </c>
    </row>
    <row r="49" spans="1:12" ht="15" hidden="1" thickBot="1" x14ac:dyDescent="0.35">
      <c r="A49" s="148" t="s">
        <v>214</v>
      </c>
      <c r="B49" s="149" t="s">
        <v>215</v>
      </c>
      <c r="C49" s="248"/>
      <c r="D49" s="176"/>
      <c r="E49" s="176"/>
      <c r="F49" s="176"/>
      <c r="G49" s="176"/>
      <c r="H49" s="202"/>
      <c r="I49" s="249"/>
      <c r="J49" s="151"/>
    </row>
    <row r="50" spans="1:12" x14ac:dyDescent="0.3">
      <c r="A50" s="153"/>
      <c r="B50" s="154"/>
      <c r="C50" s="154"/>
      <c r="D50" s="155"/>
      <c r="E50" s="155"/>
      <c r="F50" s="155"/>
      <c r="G50" s="155"/>
      <c r="H50" s="155"/>
      <c r="I50" s="155"/>
      <c r="J50" s="155"/>
    </row>
    <row r="51" spans="1:12" ht="15" thickBot="1" x14ac:dyDescent="0.35">
      <c r="A51" s="153"/>
      <c r="B51" s="154"/>
      <c r="C51" s="154"/>
      <c r="D51" s="155"/>
      <c r="E51" s="155"/>
      <c r="F51" s="155"/>
      <c r="G51" s="155"/>
      <c r="H51" s="155"/>
      <c r="I51" s="155"/>
      <c r="J51" s="155"/>
    </row>
    <row r="52" spans="1:12" ht="15" customHeight="1" thickTop="1" x14ac:dyDescent="0.3">
      <c r="A52" s="187"/>
      <c r="B52" s="162" t="s">
        <v>277</v>
      </c>
      <c r="C52" s="748" t="s">
        <v>180</v>
      </c>
      <c r="D52" s="749"/>
      <c r="E52" s="749"/>
      <c r="F52" s="749"/>
      <c r="G52" s="749"/>
      <c r="H52" s="749"/>
      <c r="I52" s="750"/>
      <c r="J52" s="922" t="s">
        <v>249</v>
      </c>
      <c r="K52" s="923"/>
      <c r="L52" s="923"/>
    </row>
    <row r="53" spans="1:12" ht="46.5" customHeight="1" x14ac:dyDescent="0.3">
      <c r="A53" s="163"/>
      <c r="B53" s="681" t="s">
        <v>500</v>
      </c>
      <c r="C53" s="751"/>
      <c r="D53" s="752"/>
      <c r="E53" s="752"/>
      <c r="F53" s="752"/>
      <c r="G53" s="752"/>
      <c r="H53" s="752"/>
      <c r="I53" s="753"/>
      <c r="J53" s="922"/>
      <c r="K53" s="923"/>
      <c r="L53" s="923"/>
    </row>
    <row r="54" spans="1:12" ht="38.25" customHeight="1" x14ac:dyDescent="0.3">
      <c r="A54" s="895" t="s">
        <v>181</v>
      </c>
      <c r="B54" s="897" t="s">
        <v>182</v>
      </c>
      <c r="C54" s="901" t="s">
        <v>240</v>
      </c>
      <c r="D54" s="589" t="s">
        <v>96</v>
      </c>
      <c r="E54" s="164" t="s">
        <v>96</v>
      </c>
      <c r="F54" s="694"/>
      <c r="G54" s="164" t="str">
        <f>+G5</f>
        <v>Biodiesel B5</v>
      </c>
      <c r="H54" s="689" t="s">
        <v>397</v>
      </c>
      <c r="I54" s="702" t="str">
        <f>+I5</f>
        <v>Biodiesel B11</v>
      </c>
      <c r="J54" s="135" t="s">
        <v>96</v>
      </c>
      <c r="K54" s="588" t="s">
        <v>96</v>
      </c>
      <c r="L54" s="226" t="str">
        <f>+H54</f>
        <v>Biodiesel B10</v>
      </c>
    </row>
    <row r="55" spans="1:12" x14ac:dyDescent="0.3">
      <c r="A55" s="895"/>
      <c r="B55" s="897"/>
      <c r="C55" s="902"/>
      <c r="D55" s="545">
        <v>0.08</v>
      </c>
      <c r="E55" s="525">
        <v>5</v>
      </c>
      <c r="F55" s="745"/>
      <c r="G55" s="165" t="str">
        <f>+G6</f>
        <v>Oxigenada 5%</v>
      </c>
      <c r="H55" s="702">
        <v>0.1</v>
      </c>
      <c r="I55" s="702">
        <v>0.11</v>
      </c>
      <c r="J55" s="263">
        <v>0.04</v>
      </c>
      <c r="K55" s="263" t="s">
        <v>477</v>
      </c>
      <c r="L55" s="165">
        <f>+H55</f>
        <v>0.1</v>
      </c>
    </row>
    <row r="56" spans="1:12" x14ac:dyDescent="0.3">
      <c r="A56" s="896"/>
      <c r="B56" s="898"/>
      <c r="C56" s="135" t="s">
        <v>183</v>
      </c>
      <c r="D56" s="589" t="s">
        <v>183</v>
      </c>
      <c r="E56" s="164" t="s">
        <v>183</v>
      </c>
      <c r="F56" s="694"/>
      <c r="G56" s="164" t="s">
        <v>183</v>
      </c>
      <c r="H56" s="689" t="s">
        <v>183</v>
      </c>
      <c r="I56" s="689" t="s">
        <v>183</v>
      </c>
      <c r="J56" s="135" t="s">
        <v>183</v>
      </c>
      <c r="K56" s="588" t="s">
        <v>183</v>
      </c>
      <c r="L56" s="226" t="s">
        <v>183</v>
      </c>
    </row>
    <row r="57" spans="1:12" x14ac:dyDescent="0.3">
      <c r="A57" s="137" t="s">
        <v>184</v>
      </c>
      <c r="B57" s="143" t="s">
        <v>185</v>
      </c>
      <c r="C57" s="254">
        <f>+'GAS CTE'!C6</f>
        <v>5064.8</v>
      </c>
      <c r="D57" s="254">
        <f>+'GAS CTE'!D9</f>
        <v>5384.1363999999994</v>
      </c>
      <c r="E57" s="254">
        <f>+'GAS CTE'!E9</f>
        <v>5463.9705000000004</v>
      </c>
      <c r="F57" s="254"/>
      <c r="G57" s="255">
        <f>+BIODIESEL!G9</f>
        <v>5268.8620000000001</v>
      </c>
      <c r="H57" s="799">
        <f>+BIODIESEL!H9</f>
        <v>6207.2739999999994</v>
      </c>
      <c r="I57" s="172">
        <f>+BIODIESEL!H9</f>
        <v>6207.2739999999994</v>
      </c>
      <c r="J57" s="237">
        <f>+D57</f>
        <v>5384.1363999999994</v>
      </c>
      <c r="K57" s="237">
        <f>+E57</f>
        <v>5463.9705000000004</v>
      </c>
      <c r="L57" s="214">
        <f>+N8</f>
        <v>6207.2739999999994</v>
      </c>
    </row>
    <row r="58" spans="1:12" x14ac:dyDescent="0.3">
      <c r="A58" s="137" t="s">
        <v>186</v>
      </c>
      <c r="B58" s="143" t="s">
        <v>187</v>
      </c>
      <c r="C58" s="190" t="s">
        <v>188</v>
      </c>
      <c r="D58" s="190" t="s">
        <v>188</v>
      </c>
      <c r="E58" s="190" t="s">
        <v>188</v>
      </c>
      <c r="F58" s="190"/>
      <c r="G58" s="190" t="s">
        <v>188</v>
      </c>
      <c r="H58" s="261" t="s">
        <v>188</v>
      </c>
      <c r="I58" s="167" t="s">
        <v>188</v>
      </c>
      <c r="J58" s="239">
        <f>+'GAS CTE'!D10</f>
        <v>562.79999999999995</v>
      </c>
      <c r="K58" s="239">
        <f>+'GAS CTE'!E10</f>
        <v>556.9375</v>
      </c>
      <c r="L58" s="211">
        <f>+N9</f>
        <v>505.00800000000004</v>
      </c>
    </row>
    <row r="59" spans="1:12" x14ac:dyDescent="0.3">
      <c r="A59" s="137"/>
      <c r="B59" s="143" t="s">
        <v>132</v>
      </c>
      <c r="C59" s="190" t="s">
        <v>188</v>
      </c>
      <c r="D59" s="190" t="s">
        <v>188</v>
      </c>
      <c r="E59" s="190" t="s">
        <v>188</v>
      </c>
      <c r="F59" s="190"/>
      <c r="G59" s="190" t="s">
        <v>188</v>
      </c>
      <c r="H59" s="261" t="s">
        <v>188</v>
      </c>
      <c r="I59" s="167" t="s">
        <v>188</v>
      </c>
      <c r="J59" s="239" t="str">
        <f>+J10</f>
        <v>(3)</v>
      </c>
      <c r="K59" s="239"/>
      <c r="L59" s="211" t="str">
        <f>+J59</f>
        <v>(3)</v>
      </c>
    </row>
    <row r="60" spans="1:12" x14ac:dyDescent="0.3">
      <c r="A60" s="137"/>
      <c r="B60" s="143" t="s">
        <v>134</v>
      </c>
      <c r="C60" s="240">
        <f>'GAS CTE'!C12</f>
        <v>169</v>
      </c>
      <c r="D60" s="240">
        <f>+'GAS CTE'!D12</f>
        <v>162.23999999999998</v>
      </c>
      <c r="E60" s="240">
        <f>+'GAS CTE'!E12</f>
        <v>160.54999999999998</v>
      </c>
      <c r="F60" s="240"/>
      <c r="G60" s="240">
        <f>+BIODIESEL!G12</f>
        <v>181.45</v>
      </c>
      <c r="H60" s="245">
        <f>+BIODIESEL!H12</f>
        <v>171.9</v>
      </c>
      <c r="I60" s="172">
        <f>+BIODIESEL!H12</f>
        <v>171.9</v>
      </c>
      <c r="J60" s="239">
        <f>+D60</f>
        <v>162.23999999999998</v>
      </c>
      <c r="K60" s="239">
        <f>+E60</f>
        <v>160.54999999999998</v>
      </c>
      <c r="L60" s="211">
        <f>+N11</f>
        <v>171.9</v>
      </c>
    </row>
    <row r="61" spans="1:12" x14ac:dyDescent="0.3">
      <c r="A61" s="137" t="s">
        <v>189</v>
      </c>
      <c r="B61" s="143" t="s">
        <v>268</v>
      </c>
      <c r="C61" s="190" t="str">
        <f>+C12</f>
        <v>(2)</v>
      </c>
      <c r="D61" s="190" t="str">
        <f>+C61</f>
        <v>(2)</v>
      </c>
      <c r="E61" s="190" t="str">
        <f>+C61</f>
        <v>(2)</v>
      </c>
      <c r="F61" s="190"/>
      <c r="G61" s="190" t="str">
        <f>+C61</f>
        <v>(2)</v>
      </c>
      <c r="H61" s="261" t="s">
        <v>217</v>
      </c>
      <c r="I61" s="166" t="str">
        <f>+C61</f>
        <v>(2)</v>
      </c>
      <c r="J61" s="239" t="str">
        <f>+C61</f>
        <v>(2)</v>
      </c>
      <c r="K61" s="239" t="str">
        <f>+C61</f>
        <v>(2)</v>
      </c>
      <c r="L61" s="211" t="str">
        <f>+D61</f>
        <v>(2)</v>
      </c>
    </row>
    <row r="62" spans="1:12" x14ac:dyDescent="0.3">
      <c r="A62" s="137" t="s">
        <v>193</v>
      </c>
      <c r="B62" s="143" t="s">
        <v>194</v>
      </c>
      <c r="C62" s="190">
        <f>+C13</f>
        <v>82.836649224944082</v>
      </c>
      <c r="D62" s="190">
        <f>+C62</f>
        <v>82.836649224944082</v>
      </c>
      <c r="E62" s="190">
        <f>+C62</f>
        <v>82.836649224944082</v>
      </c>
      <c r="F62" s="190"/>
      <c r="G62" s="190">
        <f>+C62</f>
        <v>82.836649224944082</v>
      </c>
      <c r="H62" s="261">
        <f>+C62</f>
        <v>82.836649224944082</v>
      </c>
      <c r="I62" s="166">
        <f>+C62</f>
        <v>82.836649224944082</v>
      </c>
      <c r="J62" s="239">
        <f>+C62</f>
        <v>82.836649224944082</v>
      </c>
      <c r="K62" s="239">
        <f>+C62</f>
        <v>82.836649224944082</v>
      </c>
      <c r="L62" s="211">
        <f>+J62</f>
        <v>82.836649224944082</v>
      </c>
    </row>
    <row r="63" spans="1:12" x14ac:dyDescent="0.3">
      <c r="A63" s="137" t="s">
        <v>191</v>
      </c>
      <c r="B63" s="143" t="s">
        <v>192</v>
      </c>
      <c r="C63" s="240">
        <f>C14</f>
        <v>23.500029293035123</v>
      </c>
      <c r="D63" s="166">
        <f>+C63</f>
        <v>23.500029293035123</v>
      </c>
      <c r="E63" s="166">
        <f>+C63</f>
        <v>23.500029293035123</v>
      </c>
      <c r="F63" s="166"/>
      <c r="G63" s="166">
        <f>+C63</f>
        <v>23.500029293035123</v>
      </c>
      <c r="H63" s="261">
        <f>+C63</f>
        <v>23.500029293035123</v>
      </c>
      <c r="I63" s="166">
        <f>+C63</f>
        <v>23.500029293035123</v>
      </c>
      <c r="J63" s="237">
        <f>+C63</f>
        <v>23.500029293035123</v>
      </c>
      <c r="K63" s="237">
        <f>+C63</f>
        <v>23.500029293035123</v>
      </c>
      <c r="L63" s="140">
        <f>+C63</f>
        <v>23.500029293035123</v>
      </c>
    </row>
    <row r="64" spans="1:12" x14ac:dyDescent="0.3">
      <c r="A64" s="137" t="s">
        <v>195</v>
      </c>
      <c r="B64" s="143" t="s">
        <v>196</v>
      </c>
      <c r="C64" s="240">
        <f>+C15</f>
        <v>13.326421256197724</v>
      </c>
      <c r="D64" s="166">
        <f>+C64</f>
        <v>13.326421256197724</v>
      </c>
      <c r="E64" s="166">
        <f>+C64</f>
        <v>13.326421256197724</v>
      </c>
      <c r="F64" s="166"/>
      <c r="G64" s="166">
        <f>+C64</f>
        <v>13.326421256197724</v>
      </c>
      <c r="H64" s="261">
        <f>+C64</f>
        <v>13.326421256197724</v>
      </c>
      <c r="I64" s="166">
        <f>+C64</f>
        <v>13.326421256197724</v>
      </c>
      <c r="J64" s="237">
        <f>+C64</f>
        <v>13.326421256197724</v>
      </c>
      <c r="K64" s="237">
        <f>+C64</f>
        <v>13.326421256197724</v>
      </c>
      <c r="L64" s="140">
        <f>+J64</f>
        <v>13.326421256197724</v>
      </c>
    </row>
    <row r="65" spans="1:12" hidden="1" x14ac:dyDescent="0.3">
      <c r="A65" s="137"/>
      <c r="B65" s="143" t="s">
        <v>197</v>
      </c>
      <c r="C65" s="240"/>
      <c r="D65" s="614"/>
      <c r="G65" s="166"/>
      <c r="H65" s="166"/>
      <c r="I65" s="166"/>
      <c r="J65" s="614"/>
      <c r="L65" s="140"/>
    </row>
    <row r="66" spans="1:12" x14ac:dyDescent="0.3">
      <c r="A66" s="144" t="s">
        <v>198</v>
      </c>
      <c r="B66" s="173" t="s">
        <v>199</v>
      </c>
      <c r="C66" s="241">
        <f t="shared" ref="C66:K66" si="15">SUM(C57:C65)</f>
        <v>5353.4630997741779</v>
      </c>
      <c r="D66" s="241">
        <f>SUM(D57:D65)</f>
        <v>5666.0394997741769</v>
      </c>
      <c r="E66" s="241">
        <f>SUM(E57:E65)</f>
        <v>5744.1835997741782</v>
      </c>
      <c r="F66" s="241"/>
      <c r="G66" s="241">
        <f t="shared" si="15"/>
        <v>5569.9750997741776</v>
      </c>
      <c r="H66" s="241">
        <f t="shared" si="15"/>
        <v>6498.8370997741767</v>
      </c>
      <c r="I66" s="241">
        <f t="shared" si="15"/>
        <v>6498.8370997741767</v>
      </c>
      <c r="J66" s="243">
        <f t="shared" si="15"/>
        <v>6228.8394997741771</v>
      </c>
      <c r="K66" s="243">
        <f t="shared" si="15"/>
        <v>6301.1210997741782</v>
      </c>
      <c r="L66" s="244">
        <f>SUM(L57:L65)</f>
        <v>7003.8450997741766</v>
      </c>
    </row>
    <row r="67" spans="1:12" x14ac:dyDescent="0.3">
      <c r="A67" s="137" t="s">
        <v>200</v>
      </c>
      <c r="B67" s="143" t="s">
        <v>263</v>
      </c>
      <c r="C67" s="257" t="s">
        <v>231</v>
      </c>
      <c r="D67" s="599" t="str">
        <f>+C67</f>
        <v>***</v>
      </c>
      <c r="E67" s="599" t="str">
        <f>+C67</f>
        <v>***</v>
      </c>
      <c r="F67" s="599"/>
      <c r="G67" s="166" t="str">
        <f>+D67</f>
        <v>***</v>
      </c>
      <c r="H67" s="166" t="str">
        <f>+E67</f>
        <v>***</v>
      </c>
      <c r="I67" s="166" t="str">
        <f>+G67</f>
        <v>***</v>
      </c>
      <c r="J67" s="599" t="str">
        <f>+C67</f>
        <v>***</v>
      </c>
      <c r="K67" s="599" t="str">
        <f>+C67</f>
        <v>***</v>
      </c>
      <c r="L67" s="140" t="str">
        <f>+J67</f>
        <v>***</v>
      </c>
    </row>
    <row r="68" spans="1:12" x14ac:dyDescent="0.3">
      <c r="A68" s="137" t="s">
        <v>202</v>
      </c>
      <c r="B68" s="143" t="s">
        <v>203</v>
      </c>
      <c r="C68" s="257" t="s">
        <v>229</v>
      </c>
      <c r="D68" s="599" t="str">
        <f>+C68</f>
        <v>**</v>
      </c>
      <c r="E68" s="599" t="str">
        <f>+C68</f>
        <v>**</v>
      </c>
      <c r="F68" s="599"/>
      <c r="G68" s="166" t="str">
        <f>+C68</f>
        <v>**</v>
      </c>
      <c r="H68" s="166" t="str">
        <f>+D68</f>
        <v>**</v>
      </c>
      <c r="I68" s="166" t="str">
        <f>+C68</f>
        <v>**</v>
      </c>
      <c r="J68" s="599" t="str">
        <f>+C68</f>
        <v>**</v>
      </c>
      <c r="K68" s="599" t="str">
        <f>+C68</f>
        <v>**</v>
      </c>
      <c r="L68" s="140" t="str">
        <f>+J68</f>
        <v>**</v>
      </c>
    </row>
    <row r="69" spans="1:12" x14ac:dyDescent="0.3">
      <c r="A69" s="137" t="s">
        <v>204</v>
      </c>
      <c r="B69" s="209" t="s">
        <v>139</v>
      </c>
      <c r="C69" s="261" t="str">
        <f>+C20</f>
        <v>****</v>
      </c>
      <c r="D69" s="599" t="str">
        <f>+C69</f>
        <v>****</v>
      </c>
      <c r="E69" s="599" t="str">
        <f>+C69</f>
        <v>****</v>
      </c>
      <c r="F69" s="599"/>
      <c r="G69" s="172" t="str">
        <f>+C69</f>
        <v>****</v>
      </c>
      <c r="H69" s="172" t="str">
        <f>+D69</f>
        <v>****</v>
      </c>
      <c r="I69" s="172" t="str">
        <f>+C69</f>
        <v>****</v>
      </c>
      <c r="J69" s="599" t="str">
        <f>C69</f>
        <v>****</v>
      </c>
      <c r="K69" s="599" t="str">
        <f>+C69</f>
        <v>****</v>
      </c>
      <c r="L69" s="140" t="str">
        <f>+C69</f>
        <v>****</v>
      </c>
    </row>
    <row r="70" spans="1:12" x14ac:dyDescent="0.3">
      <c r="A70" s="144" t="s">
        <v>206</v>
      </c>
      <c r="B70" s="173" t="s">
        <v>207</v>
      </c>
      <c r="C70" s="246">
        <f>SUM(C66:C69)</f>
        <v>5353.4630997741779</v>
      </c>
      <c r="D70" s="174">
        <f>SUM(D66:D69)</f>
        <v>5666.0394997741769</v>
      </c>
      <c r="E70" s="174">
        <f>SUM(E66:E69)</f>
        <v>5744.1835997741782</v>
      </c>
      <c r="F70" s="174"/>
      <c r="G70" s="174">
        <f t="shared" ref="G70:K70" si="16">SUM(G66:G69)</f>
        <v>5569.9750997741776</v>
      </c>
      <c r="H70" s="174">
        <f t="shared" si="16"/>
        <v>6498.8370997741767</v>
      </c>
      <c r="I70" s="174">
        <f t="shared" si="16"/>
        <v>6498.8370997741767</v>
      </c>
      <c r="J70" s="243">
        <f t="shared" si="16"/>
        <v>6228.8394997741771</v>
      </c>
      <c r="K70" s="243">
        <f t="shared" si="16"/>
        <v>6301.1210997741782</v>
      </c>
      <c r="L70" s="146">
        <f>SUM(L66:L69)</f>
        <v>7003.8450997741766</v>
      </c>
    </row>
    <row r="71" spans="1:12" x14ac:dyDescent="0.3">
      <c r="A71" s="137" t="s">
        <v>208</v>
      </c>
      <c r="B71" s="143" t="s">
        <v>160</v>
      </c>
      <c r="C71" s="259" t="str">
        <f>+C67</f>
        <v>***</v>
      </c>
      <c r="D71" s="601" t="str">
        <f>+C71</f>
        <v>***</v>
      </c>
      <c r="E71" s="601" t="str">
        <f>+C71</f>
        <v>***</v>
      </c>
      <c r="F71" s="601"/>
      <c r="G71" s="166" t="str">
        <f>+C71</f>
        <v>***</v>
      </c>
      <c r="H71" s="166" t="str">
        <f>+D71</f>
        <v>***</v>
      </c>
      <c r="I71" s="166" t="str">
        <f>+I67</f>
        <v>***</v>
      </c>
      <c r="J71" s="600" t="str">
        <f>+C71</f>
        <v>***</v>
      </c>
      <c r="K71" s="600" t="str">
        <f>+C71</f>
        <v>***</v>
      </c>
      <c r="L71" s="140" t="str">
        <f>+C71</f>
        <v>***</v>
      </c>
    </row>
    <row r="72" spans="1:12" x14ac:dyDescent="0.3">
      <c r="A72" s="137" t="s">
        <v>209</v>
      </c>
      <c r="B72" s="138" t="s">
        <v>210</v>
      </c>
      <c r="C72" s="192" t="str">
        <f>+C23</f>
        <v>*****</v>
      </c>
      <c r="D72" s="599" t="str">
        <f>+D23</f>
        <v>*****</v>
      </c>
      <c r="E72" s="599" t="str">
        <f>+C72</f>
        <v>*****</v>
      </c>
      <c r="F72" s="599"/>
      <c r="G72" s="192" t="str">
        <f t="shared" ref="G72:J73" si="17">+G23</f>
        <v>N.A</v>
      </c>
      <c r="H72" s="192" t="str">
        <f t="shared" ref="H72" si="18">+H23</f>
        <v>N.A</v>
      </c>
      <c r="I72" s="192" t="str">
        <f t="shared" si="17"/>
        <v>N.A</v>
      </c>
      <c r="J72" s="184" t="str">
        <f t="shared" si="17"/>
        <v>*****</v>
      </c>
      <c r="K72" s="184" t="str">
        <f>+C72</f>
        <v>*****</v>
      </c>
      <c r="L72" s="214" t="str">
        <f>+M23</f>
        <v>N.A.</v>
      </c>
    </row>
    <row r="73" spans="1:12" x14ac:dyDescent="0.3">
      <c r="A73" s="137" t="s">
        <v>212</v>
      </c>
      <c r="B73" s="138" t="s">
        <v>213</v>
      </c>
      <c r="C73" s="192" t="str">
        <f>+C24</f>
        <v>******</v>
      </c>
      <c r="D73" s="599" t="str">
        <f>+D24</f>
        <v>******</v>
      </c>
      <c r="E73" s="599" t="str">
        <f>+C73</f>
        <v>******</v>
      </c>
      <c r="F73" s="599"/>
      <c r="G73" s="192" t="str">
        <f t="shared" si="17"/>
        <v>******</v>
      </c>
      <c r="H73" s="192" t="str">
        <f t="shared" ref="H73" si="19">+H24</f>
        <v>******</v>
      </c>
      <c r="I73" s="192" t="str">
        <f t="shared" si="17"/>
        <v>******</v>
      </c>
      <c r="J73" s="184" t="str">
        <f t="shared" si="17"/>
        <v>******</v>
      </c>
      <c r="K73" s="184" t="str">
        <f>+C73</f>
        <v>******</v>
      </c>
      <c r="L73" s="214" t="str">
        <f>+M24</f>
        <v>******</v>
      </c>
    </row>
    <row r="74" spans="1:12" ht="15" thickBot="1" x14ac:dyDescent="0.35">
      <c r="A74" s="148" t="s">
        <v>214</v>
      </c>
      <c r="B74" s="149" t="s">
        <v>215</v>
      </c>
      <c r="C74" s="248"/>
      <c r="D74" s="176"/>
      <c r="E74" s="176"/>
      <c r="F74" s="176"/>
      <c r="G74" s="176"/>
      <c r="H74" s="176"/>
      <c r="I74" s="176"/>
      <c r="J74" s="249"/>
      <c r="K74" s="249"/>
      <c r="L74" s="151"/>
    </row>
    <row r="75" spans="1:12" ht="15" thickTop="1" x14ac:dyDescent="0.3">
      <c r="A75" s="153"/>
      <c r="B75" s="154"/>
      <c r="C75" s="154"/>
      <c r="D75" s="155"/>
      <c r="E75" s="155"/>
      <c r="F75" s="155"/>
      <c r="G75" s="155"/>
      <c r="H75" s="155"/>
      <c r="I75" s="155"/>
      <c r="J75" s="155"/>
    </row>
    <row r="76" spans="1:12" ht="15" customHeight="1" x14ac:dyDescent="0.3">
      <c r="A76" s="153"/>
      <c r="B76" s="256" t="s">
        <v>227</v>
      </c>
      <c r="C76" s="154"/>
      <c r="D76" s="155"/>
      <c r="E76" s="155"/>
      <c r="F76" s="155"/>
      <c r="G76" s="155"/>
      <c r="H76" s="155"/>
      <c r="I76" s="155"/>
      <c r="J76" s="155"/>
    </row>
    <row r="77" spans="1:12" x14ac:dyDescent="0.3">
      <c r="A77" s="153"/>
      <c r="B77" s="154"/>
      <c r="C77" s="154"/>
      <c r="D77" s="155"/>
      <c r="E77" s="155"/>
      <c r="F77" s="155"/>
      <c r="G77" s="155"/>
      <c r="H77" s="155"/>
      <c r="I77" s="155"/>
      <c r="J77" s="155"/>
    </row>
    <row r="78" spans="1:12" ht="19.649999999999999" customHeight="1" x14ac:dyDescent="0.3">
      <c r="A78" s="156" t="s">
        <v>190</v>
      </c>
      <c r="B78" s="914" t="str">
        <f>+GUAINIA!B30</f>
        <v>De acuerdo con lo establecido en la Resoluccion 91349 de 2014 del MME para combustible de origen nacional o importado a ser distribuido en zonas de frontera, aplica la tarifa de marcación o remarcación vigente a la fecha según corresponda</v>
      </c>
      <c r="C78" s="914"/>
      <c r="D78" s="914"/>
      <c r="E78" s="914"/>
      <c r="F78" s="914"/>
      <c r="G78" s="914"/>
      <c r="H78" s="914"/>
      <c r="I78" s="914"/>
      <c r="J78" s="914"/>
    </row>
    <row r="79" spans="1:12" ht="27.9" customHeight="1" x14ac:dyDescent="0.3">
      <c r="A79" s="156" t="s">
        <v>217</v>
      </c>
      <c r="B79" s="892" t="s">
        <v>269</v>
      </c>
      <c r="C79" s="892"/>
      <c r="D79" s="892"/>
      <c r="E79" s="892"/>
      <c r="F79" s="892"/>
      <c r="G79" s="892"/>
      <c r="H79" s="892"/>
      <c r="I79" s="892"/>
      <c r="J79" s="892"/>
    </row>
    <row r="80" spans="1:12" ht="54.6" customHeight="1" x14ac:dyDescent="0.3">
      <c r="A80" s="156" t="s">
        <v>133</v>
      </c>
      <c r="B80" s="892" t="s">
        <v>241</v>
      </c>
      <c r="C80" s="892"/>
      <c r="D80" s="892"/>
      <c r="E80" s="892"/>
      <c r="F80" s="892"/>
      <c r="G80" s="892"/>
      <c r="H80" s="892"/>
      <c r="I80" s="892"/>
      <c r="J80" s="892"/>
    </row>
    <row r="81" spans="1:13" ht="17.399999999999999" customHeight="1" x14ac:dyDescent="0.3">
      <c r="A81" s="156"/>
      <c r="B81" s="891"/>
      <c r="C81" s="891"/>
      <c r="D81" s="891"/>
      <c r="E81" s="891"/>
      <c r="F81" s="891"/>
      <c r="G81" s="891"/>
      <c r="H81" s="891"/>
      <c r="I81" s="891"/>
      <c r="J81" s="252"/>
      <c r="K81" s="252"/>
      <c r="L81" s="252"/>
      <c r="M81" s="252"/>
    </row>
    <row r="82" spans="1:13" x14ac:dyDescent="0.3">
      <c r="A82" s="156"/>
      <c r="B82" s="177" t="s">
        <v>158</v>
      </c>
      <c r="C82" s="177"/>
      <c r="D82" s="206"/>
      <c r="E82" s="206"/>
      <c r="F82" s="206"/>
      <c r="G82" s="206"/>
      <c r="H82" s="206"/>
      <c r="I82" s="206"/>
      <c r="J82" s="206"/>
    </row>
    <row r="83" spans="1:13" ht="15" customHeight="1" x14ac:dyDescent="0.3">
      <c r="A83" s="178" t="s">
        <v>102</v>
      </c>
      <c r="B83" s="892" t="s">
        <v>228</v>
      </c>
      <c r="C83" s="892"/>
      <c r="D83" s="892"/>
      <c r="E83" s="892"/>
      <c r="F83" s="892"/>
      <c r="G83" s="892"/>
      <c r="H83" s="892"/>
      <c r="I83" s="892"/>
      <c r="J83" s="892"/>
    </row>
    <row r="84" spans="1:13" ht="20.25" customHeight="1" x14ac:dyDescent="0.3">
      <c r="A84" s="178" t="s">
        <v>229</v>
      </c>
      <c r="B84" s="891" t="s">
        <v>278</v>
      </c>
      <c r="C84" s="891"/>
      <c r="D84" s="891"/>
      <c r="E84" s="891"/>
      <c r="F84" s="891"/>
      <c r="G84" s="891"/>
      <c r="H84" s="891"/>
      <c r="I84" s="891"/>
      <c r="J84" s="891"/>
    </row>
    <row r="85" spans="1:13" ht="25.5" customHeight="1" x14ac:dyDescent="0.3">
      <c r="A85" s="178" t="s">
        <v>231</v>
      </c>
      <c r="B85" s="891" t="s">
        <v>270</v>
      </c>
      <c r="C85" s="891"/>
      <c r="D85" s="891"/>
      <c r="E85" s="891"/>
      <c r="F85" s="891"/>
      <c r="G85" s="891"/>
      <c r="H85" s="891"/>
      <c r="I85" s="891"/>
      <c r="J85" s="891"/>
    </row>
    <row r="86" spans="1:13" x14ac:dyDescent="0.3">
      <c r="A86" s="178" t="s">
        <v>233</v>
      </c>
      <c r="B86" s="891" t="s">
        <v>454</v>
      </c>
      <c r="C86" s="891"/>
      <c r="D86" s="891"/>
      <c r="E86" s="891"/>
      <c r="F86" s="891"/>
      <c r="G86" s="891"/>
      <c r="H86" s="891"/>
      <c r="I86" s="891"/>
      <c r="J86" s="891"/>
    </row>
    <row r="87" spans="1:13" ht="23.4" customHeight="1" x14ac:dyDescent="0.3">
      <c r="A87" s="178" t="s">
        <v>235</v>
      </c>
      <c r="B87" s="891" t="s">
        <v>237</v>
      </c>
      <c r="C87" s="891"/>
      <c r="D87" s="891"/>
      <c r="E87" s="891"/>
      <c r="F87" s="891"/>
      <c r="G87" s="891"/>
      <c r="H87" s="891"/>
      <c r="I87" s="891"/>
      <c r="J87" s="891"/>
    </row>
    <row r="88" spans="1:13" ht="15" customHeight="1" x14ac:dyDescent="0.3">
      <c r="A88" s="178" t="s">
        <v>236</v>
      </c>
      <c r="B88" s="891" t="s">
        <v>266</v>
      </c>
      <c r="C88" s="891"/>
      <c r="D88" s="891"/>
      <c r="E88" s="891"/>
      <c r="F88" s="891"/>
      <c r="G88" s="891"/>
      <c r="H88" s="891"/>
      <c r="I88" s="891"/>
      <c r="J88" s="891"/>
    </row>
    <row r="89" spans="1:13" x14ac:dyDescent="0.3">
      <c r="A89" s="233"/>
      <c r="B89" s="959" t="s">
        <v>443</v>
      </c>
      <c r="C89" s="959"/>
      <c r="D89" s="959"/>
      <c r="E89" s="959"/>
      <c r="F89" s="959"/>
      <c r="G89" s="959"/>
      <c r="H89" s="959"/>
      <c r="I89" s="959"/>
      <c r="J89" s="959"/>
      <c r="K89" s="959"/>
    </row>
    <row r="90" spans="1:13" ht="87.9" customHeight="1" x14ac:dyDescent="0.3">
      <c r="A90" s="958" t="s">
        <v>147</v>
      </c>
      <c r="B90" s="958"/>
      <c r="C90" s="958"/>
      <c r="D90" s="958"/>
      <c r="E90" s="958"/>
      <c r="F90" s="958"/>
      <c r="G90" s="958"/>
      <c r="H90" s="958"/>
      <c r="I90" s="958"/>
      <c r="J90" s="958"/>
    </row>
  </sheetData>
  <sheetProtection algorithmName="SHA-512" hashValue="ImeliuJuTqcrIhFL10XRzTMKMufQTHvMMYVC1YYelSIaBcF2cRuZnB2uVV2MC6Jp+IGP0XVs+1ip9kCsLCekMA==" saltValue="X2DKKA710QY7DZQ111cwbw==" spinCount="100000" sheet="1" objects="1" scenarios="1"/>
  <mergeCells count="25">
    <mergeCell ref="A54:A56"/>
    <mergeCell ref="B54:B56"/>
    <mergeCell ref="C54:C55"/>
    <mergeCell ref="J52:L53"/>
    <mergeCell ref="A90:J90"/>
    <mergeCell ref="B85:J85"/>
    <mergeCell ref="B86:J86"/>
    <mergeCell ref="B88:J88"/>
    <mergeCell ref="B78:J78"/>
    <mergeCell ref="B79:J79"/>
    <mergeCell ref="B80:J80"/>
    <mergeCell ref="B83:J83"/>
    <mergeCell ref="B87:J87"/>
    <mergeCell ref="B84:J84"/>
    <mergeCell ref="B89:K89"/>
    <mergeCell ref="B81:I81"/>
    <mergeCell ref="A29:A31"/>
    <mergeCell ref="B29:B31"/>
    <mergeCell ref="C29:C30"/>
    <mergeCell ref="K3:N4"/>
    <mergeCell ref="A5:A7"/>
    <mergeCell ref="B5:B7"/>
    <mergeCell ref="C5:C6"/>
    <mergeCell ref="C27:G28"/>
    <mergeCell ref="I27:J28"/>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I66:J66 I17:J17 I15:J15 D15 C17:D17 L59 I68:J72 I67 G15 G17 G66:G72 L61:L70"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T40"/>
  <sheetViews>
    <sheetView zoomScale="80" zoomScaleNormal="80" workbookViewId="0">
      <selection activeCell="G11" sqref="G11"/>
    </sheetView>
  </sheetViews>
  <sheetFormatPr baseColWidth="10" defaultRowHeight="14.4" x14ac:dyDescent="0.3"/>
  <cols>
    <col min="2" max="2" width="57.5546875" customWidth="1"/>
    <col min="3" max="3" width="12.33203125" customWidth="1"/>
    <col min="4" max="4" width="15.77734375" customWidth="1"/>
    <col min="5" max="5" width="14.5546875" style="614" customWidth="1"/>
    <col min="6" max="6" width="13.6640625" style="614" customWidth="1"/>
    <col min="7" max="7" width="16.109375" customWidth="1"/>
    <col min="8" max="8" width="16" customWidth="1"/>
    <col min="9" max="9" width="17.5546875" customWidth="1"/>
    <col min="10" max="10" width="15" style="614" customWidth="1"/>
    <col min="11" max="11" width="14.33203125" style="614" customWidth="1"/>
    <col min="12" max="12" width="16" customWidth="1"/>
    <col min="14" max="14" width="14" customWidth="1"/>
  </cols>
  <sheetData>
    <row r="1" spans="1:13" x14ac:dyDescent="0.3">
      <c r="A1" s="132"/>
      <c r="B1" s="132" t="str">
        <f>+AMAZONAS!C1</f>
        <v>Vigencia: 16 de Julio de 2022; 00:00 horas</v>
      </c>
      <c r="D1" s="457"/>
      <c r="E1" s="457"/>
      <c r="F1" s="457"/>
    </row>
    <row r="2" spans="1:13" ht="15" thickBot="1" x14ac:dyDescent="0.35">
      <c r="A2" s="159" t="s">
        <v>179</v>
      </c>
      <c r="B2" s="159"/>
    </row>
    <row r="3" spans="1:13" ht="15.9" customHeight="1" thickTop="1" x14ac:dyDescent="0.3">
      <c r="A3" s="187"/>
      <c r="B3" s="188" t="s">
        <v>285</v>
      </c>
      <c r="C3" s="916" t="s">
        <v>180</v>
      </c>
      <c r="D3" s="917"/>
      <c r="E3" s="917"/>
      <c r="F3" s="917"/>
      <c r="G3" s="917"/>
      <c r="H3" s="918"/>
      <c r="I3" s="960" t="s">
        <v>249</v>
      </c>
      <c r="J3" s="949"/>
      <c r="K3" s="949"/>
      <c r="L3" s="950"/>
      <c r="M3" s="478"/>
    </row>
    <row r="4" spans="1:13" ht="30.45" customHeight="1" x14ac:dyDescent="0.3">
      <c r="A4" s="134"/>
      <c r="B4" s="681" t="s">
        <v>500</v>
      </c>
      <c r="C4" s="919"/>
      <c r="D4" s="920"/>
      <c r="E4" s="920"/>
      <c r="F4" s="920"/>
      <c r="G4" s="920"/>
      <c r="H4" s="921"/>
      <c r="I4" s="922"/>
      <c r="J4" s="923"/>
      <c r="K4" s="923"/>
      <c r="L4" s="961"/>
    </row>
    <row r="5" spans="1:13" ht="33.6" customHeight="1" x14ac:dyDescent="0.3">
      <c r="A5" s="895" t="s">
        <v>181</v>
      </c>
      <c r="B5" s="897" t="s">
        <v>182</v>
      </c>
      <c r="C5" s="901" t="s">
        <v>240</v>
      </c>
      <c r="D5" s="164" t="s">
        <v>96</v>
      </c>
      <c r="E5" s="769" t="s">
        <v>516</v>
      </c>
      <c r="F5" s="694" t="s">
        <v>512</v>
      </c>
      <c r="G5" s="164" t="s">
        <v>172</v>
      </c>
      <c r="H5" s="689" t="s">
        <v>474</v>
      </c>
      <c r="I5" s="164" t="s">
        <v>96</v>
      </c>
      <c r="J5" s="769" t="s">
        <v>516</v>
      </c>
      <c r="K5" s="694" t="s">
        <v>512</v>
      </c>
      <c r="L5" s="267" t="str">
        <f>+H5</f>
        <v>Biodiesel B5</v>
      </c>
    </row>
    <row r="6" spans="1:13" x14ac:dyDescent="0.3">
      <c r="A6" s="895"/>
      <c r="B6" s="897"/>
      <c r="C6" s="902"/>
      <c r="D6" s="525">
        <v>0.08</v>
      </c>
      <c r="E6" s="695">
        <v>0.04</v>
      </c>
      <c r="F6" s="695">
        <v>0.05</v>
      </c>
      <c r="G6" s="182">
        <v>0.02</v>
      </c>
      <c r="H6" s="165">
        <v>0.05</v>
      </c>
      <c r="I6" s="525">
        <v>0.08</v>
      </c>
      <c r="J6" s="695">
        <v>0.04</v>
      </c>
      <c r="K6" s="695">
        <v>0.05</v>
      </c>
      <c r="L6" s="165">
        <f>+H6</f>
        <v>0.05</v>
      </c>
    </row>
    <row r="7" spans="1:13" x14ac:dyDescent="0.3">
      <c r="A7" s="896"/>
      <c r="B7" s="898"/>
      <c r="C7" s="135" t="s">
        <v>183</v>
      </c>
      <c r="D7" s="164" t="s">
        <v>183</v>
      </c>
      <c r="E7" s="769" t="s">
        <v>183</v>
      </c>
      <c r="F7" s="694" t="s">
        <v>183</v>
      </c>
      <c r="G7" s="164" t="s">
        <v>183</v>
      </c>
      <c r="H7" s="164" t="s">
        <v>183</v>
      </c>
      <c r="I7" s="135" t="s">
        <v>183</v>
      </c>
      <c r="J7" s="768" t="s">
        <v>183</v>
      </c>
      <c r="K7" s="694" t="s">
        <v>183</v>
      </c>
      <c r="L7" s="267" t="s">
        <v>183</v>
      </c>
    </row>
    <row r="8" spans="1:13" x14ac:dyDescent="0.3">
      <c r="A8" s="137" t="s">
        <v>184</v>
      </c>
      <c r="B8" s="143" t="s">
        <v>185</v>
      </c>
      <c r="C8" s="204">
        <f>+'Calculo IP ZDF'!B37</f>
        <v>4620.1105600000001</v>
      </c>
      <c r="D8" s="210">
        <f>+'Calculo IP ZDF'!B37</f>
        <v>4620.1105600000001</v>
      </c>
      <c r="E8" s="189">
        <f>+'Calculo IP ZDF'!G37</f>
        <v>4957.2345375999994</v>
      </c>
      <c r="F8" s="189">
        <f>+'Calculo IP ZDF'!H37</f>
        <v>5041.5155319999994</v>
      </c>
      <c r="G8" s="212">
        <f>+'Calculo IP ZDF'!F37</f>
        <v>4080.6938</v>
      </c>
      <c r="H8" s="211">
        <f>+'Calculo IP ZDF'!Q37</f>
        <v>4662.8804792499996</v>
      </c>
      <c r="I8" s="189">
        <f>+'GAS CTE'!C6</f>
        <v>5064.8</v>
      </c>
      <c r="J8" s="189">
        <f>+'GAS CTE'!D9</f>
        <v>5384.1363999999994</v>
      </c>
      <c r="K8" s="189">
        <f>+'GAS CTE'!E9</f>
        <v>5463.9705000000004</v>
      </c>
      <c r="L8" s="211">
        <f>+BIODIESEL!G9</f>
        <v>5268.8620000000001</v>
      </c>
    </row>
    <row r="9" spans="1:13" ht="18" customHeight="1" x14ac:dyDescent="0.3">
      <c r="A9" s="137" t="s">
        <v>186</v>
      </c>
      <c r="B9" s="143" t="s">
        <v>187</v>
      </c>
      <c r="C9" s="190" t="str">
        <f t="shared" ref="C9:C12" si="0">+D9</f>
        <v>------------------</v>
      </c>
      <c r="D9" s="191" t="s">
        <v>188</v>
      </c>
      <c r="E9" s="606" t="s">
        <v>188</v>
      </c>
      <c r="F9" s="606" t="s">
        <v>188</v>
      </c>
      <c r="G9" s="191" t="s">
        <v>188</v>
      </c>
      <c r="H9" s="142" t="s">
        <v>188</v>
      </c>
      <c r="I9" s="189">
        <f>+'GAS CTE'!C10</f>
        <v>586.25</v>
      </c>
      <c r="J9" s="189">
        <f>+'GAS CTE'!D10</f>
        <v>562.79999999999995</v>
      </c>
      <c r="K9" s="189">
        <f>+'GAS CTE'!E10</f>
        <v>556.9375</v>
      </c>
      <c r="L9" s="798">
        <f>+BIODIESEL!G10</f>
        <v>533.06399999999996</v>
      </c>
    </row>
    <row r="10" spans="1:13" ht="18" customHeight="1" x14ac:dyDescent="0.3">
      <c r="A10" s="137"/>
      <c r="B10" s="143" t="s">
        <v>132</v>
      </c>
      <c r="C10" s="190" t="str">
        <f>+D10</f>
        <v>------------------</v>
      </c>
      <c r="D10" s="191" t="s">
        <v>188</v>
      </c>
      <c r="E10" s="606" t="s">
        <v>188</v>
      </c>
      <c r="F10" s="606" t="s">
        <v>188</v>
      </c>
      <c r="G10" s="191" t="s">
        <v>188</v>
      </c>
      <c r="H10" s="142" t="s">
        <v>188</v>
      </c>
      <c r="I10" s="205" t="str">
        <f>+COMBUSTIBLES!B12</f>
        <v>(3)</v>
      </c>
      <c r="J10" s="205" t="s">
        <v>133</v>
      </c>
      <c r="K10" s="205" t="s">
        <v>133</v>
      </c>
      <c r="L10" s="798" t="str">
        <f>+BIODIESEL!H11</f>
        <v>(3)</v>
      </c>
    </row>
    <row r="11" spans="1:13" x14ac:dyDescent="0.3">
      <c r="A11" s="137"/>
      <c r="B11" s="143" t="s">
        <v>134</v>
      </c>
      <c r="C11" s="190">
        <f>+'GAS CTE'!C12</f>
        <v>169</v>
      </c>
      <c r="D11" s="191">
        <f>+'GAS CTE'!C12</f>
        <v>169</v>
      </c>
      <c r="E11" s="606">
        <f>+'GAS CTE'!D12</f>
        <v>162.23999999999998</v>
      </c>
      <c r="F11" s="606">
        <f>+'GAS CTE'!E12</f>
        <v>160.54999999999998</v>
      </c>
      <c r="G11" s="191">
        <f>+BIODIESEL!E12</f>
        <v>187.18</v>
      </c>
      <c r="H11" s="142">
        <f>+BIODIESEL!G12</f>
        <v>181.45</v>
      </c>
      <c r="I11" s="189">
        <f>+'GAS CTE'!C12</f>
        <v>169</v>
      </c>
      <c r="J11" s="189">
        <f>+'GAS CTE'!D12</f>
        <v>162.23999999999998</v>
      </c>
      <c r="K11" s="189">
        <f>+'GAS CTE'!E12</f>
        <v>160.54999999999998</v>
      </c>
      <c r="L11" s="211">
        <f>+BIODIESEL!G12</f>
        <v>181.45</v>
      </c>
    </row>
    <row r="12" spans="1:13" x14ac:dyDescent="0.3">
      <c r="A12" s="137" t="s">
        <v>189</v>
      </c>
      <c r="B12" s="143" t="s">
        <v>286</v>
      </c>
      <c r="C12" s="190" t="str">
        <f t="shared" si="0"/>
        <v>(2)</v>
      </c>
      <c r="D12" s="141" t="s">
        <v>217</v>
      </c>
      <c r="E12" s="200" t="s">
        <v>217</v>
      </c>
      <c r="F12" s="200" t="s">
        <v>217</v>
      </c>
      <c r="G12" s="141" t="s">
        <v>217</v>
      </c>
      <c r="H12" s="142" t="s">
        <v>217</v>
      </c>
      <c r="I12" s="189" t="str">
        <f>+H12</f>
        <v>(2)</v>
      </c>
      <c r="J12" s="189" t="s">
        <v>217</v>
      </c>
      <c r="K12" s="189" t="s">
        <v>217</v>
      </c>
      <c r="L12" s="211" t="s">
        <v>217</v>
      </c>
    </row>
    <row r="13" spans="1:13" x14ac:dyDescent="0.3">
      <c r="A13" s="137" t="s">
        <v>191</v>
      </c>
      <c r="B13" s="143" t="s">
        <v>192</v>
      </c>
      <c r="C13" s="190">
        <f>+RUBROS!$AC$21</f>
        <v>23.500029293035123</v>
      </c>
      <c r="D13" s="141">
        <f t="shared" ref="D13:E15" si="1">+C13</f>
        <v>23.500029293035123</v>
      </c>
      <c r="E13" s="200">
        <f t="shared" si="1"/>
        <v>23.500029293035123</v>
      </c>
      <c r="F13" s="200">
        <f>+D13</f>
        <v>23.500029293035123</v>
      </c>
      <c r="G13" s="141">
        <f>+D13</f>
        <v>23.500029293035123</v>
      </c>
      <c r="H13" s="261">
        <f>+RUBROS!$AC$21</f>
        <v>23.500029293035123</v>
      </c>
      <c r="I13" s="189">
        <f>+C13</f>
        <v>23.500029293035123</v>
      </c>
      <c r="J13" s="189">
        <f t="shared" ref="J13:K15" si="2">+E13</f>
        <v>23.500029293035123</v>
      </c>
      <c r="K13" s="189">
        <f t="shared" si="2"/>
        <v>23.500029293035123</v>
      </c>
      <c r="L13" s="211">
        <f>+I13</f>
        <v>23.500029293035123</v>
      </c>
    </row>
    <row r="14" spans="1:13" x14ac:dyDescent="0.3">
      <c r="A14" s="137" t="s">
        <v>193</v>
      </c>
      <c r="B14" s="143" t="s">
        <v>194</v>
      </c>
      <c r="C14" s="190">
        <f>+RUBROS!AC57</f>
        <v>112.57839385457117</v>
      </c>
      <c r="D14" s="141">
        <f t="shared" si="1"/>
        <v>112.57839385457117</v>
      </c>
      <c r="E14" s="200">
        <f t="shared" si="1"/>
        <v>112.57839385457117</v>
      </c>
      <c r="F14" s="200">
        <f>+D14</f>
        <v>112.57839385457117</v>
      </c>
      <c r="G14" s="141">
        <f>+C14</f>
        <v>112.57839385457117</v>
      </c>
      <c r="H14" s="142">
        <f>+C14</f>
        <v>112.57839385457117</v>
      </c>
      <c r="I14" s="189">
        <f>+C14</f>
        <v>112.57839385457117</v>
      </c>
      <c r="J14" s="189">
        <f t="shared" si="2"/>
        <v>112.57839385457117</v>
      </c>
      <c r="K14" s="189">
        <f t="shared" si="2"/>
        <v>112.57839385457117</v>
      </c>
      <c r="L14" s="211">
        <f>+I14</f>
        <v>112.57839385457117</v>
      </c>
    </row>
    <row r="15" spans="1:13" x14ac:dyDescent="0.3">
      <c r="A15" s="137" t="s">
        <v>195</v>
      </c>
      <c r="B15" s="209" t="s">
        <v>196</v>
      </c>
      <c r="C15" s="190">
        <f>+RUBROS!AU32</f>
        <v>13.326421256197724</v>
      </c>
      <c r="D15" s="141">
        <f t="shared" si="1"/>
        <v>13.326421256197724</v>
      </c>
      <c r="E15" s="200">
        <f t="shared" si="1"/>
        <v>13.326421256197724</v>
      </c>
      <c r="F15" s="189">
        <f>+D15</f>
        <v>13.326421256197724</v>
      </c>
      <c r="G15" s="192">
        <f>+C15</f>
        <v>13.326421256197724</v>
      </c>
      <c r="H15" s="142">
        <f>+C15</f>
        <v>13.326421256197724</v>
      </c>
      <c r="I15" s="189">
        <f>+C15</f>
        <v>13.326421256197724</v>
      </c>
      <c r="J15" s="189">
        <f t="shared" si="2"/>
        <v>13.326421256197724</v>
      </c>
      <c r="K15" s="189">
        <f t="shared" si="2"/>
        <v>13.326421256197724</v>
      </c>
      <c r="L15" s="211">
        <f>+C15</f>
        <v>13.326421256197724</v>
      </c>
    </row>
    <row r="16" spans="1:13" hidden="1" x14ac:dyDescent="0.3">
      <c r="A16" s="137"/>
      <c r="B16" s="143" t="s">
        <v>197</v>
      </c>
      <c r="C16" s="190"/>
      <c r="D16" s="193"/>
      <c r="E16" s="194"/>
      <c r="F16" s="194"/>
      <c r="G16" s="194"/>
      <c r="H16" s="140"/>
      <c r="I16" s="189"/>
      <c r="J16" s="593"/>
      <c r="K16" s="593"/>
      <c r="L16" s="216"/>
    </row>
    <row r="17" spans="1:20" x14ac:dyDescent="0.3">
      <c r="A17" s="144" t="s">
        <v>198</v>
      </c>
      <c r="B17" s="173" t="s">
        <v>199</v>
      </c>
      <c r="C17" s="195">
        <f>SUM(C8:C16)</f>
        <v>4938.5154044038045</v>
      </c>
      <c r="D17" s="196">
        <f t="shared" ref="D17:L17" si="3">SUM(D8:D16)</f>
        <v>4938.5154044038045</v>
      </c>
      <c r="E17" s="196">
        <f t="shared" si="3"/>
        <v>5268.8793820038036</v>
      </c>
      <c r="F17" s="196">
        <f t="shared" si="3"/>
        <v>5351.470376403804</v>
      </c>
      <c r="G17" s="196">
        <f t="shared" si="3"/>
        <v>4417.2786444038047</v>
      </c>
      <c r="H17" s="197">
        <f t="shared" si="3"/>
        <v>4993.7353236538038</v>
      </c>
      <c r="I17" s="198">
        <f t="shared" si="3"/>
        <v>5969.4548444038046</v>
      </c>
      <c r="J17" s="198">
        <f t="shared" si="3"/>
        <v>6258.5812444038038</v>
      </c>
      <c r="K17" s="196">
        <f t="shared" si="3"/>
        <v>6330.862844403805</v>
      </c>
      <c r="L17" s="217">
        <f t="shared" si="3"/>
        <v>6132.7808444038046</v>
      </c>
    </row>
    <row r="18" spans="1:20" x14ac:dyDescent="0.3">
      <c r="A18" s="137" t="s">
        <v>200</v>
      </c>
      <c r="B18" s="143" t="s">
        <v>201</v>
      </c>
      <c r="C18" s="190" t="s">
        <v>231</v>
      </c>
      <c r="D18" s="199" t="str">
        <f>+C18</f>
        <v>***</v>
      </c>
      <c r="E18" s="199" t="str">
        <f>+D18</f>
        <v>***</v>
      </c>
      <c r="F18" s="199" t="str">
        <f>+D18</f>
        <v>***</v>
      </c>
      <c r="G18" s="199" t="str">
        <f>+C18</f>
        <v>***</v>
      </c>
      <c r="H18" s="140" t="str">
        <f>+C18</f>
        <v>***</v>
      </c>
      <c r="I18" s="192" t="str">
        <f>+L18</f>
        <v>***</v>
      </c>
      <c r="J18" s="192">
        <f>+M18</f>
        <v>0</v>
      </c>
      <c r="K18" s="199" t="str">
        <f>+I18</f>
        <v>***</v>
      </c>
      <c r="L18" s="218" t="s">
        <v>231</v>
      </c>
    </row>
    <row r="19" spans="1:20" x14ac:dyDescent="0.3">
      <c r="A19" s="137" t="s">
        <v>202</v>
      </c>
      <c r="B19" s="143" t="s">
        <v>203</v>
      </c>
      <c r="C19" s="190" t="str">
        <f>+D19</f>
        <v>**</v>
      </c>
      <c r="D19" s="200" t="s">
        <v>229</v>
      </c>
      <c r="E19" s="200" t="s">
        <v>229</v>
      </c>
      <c r="F19" s="200" t="s">
        <v>229</v>
      </c>
      <c r="G19" s="200" t="s">
        <v>229</v>
      </c>
      <c r="H19" s="140" t="s">
        <v>229</v>
      </c>
      <c r="I19" s="192" t="str">
        <f>+L19</f>
        <v>**</v>
      </c>
      <c r="J19" s="192">
        <f>+M19</f>
        <v>0</v>
      </c>
      <c r="K19" s="200" t="s">
        <v>229</v>
      </c>
      <c r="L19" s="211" t="s">
        <v>229</v>
      </c>
    </row>
    <row r="20" spans="1:20" x14ac:dyDescent="0.3">
      <c r="A20" s="137" t="s">
        <v>204</v>
      </c>
      <c r="B20" s="143" t="s">
        <v>205</v>
      </c>
      <c r="C20" s="190" t="str">
        <f>+D20</f>
        <v>****</v>
      </c>
      <c r="D20" s="141" t="s">
        <v>233</v>
      </c>
      <c r="E20" s="141" t="s">
        <v>233</v>
      </c>
      <c r="F20" s="141" t="s">
        <v>233</v>
      </c>
      <c r="G20" s="141" t="str">
        <f>+D20</f>
        <v>****</v>
      </c>
      <c r="H20" s="140" t="str">
        <f>+G20</f>
        <v>****</v>
      </c>
      <c r="I20" s="192" t="str">
        <f>+H20</f>
        <v>****</v>
      </c>
      <c r="J20" s="192" t="str">
        <f>+I20</f>
        <v>****</v>
      </c>
      <c r="K20" s="141" t="s">
        <v>233</v>
      </c>
      <c r="L20" s="214" t="str">
        <f>+H20</f>
        <v>****</v>
      </c>
    </row>
    <row r="21" spans="1:20" x14ac:dyDescent="0.3">
      <c r="A21" s="144" t="s">
        <v>206</v>
      </c>
      <c r="B21" s="173" t="s">
        <v>207</v>
      </c>
      <c r="C21" s="195">
        <f t="shared" ref="C21:L21" si="4">+C17</f>
        <v>4938.5154044038045</v>
      </c>
      <c r="D21" s="195">
        <f t="shared" si="4"/>
        <v>4938.5154044038045</v>
      </c>
      <c r="E21" s="195">
        <f t="shared" ref="E21" si="5">+E17</f>
        <v>5268.8793820038036</v>
      </c>
      <c r="F21" s="195">
        <f t="shared" si="4"/>
        <v>5351.470376403804</v>
      </c>
      <c r="G21" s="195">
        <f t="shared" si="4"/>
        <v>4417.2786444038047</v>
      </c>
      <c r="H21" s="213">
        <f t="shared" si="4"/>
        <v>4993.7353236538038</v>
      </c>
      <c r="I21" s="195">
        <f t="shared" si="4"/>
        <v>5969.4548444038046</v>
      </c>
      <c r="J21" s="195">
        <f t="shared" ref="J21" si="6">+J17</f>
        <v>6258.5812444038038</v>
      </c>
      <c r="K21" s="195">
        <f t="shared" ref="K21" si="7">+K17</f>
        <v>6330.862844403805</v>
      </c>
      <c r="L21" s="213">
        <f t="shared" si="4"/>
        <v>6132.7808444038046</v>
      </c>
    </row>
    <row r="22" spans="1:20" x14ac:dyDescent="0.3">
      <c r="A22" s="137" t="s">
        <v>208</v>
      </c>
      <c r="B22" s="143" t="s">
        <v>160</v>
      </c>
      <c r="C22" s="190" t="s">
        <v>231</v>
      </c>
      <c r="D22" s="141" t="str">
        <f>+C22</f>
        <v>***</v>
      </c>
      <c r="E22" s="141" t="str">
        <f>+D22</f>
        <v>***</v>
      </c>
      <c r="F22" s="141" t="str">
        <f>+D22</f>
        <v>***</v>
      </c>
      <c r="G22" s="141" t="str">
        <f>+D22</f>
        <v>***</v>
      </c>
      <c r="H22" s="140" t="str">
        <f>+G22</f>
        <v>***</v>
      </c>
      <c r="I22" s="192" t="str">
        <f>+L22</f>
        <v>***</v>
      </c>
      <c r="J22" s="192">
        <f>+M22</f>
        <v>0</v>
      </c>
      <c r="K22" s="141" t="str">
        <f>+I22</f>
        <v>***</v>
      </c>
      <c r="L22" s="214" t="s">
        <v>231</v>
      </c>
    </row>
    <row r="23" spans="1:20" x14ac:dyDescent="0.3">
      <c r="A23" s="137" t="s">
        <v>209</v>
      </c>
      <c r="B23" s="138" t="s">
        <v>210</v>
      </c>
      <c r="C23" s="190" t="str">
        <f>+D23</f>
        <v>*****</v>
      </c>
      <c r="D23" s="141" t="s">
        <v>235</v>
      </c>
      <c r="E23" s="141" t="s">
        <v>235</v>
      </c>
      <c r="F23" s="141" t="s">
        <v>235</v>
      </c>
      <c r="G23" s="141" t="s">
        <v>253</v>
      </c>
      <c r="H23" s="140" t="s">
        <v>211</v>
      </c>
      <c r="I23" s="192" t="str">
        <f>+D23</f>
        <v>*****</v>
      </c>
      <c r="J23" s="192" t="str">
        <f>+E23</f>
        <v>*****</v>
      </c>
      <c r="K23" s="141" t="s">
        <v>235</v>
      </c>
      <c r="L23" s="214" t="s">
        <v>254</v>
      </c>
      <c r="O23" s="19"/>
    </row>
    <row r="24" spans="1:20" x14ac:dyDescent="0.3">
      <c r="A24" s="137" t="s">
        <v>212</v>
      </c>
      <c r="B24" s="143" t="s">
        <v>213</v>
      </c>
      <c r="C24" s="190" t="str">
        <f>+D24</f>
        <v>******</v>
      </c>
      <c r="D24" s="200" t="s">
        <v>236</v>
      </c>
      <c r="E24" s="200" t="s">
        <v>236</v>
      </c>
      <c r="F24" s="200" t="s">
        <v>236</v>
      </c>
      <c r="G24" s="200" t="str">
        <f>+D24</f>
        <v>******</v>
      </c>
      <c r="H24" s="142" t="str">
        <f>+G24</f>
        <v>******</v>
      </c>
      <c r="I24" s="192" t="str">
        <f>+H24</f>
        <v>******</v>
      </c>
      <c r="J24" s="192" t="str">
        <f>+I24</f>
        <v>******</v>
      </c>
      <c r="K24" s="200" t="s">
        <v>236</v>
      </c>
      <c r="L24" s="211" t="str">
        <f>+I24</f>
        <v>******</v>
      </c>
    </row>
    <row r="25" spans="1:20" ht="15" thickBot="1" x14ac:dyDescent="0.35">
      <c r="A25" s="148" t="s">
        <v>214</v>
      </c>
      <c r="B25" s="149" t="s">
        <v>215</v>
      </c>
      <c r="C25" s="201"/>
      <c r="D25" s="152"/>
      <c r="E25" s="202"/>
      <c r="F25" s="202"/>
      <c r="G25" s="202"/>
      <c r="H25" s="151"/>
      <c r="I25" s="202"/>
      <c r="J25" s="202"/>
      <c r="K25" s="202"/>
      <c r="L25" s="219"/>
    </row>
    <row r="26" spans="1:20" ht="15" thickTop="1" x14ac:dyDescent="0.3"/>
    <row r="27" spans="1:20" x14ac:dyDescent="0.3">
      <c r="A27" s="156"/>
      <c r="B27" s="256" t="s">
        <v>227</v>
      </c>
      <c r="C27" s="206"/>
      <c r="D27" s="206"/>
      <c r="E27" s="206"/>
      <c r="F27" s="206"/>
      <c r="G27" s="206"/>
      <c r="H27" s="206"/>
      <c r="I27" s="186"/>
      <c r="J27" s="186"/>
      <c r="K27" s="186"/>
      <c r="L27" s="186"/>
      <c r="M27" s="186"/>
      <c r="N27" s="186"/>
      <c r="O27" s="186"/>
      <c r="P27" s="186"/>
      <c r="Q27" s="186"/>
      <c r="R27" s="186"/>
      <c r="S27" s="186"/>
      <c r="T27" s="186"/>
    </row>
    <row r="28" spans="1:20" x14ac:dyDescent="0.3">
      <c r="A28" s="156"/>
      <c r="B28" s="177"/>
      <c r="C28" s="206"/>
      <c r="D28" s="206"/>
      <c r="E28" s="206"/>
      <c r="F28" s="206"/>
      <c r="G28" s="206"/>
      <c r="H28" s="206"/>
      <c r="I28" s="186"/>
      <c r="J28" s="186"/>
      <c r="K28" s="186"/>
      <c r="L28" s="186"/>
      <c r="M28" s="186"/>
      <c r="N28" s="186"/>
      <c r="O28" s="186"/>
      <c r="P28" s="186"/>
      <c r="Q28" s="186"/>
      <c r="R28" s="186"/>
      <c r="S28" s="186"/>
      <c r="T28" s="186"/>
    </row>
    <row r="29" spans="1:20" ht="28.05" customHeight="1" x14ac:dyDescent="0.3">
      <c r="A29" s="156" t="s">
        <v>190</v>
      </c>
      <c r="B29" s="914" t="str">
        <f>+NARIÑO!B29</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914"/>
      <c r="N29" s="914"/>
      <c r="O29" s="207"/>
      <c r="P29" s="207"/>
      <c r="Q29" s="207"/>
      <c r="R29" s="207"/>
      <c r="S29" s="207"/>
      <c r="T29" s="207"/>
    </row>
    <row r="30" spans="1:20" ht="26.25" customHeight="1" x14ac:dyDescent="0.3">
      <c r="A30" s="156" t="s">
        <v>217</v>
      </c>
      <c r="B30" s="892" t="s">
        <v>269</v>
      </c>
      <c r="C30" s="892"/>
      <c r="D30" s="892"/>
      <c r="E30" s="892"/>
      <c r="F30" s="892"/>
      <c r="G30" s="892"/>
      <c r="H30" s="892"/>
      <c r="I30" s="892"/>
      <c r="J30" s="892"/>
      <c r="K30" s="892"/>
      <c r="L30" s="892"/>
      <c r="M30" s="892"/>
      <c r="N30" s="892"/>
      <c r="O30" s="186"/>
      <c r="P30" s="186"/>
      <c r="Q30" s="186"/>
      <c r="R30" s="186"/>
      <c r="S30" s="186"/>
      <c r="T30" s="186"/>
    </row>
    <row r="31" spans="1:20" ht="55.2" customHeight="1" x14ac:dyDescent="0.3">
      <c r="A31" s="156" t="s">
        <v>133</v>
      </c>
      <c r="B31" s="914" t="s">
        <v>325</v>
      </c>
      <c r="C31" s="914"/>
      <c r="D31" s="914"/>
      <c r="E31" s="914"/>
      <c r="F31" s="914"/>
      <c r="G31" s="914"/>
      <c r="H31" s="914"/>
      <c r="I31" s="914"/>
      <c r="J31" s="914"/>
      <c r="K31" s="914"/>
      <c r="L31" s="914"/>
      <c r="M31" s="914"/>
      <c r="N31" s="914"/>
      <c r="O31" s="186"/>
      <c r="P31" s="186"/>
      <c r="Q31" s="186"/>
      <c r="R31" s="186"/>
      <c r="S31" s="186"/>
      <c r="T31" s="186"/>
    </row>
    <row r="32" spans="1:20" ht="51" customHeight="1" x14ac:dyDescent="0.3">
      <c r="A32" s="156"/>
      <c r="B32" s="914" t="s">
        <v>491</v>
      </c>
      <c r="C32" s="914"/>
      <c r="D32" s="914"/>
      <c r="E32" s="914"/>
      <c r="F32" s="914"/>
      <c r="G32" s="914"/>
      <c r="H32" s="914"/>
      <c r="I32" s="914"/>
      <c r="J32" s="914"/>
      <c r="K32" s="914"/>
      <c r="L32" s="914"/>
      <c r="M32" s="914"/>
      <c r="N32" s="914"/>
      <c r="O32" s="186"/>
      <c r="P32" s="186"/>
      <c r="Q32" s="186"/>
      <c r="R32" s="186"/>
      <c r="S32" s="186"/>
      <c r="T32" s="186"/>
    </row>
    <row r="33" spans="1:20" ht="15" customHeight="1" x14ac:dyDescent="0.3">
      <c r="A33" s="178" t="s">
        <v>102</v>
      </c>
      <c r="B33" s="891" t="s">
        <v>228</v>
      </c>
      <c r="C33" s="891"/>
      <c r="D33" s="891"/>
      <c r="E33" s="891"/>
      <c r="F33" s="891"/>
      <c r="G33" s="891"/>
      <c r="H33" s="891"/>
      <c r="I33" s="891"/>
      <c r="J33" s="891"/>
      <c r="K33" s="891"/>
      <c r="L33" s="891"/>
      <c r="M33" s="891"/>
      <c r="N33" s="891"/>
      <c r="O33" s="186"/>
      <c r="P33" s="186"/>
      <c r="Q33" s="186"/>
      <c r="R33" s="186"/>
      <c r="S33" s="186"/>
      <c r="T33" s="186"/>
    </row>
    <row r="34" spans="1:20" ht="15" customHeight="1" x14ac:dyDescent="0.3">
      <c r="A34" s="178" t="s">
        <v>229</v>
      </c>
      <c r="B34" s="914" t="s">
        <v>257</v>
      </c>
      <c r="C34" s="914"/>
      <c r="D34" s="914"/>
      <c r="E34" s="914"/>
      <c r="F34" s="914"/>
      <c r="G34" s="914"/>
      <c r="H34" s="914"/>
      <c r="I34" s="914"/>
      <c r="J34" s="914"/>
      <c r="K34" s="914"/>
      <c r="L34" s="914"/>
      <c r="M34" s="914"/>
      <c r="N34" s="914"/>
      <c r="O34" s="186"/>
      <c r="P34" s="186"/>
      <c r="Q34" s="186"/>
      <c r="R34" s="186"/>
      <c r="S34" s="186"/>
      <c r="T34" s="186"/>
    </row>
    <row r="35" spans="1:20" ht="15" customHeight="1" x14ac:dyDescent="0.3">
      <c r="A35" s="156" t="s">
        <v>231</v>
      </c>
      <c r="B35" s="914" t="s">
        <v>232</v>
      </c>
      <c r="C35" s="914"/>
      <c r="D35" s="914"/>
      <c r="E35" s="914"/>
      <c r="F35" s="914"/>
      <c r="G35" s="914"/>
      <c r="H35" s="914"/>
      <c r="I35" s="914"/>
      <c r="J35" s="914"/>
      <c r="K35" s="914"/>
      <c r="L35" s="914"/>
      <c r="M35" s="156"/>
      <c r="N35" s="891"/>
      <c r="O35" s="891"/>
      <c r="P35" s="891"/>
      <c r="Q35" s="891"/>
      <c r="R35" s="891"/>
      <c r="S35" s="891"/>
      <c r="T35" s="891"/>
    </row>
    <row r="36" spans="1:20" ht="36.6" customHeight="1" x14ac:dyDescent="0.3">
      <c r="A36" s="156" t="s">
        <v>233</v>
      </c>
      <c r="B36" s="891" t="s">
        <v>454</v>
      </c>
      <c r="C36" s="891"/>
      <c r="D36" s="891"/>
      <c r="E36" s="891"/>
      <c r="F36" s="891"/>
      <c r="G36" s="891"/>
      <c r="H36" s="891"/>
      <c r="I36" s="891"/>
      <c r="J36" s="891"/>
      <c r="K36" s="891"/>
      <c r="L36" s="891"/>
      <c r="M36" s="156"/>
      <c r="N36" s="265"/>
      <c r="O36" s="265"/>
      <c r="P36" s="265"/>
      <c r="Q36" s="265"/>
      <c r="R36" s="265"/>
      <c r="S36" s="265"/>
      <c r="T36" s="265"/>
    </row>
    <row r="37" spans="1:20" ht="23.4" customHeight="1" x14ac:dyDescent="0.3">
      <c r="A37" s="178" t="s">
        <v>235</v>
      </c>
      <c r="B37" s="914" t="s">
        <v>237</v>
      </c>
      <c r="C37" s="914"/>
      <c r="D37" s="914"/>
      <c r="E37" s="914"/>
      <c r="F37" s="914"/>
      <c r="G37" s="914"/>
      <c r="H37" s="914"/>
      <c r="I37" s="914"/>
      <c r="J37" s="914"/>
      <c r="K37" s="914"/>
      <c r="L37" s="914"/>
      <c r="M37" s="914"/>
      <c r="N37" s="914"/>
      <c r="O37" s="186"/>
      <c r="P37" s="186"/>
      <c r="Q37" s="186"/>
      <c r="R37" s="186"/>
      <c r="S37" s="186"/>
      <c r="T37" s="186"/>
    </row>
    <row r="38" spans="1:20" x14ac:dyDescent="0.3">
      <c r="A38" s="178" t="s">
        <v>236</v>
      </c>
      <c r="B38" s="914" t="s">
        <v>287</v>
      </c>
      <c r="C38" s="914"/>
      <c r="D38" s="914"/>
      <c r="E38" s="914"/>
      <c r="F38" s="914"/>
      <c r="G38" s="914"/>
      <c r="H38" s="914"/>
      <c r="I38" s="914"/>
      <c r="J38" s="914"/>
      <c r="K38" s="914"/>
      <c r="L38" s="914"/>
      <c r="M38" s="914"/>
      <c r="N38" s="914"/>
      <c r="O38" s="186"/>
      <c r="P38" s="186"/>
      <c r="Q38" s="186"/>
      <c r="R38" s="186"/>
      <c r="S38" s="186"/>
      <c r="T38" s="186"/>
    </row>
    <row r="39" spans="1:20" x14ac:dyDescent="0.3">
      <c r="B39" s="959" t="s">
        <v>443</v>
      </c>
      <c r="C39" s="959"/>
      <c r="D39" s="959"/>
      <c r="E39" s="959"/>
      <c r="F39" s="959"/>
      <c r="G39" s="959"/>
      <c r="H39" s="959"/>
      <c r="I39" s="959"/>
      <c r="J39" s="959"/>
      <c r="K39" s="959"/>
      <c r="L39" s="959"/>
      <c r="M39" s="959"/>
    </row>
    <row r="40" spans="1:20" ht="87.9" customHeight="1" x14ac:dyDescent="0.3">
      <c r="A40" s="894" t="s">
        <v>147</v>
      </c>
      <c r="B40" s="894"/>
      <c r="C40" s="894"/>
      <c r="D40" s="894"/>
      <c r="E40" s="894"/>
      <c r="F40" s="894"/>
      <c r="G40" s="894"/>
      <c r="H40" s="894"/>
      <c r="I40" s="894"/>
      <c r="J40" s="894"/>
      <c r="K40" s="894"/>
      <c r="L40" s="894"/>
      <c r="M40" s="894"/>
      <c r="N40" s="894"/>
    </row>
  </sheetData>
  <sheetProtection algorithmName="SHA-512" hashValue="51fqftgrFXc4vJyjRUtK3ep2wwwSLVOO0v08JMWV/OXfzamPpFjApVg0taTFbCqz5plP2EF9sbosPGrPna752A==" saltValue="ZU+6msJDYezMp/4yd0oj5g==" spinCount="100000" sheet="1" objects="1" scenarios="1"/>
  <mergeCells count="18">
    <mergeCell ref="B29:N29"/>
    <mergeCell ref="C3:H4"/>
    <mergeCell ref="I3:L4"/>
    <mergeCell ref="A5:A7"/>
    <mergeCell ref="B5:B7"/>
    <mergeCell ref="C5:C6"/>
    <mergeCell ref="B36:L36"/>
    <mergeCell ref="B37:N37"/>
    <mergeCell ref="B38:N38"/>
    <mergeCell ref="A40:N40"/>
    <mergeCell ref="B30:N30"/>
    <mergeCell ref="B31:N31"/>
    <mergeCell ref="B33:N33"/>
    <mergeCell ref="B34:N34"/>
    <mergeCell ref="B35:L35"/>
    <mergeCell ref="N35:T35"/>
    <mergeCell ref="B39:M39"/>
    <mergeCell ref="B32:N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L17 G21:H21 G13 G11 L13:L15 D13:D15 D21 D17 I13 G14:I15 G17:I17" formula="1"/>
    <ignoredError sqref="L12 C12:D12 G12:I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41"/>
  <sheetViews>
    <sheetView topLeftCell="B2" zoomScale="85" zoomScaleNormal="85" workbookViewId="0">
      <selection activeCell="G8" sqref="G8"/>
    </sheetView>
  </sheetViews>
  <sheetFormatPr baseColWidth="10" defaultRowHeight="14.4" x14ac:dyDescent="0.3"/>
  <cols>
    <col min="2" max="2" width="45.88671875" customWidth="1"/>
    <col min="3" max="3" width="15.33203125" customWidth="1"/>
    <col min="4" max="4" width="15.33203125" style="614" customWidth="1"/>
    <col min="5" max="5" width="15.5546875" hidden="1" customWidth="1"/>
    <col min="6" max="6" width="15.77734375" style="614" hidden="1" customWidth="1"/>
    <col min="7" max="7" width="16.44140625" customWidth="1"/>
    <col min="8" max="8" width="17" style="614" customWidth="1"/>
    <col min="9" max="9" width="12.77734375" hidden="1" customWidth="1"/>
    <col min="10" max="10" width="15.6640625" style="614" customWidth="1"/>
    <col min="11" max="11" width="16.5546875" hidden="1" customWidth="1"/>
    <col min="12" max="12" width="18.33203125" style="614" hidden="1" customWidth="1"/>
    <col min="13" max="13" width="18.33203125" style="614" customWidth="1"/>
    <col min="14" max="14" width="17.77734375" hidden="1" customWidth="1"/>
    <col min="16" max="16" width="0" hidden="1" customWidth="1"/>
  </cols>
  <sheetData>
    <row r="1" spans="1:16" x14ac:dyDescent="0.3">
      <c r="A1" s="132"/>
      <c r="B1" s="132" t="str">
        <f>+AMAZONAS!C1</f>
        <v>Vigencia: 16 de Julio de 2022; 00:00 horas</v>
      </c>
    </row>
    <row r="2" spans="1:16" ht="15" thickBot="1" x14ac:dyDescent="0.35">
      <c r="A2" s="159" t="s">
        <v>179</v>
      </c>
      <c r="B2" s="159"/>
      <c r="E2" s="531"/>
      <c r="F2" s="531"/>
    </row>
    <row r="3" spans="1:16" ht="15.9" customHeight="1" thickTop="1" x14ac:dyDescent="0.3">
      <c r="A3" s="187"/>
      <c r="B3" s="188" t="s">
        <v>314</v>
      </c>
      <c r="C3" s="916" t="s">
        <v>180</v>
      </c>
      <c r="D3" s="917"/>
      <c r="E3" s="917"/>
      <c r="F3" s="917"/>
      <c r="G3" s="917"/>
      <c r="H3" s="917"/>
      <c r="I3" s="918"/>
      <c r="J3" s="960" t="s">
        <v>249</v>
      </c>
      <c r="K3" s="949"/>
      <c r="L3" s="949"/>
      <c r="M3" s="949"/>
      <c r="N3" s="950"/>
    </row>
    <row r="4" spans="1:16" ht="24.45" customHeight="1" x14ac:dyDescent="0.3">
      <c r="A4" s="134"/>
      <c r="B4" s="681" t="s">
        <v>500</v>
      </c>
      <c r="C4" s="919"/>
      <c r="D4" s="920"/>
      <c r="E4" s="920"/>
      <c r="F4" s="920"/>
      <c r="G4" s="920"/>
      <c r="H4" s="920"/>
      <c r="I4" s="921"/>
      <c r="J4" s="924"/>
      <c r="K4" s="925"/>
      <c r="L4" s="925"/>
      <c r="M4" s="925"/>
      <c r="N4" s="962"/>
    </row>
    <row r="5" spans="1:16" ht="38.25" customHeight="1" x14ac:dyDescent="0.3">
      <c r="A5" s="895" t="s">
        <v>181</v>
      </c>
      <c r="B5" s="897" t="s">
        <v>182</v>
      </c>
      <c r="C5" s="901" t="s">
        <v>240</v>
      </c>
      <c r="D5" s="769" t="s">
        <v>96</v>
      </c>
      <c r="E5" s="410" t="s">
        <v>96</v>
      </c>
      <c r="F5" s="623" t="s">
        <v>96</v>
      </c>
      <c r="G5" s="410" t="s">
        <v>172</v>
      </c>
      <c r="H5" s="663" t="s">
        <v>397</v>
      </c>
      <c r="I5" s="410" t="str">
        <f>+'NORTE SANTANDER'!H5</f>
        <v>Biodiesel B5</v>
      </c>
      <c r="J5" s="769" t="s">
        <v>96</v>
      </c>
      <c r="K5" s="410" t="s">
        <v>96</v>
      </c>
      <c r="L5" s="623" t="s">
        <v>96</v>
      </c>
      <c r="M5" s="660" t="str">
        <f>+H5</f>
        <v>Biodiesel B10</v>
      </c>
      <c r="N5" s="408" t="str">
        <f>+I5</f>
        <v>Biodiesel B5</v>
      </c>
    </row>
    <row r="6" spans="1:16" x14ac:dyDescent="0.3">
      <c r="A6" s="895"/>
      <c r="B6" s="897"/>
      <c r="C6" s="902"/>
      <c r="D6" s="545" t="s">
        <v>517</v>
      </c>
      <c r="E6" s="545" t="s">
        <v>483</v>
      </c>
      <c r="F6" s="545" t="s">
        <v>488</v>
      </c>
      <c r="G6" s="182">
        <v>0.02</v>
      </c>
      <c r="H6" s="165">
        <v>0.1</v>
      </c>
      <c r="I6" s="165">
        <f>+'NORTE SANTANDER'!H6</f>
        <v>0.05</v>
      </c>
      <c r="J6" s="524" t="str">
        <f>+D6</f>
        <v>Oxigena 4%</v>
      </c>
      <c r="K6" s="524" t="str">
        <f>+E6</f>
        <v>Oxigena 5%</v>
      </c>
      <c r="L6" s="524" t="str">
        <f>+F6</f>
        <v>Oxigena 6%</v>
      </c>
      <c r="M6" s="165">
        <f>+H6</f>
        <v>0.1</v>
      </c>
      <c r="N6" s="165">
        <f>+I6</f>
        <v>0.05</v>
      </c>
    </row>
    <row r="7" spans="1:16" x14ac:dyDescent="0.3">
      <c r="A7" s="896"/>
      <c r="B7" s="898"/>
      <c r="C7" s="409" t="s">
        <v>183</v>
      </c>
      <c r="D7" s="769" t="s">
        <v>183</v>
      </c>
      <c r="E7" s="410" t="s">
        <v>183</v>
      </c>
      <c r="F7" s="623" t="s">
        <v>183</v>
      </c>
      <c r="G7" s="410" t="s">
        <v>183</v>
      </c>
      <c r="H7" s="663" t="s">
        <v>183</v>
      </c>
      <c r="I7" s="410" t="s">
        <v>183</v>
      </c>
      <c r="J7" s="768" t="s">
        <v>183</v>
      </c>
      <c r="K7" s="409" t="s">
        <v>183</v>
      </c>
      <c r="L7" s="622" t="s">
        <v>183</v>
      </c>
      <c r="M7" s="660" t="s">
        <v>183</v>
      </c>
      <c r="N7" s="408" t="s">
        <v>183</v>
      </c>
    </row>
    <row r="8" spans="1:16" x14ac:dyDescent="0.3">
      <c r="A8" s="137" t="s">
        <v>184</v>
      </c>
      <c r="B8" s="143" t="s">
        <v>185</v>
      </c>
      <c r="C8" s="204">
        <f>+'Calculo IP ZDF'!B38</f>
        <v>5064.8</v>
      </c>
      <c r="D8" s="210">
        <f>+'Calculo IP ZDF'!G38</f>
        <v>5384.1363999999994</v>
      </c>
      <c r="E8" s="210">
        <f>+'Calculo IP ZDF'!H38</f>
        <v>5463.9705000000004</v>
      </c>
      <c r="F8" s="628">
        <f>+'Calculo IP ZDF'!I38</f>
        <v>5543.8026</v>
      </c>
      <c r="G8" s="212">
        <f>+'Calculo IP ZDF'!F38</f>
        <v>4488.1037999999999</v>
      </c>
      <c r="H8" s="211">
        <f>+'Calculo IP ZDF'!L38</f>
        <v>6007.3371235000004</v>
      </c>
      <c r="I8" s="211">
        <f>+'Calculo IP ZDF'!K38</f>
        <v>6197.2410443500003</v>
      </c>
      <c r="J8" s="189">
        <f>+'GAS CTE'!D9</f>
        <v>5384.1363999999994</v>
      </c>
      <c r="K8" s="189">
        <f>+'GAS CTE'!E9</f>
        <v>5463.9705000000004</v>
      </c>
      <c r="L8" s="627">
        <f>+'GAS CTE'!F9</f>
        <v>5543.8026</v>
      </c>
      <c r="M8" s="214">
        <f>+BIODIESEL!H9</f>
        <v>6207.2739999999994</v>
      </c>
      <c r="N8" s="214">
        <f>+BIODIESEL!I9</f>
        <v>6394.9564</v>
      </c>
    </row>
    <row r="9" spans="1:16" ht="18.600000000000001" customHeight="1" x14ac:dyDescent="0.3">
      <c r="A9" s="137" t="s">
        <v>186</v>
      </c>
      <c r="B9" s="143" t="s">
        <v>187</v>
      </c>
      <c r="C9" s="190" t="str">
        <f t="shared" ref="C9:C13" si="0">+E9</f>
        <v>------------------</v>
      </c>
      <c r="D9" s="190" t="s">
        <v>188</v>
      </c>
      <c r="E9" s="167" t="s">
        <v>188</v>
      </c>
      <c r="F9" s="626" t="s">
        <v>188</v>
      </c>
      <c r="G9" s="191" t="s">
        <v>188</v>
      </c>
      <c r="H9" s="140" t="s">
        <v>188</v>
      </c>
      <c r="I9" s="140" t="s">
        <v>188</v>
      </c>
      <c r="J9" s="189">
        <f>+'GAS CTE'!D10</f>
        <v>562.79999999999995</v>
      </c>
      <c r="K9" s="189">
        <f>+'GAS CTE'!E10</f>
        <v>556.9375</v>
      </c>
      <c r="L9" s="627">
        <f>+'GAS CTE'!F10</f>
        <v>551.07499999999993</v>
      </c>
      <c r="M9" s="215">
        <f>+BIODIESEL!H10</f>
        <v>505.00800000000004</v>
      </c>
      <c r="N9" s="215">
        <f>+BIODIESEL!I10</f>
        <v>499.39679999999998</v>
      </c>
    </row>
    <row r="10" spans="1:16" ht="21" customHeight="1" x14ac:dyDescent="0.3">
      <c r="A10" s="137"/>
      <c r="B10" s="143" t="s">
        <v>132</v>
      </c>
      <c r="C10" s="190" t="str">
        <f>+E10</f>
        <v>------------------</v>
      </c>
      <c r="D10" s="190" t="s">
        <v>188</v>
      </c>
      <c r="E10" s="167" t="s">
        <v>188</v>
      </c>
      <c r="F10" s="626" t="s">
        <v>188</v>
      </c>
      <c r="G10" s="191" t="s">
        <v>188</v>
      </c>
      <c r="H10" s="140" t="s">
        <v>188</v>
      </c>
      <c r="I10" s="140" t="s">
        <v>188</v>
      </c>
      <c r="J10" s="192" t="s">
        <v>133</v>
      </c>
      <c r="K10" s="205" t="str">
        <f>+COMBUSTIBLES!B12</f>
        <v>(3)</v>
      </c>
      <c r="L10" s="630" t="str">
        <f>+K10</f>
        <v>(3)</v>
      </c>
      <c r="M10" s="215" t="s">
        <v>133</v>
      </c>
      <c r="N10" s="215" t="str">
        <f>+BIODIESEL!H11</f>
        <v>(3)</v>
      </c>
    </row>
    <row r="11" spans="1:16" x14ac:dyDescent="0.3">
      <c r="A11" s="137"/>
      <c r="B11" s="143" t="s">
        <v>134</v>
      </c>
      <c r="C11" s="190" t="str">
        <f>+GUAINIA!C11</f>
        <v>(4)</v>
      </c>
      <c r="D11" s="190" t="s">
        <v>218</v>
      </c>
      <c r="E11" s="167" t="str">
        <f>+C11</f>
        <v>(4)</v>
      </c>
      <c r="F11" s="626" t="str">
        <f>+E11</f>
        <v>(4)</v>
      </c>
      <c r="G11" s="191" t="str">
        <f>+C11</f>
        <v>(4)</v>
      </c>
      <c r="H11" s="140" t="s">
        <v>218</v>
      </c>
      <c r="I11" s="140" t="str">
        <f>+C11</f>
        <v>(4)</v>
      </c>
      <c r="J11" s="192" t="s">
        <v>218</v>
      </c>
      <c r="K11" s="189" t="str">
        <f>+E11</f>
        <v>(4)</v>
      </c>
      <c r="L11" s="627" t="str">
        <f>+F11</f>
        <v>(4)</v>
      </c>
      <c r="M11" s="211" t="s">
        <v>218</v>
      </c>
      <c r="N11" s="211" t="str">
        <f>+I11</f>
        <v>(4)</v>
      </c>
    </row>
    <row r="12" spans="1:16" x14ac:dyDescent="0.3">
      <c r="A12" s="137" t="s">
        <v>189</v>
      </c>
      <c r="B12" s="143" t="s">
        <v>268</v>
      </c>
      <c r="C12" s="190" t="str">
        <f t="shared" si="0"/>
        <v>(2)</v>
      </c>
      <c r="D12" s="190" t="s">
        <v>217</v>
      </c>
      <c r="E12" s="166" t="s">
        <v>217</v>
      </c>
      <c r="F12" s="625" t="s">
        <v>217</v>
      </c>
      <c r="G12" s="141" t="s">
        <v>217</v>
      </c>
      <c r="H12" s="140" t="s">
        <v>217</v>
      </c>
      <c r="I12" s="140" t="s">
        <v>217</v>
      </c>
      <c r="J12" s="192" t="s">
        <v>217</v>
      </c>
      <c r="K12" s="189" t="str">
        <f>+I12</f>
        <v>(2)</v>
      </c>
      <c r="L12" s="627" t="str">
        <f>+K12</f>
        <v>(2)</v>
      </c>
      <c r="M12" s="214" t="s">
        <v>217</v>
      </c>
      <c r="N12" s="214" t="s">
        <v>217</v>
      </c>
    </row>
    <row r="13" spans="1:16" x14ac:dyDescent="0.3">
      <c r="A13" s="137" t="s">
        <v>251</v>
      </c>
      <c r="B13" s="143" t="s">
        <v>416</v>
      </c>
      <c r="C13" s="190" t="str">
        <f t="shared" si="0"/>
        <v>N.A.</v>
      </c>
      <c r="D13" s="190" t="s">
        <v>253</v>
      </c>
      <c r="E13" s="166" t="s">
        <v>253</v>
      </c>
      <c r="F13" s="625" t="s">
        <v>253</v>
      </c>
      <c r="G13" s="191" t="s">
        <v>218</v>
      </c>
      <c r="H13" s="142" t="s">
        <v>218</v>
      </c>
      <c r="I13" s="142" t="str">
        <f>+G13</f>
        <v>(4)</v>
      </c>
      <c r="J13" s="189" t="s">
        <v>253</v>
      </c>
      <c r="K13" s="189" t="s">
        <v>253</v>
      </c>
      <c r="L13" s="627" t="s">
        <v>253</v>
      </c>
      <c r="M13" s="211" t="s">
        <v>218</v>
      </c>
      <c r="N13" s="211" t="str">
        <f>+I13</f>
        <v>(4)</v>
      </c>
    </row>
    <row r="14" spans="1:16" x14ac:dyDescent="0.3">
      <c r="A14" s="137" t="s">
        <v>191</v>
      </c>
      <c r="B14" s="143" t="s">
        <v>192</v>
      </c>
      <c r="C14" s="190">
        <f>+RUBROS!AC19</f>
        <v>23.500029293035123</v>
      </c>
      <c r="D14" s="190">
        <f>+C14</f>
        <v>23.500029293035123</v>
      </c>
      <c r="E14" s="166">
        <f>+C14</f>
        <v>23.500029293035123</v>
      </c>
      <c r="F14" s="629">
        <f>+E14</f>
        <v>23.500029293035123</v>
      </c>
      <c r="G14" s="141">
        <f>+C14</f>
        <v>23.500029293035123</v>
      </c>
      <c r="H14" s="140">
        <f>+C14</f>
        <v>23.500029293035123</v>
      </c>
      <c r="I14" s="140">
        <f>+C14</f>
        <v>23.500029293035123</v>
      </c>
      <c r="J14" s="192">
        <f>+D14</f>
        <v>23.500029293035123</v>
      </c>
      <c r="K14" s="189">
        <f>+C14</f>
        <v>23.500029293035123</v>
      </c>
      <c r="L14" s="627">
        <f>+RUBROS!AC19</f>
        <v>23.500029293035123</v>
      </c>
      <c r="M14" s="214">
        <f>+RUBROS!AC19</f>
        <v>23.500029293035123</v>
      </c>
      <c r="N14" s="214">
        <f>+K14</f>
        <v>23.500029293035123</v>
      </c>
      <c r="P14" s="425" t="s">
        <v>412</v>
      </c>
    </row>
    <row r="15" spans="1:16" x14ac:dyDescent="0.3">
      <c r="A15" s="137" t="s">
        <v>195</v>
      </c>
      <c r="B15" s="209" t="s">
        <v>196</v>
      </c>
      <c r="C15" s="190">
        <f>+RUBROS!AU41</f>
        <v>13.326421256197724</v>
      </c>
      <c r="D15" s="190">
        <f>+C15</f>
        <v>13.326421256197724</v>
      </c>
      <c r="E15" s="166">
        <f>+C15</f>
        <v>13.326421256197724</v>
      </c>
      <c r="F15" s="192">
        <f>+E15</f>
        <v>13.326421256197724</v>
      </c>
      <c r="G15" s="192">
        <f>+C15</f>
        <v>13.326421256197724</v>
      </c>
      <c r="H15" s="140">
        <f>+C15</f>
        <v>13.326421256197724</v>
      </c>
      <c r="I15" s="140">
        <f>+C15</f>
        <v>13.326421256197724</v>
      </c>
      <c r="J15" s="192">
        <f>+D15</f>
        <v>13.326421256197724</v>
      </c>
      <c r="K15" s="189">
        <f>+C15</f>
        <v>13.326421256197724</v>
      </c>
      <c r="L15" s="189">
        <f>+E15</f>
        <v>13.326421256197724</v>
      </c>
      <c r="M15" s="214">
        <f>+C15</f>
        <v>13.326421256197724</v>
      </c>
      <c r="N15" s="214">
        <f>+C15</f>
        <v>13.326421256197724</v>
      </c>
      <c r="P15" s="425" t="s">
        <v>412</v>
      </c>
    </row>
    <row r="16" spans="1:16" hidden="1" x14ac:dyDescent="0.3">
      <c r="A16" s="137"/>
      <c r="B16" s="143" t="s">
        <v>197</v>
      </c>
      <c r="C16" s="190"/>
      <c r="D16" s="590"/>
      <c r="E16" s="319"/>
      <c r="F16" s="194"/>
      <c r="G16" s="194"/>
      <c r="H16" s="140"/>
      <c r="I16" s="140"/>
      <c r="J16" s="192"/>
      <c r="K16" s="189"/>
      <c r="L16" s="189"/>
      <c r="M16" s="216"/>
      <c r="N16" s="216"/>
    </row>
    <row r="17" spans="1:22" x14ac:dyDescent="0.3">
      <c r="A17" s="144" t="s">
        <v>198</v>
      </c>
      <c r="B17" s="173" t="s">
        <v>199</v>
      </c>
      <c r="C17" s="195">
        <f>SUM(C8:C16)</f>
        <v>5101.6264505492336</v>
      </c>
      <c r="D17" s="195">
        <f>SUM(D8:D16)</f>
        <v>5420.9628505492328</v>
      </c>
      <c r="E17" s="320">
        <f t="shared" ref="E17:N17" si="1">SUM(E8:E16)</f>
        <v>5500.7969505492338</v>
      </c>
      <c r="F17" s="320">
        <f t="shared" si="1"/>
        <v>5580.6290505492334</v>
      </c>
      <c r="G17" s="196">
        <f t="shared" si="1"/>
        <v>4524.9302505492333</v>
      </c>
      <c r="H17" s="197">
        <f t="shared" si="1"/>
        <v>6044.1635740492338</v>
      </c>
      <c r="I17" s="197">
        <f t="shared" si="1"/>
        <v>6234.0674948992337</v>
      </c>
      <c r="J17" s="198">
        <f t="shared" si="1"/>
        <v>5983.762850549233</v>
      </c>
      <c r="K17" s="198">
        <f t="shared" si="1"/>
        <v>6057.7344505492338</v>
      </c>
      <c r="L17" s="198">
        <f t="shared" ref="L17" si="2">SUM(L8:L16)</f>
        <v>6131.7040505492332</v>
      </c>
      <c r="M17" s="217">
        <f t="shared" si="1"/>
        <v>6749.1084505492327</v>
      </c>
      <c r="N17" s="217">
        <f t="shared" si="1"/>
        <v>6931.179650549233</v>
      </c>
    </row>
    <row r="18" spans="1:22" x14ac:dyDescent="0.3">
      <c r="A18" s="137" t="s">
        <v>200</v>
      </c>
      <c r="B18" s="143" t="s">
        <v>201</v>
      </c>
      <c r="C18" s="190" t="s">
        <v>231</v>
      </c>
      <c r="D18" s="321" t="s">
        <v>231</v>
      </c>
      <c r="E18" s="321" t="str">
        <f>+C18</f>
        <v>***</v>
      </c>
      <c r="F18" s="321" t="str">
        <f>+E18</f>
        <v>***</v>
      </c>
      <c r="G18" s="199" t="str">
        <f>+C18</f>
        <v>***</v>
      </c>
      <c r="H18" s="140" t="s">
        <v>231</v>
      </c>
      <c r="I18" s="140" t="str">
        <f>+C18</f>
        <v>***</v>
      </c>
      <c r="J18" s="192" t="s">
        <v>231</v>
      </c>
      <c r="K18" s="192" t="str">
        <f>+N18</f>
        <v>***</v>
      </c>
      <c r="L18" s="192">
        <f>+O18</f>
        <v>0</v>
      </c>
      <c r="M18" s="218" t="s">
        <v>231</v>
      </c>
      <c r="N18" s="218" t="s">
        <v>231</v>
      </c>
    </row>
    <row r="19" spans="1:22" x14ac:dyDescent="0.3">
      <c r="A19" s="137" t="s">
        <v>202</v>
      </c>
      <c r="B19" s="143" t="s">
        <v>203</v>
      </c>
      <c r="C19" s="190" t="str">
        <f>+E19</f>
        <v>**</v>
      </c>
      <c r="D19" s="172" t="s">
        <v>229</v>
      </c>
      <c r="E19" s="172" t="s">
        <v>229</v>
      </c>
      <c r="F19" s="172" t="s">
        <v>229</v>
      </c>
      <c r="G19" s="200" t="s">
        <v>229</v>
      </c>
      <c r="H19" s="140" t="s">
        <v>229</v>
      </c>
      <c r="I19" s="140" t="s">
        <v>229</v>
      </c>
      <c r="J19" s="192" t="s">
        <v>229</v>
      </c>
      <c r="K19" s="192" t="str">
        <f>+N19</f>
        <v>**</v>
      </c>
      <c r="L19" s="192">
        <f>+O19</f>
        <v>0</v>
      </c>
      <c r="M19" s="211" t="s">
        <v>229</v>
      </c>
      <c r="N19" s="211" t="s">
        <v>229</v>
      </c>
    </row>
    <row r="20" spans="1:22" x14ac:dyDescent="0.3">
      <c r="A20" s="137" t="s">
        <v>204</v>
      </c>
      <c r="B20" s="143" t="s">
        <v>205</v>
      </c>
      <c r="C20" s="190" t="str">
        <f>+E20</f>
        <v>****</v>
      </c>
      <c r="D20" s="166" t="s">
        <v>233</v>
      </c>
      <c r="E20" s="166" t="s">
        <v>233</v>
      </c>
      <c r="F20" s="166" t="s">
        <v>233</v>
      </c>
      <c r="G20" s="141" t="str">
        <f>+E20</f>
        <v>****</v>
      </c>
      <c r="H20" s="140" t="s">
        <v>233</v>
      </c>
      <c r="I20" s="140" t="str">
        <f>+G20</f>
        <v>****</v>
      </c>
      <c r="J20" s="192" t="s">
        <v>233</v>
      </c>
      <c r="K20" s="192" t="str">
        <f>+I20</f>
        <v>****</v>
      </c>
      <c r="L20" s="192" t="str">
        <f>+K20</f>
        <v>****</v>
      </c>
      <c r="M20" s="214" t="str">
        <f>+H20</f>
        <v>****</v>
      </c>
      <c r="N20" s="214" t="str">
        <f>+I20</f>
        <v>****</v>
      </c>
    </row>
    <row r="21" spans="1:22" x14ac:dyDescent="0.3">
      <c r="A21" s="144" t="s">
        <v>206</v>
      </c>
      <c r="B21" s="173" t="s">
        <v>207</v>
      </c>
      <c r="C21" s="195">
        <f t="shared" ref="C21:N21" si="3">+C17</f>
        <v>5101.6264505492336</v>
      </c>
      <c r="D21" s="322">
        <f t="shared" si="3"/>
        <v>5420.9628505492328</v>
      </c>
      <c r="E21" s="322">
        <f t="shared" si="3"/>
        <v>5500.7969505492338</v>
      </c>
      <c r="F21" s="322">
        <f t="shared" ref="F21" si="4">+F17</f>
        <v>5580.6290505492334</v>
      </c>
      <c r="G21" s="195">
        <f t="shared" si="3"/>
        <v>4524.9302505492333</v>
      </c>
      <c r="H21" s="213">
        <f t="shared" si="3"/>
        <v>6044.1635740492338</v>
      </c>
      <c r="I21" s="213">
        <f t="shared" si="3"/>
        <v>6234.0674948992337</v>
      </c>
      <c r="J21" s="195">
        <f t="shared" si="3"/>
        <v>5983.762850549233</v>
      </c>
      <c r="K21" s="195">
        <f t="shared" si="3"/>
        <v>6057.7344505492338</v>
      </c>
      <c r="L21" s="195">
        <f t="shared" ref="L21" si="5">+L17</f>
        <v>6131.7040505492332</v>
      </c>
      <c r="M21" s="213">
        <f t="shared" si="3"/>
        <v>6749.1084505492327</v>
      </c>
      <c r="N21" s="213">
        <f t="shared" si="3"/>
        <v>6931.179650549233</v>
      </c>
    </row>
    <row r="22" spans="1:22" x14ac:dyDescent="0.3">
      <c r="A22" s="137" t="s">
        <v>208</v>
      </c>
      <c r="B22" s="143" t="s">
        <v>160</v>
      </c>
      <c r="C22" s="190" t="s">
        <v>231</v>
      </c>
      <c r="D22" s="190" t="s">
        <v>231</v>
      </c>
      <c r="E22" s="166" t="str">
        <f>+C22</f>
        <v>***</v>
      </c>
      <c r="F22" s="166" t="str">
        <f>+E22</f>
        <v>***</v>
      </c>
      <c r="G22" s="141" t="str">
        <f>+E22</f>
        <v>***</v>
      </c>
      <c r="H22" s="140" t="s">
        <v>231</v>
      </c>
      <c r="I22" s="140" t="str">
        <f>+G22</f>
        <v>***</v>
      </c>
      <c r="J22" s="192" t="s">
        <v>231</v>
      </c>
      <c r="K22" s="192" t="str">
        <f>+N22</f>
        <v>***</v>
      </c>
      <c r="L22" s="192">
        <f>+O22</f>
        <v>0</v>
      </c>
      <c r="M22" s="214" t="s">
        <v>231</v>
      </c>
      <c r="N22" s="214" t="s">
        <v>231</v>
      </c>
    </row>
    <row r="23" spans="1:22" x14ac:dyDescent="0.3">
      <c r="A23" s="137" t="s">
        <v>209</v>
      </c>
      <c r="B23" s="138" t="s">
        <v>210</v>
      </c>
      <c r="C23" s="190" t="str">
        <f>+E23</f>
        <v>*****</v>
      </c>
      <c r="D23" s="190" t="s">
        <v>235</v>
      </c>
      <c r="E23" s="166" t="s">
        <v>235</v>
      </c>
      <c r="F23" s="166" t="s">
        <v>235</v>
      </c>
      <c r="G23" s="141" t="s">
        <v>253</v>
      </c>
      <c r="H23" s="140" t="s">
        <v>211</v>
      </c>
      <c r="I23" s="140" t="s">
        <v>211</v>
      </c>
      <c r="J23" s="192" t="s">
        <v>235</v>
      </c>
      <c r="K23" s="192" t="str">
        <f>+E23</f>
        <v>*****</v>
      </c>
      <c r="L23" s="192" t="str">
        <f>+F23</f>
        <v>*****</v>
      </c>
      <c r="M23" s="214" t="s">
        <v>254</v>
      </c>
      <c r="N23" s="214" t="s">
        <v>254</v>
      </c>
    </row>
    <row r="24" spans="1:22" x14ac:dyDescent="0.3">
      <c r="A24" s="137" t="s">
        <v>212</v>
      </c>
      <c r="B24" s="143" t="s">
        <v>213</v>
      </c>
      <c r="C24" s="190" t="str">
        <f>+E24</f>
        <v>******</v>
      </c>
      <c r="D24" s="190" t="s">
        <v>236</v>
      </c>
      <c r="E24" s="172" t="s">
        <v>236</v>
      </c>
      <c r="F24" s="172" t="s">
        <v>236</v>
      </c>
      <c r="G24" s="200" t="str">
        <f>+E24</f>
        <v>******</v>
      </c>
      <c r="H24" s="142" t="s">
        <v>236</v>
      </c>
      <c r="I24" s="142" t="str">
        <f>+G24</f>
        <v>******</v>
      </c>
      <c r="J24" s="189" t="s">
        <v>236</v>
      </c>
      <c r="K24" s="192" t="str">
        <f>+I24</f>
        <v>******</v>
      </c>
      <c r="L24" s="192" t="str">
        <f>+K24</f>
        <v>******</v>
      </c>
      <c r="M24" s="211" t="str">
        <f>+I24</f>
        <v>******</v>
      </c>
      <c r="N24" s="211" t="str">
        <f>+K24</f>
        <v>******</v>
      </c>
    </row>
    <row r="25" spans="1:22" ht="15" thickBot="1" x14ac:dyDescent="0.35">
      <c r="A25" s="148" t="s">
        <v>214</v>
      </c>
      <c r="B25" s="149" t="s">
        <v>215</v>
      </c>
      <c r="C25" s="201"/>
      <c r="D25" s="201"/>
      <c r="E25" s="152"/>
      <c r="F25" s="202"/>
      <c r="G25" s="202"/>
      <c r="H25" s="202"/>
      <c r="I25" s="151"/>
      <c r="J25" s="202"/>
      <c r="K25" s="202"/>
      <c r="L25" s="202"/>
      <c r="M25" s="202"/>
      <c r="N25" s="219"/>
    </row>
    <row r="26" spans="1:22" ht="15" thickTop="1" x14ac:dyDescent="0.3"/>
    <row r="27" spans="1:22" x14ac:dyDescent="0.3">
      <c r="A27" s="156"/>
      <c r="B27" s="256" t="s">
        <v>227</v>
      </c>
      <c r="C27" s="206"/>
      <c r="D27" s="206"/>
      <c r="E27" s="206"/>
      <c r="F27" s="206"/>
      <c r="G27" s="206"/>
      <c r="H27" s="206"/>
      <c r="I27" s="206"/>
      <c r="J27" s="206"/>
      <c r="K27" s="186"/>
      <c r="L27" s="186"/>
      <c r="M27" s="186"/>
      <c r="N27" s="186"/>
      <c r="O27" s="186"/>
      <c r="P27" s="186"/>
      <c r="Q27" s="186"/>
      <c r="R27" s="186"/>
      <c r="S27" s="186"/>
      <c r="T27" s="186"/>
      <c r="U27" s="186"/>
      <c r="V27" s="186"/>
    </row>
    <row r="28" spans="1:22" x14ac:dyDescent="0.3">
      <c r="A28" s="156"/>
      <c r="B28" s="177"/>
      <c r="C28" s="206"/>
      <c r="D28" s="206"/>
      <c r="E28" s="206"/>
      <c r="F28" s="206"/>
      <c r="G28" s="206"/>
      <c r="H28" s="206"/>
      <c r="I28" s="206"/>
      <c r="J28" s="206"/>
      <c r="K28" s="186"/>
      <c r="L28" s="186"/>
      <c r="M28" s="186"/>
      <c r="N28" s="186"/>
      <c r="O28" s="186"/>
      <c r="P28" s="186"/>
      <c r="Q28" s="186"/>
      <c r="R28" s="186"/>
      <c r="S28" s="186"/>
      <c r="T28" s="186"/>
      <c r="U28" s="186"/>
      <c r="V28" s="186"/>
    </row>
    <row r="29" spans="1:22" ht="31.05" customHeight="1" x14ac:dyDescent="0.3">
      <c r="A29" s="156" t="s">
        <v>190</v>
      </c>
      <c r="B29" s="914" t="str">
        <f>+'NORTE SANTANDER'!B29:N29</f>
        <v>De acuerdo con lo establecido en la Resoluccion 91349 de 2014 del MME para combustible de origen nacional o importado a ser distribuido en zonas de frontera, aplica la tarifa de marcación o remarcación vigente a la fecha según corresponda</v>
      </c>
      <c r="C29" s="914"/>
      <c r="D29" s="914"/>
      <c r="E29" s="914"/>
      <c r="F29" s="914"/>
      <c r="G29" s="914"/>
      <c r="H29" s="914"/>
      <c r="I29" s="914"/>
      <c r="J29" s="914"/>
      <c r="K29" s="914"/>
      <c r="L29" s="914"/>
      <c r="M29" s="914"/>
      <c r="N29" s="914"/>
      <c r="O29" s="914"/>
      <c r="P29" s="914"/>
      <c r="Q29" s="207"/>
      <c r="R29" s="207"/>
      <c r="S29" s="207"/>
      <c r="T29" s="207"/>
      <c r="U29" s="207"/>
      <c r="V29" s="207"/>
    </row>
    <row r="30" spans="1:22" ht="27.15" customHeight="1" x14ac:dyDescent="0.3">
      <c r="A30" s="156" t="s">
        <v>217</v>
      </c>
      <c r="B30" s="892" t="s">
        <v>269</v>
      </c>
      <c r="C30" s="892"/>
      <c r="D30" s="892"/>
      <c r="E30" s="892"/>
      <c r="F30" s="892"/>
      <c r="G30" s="892"/>
      <c r="H30" s="892"/>
      <c r="I30" s="892"/>
      <c r="J30" s="892"/>
      <c r="K30" s="892"/>
      <c r="L30" s="892"/>
      <c r="M30" s="892"/>
      <c r="N30" s="892"/>
      <c r="O30" s="892"/>
      <c r="P30" s="892"/>
      <c r="Q30" s="186"/>
      <c r="R30" s="186"/>
      <c r="S30" s="186"/>
      <c r="T30" s="186"/>
      <c r="U30" s="186"/>
      <c r="V30" s="186"/>
    </row>
    <row r="31" spans="1:22" ht="65.25" customHeight="1" x14ac:dyDescent="0.3">
      <c r="A31" s="156" t="s">
        <v>133</v>
      </c>
      <c r="B31" s="914" t="s">
        <v>325</v>
      </c>
      <c r="C31" s="914"/>
      <c r="D31" s="914"/>
      <c r="E31" s="914"/>
      <c r="F31" s="914"/>
      <c r="G31" s="914"/>
      <c r="H31" s="914"/>
      <c r="I31" s="914"/>
      <c r="J31" s="914"/>
      <c r="K31" s="914"/>
      <c r="L31" s="914"/>
      <c r="M31" s="914"/>
      <c r="N31" s="914"/>
      <c r="O31" s="914"/>
      <c r="P31" s="914"/>
      <c r="Q31" s="186"/>
      <c r="R31" s="186"/>
      <c r="S31" s="186"/>
      <c r="T31" s="186"/>
      <c r="U31" s="186"/>
      <c r="V31" s="186"/>
    </row>
    <row r="32" spans="1:22" ht="65.25" customHeight="1" x14ac:dyDescent="0.3">
      <c r="A32" s="156" t="s">
        <v>218</v>
      </c>
      <c r="B32" s="913" t="s">
        <v>398</v>
      </c>
      <c r="C32" s="913"/>
      <c r="D32" s="913"/>
      <c r="E32" s="913"/>
      <c r="F32" s="913"/>
      <c r="G32" s="913"/>
      <c r="H32" s="913"/>
      <c r="I32" s="913"/>
      <c r="J32" s="913"/>
      <c r="K32" s="913"/>
      <c r="L32" s="913"/>
      <c r="M32" s="913"/>
      <c r="N32" s="913"/>
      <c r="O32" s="913"/>
      <c r="P32" s="913"/>
      <c r="Q32" s="186"/>
      <c r="R32" s="186"/>
      <c r="S32" s="186"/>
      <c r="T32" s="186"/>
      <c r="U32" s="186"/>
      <c r="V32" s="186"/>
    </row>
    <row r="33" spans="1:22" ht="17.399999999999999" customHeight="1" x14ac:dyDescent="0.3">
      <c r="A33" s="156"/>
      <c r="B33" s="913"/>
      <c r="C33" s="913"/>
      <c r="D33" s="913"/>
      <c r="E33" s="913"/>
      <c r="F33" s="913"/>
      <c r="G33" s="913"/>
      <c r="H33" s="913"/>
      <c r="I33" s="913"/>
      <c r="J33" s="913"/>
      <c r="K33" s="913"/>
      <c r="L33" s="913"/>
      <c r="M33" s="913"/>
      <c r="N33" s="913"/>
      <c r="O33" s="913"/>
      <c r="P33" s="186"/>
      <c r="Q33" s="186"/>
      <c r="R33" s="186"/>
      <c r="S33" s="186"/>
      <c r="T33" s="186"/>
      <c r="U33" s="186"/>
      <c r="V33" s="186"/>
    </row>
    <row r="34" spans="1:22" ht="15" customHeight="1" x14ac:dyDescent="0.3">
      <c r="A34" s="178" t="s">
        <v>102</v>
      </c>
      <c r="B34" s="891" t="s">
        <v>228</v>
      </c>
      <c r="C34" s="891"/>
      <c r="D34" s="891"/>
      <c r="E34" s="891"/>
      <c r="F34" s="891"/>
      <c r="G34" s="891"/>
      <c r="H34" s="891"/>
      <c r="I34" s="891"/>
      <c r="J34" s="891"/>
      <c r="K34" s="891"/>
      <c r="L34" s="891"/>
      <c r="M34" s="891"/>
      <c r="N34" s="891"/>
      <c r="O34" s="891"/>
      <c r="P34" s="891"/>
      <c r="Q34" s="186"/>
      <c r="R34" s="186"/>
      <c r="S34" s="186"/>
      <c r="T34" s="186"/>
      <c r="U34" s="186"/>
      <c r="V34" s="186"/>
    </row>
    <row r="35" spans="1:22" ht="15" customHeight="1" x14ac:dyDescent="0.3">
      <c r="A35" s="178" t="s">
        <v>229</v>
      </c>
      <c r="B35" s="914" t="s">
        <v>315</v>
      </c>
      <c r="C35" s="914"/>
      <c r="D35" s="914"/>
      <c r="E35" s="914"/>
      <c r="F35" s="914"/>
      <c r="G35" s="914"/>
      <c r="H35" s="914"/>
      <c r="I35" s="914"/>
      <c r="J35" s="914"/>
      <c r="K35" s="914"/>
      <c r="L35" s="914"/>
      <c r="M35" s="914"/>
      <c r="N35" s="914"/>
      <c r="O35" s="914"/>
      <c r="P35" s="914"/>
      <c r="Q35" s="186"/>
      <c r="R35" s="186"/>
      <c r="S35" s="186"/>
      <c r="T35" s="186"/>
      <c r="U35" s="186"/>
      <c r="V35" s="186"/>
    </row>
    <row r="36" spans="1:22" ht="15" customHeight="1" x14ac:dyDescent="0.3">
      <c r="A36" s="156" t="s">
        <v>231</v>
      </c>
      <c r="B36" s="914" t="s">
        <v>232</v>
      </c>
      <c r="C36" s="914"/>
      <c r="D36" s="914"/>
      <c r="E36" s="914"/>
      <c r="F36" s="914"/>
      <c r="G36" s="914"/>
      <c r="H36" s="914"/>
      <c r="I36" s="914"/>
      <c r="J36" s="914"/>
      <c r="K36" s="914"/>
      <c r="L36" s="914"/>
      <c r="M36" s="914"/>
      <c r="N36" s="914"/>
      <c r="O36" s="156"/>
      <c r="P36" s="891"/>
      <c r="Q36" s="891"/>
      <c r="R36" s="891"/>
      <c r="S36" s="891"/>
      <c r="T36" s="891"/>
      <c r="U36" s="891"/>
      <c r="V36" s="891"/>
    </row>
    <row r="37" spans="1:22" ht="15" customHeight="1" x14ac:dyDescent="0.3">
      <c r="A37" s="156" t="s">
        <v>233</v>
      </c>
      <c r="B37" s="891" t="s">
        <v>454</v>
      </c>
      <c r="C37" s="891"/>
      <c r="D37" s="891"/>
      <c r="E37" s="891"/>
      <c r="F37" s="891"/>
      <c r="G37" s="891"/>
      <c r="H37" s="891"/>
      <c r="I37" s="891"/>
      <c r="J37" s="891"/>
      <c r="K37" s="891"/>
      <c r="L37" s="891"/>
      <c r="M37" s="891"/>
      <c r="N37" s="891"/>
      <c r="O37" s="156"/>
      <c r="P37" s="407"/>
      <c r="Q37" s="407"/>
      <c r="R37" s="407"/>
      <c r="S37" s="407"/>
      <c r="T37" s="407"/>
      <c r="U37" s="407"/>
      <c r="V37" s="407"/>
    </row>
    <row r="38" spans="1:22" ht="24" customHeight="1" x14ac:dyDescent="0.3">
      <c r="A38" s="178" t="s">
        <v>235</v>
      </c>
      <c r="B38" s="914" t="s">
        <v>237</v>
      </c>
      <c r="C38" s="914"/>
      <c r="D38" s="914"/>
      <c r="E38" s="914"/>
      <c r="F38" s="914"/>
      <c r="G38" s="914"/>
      <c r="H38" s="914"/>
      <c r="I38" s="914"/>
      <c r="J38" s="914"/>
      <c r="K38" s="914"/>
      <c r="L38" s="914"/>
      <c r="M38" s="914"/>
      <c r="N38" s="914"/>
      <c r="O38" s="914"/>
      <c r="P38" s="914"/>
      <c r="Q38" s="186"/>
      <c r="R38" s="186"/>
      <c r="S38" s="186"/>
      <c r="T38" s="186"/>
      <c r="U38" s="186"/>
      <c r="V38" s="186"/>
    </row>
    <row r="39" spans="1:22" x14ac:dyDescent="0.3">
      <c r="A39" s="178" t="s">
        <v>236</v>
      </c>
      <c r="B39" s="914" t="s">
        <v>274</v>
      </c>
      <c r="C39" s="914"/>
      <c r="D39" s="914"/>
      <c r="E39" s="914"/>
      <c r="F39" s="914"/>
      <c r="G39" s="914"/>
      <c r="H39" s="914"/>
      <c r="I39" s="914"/>
      <c r="J39" s="914"/>
      <c r="K39" s="914"/>
      <c r="L39" s="914"/>
      <c r="M39" s="914"/>
      <c r="N39" s="914"/>
      <c r="O39" s="914"/>
      <c r="P39" s="914"/>
      <c r="Q39" s="186"/>
      <c r="R39" s="186"/>
      <c r="S39" s="186"/>
      <c r="T39" s="186"/>
      <c r="U39" s="186"/>
      <c r="V39" s="186"/>
    </row>
    <row r="41" spans="1:22" ht="87.9" customHeight="1" x14ac:dyDescent="0.3">
      <c r="A41" s="894" t="s">
        <v>147</v>
      </c>
      <c r="B41" s="894"/>
      <c r="C41" s="894"/>
      <c r="D41" s="894"/>
      <c r="E41" s="894"/>
      <c r="F41" s="894"/>
      <c r="G41" s="894"/>
      <c r="H41" s="894"/>
      <c r="I41" s="894"/>
      <c r="J41" s="894"/>
      <c r="K41" s="894"/>
      <c r="L41" s="894"/>
      <c r="M41" s="894"/>
      <c r="N41" s="894"/>
      <c r="O41" s="894"/>
      <c r="P41" s="894"/>
    </row>
  </sheetData>
  <sheetProtection algorithmName="SHA-512" hashValue="kWCK/pfJEXLvDFfp20ZJFzPzVDLiIF1329X3/PRmBaRDSXlMYnRRAIKhKF8MG+aN9eDaxwsAHjcN0MgxmNPUCQ==" saltValue="iBVnvsRN3jfcO8oiIUshoQ==" spinCount="100000" sheet="1" objects="1" scenarios="1"/>
  <mergeCells count="18">
    <mergeCell ref="B29:P29"/>
    <mergeCell ref="C3:I4"/>
    <mergeCell ref="A5:A7"/>
    <mergeCell ref="B5:B7"/>
    <mergeCell ref="C5:C6"/>
    <mergeCell ref="J3:N4"/>
    <mergeCell ref="B37:N37"/>
    <mergeCell ref="B38:P38"/>
    <mergeCell ref="B39:P39"/>
    <mergeCell ref="A41:P41"/>
    <mergeCell ref="B30:P30"/>
    <mergeCell ref="B31:P31"/>
    <mergeCell ref="B32:P32"/>
    <mergeCell ref="B34:P34"/>
    <mergeCell ref="B35:P35"/>
    <mergeCell ref="B36:N36"/>
    <mergeCell ref="P36:V36"/>
    <mergeCell ref="B33:O33"/>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T41"/>
  <sheetViews>
    <sheetView zoomScale="85" zoomScaleNormal="85" workbookViewId="0">
      <selection activeCell="G8" sqref="G8"/>
    </sheetView>
  </sheetViews>
  <sheetFormatPr baseColWidth="10" defaultRowHeight="14.4" x14ac:dyDescent="0.3"/>
  <cols>
    <col min="2" max="2" width="47.33203125" customWidth="1"/>
    <col min="3" max="3" width="12.33203125" customWidth="1"/>
    <col min="4" max="4" width="12.33203125" style="614" customWidth="1"/>
    <col min="5" max="5" width="12.33203125" hidden="1" customWidth="1"/>
    <col min="6" max="7" width="12.5546875" customWidth="1"/>
    <col min="8" max="8" width="11.5546875" customWidth="1"/>
    <col min="9" max="9" width="13.44140625" customWidth="1"/>
    <col min="10" max="10" width="12.33203125" hidden="1" customWidth="1"/>
    <col min="11" max="11" width="12.33203125" style="614" customWidth="1"/>
    <col min="12" max="12" width="13" hidden="1" customWidth="1"/>
    <col min="13" max="13" width="14.44140625" customWidth="1"/>
    <col min="14" max="14" width="9.5546875" customWidth="1"/>
  </cols>
  <sheetData>
    <row r="1" spans="1:13" x14ac:dyDescent="0.3">
      <c r="A1" s="132"/>
      <c r="B1" s="132" t="str">
        <f>+AMAZONAS!C1</f>
        <v>Vigencia: 16 de Julio de 2022; 00:00 horas</v>
      </c>
    </row>
    <row r="2" spans="1:13" ht="15" thickBot="1" x14ac:dyDescent="0.35">
      <c r="A2" s="159" t="s">
        <v>179</v>
      </c>
      <c r="B2" s="159"/>
      <c r="F2" s="457"/>
      <c r="M2" s="478"/>
    </row>
    <row r="3" spans="1:13" ht="15.9" customHeight="1" thickTop="1" x14ac:dyDescent="0.3">
      <c r="A3" s="187"/>
      <c r="B3" s="188" t="s">
        <v>288</v>
      </c>
      <c r="C3" s="916" t="s">
        <v>180</v>
      </c>
      <c r="D3" s="917"/>
      <c r="E3" s="917"/>
      <c r="F3" s="917"/>
      <c r="G3" s="917"/>
      <c r="H3" s="918"/>
      <c r="I3" s="922" t="s">
        <v>249</v>
      </c>
      <c r="J3" s="923"/>
      <c r="K3" s="923"/>
      <c r="L3" s="923"/>
      <c r="M3" s="923"/>
    </row>
    <row r="4" spans="1:13" ht="27.45" customHeight="1" x14ac:dyDescent="0.3">
      <c r="A4" s="134"/>
      <c r="B4" s="681" t="s">
        <v>500</v>
      </c>
      <c r="C4" s="919"/>
      <c r="D4" s="920"/>
      <c r="E4" s="920"/>
      <c r="F4" s="920"/>
      <c r="G4" s="920"/>
      <c r="H4" s="921"/>
      <c r="I4" s="924"/>
      <c r="J4" s="925"/>
      <c r="K4" s="925"/>
      <c r="L4" s="925"/>
      <c r="M4" s="925"/>
    </row>
    <row r="5" spans="1:13" ht="38.25" customHeight="1" x14ac:dyDescent="0.3">
      <c r="A5" s="895" t="s">
        <v>181</v>
      </c>
      <c r="B5" s="897" t="s">
        <v>182</v>
      </c>
      <c r="C5" s="901" t="s">
        <v>240</v>
      </c>
      <c r="D5" s="769" t="s">
        <v>96</v>
      </c>
      <c r="E5" s="589" t="s">
        <v>96</v>
      </c>
      <c r="F5" s="164" t="s">
        <v>511</v>
      </c>
      <c r="G5" s="164" t="s">
        <v>172</v>
      </c>
      <c r="H5" s="164" t="s">
        <v>397</v>
      </c>
      <c r="I5" s="164" t="s">
        <v>96</v>
      </c>
      <c r="J5" s="589" t="s">
        <v>96</v>
      </c>
      <c r="K5" s="694" t="s">
        <v>511</v>
      </c>
      <c r="L5" s="267" t="str">
        <f>+G5</f>
        <v xml:space="preserve">Biodiesel B2 con destino a mezcla </v>
      </c>
      <c r="M5" s="687" t="str">
        <f>+H5</f>
        <v>Biodiesel B10</v>
      </c>
    </row>
    <row r="6" spans="1:13" x14ac:dyDescent="0.3">
      <c r="A6" s="895"/>
      <c r="B6" s="897"/>
      <c r="C6" s="902"/>
      <c r="D6" s="545" t="s">
        <v>514</v>
      </c>
      <c r="E6" s="545" t="s">
        <v>477</v>
      </c>
      <c r="F6" s="695">
        <v>0.1</v>
      </c>
      <c r="G6" s="182">
        <v>0.02</v>
      </c>
      <c r="H6" s="384">
        <v>0.1</v>
      </c>
      <c r="I6" s="545" t="s">
        <v>514</v>
      </c>
      <c r="J6" s="545" t="s">
        <v>477</v>
      </c>
      <c r="K6" s="695">
        <v>0.1</v>
      </c>
      <c r="L6" s="165">
        <f>+G6</f>
        <v>0.02</v>
      </c>
      <c r="M6" s="165">
        <f>+H6</f>
        <v>0.1</v>
      </c>
    </row>
    <row r="7" spans="1:13" x14ac:dyDescent="0.3">
      <c r="A7" s="896"/>
      <c r="B7" s="898"/>
      <c r="C7" s="135" t="s">
        <v>183</v>
      </c>
      <c r="D7" s="769" t="s">
        <v>183</v>
      </c>
      <c r="E7" s="589" t="s">
        <v>183</v>
      </c>
      <c r="F7" s="694" t="s">
        <v>183</v>
      </c>
      <c r="G7" s="164" t="s">
        <v>183</v>
      </c>
      <c r="H7" s="689" t="s">
        <v>183</v>
      </c>
      <c r="I7" s="135" t="s">
        <v>183</v>
      </c>
      <c r="J7" s="588" t="s">
        <v>183</v>
      </c>
      <c r="K7" s="694" t="s">
        <v>183</v>
      </c>
      <c r="L7" s="267" t="s">
        <v>183</v>
      </c>
      <c r="M7" s="687" t="s">
        <v>183</v>
      </c>
    </row>
    <row r="8" spans="1:13" x14ac:dyDescent="0.3">
      <c r="A8" s="137" t="s">
        <v>184</v>
      </c>
      <c r="B8" s="143" t="s">
        <v>185</v>
      </c>
      <c r="C8" s="204">
        <f>+'Calculo IP ZDF'!B39</f>
        <v>4830.8062399999999</v>
      </c>
      <c r="D8" s="204">
        <f>+'Calculo IP ZDF'!G39</f>
        <v>5159.5023903999991</v>
      </c>
      <c r="E8" s="204">
        <f>+'Calculo IP ZDF'!H39</f>
        <v>5241.6764279999998</v>
      </c>
      <c r="F8" s="204">
        <f>+'Calculo IP ZDF'!J39</f>
        <v>5652.5466159999996</v>
      </c>
      <c r="G8" s="212">
        <f>+'Calculo IP ZDF'!F39</f>
        <v>3337.1737999999996</v>
      </c>
      <c r="H8" s="211">
        <f>+'Calculo IP ZDF'!L39</f>
        <v>4950.3608875</v>
      </c>
      <c r="I8" s="189">
        <f>+'GAS CTE'!D9</f>
        <v>5384.1363999999994</v>
      </c>
      <c r="J8" s="189">
        <f>+'GAS CTE'!E9</f>
        <v>5463.9705000000004</v>
      </c>
      <c r="K8" s="189">
        <f>+'GAS CTE'!H9</f>
        <v>5863.1410000000005</v>
      </c>
      <c r="L8" s="214">
        <f>+BIODIESEL!G9</f>
        <v>5268.8620000000001</v>
      </c>
      <c r="M8" s="211">
        <f>+BIODIESEL!H9</f>
        <v>6207.2739999999994</v>
      </c>
    </row>
    <row r="9" spans="1:13" x14ac:dyDescent="0.3">
      <c r="A9" s="137" t="s">
        <v>186</v>
      </c>
      <c r="B9" s="143" t="s">
        <v>187</v>
      </c>
      <c r="C9" s="190" t="str">
        <f t="shared" ref="C9" si="0">+F9</f>
        <v>------------------</v>
      </c>
      <c r="D9" s="191" t="s">
        <v>188</v>
      </c>
      <c r="E9" s="191" t="s">
        <v>188</v>
      </c>
      <c r="F9" s="606" t="s">
        <v>188</v>
      </c>
      <c r="G9" s="191" t="s">
        <v>188</v>
      </c>
      <c r="H9" s="606" t="s">
        <v>188</v>
      </c>
      <c r="I9" s="189">
        <f>+'GAS CTE'!D10</f>
        <v>562.79999999999995</v>
      </c>
      <c r="J9" s="189">
        <f>+'GAS CTE'!E10</f>
        <v>556.9375</v>
      </c>
      <c r="K9" s="189">
        <f>+'GAS CTE'!H10</f>
        <v>501.24375000000003</v>
      </c>
      <c r="L9" s="215">
        <f>+BIODIESEL!G10</f>
        <v>533.06399999999996</v>
      </c>
      <c r="M9" s="798">
        <f>+BIODIESEL!H10</f>
        <v>505.00800000000004</v>
      </c>
    </row>
    <row r="10" spans="1:13" x14ac:dyDescent="0.3">
      <c r="A10" s="137"/>
      <c r="B10" s="143" t="s">
        <v>132</v>
      </c>
      <c r="C10" s="190" t="str">
        <f>+F10</f>
        <v>------------------</v>
      </c>
      <c r="D10" s="191" t="s">
        <v>188</v>
      </c>
      <c r="E10" s="191" t="s">
        <v>188</v>
      </c>
      <c r="F10" s="606" t="s">
        <v>188</v>
      </c>
      <c r="G10" s="191" t="s">
        <v>188</v>
      </c>
      <c r="H10" s="606" t="s">
        <v>188</v>
      </c>
      <c r="I10" s="205" t="str">
        <f>+COMBUSTIBLES!B12</f>
        <v>(3)</v>
      </c>
      <c r="J10" s="205" t="s">
        <v>133</v>
      </c>
      <c r="K10" s="205" t="s">
        <v>133</v>
      </c>
      <c r="L10" s="215" t="str">
        <f>+BIODIESEL!H11</f>
        <v>(3)</v>
      </c>
      <c r="M10" s="798" t="str">
        <f>+BIODIESEL!I11</f>
        <v>(3)</v>
      </c>
    </row>
    <row r="11" spans="1:13" x14ac:dyDescent="0.3">
      <c r="A11" s="137"/>
      <c r="B11" s="143" t="s">
        <v>134</v>
      </c>
      <c r="C11" s="190" t="str">
        <f>+PUTUMAYO!C11</f>
        <v>(4)</v>
      </c>
      <c r="D11" s="190" t="s">
        <v>218</v>
      </c>
      <c r="E11" s="190" t="str">
        <f>+C11</f>
        <v>(4)</v>
      </c>
      <c r="F11" s="261" t="s">
        <v>218</v>
      </c>
      <c r="G11" s="191" t="str">
        <f>+C11</f>
        <v>(4)</v>
      </c>
      <c r="H11" s="606" t="str">
        <f>+E11</f>
        <v>(4)</v>
      </c>
      <c r="I11" s="189" t="str">
        <f>+C11</f>
        <v>(4)</v>
      </c>
      <c r="J11" s="189" t="s">
        <v>218</v>
      </c>
      <c r="K11" s="189" t="s">
        <v>218</v>
      </c>
      <c r="L11" s="211" t="str">
        <f>+C11</f>
        <v>(4)</v>
      </c>
      <c r="M11" s="211" t="str">
        <f>+E11</f>
        <v>(4)</v>
      </c>
    </row>
    <row r="12" spans="1:13" x14ac:dyDescent="0.3">
      <c r="A12" s="137" t="s">
        <v>189</v>
      </c>
      <c r="B12" s="143" t="s">
        <v>286</v>
      </c>
      <c r="C12" s="190" t="s">
        <v>217</v>
      </c>
      <c r="D12" s="190" t="s">
        <v>217</v>
      </c>
      <c r="E12" s="190" t="s">
        <v>217</v>
      </c>
      <c r="F12" s="261" t="s">
        <v>217</v>
      </c>
      <c r="G12" s="141" t="s">
        <v>217</v>
      </c>
      <c r="H12" s="200" t="s">
        <v>217</v>
      </c>
      <c r="I12" s="189" t="str">
        <f>+F12</f>
        <v>(2)</v>
      </c>
      <c r="J12" s="189" t="str">
        <f>+E12</f>
        <v>(2)</v>
      </c>
      <c r="K12" s="189" t="str">
        <f>+F12</f>
        <v>(2)</v>
      </c>
      <c r="L12" s="214" t="s">
        <v>217</v>
      </c>
      <c r="M12" s="211" t="s">
        <v>217</v>
      </c>
    </row>
    <row r="13" spans="1:13" x14ac:dyDescent="0.3">
      <c r="A13" s="137" t="s">
        <v>191</v>
      </c>
      <c r="B13" s="143" t="s">
        <v>192</v>
      </c>
      <c r="C13" s="190">
        <f>+RUBROS!AC19</f>
        <v>23.500029293035123</v>
      </c>
      <c r="D13" s="190">
        <f>+C13</f>
        <v>23.500029293035123</v>
      </c>
      <c r="E13" s="190">
        <f>+C13</f>
        <v>23.500029293035123</v>
      </c>
      <c r="F13" s="190">
        <f>+C13</f>
        <v>23.500029293035123</v>
      </c>
      <c r="G13" s="141">
        <f>+C13</f>
        <v>23.500029293035123</v>
      </c>
      <c r="H13" s="142">
        <f>+C13</f>
        <v>23.500029293035123</v>
      </c>
      <c r="I13" s="189">
        <f>+C13</f>
        <v>23.500029293035123</v>
      </c>
      <c r="J13" s="189">
        <f>+C13</f>
        <v>23.500029293035123</v>
      </c>
      <c r="K13" s="189">
        <f>+F13</f>
        <v>23.500029293035123</v>
      </c>
      <c r="L13" s="214">
        <f>+I13</f>
        <v>23.500029293035123</v>
      </c>
      <c r="M13" s="211">
        <f>+J13</f>
        <v>23.500029293035123</v>
      </c>
    </row>
    <row r="14" spans="1:13" x14ac:dyDescent="0.3">
      <c r="A14" s="137" t="s">
        <v>195</v>
      </c>
      <c r="B14" s="209" t="s">
        <v>196</v>
      </c>
      <c r="C14" s="190">
        <f>+RUBROS!AU41</f>
        <v>13.326421256197724</v>
      </c>
      <c r="D14" s="190">
        <f>+C14</f>
        <v>13.326421256197724</v>
      </c>
      <c r="E14" s="190">
        <f>+C14</f>
        <v>13.326421256197724</v>
      </c>
      <c r="F14" s="190">
        <f>+C14</f>
        <v>13.326421256197724</v>
      </c>
      <c r="G14" s="192">
        <f>+C14</f>
        <v>13.326421256197724</v>
      </c>
      <c r="H14" s="142">
        <f>+C14</f>
        <v>13.326421256197724</v>
      </c>
      <c r="I14" s="189">
        <f>+C14</f>
        <v>13.326421256197724</v>
      </c>
      <c r="J14" s="189">
        <f>+C14</f>
        <v>13.326421256197724</v>
      </c>
      <c r="K14" s="189">
        <f>+F14</f>
        <v>13.326421256197724</v>
      </c>
      <c r="L14" s="214">
        <f>+C14</f>
        <v>13.326421256197724</v>
      </c>
      <c r="M14" s="211">
        <f>+E14</f>
        <v>13.326421256197724</v>
      </c>
    </row>
    <row r="15" spans="1:13" hidden="1" x14ac:dyDescent="0.3">
      <c r="A15" s="137"/>
      <c r="B15" s="143" t="s">
        <v>197</v>
      </c>
      <c r="C15" s="190"/>
      <c r="D15" s="590"/>
      <c r="E15" s="590"/>
      <c r="F15" s="590"/>
      <c r="G15" s="194"/>
      <c r="H15" s="690"/>
      <c r="I15" s="602"/>
      <c r="J15" s="593"/>
      <c r="K15" s="593"/>
      <c r="L15" s="216"/>
      <c r="M15" s="216"/>
    </row>
    <row r="16" spans="1:13" x14ac:dyDescent="0.3">
      <c r="A16" s="144" t="s">
        <v>198</v>
      </c>
      <c r="B16" s="173" t="s">
        <v>199</v>
      </c>
      <c r="C16" s="195">
        <f>SUM(C8:C15)</f>
        <v>4867.6326905492333</v>
      </c>
      <c r="D16" s="195">
        <f>SUM(D8:D15)</f>
        <v>5196.3288409492325</v>
      </c>
      <c r="E16" s="196">
        <f t="shared" ref="E16:L16" si="1">SUM(E8:E15)</f>
        <v>5278.5028785492332</v>
      </c>
      <c r="F16" s="196">
        <f t="shared" si="1"/>
        <v>5689.373066549233</v>
      </c>
      <c r="G16" s="196">
        <f t="shared" si="1"/>
        <v>3374.0002505492321</v>
      </c>
      <c r="H16" s="196">
        <f t="shared" si="1"/>
        <v>4987.1873380492334</v>
      </c>
      <c r="I16" s="602">
        <f t="shared" si="1"/>
        <v>5983.762850549233</v>
      </c>
      <c r="J16" s="198">
        <f t="shared" si="1"/>
        <v>6057.7344505492338</v>
      </c>
      <c r="K16" s="198">
        <f t="shared" si="1"/>
        <v>6401.2112005492336</v>
      </c>
      <c r="L16" s="217">
        <f t="shared" si="1"/>
        <v>5838.7524505492338</v>
      </c>
      <c r="M16" s="217">
        <f t="shared" ref="M16" si="2">SUM(M8:M15)</f>
        <v>6749.1084505492327</v>
      </c>
    </row>
    <row r="17" spans="1:20" x14ac:dyDescent="0.3">
      <c r="A17" s="137" t="s">
        <v>200</v>
      </c>
      <c r="B17" s="143" t="s">
        <v>201</v>
      </c>
      <c r="C17" s="190" t="s">
        <v>231</v>
      </c>
      <c r="D17" s="190" t="s">
        <v>231</v>
      </c>
      <c r="E17" s="591" t="str">
        <f>+C17</f>
        <v>***</v>
      </c>
      <c r="F17" s="591" t="str">
        <f>+C17</f>
        <v>***</v>
      </c>
      <c r="G17" s="199" t="str">
        <f>+C17</f>
        <v>***</v>
      </c>
      <c r="H17" s="199" t="str">
        <f>+E17</f>
        <v>***</v>
      </c>
      <c r="I17" s="594" t="str">
        <f>+L17</f>
        <v>***</v>
      </c>
      <c r="J17" s="594" t="str">
        <f>+C17</f>
        <v>***</v>
      </c>
      <c r="K17" s="594" t="str">
        <f t="shared" ref="K17:K19" si="3">+E17</f>
        <v>***</v>
      </c>
      <c r="L17" s="218" t="s">
        <v>231</v>
      </c>
      <c r="M17" s="218" t="s">
        <v>231</v>
      </c>
    </row>
    <row r="18" spans="1:20" x14ac:dyDescent="0.3">
      <c r="A18" s="137" t="s">
        <v>202</v>
      </c>
      <c r="B18" s="143" t="s">
        <v>203</v>
      </c>
      <c r="C18" s="190" t="str">
        <f>+F18</f>
        <v>**</v>
      </c>
      <c r="D18" s="190" t="str">
        <f>+G18</f>
        <v>**</v>
      </c>
      <c r="E18" s="190" t="str">
        <f>+C18</f>
        <v>**</v>
      </c>
      <c r="F18" s="190" t="s">
        <v>229</v>
      </c>
      <c r="G18" s="200" t="s">
        <v>229</v>
      </c>
      <c r="H18" s="200" t="s">
        <v>229</v>
      </c>
      <c r="I18" s="192" t="str">
        <f>+L18</f>
        <v>**</v>
      </c>
      <c r="J18" s="192" t="str">
        <f>+C18</f>
        <v>**</v>
      </c>
      <c r="K18" s="192" t="str">
        <f t="shared" si="3"/>
        <v>**</v>
      </c>
      <c r="L18" s="211" t="s">
        <v>229</v>
      </c>
      <c r="M18" s="211" t="s">
        <v>229</v>
      </c>
      <c r="P18" s="19"/>
    </row>
    <row r="19" spans="1:20" x14ac:dyDescent="0.3">
      <c r="A19" s="137" t="s">
        <v>204</v>
      </c>
      <c r="B19" s="143" t="s">
        <v>205</v>
      </c>
      <c r="C19" s="190" t="str">
        <f>+F19</f>
        <v>****</v>
      </c>
      <c r="D19" s="190" t="str">
        <f>+G19</f>
        <v>****</v>
      </c>
      <c r="E19" s="190" t="str">
        <f>+C19</f>
        <v>****</v>
      </c>
      <c r="F19" s="190" t="s">
        <v>233</v>
      </c>
      <c r="G19" s="141" t="str">
        <f>+F19</f>
        <v>****</v>
      </c>
      <c r="H19" s="141" t="str">
        <f>+G19</f>
        <v>****</v>
      </c>
      <c r="I19" s="192" t="str">
        <f>+C19</f>
        <v>****</v>
      </c>
      <c r="J19" s="192" t="str">
        <f>+C19</f>
        <v>****</v>
      </c>
      <c r="K19" s="192" t="str">
        <f t="shared" si="3"/>
        <v>****</v>
      </c>
      <c r="L19" s="214" t="s">
        <v>233</v>
      </c>
      <c r="M19" s="214" t="s">
        <v>233</v>
      </c>
    </row>
    <row r="20" spans="1:20" x14ac:dyDescent="0.3">
      <c r="A20" s="144" t="s">
        <v>206</v>
      </c>
      <c r="B20" s="173" t="s">
        <v>207</v>
      </c>
      <c r="C20" s="195">
        <f t="shared" ref="C20:L20" si="4">+C16</f>
        <v>4867.6326905492333</v>
      </c>
      <c r="D20" s="195">
        <f t="shared" ref="D20" si="5">+D16</f>
        <v>5196.3288409492325</v>
      </c>
      <c r="E20" s="195">
        <f t="shared" si="4"/>
        <v>5278.5028785492332</v>
      </c>
      <c r="F20" s="195">
        <f t="shared" si="4"/>
        <v>5689.373066549233</v>
      </c>
      <c r="G20" s="195">
        <f t="shared" si="4"/>
        <v>3374.0002505492321</v>
      </c>
      <c r="H20" s="195">
        <f t="shared" si="4"/>
        <v>4987.1873380492334</v>
      </c>
      <c r="I20" s="195">
        <f t="shared" si="4"/>
        <v>5983.762850549233</v>
      </c>
      <c r="J20" s="195">
        <f t="shared" si="4"/>
        <v>6057.7344505492338</v>
      </c>
      <c r="K20" s="195">
        <f t="shared" ref="K20" si="6">+K16</f>
        <v>6401.2112005492336</v>
      </c>
      <c r="L20" s="213">
        <f t="shared" si="4"/>
        <v>5838.7524505492338</v>
      </c>
      <c r="M20" s="213">
        <f t="shared" ref="M20" si="7">+M16</f>
        <v>6749.1084505492327</v>
      </c>
      <c r="Q20" s="19"/>
    </row>
    <row r="21" spans="1:20" x14ac:dyDescent="0.3">
      <c r="A21" s="137" t="s">
        <v>208</v>
      </c>
      <c r="B21" s="143" t="s">
        <v>160</v>
      </c>
      <c r="C21" s="190" t="s">
        <v>231</v>
      </c>
      <c r="D21" s="190" t="s">
        <v>231</v>
      </c>
      <c r="E21" s="190" t="str">
        <f>+C21</f>
        <v>***</v>
      </c>
      <c r="F21" s="190" t="str">
        <f>+C21</f>
        <v>***</v>
      </c>
      <c r="G21" s="141" t="str">
        <f>+F21</f>
        <v>***</v>
      </c>
      <c r="H21" s="141" t="str">
        <f>+G21</f>
        <v>***</v>
      </c>
      <c r="I21" s="192" t="str">
        <f>+C21</f>
        <v>***</v>
      </c>
      <c r="J21" s="192" t="str">
        <f>+C21</f>
        <v>***</v>
      </c>
      <c r="K21" s="192" t="str">
        <f t="shared" ref="K21:K23" si="8">+E21</f>
        <v>***</v>
      </c>
      <c r="L21" s="214" t="s">
        <v>231</v>
      </c>
      <c r="M21" s="214" t="s">
        <v>231</v>
      </c>
    </row>
    <row r="22" spans="1:20" x14ac:dyDescent="0.3">
      <c r="A22" s="137" t="s">
        <v>209</v>
      </c>
      <c r="B22" s="138" t="s">
        <v>210</v>
      </c>
      <c r="C22" s="190" t="str">
        <f>+F22</f>
        <v>*****</v>
      </c>
      <c r="D22" s="190" t="str">
        <f>+G22</f>
        <v>N.A.</v>
      </c>
      <c r="E22" s="190" t="str">
        <f>+C22</f>
        <v>*****</v>
      </c>
      <c r="F22" s="190" t="s">
        <v>235</v>
      </c>
      <c r="G22" s="141" t="s">
        <v>253</v>
      </c>
      <c r="H22" s="141" t="s">
        <v>253</v>
      </c>
      <c r="I22" s="192" t="str">
        <f>+C22</f>
        <v>*****</v>
      </c>
      <c r="J22" s="192" t="str">
        <f>+C22</f>
        <v>*****</v>
      </c>
      <c r="K22" s="192" t="str">
        <f t="shared" si="8"/>
        <v>*****</v>
      </c>
      <c r="L22" s="214" t="s">
        <v>254</v>
      </c>
      <c r="M22" s="214" t="s">
        <v>254</v>
      </c>
    </row>
    <row r="23" spans="1:20" x14ac:dyDescent="0.3">
      <c r="A23" s="137" t="s">
        <v>212</v>
      </c>
      <c r="B23" s="143" t="s">
        <v>290</v>
      </c>
      <c r="C23" s="190" t="str">
        <f>+F23</f>
        <v>******</v>
      </c>
      <c r="D23" s="190" t="str">
        <f>+G23</f>
        <v>******</v>
      </c>
      <c r="E23" s="190" t="str">
        <f>+C23</f>
        <v>******</v>
      </c>
      <c r="F23" s="190" t="s">
        <v>236</v>
      </c>
      <c r="G23" s="200" t="str">
        <f>+F23</f>
        <v>******</v>
      </c>
      <c r="H23" s="200" t="str">
        <f>+G23</f>
        <v>******</v>
      </c>
      <c r="I23" s="192" t="str">
        <f>+H23</f>
        <v>******</v>
      </c>
      <c r="J23" s="192" t="str">
        <f>+C23</f>
        <v>******</v>
      </c>
      <c r="K23" s="192" t="str">
        <f t="shared" si="8"/>
        <v>******</v>
      </c>
      <c r="L23" s="211" t="str">
        <f>+I23</f>
        <v>******</v>
      </c>
      <c r="M23" s="211" t="str">
        <f>+J23</f>
        <v>******</v>
      </c>
    </row>
    <row r="24" spans="1:20" ht="15" thickBot="1" x14ac:dyDescent="0.35">
      <c r="A24" s="148" t="s">
        <v>214</v>
      </c>
      <c r="B24" s="149" t="s">
        <v>215</v>
      </c>
      <c r="C24" s="201"/>
      <c r="D24" s="201"/>
      <c r="E24" s="201"/>
      <c r="F24" s="201"/>
      <c r="G24" s="202"/>
      <c r="H24" s="151"/>
      <c r="I24" s="202"/>
      <c r="J24" s="202"/>
      <c r="K24" s="202"/>
      <c r="L24" s="219"/>
      <c r="M24" s="219"/>
    </row>
    <row r="25" spans="1:20" ht="15" thickTop="1" x14ac:dyDescent="0.3"/>
    <row r="26" spans="1:20" x14ac:dyDescent="0.3">
      <c r="A26" s="156"/>
      <c r="B26" s="256" t="s">
        <v>227</v>
      </c>
      <c r="C26" s="206"/>
      <c r="D26" s="206"/>
      <c r="E26" s="206"/>
      <c r="F26" s="206"/>
      <c r="G26" s="206"/>
      <c r="H26" s="206"/>
      <c r="I26" s="186"/>
      <c r="J26" s="186"/>
      <c r="K26" s="186"/>
      <c r="L26" s="186"/>
      <c r="M26" s="186"/>
      <c r="N26" s="186"/>
      <c r="O26" s="186"/>
      <c r="P26" s="186"/>
      <c r="R26" s="186"/>
      <c r="S26" s="186"/>
      <c r="T26" s="186"/>
    </row>
    <row r="27" spans="1:20" x14ac:dyDescent="0.3">
      <c r="A27" s="156"/>
      <c r="B27" s="177"/>
      <c r="C27" s="206"/>
      <c r="D27" s="206"/>
      <c r="E27" s="206"/>
      <c r="F27" s="206"/>
      <c r="G27" s="206"/>
      <c r="H27" s="206"/>
      <c r="I27" s="186"/>
      <c r="J27" s="186"/>
      <c r="K27" s="186"/>
      <c r="L27" s="186"/>
      <c r="M27" s="186"/>
      <c r="N27" s="186"/>
      <c r="O27" s="186"/>
      <c r="P27" s="186"/>
      <c r="Q27" s="186"/>
      <c r="R27" s="186"/>
      <c r="S27" s="186"/>
      <c r="T27" s="186"/>
    </row>
    <row r="28" spans="1:20" ht="55.5" customHeight="1" x14ac:dyDescent="0.3">
      <c r="A28" s="156" t="s">
        <v>190</v>
      </c>
      <c r="B28" s="914" t="str">
        <f>+AMAZONAS!B29</f>
        <v>De acuerdo con lo establecido en la Resoluccion 91349 de 2014 del MME para combustible de origen nacional o importado a ser distribuido en zonas de frontera, aplica la tarifa de marcación o remarcación vigente a la fecha según corresponda</v>
      </c>
      <c r="C28" s="914"/>
      <c r="D28" s="914"/>
      <c r="E28" s="914"/>
      <c r="F28" s="914"/>
      <c r="G28" s="914"/>
      <c r="H28" s="914"/>
      <c r="I28" s="914"/>
      <c r="J28" s="914"/>
      <c r="K28" s="914"/>
      <c r="L28" s="914"/>
      <c r="M28" s="914"/>
      <c r="N28" s="914"/>
      <c r="O28" s="207"/>
      <c r="P28" s="207"/>
      <c r="Q28" s="207"/>
      <c r="R28" s="207"/>
      <c r="S28" s="207"/>
      <c r="T28" s="207"/>
    </row>
    <row r="29" spans="1:20" ht="26.25" customHeight="1" x14ac:dyDescent="0.3">
      <c r="A29" s="156" t="s">
        <v>217</v>
      </c>
      <c r="B29" s="892" t="s">
        <v>269</v>
      </c>
      <c r="C29" s="892"/>
      <c r="D29" s="892"/>
      <c r="E29" s="892"/>
      <c r="F29" s="892"/>
      <c r="G29" s="892"/>
      <c r="H29" s="892"/>
      <c r="I29" s="892"/>
      <c r="J29" s="892"/>
      <c r="K29" s="892"/>
      <c r="L29" s="892"/>
      <c r="M29" s="892"/>
      <c r="N29" s="892"/>
      <c r="O29" s="186"/>
      <c r="P29" s="186"/>
      <c r="Q29" s="186"/>
      <c r="R29" s="186"/>
      <c r="S29" s="186"/>
      <c r="T29" s="186"/>
    </row>
    <row r="30" spans="1:20" ht="54.6" customHeight="1" x14ac:dyDescent="0.3">
      <c r="A30" s="156" t="s">
        <v>133</v>
      </c>
      <c r="B30" s="914" t="s">
        <v>325</v>
      </c>
      <c r="C30" s="914"/>
      <c r="D30" s="914"/>
      <c r="E30" s="914"/>
      <c r="F30" s="914"/>
      <c r="G30" s="914"/>
      <c r="H30" s="914"/>
      <c r="I30" s="914"/>
      <c r="J30" s="914"/>
      <c r="K30" s="914"/>
      <c r="L30" s="914"/>
      <c r="M30" s="914"/>
      <c r="N30" s="914"/>
      <c r="O30" s="186"/>
      <c r="P30" s="186"/>
      <c r="Q30" s="186"/>
      <c r="R30" s="186"/>
      <c r="S30" s="186"/>
      <c r="T30" s="186"/>
    </row>
    <row r="31" spans="1:20" ht="54.6" customHeight="1" x14ac:dyDescent="0.3">
      <c r="A31" s="156" t="s">
        <v>218</v>
      </c>
      <c r="B31" s="913" t="s">
        <v>398</v>
      </c>
      <c r="C31" s="913"/>
      <c r="D31" s="913"/>
      <c r="E31" s="913"/>
      <c r="F31" s="913"/>
      <c r="G31" s="913"/>
      <c r="H31" s="913"/>
      <c r="I31" s="913"/>
      <c r="J31" s="913"/>
      <c r="K31" s="913"/>
      <c r="L31" s="913"/>
      <c r="M31" s="913"/>
      <c r="N31" s="913"/>
      <c r="O31" s="186"/>
      <c r="P31" s="186"/>
      <c r="Q31" s="186"/>
      <c r="R31" s="186"/>
      <c r="S31" s="186"/>
      <c r="T31" s="186"/>
    </row>
    <row r="32" spans="1:20" ht="16.2" customHeight="1" x14ac:dyDescent="0.3">
      <c r="A32" s="156"/>
      <c r="B32" s="963"/>
      <c r="C32" s="963"/>
      <c r="D32" s="963"/>
      <c r="E32" s="963"/>
      <c r="F32" s="963"/>
      <c r="G32" s="963"/>
      <c r="H32" s="963"/>
      <c r="I32" s="963"/>
      <c r="J32" s="963"/>
      <c r="K32" s="963"/>
      <c r="L32" s="963"/>
      <c r="M32" s="963"/>
      <c r="N32" s="963"/>
      <c r="O32" s="186"/>
      <c r="P32" s="186"/>
      <c r="Q32" s="186"/>
      <c r="R32" s="186"/>
      <c r="S32" s="186"/>
      <c r="T32" s="186"/>
    </row>
    <row r="33" spans="1:20" x14ac:dyDescent="0.3">
      <c r="A33" s="156"/>
      <c r="B33" s="177"/>
      <c r="C33" s="206"/>
      <c r="D33" s="206"/>
      <c r="E33" s="206"/>
      <c r="F33" s="206"/>
      <c r="G33" s="206"/>
      <c r="H33" s="206"/>
      <c r="I33" s="186"/>
      <c r="J33" s="186"/>
      <c r="K33" s="186"/>
      <c r="L33" s="186"/>
      <c r="M33" s="186"/>
      <c r="N33" s="186"/>
      <c r="O33" s="186"/>
      <c r="P33" s="186"/>
      <c r="Q33" s="186"/>
      <c r="R33" s="186"/>
      <c r="S33" s="186"/>
      <c r="T33" s="186"/>
    </row>
    <row r="34" spans="1:20" ht="15" customHeight="1" x14ac:dyDescent="0.3">
      <c r="A34" s="178" t="s">
        <v>102</v>
      </c>
      <c r="B34" s="891" t="s">
        <v>228</v>
      </c>
      <c r="C34" s="891"/>
      <c r="D34" s="891"/>
      <c r="E34" s="891"/>
      <c r="F34" s="891"/>
      <c r="G34" s="891"/>
      <c r="H34" s="891"/>
      <c r="I34" s="891"/>
      <c r="J34" s="891"/>
      <c r="K34" s="891"/>
      <c r="L34" s="891"/>
      <c r="M34" s="891"/>
      <c r="N34" s="891"/>
      <c r="O34" s="186"/>
      <c r="P34" s="186"/>
      <c r="Q34" s="186"/>
      <c r="R34" s="186"/>
      <c r="S34" s="186"/>
      <c r="T34" s="186"/>
    </row>
    <row r="35" spans="1:20" ht="15" customHeight="1" x14ac:dyDescent="0.3">
      <c r="A35" s="178" t="s">
        <v>229</v>
      </c>
      <c r="B35" s="914" t="s">
        <v>289</v>
      </c>
      <c r="C35" s="914"/>
      <c r="D35" s="914"/>
      <c r="E35" s="914"/>
      <c r="F35" s="914"/>
      <c r="G35" s="914"/>
      <c r="H35" s="914"/>
      <c r="I35" s="914"/>
      <c r="J35" s="914"/>
      <c r="K35" s="914"/>
      <c r="L35" s="914"/>
      <c r="M35" s="914"/>
      <c r="N35" s="914"/>
      <c r="O35" s="186"/>
      <c r="P35" s="186"/>
      <c r="Q35" s="186"/>
      <c r="R35" s="186"/>
      <c r="S35" s="186"/>
      <c r="T35" s="186"/>
    </row>
    <row r="36" spans="1:20" ht="15" customHeight="1" x14ac:dyDescent="0.3">
      <c r="A36" s="156" t="s">
        <v>231</v>
      </c>
      <c r="B36" s="914" t="s">
        <v>232</v>
      </c>
      <c r="C36" s="914"/>
      <c r="D36" s="914"/>
      <c r="E36" s="914"/>
      <c r="F36" s="914"/>
      <c r="G36" s="914"/>
      <c r="H36" s="914"/>
      <c r="I36" s="914"/>
      <c r="J36" s="914"/>
      <c r="K36" s="914"/>
      <c r="L36" s="914"/>
      <c r="M36" s="156"/>
      <c r="N36" s="891"/>
      <c r="O36" s="891"/>
      <c r="P36" s="891"/>
      <c r="Q36" s="891"/>
      <c r="R36" s="891"/>
      <c r="S36" s="891"/>
      <c r="T36" s="891"/>
    </row>
    <row r="37" spans="1:20" ht="15" customHeight="1" x14ac:dyDescent="0.3">
      <c r="A37" s="156" t="s">
        <v>233</v>
      </c>
      <c r="B37" s="891" t="s">
        <v>454</v>
      </c>
      <c r="C37" s="891"/>
      <c r="D37" s="891"/>
      <c r="E37" s="891"/>
      <c r="F37" s="891"/>
      <c r="G37" s="891"/>
      <c r="H37" s="891"/>
      <c r="I37" s="891"/>
      <c r="J37" s="891"/>
      <c r="K37" s="891"/>
      <c r="L37" s="891"/>
      <c r="M37" s="156"/>
      <c r="N37" s="265"/>
      <c r="O37" s="265"/>
      <c r="P37" s="265"/>
      <c r="Q37" s="265"/>
      <c r="R37" s="265"/>
      <c r="S37" s="265"/>
      <c r="T37" s="265"/>
    </row>
    <row r="38" spans="1:20" ht="26.25" customHeight="1" x14ac:dyDescent="0.3">
      <c r="A38" s="178" t="s">
        <v>235</v>
      </c>
      <c r="B38" s="914" t="s">
        <v>237</v>
      </c>
      <c r="C38" s="914"/>
      <c r="D38" s="914"/>
      <c r="E38" s="914"/>
      <c r="F38" s="914"/>
      <c r="G38" s="914"/>
      <c r="H38" s="914"/>
      <c r="I38" s="914"/>
      <c r="J38" s="914"/>
      <c r="K38" s="914"/>
      <c r="L38" s="914"/>
      <c r="M38" s="914"/>
      <c r="N38" s="914"/>
      <c r="O38" s="186"/>
      <c r="P38" s="186"/>
      <c r="Q38" s="186"/>
      <c r="R38" s="186"/>
      <c r="S38" s="186"/>
      <c r="T38" s="186"/>
    </row>
    <row r="39" spans="1:20" x14ac:dyDescent="0.3">
      <c r="A39" s="178" t="s">
        <v>236</v>
      </c>
      <c r="B39" s="914" t="s">
        <v>291</v>
      </c>
      <c r="C39" s="914"/>
      <c r="D39" s="914"/>
      <c r="E39" s="914"/>
      <c r="F39" s="914"/>
      <c r="G39" s="914"/>
      <c r="H39" s="914"/>
      <c r="I39" s="914"/>
      <c r="J39" s="914"/>
      <c r="K39" s="914"/>
      <c r="L39" s="914"/>
      <c r="M39" s="914"/>
      <c r="N39" s="914"/>
      <c r="O39" s="186"/>
      <c r="P39" s="186"/>
      <c r="Q39" s="186"/>
      <c r="R39" s="186"/>
      <c r="S39" s="186"/>
      <c r="T39" s="186"/>
    </row>
    <row r="40" spans="1:20" x14ac:dyDescent="0.3">
      <c r="B40" s="959" t="s">
        <v>443</v>
      </c>
      <c r="C40" s="959"/>
      <c r="D40" s="959"/>
      <c r="E40" s="959"/>
      <c r="F40" s="959"/>
      <c r="G40" s="959"/>
      <c r="H40" s="959"/>
      <c r="I40" s="959"/>
      <c r="J40" s="959"/>
      <c r="K40" s="959"/>
      <c r="L40" s="959"/>
      <c r="M40" s="959"/>
    </row>
    <row r="41" spans="1:20" ht="87.9" customHeight="1" x14ac:dyDescent="0.3">
      <c r="A41" s="894" t="s">
        <v>147</v>
      </c>
      <c r="B41" s="894"/>
      <c r="C41" s="894"/>
      <c r="D41" s="894"/>
      <c r="E41" s="894"/>
      <c r="F41" s="894"/>
      <c r="G41" s="894"/>
      <c r="H41" s="894"/>
      <c r="I41" s="894"/>
      <c r="J41" s="894"/>
      <c r="K41" s="894"/>
      <c r="L41" s="894"/>
      <c r="M41" s="894"/>
      <c r="N41" s="894"/>
    </row>
  </sheetData>
  <sheetProtection algorithmName="SHA-512" hashValue="PdY293WaEF4ZIix7KNbYTIPdu/W3tMuN5Y/BOBMsW6EiK5INuUBw0fHlNxdG/FO0F93Vvusrxq0o8UrZWP1wNQ==" saltValue="vfqFk6vPzg8jt9CUvRjmOw==" spinCount="100000" sheet="1" objects="1" scenarios="1"/>
  <mergeCells count="19">
    <mergeCell ref="B28:N28"/>
    <mergeCell ref="C3:H4"/>
    <mergeCell ref="A5:A7"/>
    <mergeCell ref="B5:B7"/>
    <mergeCell ref="C5:C6"/>
    <mergeCell ref="I3:M4"/>
    <mergeCell ref="B37:L37"/>
    <mergeCell ref="B38:N38"/>
    <mergeCell ref="B39:N39"/>
    <mergeCell ref="A41:N41"/>
    <mergeCell ref="B29:N29"/>
    <mergeCell ref="B30:N30"/>
    <mergeCell ref="B34:N34"/>
    <mergeCell ref="B35:N35"/>
    <mergeCell ref="B36:L36"/>
    <mergeCell ref="N36:T36"/>
    <mergeCell ref="B31:N31"/>
    <mergeCell ref="B40:M40"/>
    <mergeCell ref="B32:N32"/>
  </mergeCells>
  <hyperlinks>
    <hyperlink ref="B26" location="VAUPES!A40" display="Ver Nota Informativa" xr:uid="{00000000-0004-0000-1400-000000000000}"/>
  </hyperlinks>
  <pageMargins left="0.7" right="0.7" top="0.75" bottom="0.75" header="0.3" footer="0.3"/>
  <pageSetup orientation="portrait" r:id="rId1"/>
  <ignoredErrors>
    <ignoredError sqref="G20 G16 I13" formula="1"/>
    <ignoredError sqref="G12 L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Q25"/>
  <sheetViews>
    <sheetView showGridLines="0" topLeftCell="A4" zoomScale="115" zoomScaleNormal="115" workbookViewId="0">
      <selection activeCell="AD18" sqref="AD18"/>
    </sheetView>
  </sheetViews>
  <sheetFormatPr baseColWidth="10" defaultRowHeight="14.4" x14ac:dyDescent="0.3"/>
  <cols>
    <col min="3" max="3" width="31.109375" customWidth="1"/>
    <col min="4" max="4" width="19" customWidth="1"/>
    <col min="5" max="5" width="25" customWidth="1"/>
  </cols>
  <sheetData>
    <row r="3" spans="2:17" ht="47.25" customHeight="1" x14ac:dyDescent="0.3"/>
    <row r="5" spans="2:17" ht="28.8" x14ac:dyDescent="0.3">
      <c r="C5" s="463" t="s">
        <v>424</v>
      </c>
      <c r="D5" s="473" t="s">
        <v>425</v>
      </c>
      <c r="E5" s="464" t="s">
        <v>426</v>
      </c>
    </row>
    <row r="6" spans="2:17" x14ac:dyDescent="0.3">
      <c r="B6" s="838" t="s">
        <v>427</v>
      </c>
      <c r="C6" s="465" t="s">
        <v>428</v>
      </c>
      <c r="D6" s="466">
        <v>8.3800000000000008</v>
      </c>
      <c r="E6" s="466" t="s">
        <v>429</v>
      </c>
    </row>
    <row r="7" spans="2:17" ht="15" thickBot="1" x14ac:dyDescent="0.35">
      <c r="B7" s="840"/>
      <c r="C7" s="472" t="s">
        <v>436</v>
      </c>
      <c r="D7" s="466"/>
      <c r="E7" s="466" t="s">
        <v>439</v>
      </c>
      <c r="O7" s="457"/>
    </row>
    <row r="8" spans="2:17" x14ac:dyDescent="0.3">
      <c r="B8" s="838" t="s">
        <v>430</v>
      </c>
      <c r="C8" s="465" t="s">
        <v>434</v>
      </c>
      <c r="D8" s="466">
        <v>8.3800000000000008</v>
      </c>
      <c r="E8" s="466" t="s">
        <v>429</v>
      </c>
      <c r="H8" s="674"/>
      <c r="I8" s="675">
        <v>0.03</v>
      </c>
      <c r="J8" s="677">
        <v>2016</v>
      </c>
      <c r="K8" s="677">
        <v>2017</v>
      </c>
      <c r="L8" s="677">
        <v>2018</v>
      </c>
      <c r="M8" s="677">
        <v>2019</v>
      </c>
      <c r="N8" s="677">
        <v>2020</v>
      </c>
      <c r="O8" s="677">
        <v>2021</v>
      </c>
      <c r="P8" s="677">
        <v>2022</v>
      </c>
    </row>
    <row r="9" spans="2:17" x14ac:dyDescent="0.3">
      <c r="B9" s="839"/>
      <c r="C9" s="472" t="s">
        <v>437</v>
      </c>
      <c r="D9" s="466"/>
      <c r="E9" s="466" t="str">
        <f>+E7</f>
        <v>4,55.</v>
      </c>
      <c r="H9" s="674">
        <v>6.82</v>
      </c>
      <c r="I9" s="676">
        <f t="shared" ref="I9:P11" si="0">+H9*(1+$I$8)</f>
        <v>7.0246000000000004</v>
      </c>
      <c r="J9" s="678">
        <f t="shared" si="0"/>
        <v>7.2353380000000005</v>
      </c>
      <c r="K9" s="678">
        <f t="shared" si="0"/>
        <v>7.4523981400000006</v>
      </c>
      <c r="L9" s="678">
        <f>+K9*(1+$I$8)-0.01</f>
        <v>7.6659700842000014</v>
      </c>
      <c r="M9" s="680">
        <f>+L9*(1+$I$8)</f>
        <v>7.8959491867260017</v>
      </c>
      <c r="N9" s="678">
        <f t="shared" si="0"/>
        <v>8.1328276623277826</v>
      </c>
      <c r="O9" s="678">
        <f>+N9*(1+$I$8)</f>
        <v>8.376812492197617</v>
      </c>
      <c r="P9" s="678">
        <f t="shared" si="0"/>
        <v>8.6281168669635466</v>
      </c>
    </row>
    <row r="10" spans="2:17" x14ac:dyDescent="0.3">
      <c r="B10" s="838" t="s">
        <v>431</v>
      </c>
      <c r="C10" s="465" t="s">
        <v>281</v>
      </c>
      <c r="D10" s="466">
        <v>8.3800000000000008</v>
      </c>
      <c r="E10" s="466" t="s">
        <v>429</v>
      </c>
      <c r="H10" s="674">
        <v>3.7</v>
      </c>
      <c r="I10" s="676">
        <f t="shared" si="0"/>
        <v>3.8110000000000004</v>
      </c>
      <c r="J10" s="678">
        <f t="shared" si="0"/>
        <v>3.9253300000000007</v>
      </c>
      <c r="K10" s="678">
        <f t="shared" si="0"/>
        <v>4.0430899000000009</v>
      </c>
      <c r="L10" s="678">
        <f t="shared" si="0"/>
        <v>4.1643825970000012</v>
      </c>
      <c r="M10" s="678">
        <f t="shared" si="0"/>
        <v>4.2893140749100018</v>
      </c>
      <c r="N10" s="678">
        <f t="shared" si="0"/>
        <v>4.4179934971573021</v>
      </c>
      <c r="O10" s="678">
        <f t="shared" si="0"/>
        <v>4.5505333020720213</v>
      </c>
      <c r="P10" s="678">
        <f t="shared" si="0"/>
        <v>4.6870493011341825</v>
      </c>
      <c r="Q10" s="457"/>
    </row>
    <row r="11" spans="2:17" ht="15" thickBot="1" x14ac:dyDescent="0.35">
      <c r="B11" s="839"/>
      <c r="C11" s="472" t="s">
        <v>438</v>
      </c>
      <c r="D11" s="466"/>
      <c r="E11" s="466" t="str">
        <f>+E9</f>
        <v>4,55.</v>
      </c>
      <c r="H11" s="674">
        <v>10.52</v>
      </c>
      <c r="I11" s="676">
        <f t="shared" si="0"/>
        <v>10.835599999999999</v>
      </c>
      <c r="J11" s="679">
        <f t="shared" si="0"/>
        <v>11.160667999999999</v>
      </c>
      <c r="K11" s="679">
        <f t="shared" si="0"/>
        <v>11.49548804</v>
      </c>
      <c r="L11" s="679">
        <f t="shared" si="0"/>
        <v>11.840352681200001</v>
      </c>
      <c r="M11" s="679">
        <f t="shared" si="0"/>
        <v>12.195563261636002</v>
      </c>
      <c r="N11" s="679">
        <f t="shared" si="0"/>
        <v>12.561430159485083</v>
      </c>
      <c r="O11" s="679">
        <f t="shared" si="0"/>
        <v>12.938273064269636</v>
      </c>
      <c r="P11" s="679">
        <f t="shared" si="0"/>
        <v>13.326421256197724</v>
      </c>
    </row>
    <row r="12" spans="2:17" x14ac:dyDescent="0.3">
      <c r="B12" s="840" t="s">
        <v>432</v>
      </c>
      <c r="C12" s="465" t="s">
        <v>435</v>
      </c>
      <c r="D12" s="466">
        <v>8.3800000000000008</v>
      </c>
      <c r="E12" s="466" t="s">
        <v>429</v>
      </c>
      <c r="H12" s="471"/>
      <c r="I12" s="471"/>
      <c r="J12" s="471"/>
      <c r="K12" s="471"/>
      <c r="L12" s="471"/>
      <c r="M12" s="471"/>
      <c r="N12" s="471"/>
      <c r="O12" s="471">
        <f>12.94-8.38</f>
        <v>4.5599999999999987</v>
      </c>
      <c r="P12" s="471"/>
    </row>
    <row r="13" spans="2:17" x14ac:dyDescent="0.3">
      <c r="B13" s="839"/>
      <c r="C13" s="465" t="s">
        <v>435</v>
      </c>
      <c r="D13" s="466"/>
      <c r="E13" s="466" t="str">
        <f>+E11</f>
        <v>4,55.</v>
      </c>
    </row>
    <row r="15" spans="2:17" x14ac:dyDescent="0.3">
      <c r="C15" s="429" t="s">
        <v>433</v>
      </c>
    </row>
    <row r="17" spans="2:7" ht="28.8" x14ac:dyDescent="0.3">
      <c r="B17" s="614"/>
      <c r="C17" s="463" t="s">
        <v>424</v>
      </c>
      <c r="D17" s="473" t="s">
        <v>425</v>
      </c>
      <c r="E17" s="464" t="s">
        <v>426</v>
      </c>
    </row>
    <row r="18" spans="2:7" x14ac:dyDescent="0.3">
      <c r="B18" s="838" t="s">
        <v>427</v>
      </c>
      <c r="C18" s="465" t="s">
        <v>428</v>
      </c>
      <c r="D18" s="466">
        <v>8.6300000000000008</v>
      </c>
      <c r="E18" s="466" t="s">
        <v>499</v>
      </c>
      <c r="G18">
        <f>6.82+3.7</f>
        <v>10.52</v>
      </c>
    </row>
    <row r="19" spans="2:7" x14ac:dyDescent="0.3">
      <c r="B19" s="840"/>
      <c r="C19" s="472" t="s">
        <v>436</v>
      </c>
      <c r="D19" s="466"/>
      <c r="E19" s="466">
        <v>4.6900000000000004</v>
      </c>
    </row>
    <row r="20" spans="2:7" x14ac:dyDescent="0.3">
      <c r="B20" s="838" t="s">
        <v>430</v>
      </c>
      <c r="C20" s="465" t="s">
        <v>434</v>
      </c>
      <c r="D20" s="466">
        <v>8.6300000000000008</v>
      </c>
      <c r="E20" s="466" t="s">
        <v>499</v>
      </c>
    </row>
    <row r="21" spans="2:7" x14ac:dyDescent="0.3">
      <c r="B21" s="839"/>
      <c r="C21" s="472" t="s">
        <v>437</v>
      </c>
      <c r="D21" s="466"/>
      <c r="E21" s="466">
        <f>+E19</f>
        <v>4.6900000000000004</v>
      </c>
    </row>
    <row r="22" spans="2:7" x14ac:dyDescent="0.3">
      <c r="B22" s="838" t="s">
        <v>431</v>
      </c>
      <c r="C22" s="465" t="s">
        <v>281</v>
      </c>
      <c r="D22" s="466">
        <v>8.6300000000000008</v>
      </c>
      <c r="E22" s="466" t="s">
        <v>499</v>
      </c>
    </row>
    <row r="23" spans="2:7" x14ac:dyDescent="0.3">
      <c r="B23" s="839"/>
      <c r="C23" s="472" t="s">
        <v>438</v>
      </c>
      <c r="D23" s="466"/>
      <c r="E23" s="466">
        <f>+E21</f>
        <v>4.6900000000000004</v>
      </c>
    </row>
    <row r="24" spans="2:7" x14ac:dyDescent="0.3">
      <c r="B24" s="840" t="s">
        <v>432</v>
      </c>
      <c r="C24" s="465" t="s">
        <v>435</v>
      </c>
      <c r="D24" s="466">
        <v>8.6300000000000008</v>
      </c>
      <c r="E24" s="466" t="s">
        <v>499</v>
      </c>
    </row>
    <row r="25" spans="2:7" x14ac:dyDescent="0.3">
      <c r="B25" s="839"/>
      <c r="C25" s="465" t="s">
        <v>435</v>
      </c>
      <c r="D25" s="466"/>
      <c r="E25" s="466">
        <f>+E23</f>
        <v>4.6900000000000004</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U65"/>
  <sheetViews>
    <sheetView zoomScale="80" zoomScaleNormal="80" workbookViewId="0">
      <selection activeCell="G33" sqref="G33"/>
    </sheetView>
  </sheetViews>
  <sheetFormatPr baseColWidth="10" defaultRowHeight="14.4" x14ac:dyDescent="0.3"/>
  <cols>
    <col min="2" max="2" width="47.33203125" customWidth="1"/>
    <col min="3" max="3" width="12.33203125" customWidth="1"/>
    <col min="4" max="4" width="13.5546875" style="614" customWidth="1"/>
    <col min="5" max="5" width="15.109375" hidden="1" customWidth="1"/>
    <col min="6" max="6" width="13.44140625" customWidth="1"/>
    <col min="7" max="8" width="14" customWidth="1"/>
    <col min="9" max="9" width="17.33203125" hidden="1" customWidth="1"/>
    <col min="10" max="10" width="17.33203125" style="614" customWidth="1"/>
    <col min="11" max="11" width="16.5546875" hidden="1" customWidth="1"/>
    <col min="12" max="12" width="15" style="614" customWidth="1"/>
    <col min="13" max="13" width="17.21875" hidden="1" customWidth="1"/>
    <col min="14" max="14" width="16.44140625" customWidth="1"/>
    <col min="15" max="15" width="15.33203125" customWidth="1"/>
  </cols>
  <sheetData>
    <row r="1" spans="1:14" x14ac:dyDescent="0.3">
      <c r="A1" s="132"/>
      <c r="B1" s="132" t="str">
        <f>+AMAZONAS!C1</f>
        <v>Vigencia: 16 de Julio de 2022; 00:00 horas</v>
      </c>
    </row>
    <row r="2" spans="1:14" ht="15" thickBot="1" x14ac:dyDescent="0.35">
      <c r="A2" s="159" t="s">
        <v>179</v>
      </c>
      <c r="B2" s="159"/>
    </row>
    <row r="3" spans="1:14" ht="15.9" customHeight="1" thickTop="1" x14ac:dyDescent="0.3">
      <c r="A3" s="187"/>
      <c r="B3" s="188" t="s">
        <v>498</v>
      </c>
      <c r="C3" s="916" t="s">
        <v>180</v>
      </c>
      <c r="D3" s="917"/>
      <c r="E3" s="917"/>
      <c r="F3" s="917"/>
      <c r="G3" s="917"/>
      <c r="H3" s="918"/>
      <c r="I3" s="922" t="s">
        <v>249</v>
      </c>
      <c r="J3" s="923"/>
      <c r="K3" s="923"/>
      <c r="L3" s="923"/>
      <c r="M3" s="923"/>
      <c r="N3" s="923"/>
    </row>
    <row r="4" spans="1:14" ht="24.45" customHeight="1" x14ac:dyDescent="0.3">
      <c r="A4" s="134"/>
      <c r="B4" s="681" t="s">
        <v>500</v>
      </c>
      <c r="C4" s="919"/>
      <c r="D4" s="920"/>
      <c r="E4" s="920"/>
      <c r="F4" s="920"/>
      <c r="G4" s="920"/>
      <c r="H4" s="921"/>
      <c r="I4" s="924"/>
      <c r="J4" s="925"/>
      <c r="K4" s="925"/>
      <c r="L4" s="925"/>
      <c r="M4" s="925"/>
      <c r="N4" s="925"/>
    </row>
    <row r="5" spans="1:14" ht="29.4" customHeight="1" x14ac:dyDescent="0.3">
      <c r="A5" s="895" t="s">
        <v>181</v>
      </c>
      <c r="B5" s="897" t="s">
        <v>182</v>
      </c>
      <c r="C5" s="901" t="s">
        <v>240</v>
      </c>
      <c r="D5" s="769" t="s">
        <v>96</v>
      </c>
      <c r="E5" s="589" t="s">
        <v>96</v>
      </c>
      <c r="F5" s="328" t="s">
        <v>511</v>
      </c>
      <c r="G5" s="328" t="s">
        <v>392</v>
      </c>
      <c r="H5" s="328" t="s">
        <v>397</v>
      </c>
      <c r="I5" s="328" t="s">
        <v>96</v>
      </c>
      <c r="J5" s="769" t="s">
        <v>96</v>
      </c>
      <c r="K5" s="589" t="s">
        <v>96</v>
      </c>
      <c r="L5" s="694" t="s">
        <v>511</v>
      </c>
      <c r="M5" s="326" t="str">
        <f>+G5</f>
        <v>Biodiesel B2</v>
      </c>
      <c r="N5" s="689" t="s">
        <v>397</v>
      </c>
    </row>
    <row r="6" spans="1:14" ht="20.399999999999999" customHeight="1" x14ac:dyDescent="0.3">
      <c r="A6" s="895"/>
      <c r="B6" s="897"/>
      <c r="C6" s="902"/>
      <c r="D6" s="545" t="s">
        <v>514</v>
      </c>
      <c r="E6" s="545" t="s">
        <v>477</v>
      </c>
      <c r="F6" s="695">
        <v>0.1</v>
      </c>
      <c r="G6" s="182">
        <v>0.02</v>
      </c>
      <c r="H6" s="384">
        <v>0.1</v>
      </c>
      <c r="I6" s="525">
        <f>+F6</f>
        <v>0.1</v>
      </c>
      <c r="J6" s="545" t="s">
        <v>514</v>
      </c>
      <c r="K6" s="545" t="s">
        <v>477</v>
      </c>
      <c r="L6" s="695">
        <v>0.1</v>
      </c>
      <c r="M6" s="165">
        <f>+G6</f>
        <v>0.02</v>
      </c>
      <c r="N6" s="384">
        <v>0.1</v>
      </c>
    </row>
    <row r="7" spans="1:14" x14ac:dyDescent="0.3">
      <c r="A7" s="896"/>
      <c r="B7" s="898"/>
      <c r="C7" s="327" t="s">
        <v>183</v>
      </c>
      <c r="D7" s="769" t="s">
        <v>183</v>
      </c>
      <c r="E7" s="589" t="s">
        <v>183</v>
      </c>
      <c r="F7" s="328" t="s">
        <v>183</v>
      </c>
      <c r="G7" s="328" t="s">
        <v>183</v>
      </c>
      <c r="H7" s="328" t="s">
        <v>183</v>
      </c>
      <c r="I7" s="327" t="s">
        <v>183</v>
      </c>
      <c r="J7" s="768" t="s">
        <v>183</v>
      </c>
      <c r="K7" s="588" t="s">
        <v>183</v>
      </c>
      <c r="L7" s="694" t="s">
        <v>183</v>
      </c>
      <c r="M7" s="326" t="s">
        <v>183</v>
      </c>
      <c r="N7" s="689" t="s">
        <v>183</v>
      </c>
    </row>
    <row r="8" spans="1:14" x14ac:dyDescent="0.3">
      <c r="A8" s="137" t="s">
        <v>184</v>
      </c>
      <c r="B8" s="143" t="s">
        <v>185</v>
      </c>
      <c r="C8" s="204">
        <f>+'Calculo IP ZDF'!B40</f>
        <v>4732.5491200000006</v>
      </c>
      <c r="D8" s="204">
        <f>+'Calculo IP ZDF'!G40</f>
        <v>5065.1755552000004</v>
      </c>
      <c r="E8" s="204">
        <f>+'Calculo IP ZDF'!H40</f>
        <v>5148.3321640000004</v>
      </c>
      <c r="F8" s="204">
        <f>+'Calculo IP ZDF'!J40</f>
        <v>5564.1152080000002</v>
      </c>
      <c r="G8" s="212">
        <f>+'Calculo IP ZDF'!F40</f>
        <v>3173.7881989999996</v>
      </c>
      <c r="H8" s="211">
        <f>+'Calculo IP ZDF'!L40</f>
        <v>4800.3107950000003</v>
      </c>
      <c r="I8" s="607">
        <f>+'GAS CTE'!E9</f>
        <v>5463.9705000000004</v>
      </c>
      <c r="J8" s="189">
        <f>+'GAS CTE'!D9</f>
        <v>5384.1363999999994</v>
      </c>
      <c r="K8" s="189">
        <f>+'GAS CTE'!E9</f>
        <v>5463.9705000000004</v>
      </c>
      <c r="L8" s="189">
        <f>+'GAS CTE'!H9</f>
        <v>5863.1410000000005</v>
      </c>
      <c r="M8" s="211">
        <f>+BIODIESEL!G9</f>
        <v>5268.8620000000001</v>
      </c>
      <c r="N8" s="211">
        <f>+BIODIESEL!H9</f>
        <v>6207.2739999999994</v>
      </c>
    </row>
    <row r="9" spans="1:14" x14ac:dyDescent="0.3">
      <c r="A9" s="137" t="s">
        <v>186</v>
      </c>
      <c r="B9" s="143" t="s">
        <v>187</v>
      </c>
      <c r="C9" s="190" t="str">
        <f t="shared" ref="C9" si="0">+F9</f>
        <v>------------------</v>
      </c>
      <c r="D9" s="606" t="s">
        <v>188</v>
      </c>
      <c r="E9" s="606" t="s">
        <v>188</v>
      </c>
      <c r="F9" s="606" t="s">
        <v>188</v>
      </c>
      <c r="G9" s="191" t="s">
        <v>188</v>
      </c>
      <c r="H9" s="142" t="s">
        <v>188</v>
      </c>
      <c r="I9" s="607">
        <f>+'GAS CTE'!E10</f>
        <v>556.9375</v>
      </c>
      <c r="J9" s="189">
        <f>+'GAS CTE'!D10</f>
        <v>562.79999999999995</v>
      </c>
      <c r="K9" s="189">
        <f>+'GAS CTE'!E10</f>
        <v>556.9375</v>
      </c>
      <c r="L9" s="189">
        <f>+'GAS CTE'!H10</f>
        <v>501.24375000000003</v>
      </c>
      <c r="M9" s="798">
        <f>+BIODIESEL!G10</f>
        <v>533.06399999999996</v>
      </c>
      <c r="N9" s="798">
        <f>+BIODIESEL!H10</f>
        <v>505.00800000000004</v>
      </c>
    </row>
    <row r="10" spans="1:14" x14ac:dyDescent="0.3">
      <c r="A10" s="137"/>
      <c r="B10" s="143" t="s">
        <v>132</v>
      </c>
      <c r="C10" s="190" t="str">
        <f>+F10</f>
        <v>------------------</v>
      </c>
      <c r="D10" s="606" t="s">
        <v>188</v>
      </c>
      <c r="E10" s="606" t="s">
        <v>188</v>
      </c>
      <c r="F10" s="606" t="s">
        <v>188</v>
      </c>
      <c r="G10" s="191" t="s">
        <v>188</v>
      </c>
      <c r="H10" s="142" t="s">
        <v>188</v>
      </c>
      <c r="I10" s="608" t="str">
        <f>+COMBUSTIBLES!B12</f>
        <v>(3)</v>
      </c>
      <c r="J10" s="205" t="s">
        <v>133</v>
      </c>
      <c r="K10" s="205" t="s">
        <v>133</v>
      </c>
      <c r="L10" s="205" t="s">
        <v>133</v>
      </c>
      <c r="M10" s="798" t="str">
        <f>+BIODIESEL!H11</f>
        <v>(3)</v>
      </c>
      <c r="N10" s="798" t="str">
        <f>+BIODIESEL!I11</f>
        <v>(3)</v>
      </c>
    </row>
    <row r="11" spans="1:14" x14ac:dyDescent="0.3">
      <c r="A11" s="137"/>
      <c r="B11" s="143" t="s">
        <v>134</v>
      </c>
      <c r="C11" s="190" t="s">
        <v>218</v>
      </c>
      <c r="D11" s="190" t="s">
        <v>218</v>
      </c>
      <c r="E11" s="190" t="s">
        <v>218</v>
      </c>
      <c r="F11" s="261" t="str">
        <f>+C11</f>
        <v>(4)</v>
      </c>
      <c r="G11" s="191" t="str">
        <f>+C11</f>
        <v>(4)</v>
      </c>
      <c r="H11" s="142" t="str">
        <f>+C11</f>
        <v>(4)</v>
      </c>
      <c r="I11" s="607" t="str">
        <f>+C11</f>
        <v>(4)</v>
      </c>
      <c r="J11" s="189" t="s">
        <v>218</v>
      </c>
      <c r="K11" s="189" t="str">
        <f>+C11</f>
        <v>(4)</v>
      </c>
      <c r="L11" s="189" t="str">
        <f>+E11</f>
        <v>(4)</v>
      </c>
      <c r="M11" s="211" t="str">
        <f>+C11</f>
        <v>(4)</v>
      </c>
      <c r="N11" s="211" t="str">
        <f>+E11</f>
        <v>(4)</v>
      </c>
    </row>
    <row r="12" spans="1:14" x14ac:dyDescent="0.3">
      <c r="A12" s="137" t="s">
        <v>189</v>
      </c>
      <c r="B12" s="143" t="s">
        <v>286</v>
      </c>
      <c r="C12" s="190" t="s">
        <v>217</v>
      </c>
      <c r="D12" s="190" t="s">
        <v>217</v>
      </c>
      <c r="E12" s="190" t="s">
        <v>217</v>
      </c>
      <c r="F12" s="261" t="s">
        <v>217</v>
      </c>
      <c r="G12" s="141" t="s">
        <v>217</v>
      </c>
      <c r="H12" s="142" t="s">
        <v>217</v>
      </c>
      <c r="I12" s="607" t="str">
        <f>+H12</f>
        <v>(2)</v>
      </c>
      <c r="J12" s="189" t="s">
        <v>217</v>
      </c>
      <c r="K12" s="189" t="str">
        <f>+C12</f>
        <v>(2)</v>
      </c>
      <c r="L12" s="189" t="str">
        <f>+E12</f>
        <v>(2)</v>
      </c>
      <c r="M12" s="211" t="s">
        <v>217</v>
      </c>
      <c r="N12" s="211" t="s">
        <v>217</v>
      </c>
    </row>
    <row r="13" spans="1:14" x14ac:dyDescent="0.3">
      <c r="A13" s="137" t="s">
        <v>191</v>
      </c>
      <c r="B13" s="143" t="s">
        <v>192</v>
      </c>
      <c r="C13" s="190">
        <f>+RUBROS!AC20</f>
        <v>10.866833607342301</v>
      </c>
      <c r="D13" s="190">
        <f>+C13</f>
        <v>10.866833607342301</v>
      </c>
      <c r="E13" s="190">
        <f>+C13</f>
        <v>10.866833607342301</v>
      </c>
      <c r="F13" s="261">
        <f>+C13</f>
        <v>10.866833607342301</v>
      </c>
      <c r="G13" s="141">
        <f>+F13</f>
        <v>10.866833607342301</v>
      </c>
      <c r="H13" s="142">
        <f>+G13</f>
        <v>10.866833607342301</v>
      </c>
      <c r="I13" s="607">
        <f>+RUBROS!AA20</f>
        <v>22.249601678692599</v>
      </c>
      <c r="J13" s="189">
        <f>+RUBROS!$AD$20</f>
        <v>23.500029293035123</v>
      </c>
      <c r="K13" s="189">
        <f>+RUBROS!$AD$20</f>
        <v>23.500029293035123</v>
      </c>
      <c r="L13" s="189">
        <f>+RUBROS!$AD$20</f>
        <v>23.500029293035123</v>
      </c>
      <c r="M13" s="211">
        <f>+RUBROS!$AD$20</f>
        <v>23.500029293035123</v>
      </c>
      <c r="N13" s="211">
        <f>+RUBROS!$AD$20</f>
        <v>23.500029293035123</v>
      </c>
    </row>
    <row r="14" spans="1:14" x14ac:dyDescent="0.3">
      <c r="A14" s="137" t="s">
        <v>195</v>
      </c>
      <c r="B14" s="209" t="s">
        <v>196</v>
      </c>
      <c r="C14" s="190">
        <f>+RUBROS!AU31</f>
        <v>13.326421256197724</v>
      </c>
      <c r="D14" s="190">
        <f>+C14</f>
        <v>13.326421256197724</v>
      </c>
      <c r="E14" s="190">
        <f>+C14</f>
        <v>13.326421256197724</v>
      </c>
      <c r="F14" s="261">
        <f>+C14</f>
        <v>13.326421256197724</v>
      </c>
      <c r="G14" s="192">
        <f>+C14</f>
        <v>13.326421256197724</v>
      </c>
      <c r="H14" s="142">
        <f>+C14</f>
        <v>13.326421256197724</v>
      </c>
      <c r="I14" s="607">
        <f>+C14</f>
        <v>13.326421256197724</v>
      </c>
      <c r="J14" s="189">
        <f>+RUBROS!$AU$31</f>
        <v>13.326421256197724</v>
      </c>
      <c r="K14" s="189">
        <f>+RUBROS!$AU$31</f>
        <v>13.326421256197724</v>
      </c>
      <c r="L14" s="189">
        <f>+RUBROS!$AU$31</f>
        <v>13.326421256197724</v>
      </c>
      <c r="M14" s="189">
        <f>+RUBROS!$AU$31</f>
        <v>13.326421256197724</v>
      </c>
      <c r="N14" s="189">
        <f>+RUBROS!$AU$31</f>
        <v>13.326421256197724</v>
      </c>
    </row>
    <row r="15" spans="1:14" hidden="1" x14ac:dyDescent="0.3">
      <c r="A15" s="137"/>
      <c r="B15" s="143" t="s">
        <v>197</v>
      </c>
      <c r="C15" s="190"/>
      <c r="D15" s="590"/>
      <c r="E15" s="590"/>
      <c r="F15" s="590"/>
      <c r="G15" s="194"/>
      <c r="H15" s="140"/>
      <c r="I15" s="607"/>
      <c r="J15" s="771"/>
      <c r="K15" s="593"/>
      <c r="L15" s="593"/>
      <c r="M15" s="216"/>
      <c r="N15" s="216"/>
    </row>
    <row r="16" spans="1:14" x14ac:dyDescent="0.3">
      <c r="A16" s="144" t="s">
        <v>198</v>
      </c>
      <c r="B16" s="173" t="s">
        <v>199</v>
      </c>
      <c r="C16" s="604">
        <f>SUM(C8:C15)</f>
        <v>4756.742374863541</v>
      </c>
      <c r="D16" s="604">
        <f>SUM(D8:D15)</f>
        <v>5089.3688100635409</v>
      </c>
      <c r="E16" s="604">
        <f>SUM(E8:E15)</f>
        <v>5172.5254188635408</v>
      </c>
      <c r="F16" s="604">
        <f t="shared" ref="F16:M16" si="1">SUM(F8:F15)</f>
        <v>5588.3084628635406</v>
      </c>
      <c r="G16" s="603">
        <f t="shared" si="1"/>
        <v>3197.9814538635396</v>
      </c>
      <c r="H16" s="758">
        <f t="shared" si="1"/>
        <v>4824.5040498635408</v>
      </c>
      <c r="I16" s="602">
        <f t="shared" si="1"/>
        <v>6056.4840229348911</v>
      </c>
      <c r="J16" s="602">
        <f t="shared" si="1"/>
        <v>5983.762850549233</v>
      </c>
      <c r="K16" s="602">
        <f t="shared" si="1"/>
        <v>6057.7344505492338</v>
      </c>
      <c r="L16" s="602">
        <f t="shared" ref="L16" si="2">SUM(L8:L15)</f>
        <v>6401.2112005492336</v>
      </c>
      <c r="M16" s="759">
        <f t="shared" si="1"/>
        <v>5838.7524505492338</v>
      </c>
      <c r="N16" s="759">
        <f t="shared" ref="N16" si="3">SUM(N8:N15)</f>
        <v>6749.1084505492327</v>
      </c>
    </row>
    <row r="17" spans="1:16" x14ac:dyDescent="0.3">
      <c r="A17" s="137" t="s">
        <v>200</v>
      </c>
      <c r="B17" s="143" t="s">
        <v>201</v>
      </c>
      <c r="C17" s="190" t="s">
        <v>231</v>
      </c>
      <c r="D17" s="190" t="s">
        <v>231</v>
      </c>
      <c r="E17" s="591" t="s">
        <v>231</v>
      </c>
      <c r="F17" s="591" t="str">
        <f>+C17</f>
        <v>***</v>
      </c>
      <c r="G17" s="199" t="str">
        <f>+C17</f>
        <v>***</v>
      </c>
      <c r="H17" s="140" t="str">
        <f>+C17</f>
        <v>***</v>
      </c>
      <c r="I17" s="607" t="str">
        <f>+M17</f>
        <v>***</v>
      </c>
      <c r="J17" s="594" t="s">
        <v>231</v>
      </c>
      <c r="K17" s="594" t="s">
        <v>231</v>
      </c>
      <c r="L17" s="594" t="s">
        <v>231</v>
      </c>
      <c r="M17" s="218" t="s">
        <v>231</v>
      </c>
      <c r="N17" s="218" t="s">
        <v>231</v>
      </c>
    </row>
    <row r="18" spans="1:16" x14ac:dyDescent="0.3">
      <c r="A18" s="137" t="s">
        <v>202</v>
      </c>
      <c r="B18" s="143" t="s">
        <v>203</v>
      </c>
      <c r="C18" s="190" t="str">
        <f>+F18</f>
        <v>**</v>
      </c>
      <c r="D18" s="190" t="str">
        <f>+G18</f>
        <v>**</v>
      </c>
      <c r="E18" s="190" t="s">
        <v>229</v>
      </c>
      <c r="F18" s="190" t="s">
        <v>229</v>
      </c>
      <c r="G18" s="200" t="s">
        <v>229</v>
      </c>
      <c r="H18" s="140" t="s">
        <v>229</v>
      </c>
      <c r="I18" s="607" t="str">
        <f>+M18</f>
        <v>**</v>
      </c>
      <c r="J18" s="192" t="s">
        <v>229</v>
      </c>
      <c r="K18" s="192" t="s">
        <v>229</v>
      </c>
      <c r="L18" s="192" t="s">
        <v>229</v>
      </c>
      <c r="M18" s="211" t="s">
        <v>229</v>
      </c>
      <c r="N18" s="211" t="s">
        <v>229</v>
      </c>
    </row>
    <row r="19" spans="1:16" x14ac:dyDescent="0.3">
      <c r="A19" s="137" t="s">
        <v>204</v>
      </c>
      <c r="B19" s="143" t="s">
        <v>205</v>
      </c>
      <c r="C19" s="190" t="str">
        <f>+F19</f>
        <v>****</v>
      </c>
      <c r="D19" s="190" t="str">
        <f>+G19</f>
        <v>****</v>
      </c>
      <c r="E19" s="190" t="s">
        <v>233</v>
      </c>
      <c r="F19" s="190" t="s">
        <v>233</v>
      </c>
      <c r="G19" s="141" t="str">
        <f>+F19</f>
        <v>****</v>
      </c>
      <c r="H19" s="140" t="str">
        <f>+G19</f>
        <v>****</v>
      </c>
      <c r="I19" s="607" t="str">
        <f>+H19</f>
        <v>****</v>
      </c>
      <c r="J19" s="192" t="s">
        <v>233</v>
      </c>
      <c r="K19" s="192" t="s">
        <v>233</v>
      </c>
      <c r="L19" s="192" t="s">
        <v>233</v>
      </c>
      <c r="M19" s="214" t="str">
        <f>+H19</f>
        <v>****</v>
      </c>
      <c r="N19" s="214" t="str">
        <f>+I19</f>
        <v>****</v>
      </c>
    </row>
    <row r="20" spans="1:16" x14ac:dyDescent="0.3">
      <c r="A20" s="144" t="s">
        <v>206</v>
      </c>
      <c r="B20" s="173" t="s">
        <v>207</v>
      </c>
      <c r="C20" s="604">
        <f t="shared" ref="C20:M20" si="4">+C16</f>
        <v>4756.742374863541</v>
      </c>
      <c r="D20" s="604">
        <f t="shared" ref="D20" si="5">+D16</f>
        <v>5089.3688100635409</v>
      </c>
      <c r="E20" s="604">
        <f t="shared" si="4"/>
        <v>5172.5254188635408</v>
      </c>
      <c r="F20" s="604">
        <f t="shared" si="4"/>
        <v>5588.3084628635406</v>
      </c>
      <c r="G20" s="604">
        <f t="shared" si="4"/>
        <v>3197.9814538635396</v>
      </c>
      <c r="H20" s="760">
        <f t="shared" si="4"/>
        <v>4824.5040498635408</v>
      </c>
      <c r="I20" s="604">
        <f t="shared" si="4"/>
        <v>6056.4840229348911</v>
      </c>
      <c r="J20" s="604">
        <f t="shared" ref="J20" si="6">+J16</f>
        <v>5983.762850549233</v>
      </c>
      <c r="K20" s="604">
        <f t="shared" si="4"/>
        <v>6057.7344505492338</v>
      </c>
      <c r="L20" s="604">
        <f t="shared" ref="L20" si="7">+L16</f>
        <v>6401.2112005492336</v>
      </c>
      <c r="M20" s="760">
        <f t="shared" si="4"/>
        <v>5838.7524505492338</v>
      </c>
      <c r="N20" s="760">
        <f t="shared" ref="N20" si="8">+N16</f>
        <v>6749.1084505492327</v>
      </c>
      <c r="P20" s="19"/>
    </row>
    <row r="21" spans="1:16" x14ac:dyDescent="0.3">
      <c r="A21" s="137" t="s">
        <v>208</v>
      </c>
      <c r="B21" s="143" t="s">
        <v>160</v>
      </c>
      <c r="C21" s="190" t="s">
        <v>231</v>
      </c>
      <c r="D21" s="190" t="s">
        <v>231</v>
      </c>
      <c r="E21" s="190" t="s">
        <v>231</v>
      </c>
      <c r="F21" s="190" t="str">
        <f>+C21</f>
        <v>***</v>
      </c>
      <c r="G21" s="141" t="str">
        <f>+F21</f>
        <v>***</v>
      </c>
      <c r="H21" s="140" t="str">
        <f>+G21</f>
        <v>***</v>
      </c>
      <c r="I21" s="607" t="str">
        <f>+F21</f>
        <v>***</v>
      </c>
      <c r="J21" s="192" t="str">
        <f t="shared" ref="J21:L23" si="9">+D21</f>
        <v>***</v>
      </c>
      <c r="K21" s="192" t="str">
        <f t="shared" si="9"/>
        <v>***</v>
      </c>
      <c r="L21" s="192" t="str">
        <f t="shared" si="9"/>
        <v>***</v>
      </c>
      <c r="M21" s="214" t="s">
        <v>231</v>
      </c>
      <c r="N21" s="214" t="s">
        <v>231</v>
      </c>
    </row>
    <row r="22" spans="1:16" x14ac:dyDescent="0.3">
      <c r="A22" s="137" t="s">
        <v>209</v>
      </c>
      <c r="B22" s="138" t="s">
        <v>210</v>
      </c>
      <c r="C22" s="190" t="str">
        <f>+F22</f>
        <v>*****</v>
      </c>
      <c r="D22" s="190" t="str">
        <f>+G22</f>
        <v>N.A.</v>
      </c>
      <c r="E22" s="190" t="s">
        <v>235</v>
      </c>
      <c r="F22" s="190" t="s">
        <v>235</v>
      </c>
      <c r="G22" s="141" t="s">
        <v>253</v>
      </c>
      <c r="H22" s="140" t="s">
        <v>211</v>
      </c>
      <c r="I22" s="607" t="str">
        <f>+F22</f>
        <v>*****</v>
      </c>
      <c r="J22" s="192" t="str">
        <f t="shared" si="9"/>
        <v>N.A.</v>
      </c>
      <c r="K22" s="192" t="str">
        <f t="shared" si="9"/>
        <v>*****</v>
      </c>
      <c r="L22" s="192" t="str">
        <f t="shared" si="9"/>
        <v>*****</v>
      </c>
      <c r="M22" s="214" t="s">
        <v>254</v>
      </c>
      <c r="N22" s="214" t="s">
        <v>254</v>
      </c>
    </row>
    <row r="23" spans="1:16" x14ac:dyDescent="0.3">
      <c r="A23" s="137" t="s">
        <v>212</v>
      </c>
      <c r="B23" s="143" t="s">
        <v>290</v>
      </c>
      <c r="C23" s="190" t="str">
        <f>+F23</f>
        <v>******</v>
      </c>
      <c r="D23" s="190" t="str">
        <f>+G23</f>
        <v>******</v>
      </c>
      <c r="E23" s="190" t="s">
        <v>236</v>
      </c>
      <c r="F23" s="190" t="s">
        <v>236</v>
      </c>
      <c r="G23" s="200" t="str">
        <f>+F23</f>
        <v>******</v>
      </c>
      <c r="H23" s="142" t="str">
        <f>+G23</f>
        <v>******</v>
      </c>
      <c r="I23" s="607" t="str">
        <f>+H23</f>
        <v>******</v>
      </c>
      <c r="J23" s="192" t="str">
        <f t="shared" si="9"/>
        <v>******</v>
      </c>
      <c r="K23" s="192" t="str">
        <f t="shared" si="9"/>
        <v>******</v>
      </c>
      <c r="L23" s="192" t="str">
        <f t="shared" si="9"/>
        <v>******</v>
      </c>
      <c r="M23" s="211" t="str">
        <f>+I23</f>
        <v>******</v>
      </c>
      <c r="N23" s="211" t="str">
        <f>+K23</f>
        <v>******</v>
      </c>
    </row>
    <row r="24" spans="1:16" ht="15" thickBot="1" x14ac:dyDescent="0.35">
      <c r="A24" s="148" t="s">
        <v>214</v>
      </c>
      <c r="B24" s="149" t="s">
        <v>215</v>
      </c>
      <c r="C24" s="201"/>
      <c r="D24" s="201"/>
      <c r="E24" s="201"/>
      <c r="F24" s="605"/>
      <c r="G24" s="202"/>
      <c r="H24" s="151"/>
      <c r="I24" s="202"/>
      <c r="J24" s="202"/>
      <c r="K24" s="202"/>
      <c r="L24" s="202"/>
      <c r="M24" s="219"/>
      <c r="N24" s="219"/>
    </row>
    <row r="25" spans="1:16" ht="15" thickTop="1" x14ac:dyDescent="0.3"/>
    <row r="26" spans="1:16" ht="15" thickBot="1" x14ac:dyDescent="0.35"/>
    <row r="27" spans="1:16" ht="15" thickTop="1" x14ac:dyDescent="0.3">
      <c r="A27" s="187"/>
      <c r="B27" s="188" t="s">
        <v>481</v>
      </c>
      <c r="C27" s="916" t="s">
        <v>180</v>
      </c>
      <c r="D27" s="917"/>
      <c r="E27" s="917"/>
      <c r="F27" s="917"/>
      <c r="G27" s="917"/>
      <c r="H27" s="918"/>
      <c r="I27" s="922" t="s">
        <v>249</v>
      </c>
      <c r="J27" s="923"/>
      <c r="K27" s="923"/>
      <c r="L27" s="923"/>
      <c r="M27" s="923"/>
      <c r="N27" s="923"/>
    </row>
    <row r="28" spans="1:16" ht="27.6" x14ac:dyDescent="0.3">
      <c r="A28" s="134"/>
      <c r="B28" s="681" t="s">
        <v>500</v>
      </c>
      <c r="C28" s="919"/>
      <c r="D28" s="920"/>
      <c r="E28" s="920"/>
      <c r="F28" s="920"/>
      <c r="G28" s="920"/>
      <c r="H28" s="921"/>
      <c r="I28" s="924"/>
      <c r="J28" s="925"/>
      <c r="K28" s="925"/>
      <c r="L28" s="925"/>
      <c r="M28" s="925"/>
      <c r="N28" s="925"/>
    </row>
    <row r="29" spans="1:16" ht="27.6" x14ac:dyDescent="0.3">
      <c r="A29" s="895" t="s">
        <v>181</v>
      </c>
      <c r="B29" s="897" t="s">
        <v>182</v>
      </c>
      <c r="C29" s="901" t="s">
        <v>240</v>
      </c>
      <c r="D29" s="769" t="s">
        <v>96</v>
      </c>
      <c r="E29" s="589" t="s">
        <v>96</v>
      </c>
      <c r="F29" s="694" t="s">
        <v>511</v>
      </c>
      <c r="G29" s="801" t="s">
        <v>392</v>
      </c>
      <c r="H29" s="689" t="s">
        <v>397</v>
      </c>
      <c r="I29" s="328" t="s">
        <v>96</v>
      </c>
      <c r="J29" s="769" t="s">
        <v>96</v>
      </c>
      <c r="K29" s="589" t="s">
        <v>96</v>
      </c>
      <c r="L29" s="694" t="s">
        <v>511</v>
      </c>
      <c r="M29" s="326" t="str">
        <f>+G29</f>
        <v>Biodiesel B2</v>
      </c>
      <c r="N29" s="689" t="s">
        <v>397</v>
      </c>
    </row>
    <row r="30" spans="1:16" ht="18" customHeight="1" x14ac:dyDescent="0.3">
      <c r="A30" s="895"/>
      <c r="B30" s="897"/>
      <c r="C30" s="902"/>
      <c r="D30" s="545" t="s">
        <v>514</v>
      </c>
      <c r="E30" s="545" t="s">
        <v>477</v>
      </c>
      <c r="F30" s="695">
        <v>0.1</v>
      </c>
      <c r="G30" s="182">
        <v>0.02</v>
      </c>
      <c r="H30" s="384">
        <v>0.1</v>
      </c>
      <c r="I30" s="525">
        <f>+F30</f>
        <v>0.1</v>
      </c>
      <c r="J30" s="545" t="s">
        <v>514</v>
      </c>
      <c r="K30" s="545" t="s">
        <v>477</v>
      </c>
      <c r="L30" s="695">
        <v>0.1</v>
      </c>
      <c r="M30" s="165">
        <f>+G30</f>
        <v>0.02</v>
      </c>
      <c r="N30" s="384">
        <v>0.1</v>
      </c>
    </row>
    <row r="31" spans="1:16" x14ac:dyDescent="0.3">
      <c r="A31" s="896"/>
      <c r="B31" s="898"/>
      <c r="C31" s="327" t="s">
        <v>183</v>
      </c>
      <c r="D31" s="769" t="s">
        <v>183</v>
      </c>
      <c r="E31" s="589" t="s">
        <v>183</v>
      </c>
      <c r="F31" s="694" t="s">
        <v>183</v>
      </c>
      <c r="G31" s="328" t="s">
        <v>183</v>
      </c>
      <c r="H31" s="689" t="s">
        <v>183</v>
      </c>
      <c r="I31" s="327" t="s">
        <v>183</v>
      </c>
      <c r="J31" s="768" t="s">
        <v>183</v>
      </c>
      <c r="K31" s="589" t="s">
        <v>183</v>
      </c>
      <c r="L31" s="694" t="s">
        <v>183</v>
      </c>
      <c r="M31" s="326" t="s">
        <v>183</v>
      </c>
      <c r="N31" s="689" t="s">
        <v>183</v>
      </c>
    </row>
    <row r="32" spans="1:16" x14ac:dyDescent="0.3">
      <c r="A32" s="137" t="s">
        <v>184</v>
      </c>
      <c r="B32" s="143" t="s">
        <v>185</v>
      </c>
      <c r="C32" s="204">
        <f>+'Calculo IP ZDF'!B41</f>
        <v>4830.8062399999999</v>
      </c>
      <c r="D32" s="204">
        <f>+'Calculo IP ZDF'!G41</f>
        <v>5159.5023903999991</v>
      </c>
      <c r="E32" s="204">
        <f>+'Calculo IP ZDF'!H41</f>
        <v>5241.6764279999998</v>
      </c>
      <c r="F32" s="204">
        <f>+'Calculo IP ZDF'!J41</f>
        <v>5652.5466159999996</v>
      </c>
      <c r="G32" s="212">
        <f>+'Calculo IP ZDF'!F41</f>
        <v>3336.3238000000001</v>
      </c>
      <c r="H32" s="211">
        <f>+'Calculo IP ZDF'!L41</f>
        <v>4949.5814065000004</v>
      </c>
      <c r="I32" s="189">
        <f>+'GAS CTE'!E9</f>
        <v>5463.9705000000004</v>
      </c>
      <c r="J32" s="189">
        <f>+'GAS CTE'!D9</f>
        <v>5384.1363999999994</v>
      </c>
      <c r="K32" s="189">
        <f>+'GAS CTE'!E9</f>
        <v>5463.9705000000004</v>
      </c>
      <c r="L32" s="211">
        <f>+L8</f>
        <v>5863.1410000000005</v>
      </c>
      <c r="M32" s="211">
        <f>+M8</f>
        <v>5268.8620000000001</v>
      </c>
      <c r="N32" s="211">
        <f>+N8</f>
        <v>6207.2739999999994</v>
      </c>
    </row>
    <row r="33" spans="1:14" x14ac:dyDescent="0.3">
      <c r="A33" s="137" t="s">
        <v>186</v>
      </c>
      <c r="B33" s="143" t="s">
        <v>187</v>
      </c>
      <c r="C33" s="204" t="str">
        <f t="shared" ref="C33:M39" si="10">+C9</f>
        <v>------------------</v>
      </c>
      <c r="D33" s="204" t="s">
        <v>188</v>
      </c>
      <c r="E33" s="204" t="str">
        <f t="shared" ref="E33" si="11">+E9</f>
        <v>------------------</v>
      </c>
      <c r="F33" s="204" t="str">
        <f t="shared" si="10"/>
        <v>------------------</v>
      </c>
      <c r="G33" s="212" t="s">
        <v>188</v>
      </c>
      <c r="H33" s="211" t="s">
        <v>188</v>
      </c>
      <c r="I33" s="189">
        <f>+'GAS CTE'!E10</f>
        <v>556.9375</v>
      </c>
      <c r="J33" s="189">
        <f>+'GAS CTE'!D10</f>
        <v>562.79999999999995</v>
      </c>
      <c r="K33" s="189">
        <f>+'GAS CTE'!E10</f>
        <v>556.9375</v>
      </c>
      <c r="L33" s="211">
        <f>+L9</f>
        <v>501.24375000000003</v>
      </c>
      <c r="M33" s="211">
        <f t="shared" si="10"/>
        <v>533.06399999999996</v>
      </c>
      <c r="N33" s="211">
        <f t="shared" ref="N33" si="12">+N9</f>
        <v>505.00800000000004</v>
      </c>
    </row>
    <row r="34" spans="1:14" x14ac:dyDescent="0.3">
      <c r="A34" s="137"/>
      <c r="B34" s="143" t="s">
        <v>132</v>
      </c>
      <c r="C34" s="204" t="str">
        <f t="shared" si="10"/>
        <v>------------------</v>
      </c>
      <c r="D34" s="204" t="s">
        <v>188</v>
      </c>
      <c r="E34" s="204" t="str">
        <f t="shared" ref="E34" si="13">+E10</f>
        <v>------------------</v>
      </c>
      <c r="F34" s="204" t="str">
        <f t="shared" si="10"/>
        <v>------------------</v>
      </c>
      <c r="G34" s="212" t="s">
        <v>188</v>
      </c>
      <c r="H34" s="211" t="s">
        <v>188</v>
      </c>
      <c r="I34" s="189" t="str">
        <f t="shared" si="10"/>
        <v>(3)</v>
      </c>
      <c r="J34" s="211" t="str">
        <f t="shared" si="10"/>
        <v>(3)</v>
      </c>
      <c r="K34" s="211" t="str">
        <f t="shared" ref="K34:L34" si="14">+K10</f>
        <v>(3)</v>
      </c>
      <c r="L34" s="211" t="str">
        <f t="shared" si="14"/>
        <v>(3)</v>
      </c>
      <c r="M34" s="211" t="str">
        <f t="shared" si="10"/>
        <v>(3)</v>
      </c>
      <c r="N34" s="211" t="str">
        <f t="shared" ref="N34" si="15">+N10</f>
        <v>(3)</v>
      </c>
    </row>
    <row r="35" spans="1:14" x14ac:dyDescent="0.3">
      <c r="A35" s="137"/>
      <c r="B35" s="143" t="s">
        <v>134</v>
      </c>
      <c r="C35" s="655" t="str">
        <f t="shared" si="10"/>
        <v>(4)</v>
      </c>
      <c r="D35" s="655" t="s">
        <v>218</v>
      </c>
      <c r="E35" s="655" t="str">
        <f t="shared" ref="E35" si="16">+E11</f>
        <v>(4)</v>
      </c>
      <c r="F35" s="655" t="str">
        <f t="shared" si="10"/>
        <v>(4)</v>
      </c>
      <c r="G35" s="212" t="str">
        <f t="shared" si="10"/>
        <v>(4)</v>
      </c>
      <c r="H35" s="211" t="str">
        <f t="shared" si="10"/>
        <v>(4)</v>
      </c>
      <c r="I35" s="189" t="str">
        <f t="shared" si="10"/>
        <v>(4)</v>
      </c>
      <c r="J35" s="211" t="str">
        <f t="shared" si="10"/>
        <v>(4)</v>
      </c>
      <c r="K35" s="211" t="str">
        <f t="shared" ref="K35:L35" si="17">+K11</f>
        <v>(4)</v>
      </c>
      <c r="L35" s="211" t="str">
        <f t="shared" si="17"/>
        <v>(4)</v>
      </c>
      <c r="M35" s="211" t="str">
        <f t="shared" si="10"/>
        <v>(4)</v>
      </c>
      <c r="N35" s="211" t="str">
        <f t="shared" ref="N35" si="18">+N11</f>
        <v>(4)</v>
      </c>
    </row>
    <row r="36" spans="1:14" x14ac:dyDescent="0.3">
      <c r="A36" s="137" t="s">
        <v>189</v>
      </c>
      <c r="B36" s="143" t="s">
        <v>286</v>
      </c>
      <c r="C36" s="655" t="str">
        <f t="shared" si="10"/>
        <v>(2)</v>
      </c>
      <c r="D36" s="655" t="s">
        <v>217</v>
      </c>
      <c r="E36" s="655" t="str">
        <f t="shared" ref="E36" si="19">+E12</f>
        <v>(2)</v>
      </c>
      <c r="F36" s="655" t="str">
        <f t="shared" si="10"/>
        <v>(2)</v>
      </c>
      <c r="G36" s="212" t="str">
        <f t="shared" si="10"/>
        <v>(2)</v>
      </c>
      <c r="H36" s="211" t="str">
        <f t="shared" si="10"/>
        <v>(2)</v>
      </c>
      <c r="I36" s="189" t="str">
        <f t="shared" si="10"/>
        <v>(2)</v>
      </c>
      <c r="J36" s="211" t="str">
        <f t="shared" si="10"/>
        <v>(2)</v>
      </c>
      <c r="K36" s="211" t="str">
        <f t="shared" ref="K36:L36" si="20">+K12</f>
        <v>(2)</v>
      </c>
      <c r="L36" s="211" t="str">
        <f t="shared" si="20"/>
        <v>(2)</v>
      </c>
      <c r="M36" s="211" t="str">
        <f t="shared" si="10"/>
        <v>(2)</v>
      </c>
      <c r="N36" s="211" t="str">
        <f t="shared" ref="N36" si="21">+N12</f>
        <v>(2)</v>
      </c>
    </row>
    <row r="37" spans="1:14" x14ac:dyDescent="0.3">
      <c r="A37" s="137" t="s">
        <v>191</v>
      </c>
      <c r="B37" s="143" t="s">
        <v>192</v>
      </c>
      <c r="C37" s="204">
        <f t="shared" si="10"/>
        <v>10.866833607342301</v>
      </c>
      <c r="D37" s="204">
        <f t="shared" ref="D37:E37" si="22">+D13</f>
        <v>10.866833607342301</v>
      </c>
      <c r="E37" s="204">
        <f t="shared" si="22"/>
        <v>10.866833607342301</v>
      </c>
      <c r="F37" s="204">
        <f t="shared" si="10"/>
        <v>10.866833607342301</v>
      </c>
      <c r="G37" s="212">
        <f t="shared" si="10"/>
        <v>10.866833607342301</v>
      </c>
      <c r="H37" s="211">
        <f t="shared" si="10"/>
        <v>10.866833607342301</v>
      </c>
      <c r="I37" s="189">
        <f t="shared" si="10"/>
        <v>22.249601678692599</v>
      </c>
      <c r="J37" s="211">
        <f t="shared" si="10"/>
        <v>23.500029293035123</v>
      </c>
      <c r="K37" s="211">
        <f t="shared" ref="K37:L37" si="23">+K13</f>
        <v>23.500029293035123</v>
      </c>
      <c r="L37" s="211">
        <f t="shared" si="23"/>
        <v>23.500029293035123</v>
      </c>
      <c r="M37" s="211">
        <f t="shared" si="10"/>
        <v>23.500029293035123</v>
      </c>
      <c r="N37" s="211">
        <f t="shared" ref="N37" si="24">+N13</f>
        <v>23.500029293035123</v>
      </c>
    </row>
    <row r="38" spans="1:14" x14ac:dyDescent="0.3">
      <c r="A38" s="137" t="s">
        <v>195</v>
      </c>
      <c r="B38" s="209" t="s">
        <v>196</v>
      </c>
      <c r="C38" s="204">
        <f t="shared" si="10"/>
        <v>13.326421256197724</v>
      </c>
      <c r="D38" s="204">
        <f t="shared" ref="D38:E38" si="25">+D14</f>
        <v>13.326421256197724</v>
      </c>
      <c r="E38" s="204">
        <f t="shared" si="25"/>
        <v>13.326421256197724</v>
      </c>
      <c r="F38" s="204">
        <f t="shared" si="10"/>
        <v>13.326421256197724</v>
      </c>
      <c r="G38" s="212">
        <f t="shared" si="10"/>
        <v>13.326421256197724</v>
      </c>
      <c r="H38" s="211">
        <f t="shared" si="10"/>
        <v>13.326421256197724</v>
      </c>
      <c r="I38" s="189">
        <f t="shared" si="10"/>
        <v>13.326421256197724</v>
      </c>
      <c r="J38" s="211">
        <f t="shared" si="10"/>
        <v>13.326421256197724</v>
      </c>
      <c r="K38" s="211">
        <f t="shared" ref="K38:L38" si="26">+K14</f>
        <v>13.326421256197724</v>
      </c>
      <c r="L38" s="211">
        <f t="shared" si="26"/>
        <v>13.326421256197724</v>
      </c>
      <c r="M38" s="211">
        <f t="shared" si="10"/>
        <v>13.326421256197724</v>
      </c>
      <c r="N38" s="211">
        <f t="shared" ref="N38" si="27">+N14</f>
        <v>13.326421256197724</v>
      </c>
    </row>
    <row r="39" spans="1:14" hidden="1" x14ac:dyDescent="0.3">
      <c r="A39" s="137"/>
      <c r="B39" s="143" t="s">
        <v>197</v>
      </c>
      <c r="C39" s="204">
        <f t="shared" si="10"/>
        <v>0</v>
      </c>
      <c r="D39" s="204"/>
      <c r="E39" s="204">
        <f t="shared" ref="E39" si="28">+E15</f>
        <v>0</v>
      </c>
      <c r="F39" s="204">
        <f t="shared" si="10"/>
        <v>0</v>
      </c>
      <c r="G39" s="212">
        <f t="shared" si="10"/>
        <v>0</v>
      </c>
      <c r="H39" s="211">
        <f t="shared" si="10"/>
        <v>0</v>
      </c>
      <c r="I39" s="607">
        <f t="shared" si="10"/>
        <v>0</v>
      </c>
      <c r="J39" s="607"/>
      <c r="K39" s="189"/>
      <c r="L39" s="189"/>
      <c r="M39" s="214">
        <f t="shared" si="10"/>
        <v>0</v>
      </c>
      <c r="N39" s="214">
        <f t="shared" ref="N39" si="29">+N15</f>
        <v>0</v>
      </c>
    </row>
    <row r="40" spans="1:14" x14ac:dyDescent="0.3">
      <c r="A40" s="144" t="s">
        <v>198</v>
      </c>
      <c r="B40" s="173" t="s">
        <v>199</v>
      </c>
      <c r="C40" s="604">
        <f>SUM(C32:C39)</f>
        <v>4854.9994948635403</v>
      </c>
      <c r="D40" s="604">
        <f>SUM(D32:D39)</f>
        <v>5183.6956452635395</v>
      </c>
      <c r="E40" s="603">
        <f t="shared" ref="E40:M40" si="30">SUM(E32:E39)</f>
        <v>5265.8696828635402</v>
      </c>
      <c r="F40" s="603">
        <f t="shared" si="30"/>
        <v>5676.7398708635401</v>
      </c>
      <c r="G40" s="603">
        <f t="shared" si="30"/>
        <v>3360.5170548635401</v>
      </c>
      <c r="H40" s="758">
        <f t="shared" si="30"/>
        <v>4973.7746613635409</v>
      </c>
      <c r="I40" s="602">
        <f t="shared" si="30"/>
        <v>6056.4840229348911</v>
      </c>
      <c r="J40" s="602">
        <f t="shared" si="30"/>
        <v>5983.762850549233</v>
      </c>
      <c r="K40" s="602">
        <f t="shared" si="30"/>
        <v>6057.7344505492338</v>
      </c>
      <c r="L40" s="602">
        <f t="shared" ref="L40" si="31">SUM(L32:L39)</f>
        <v>6401.2112005492336</v>
      </c>
      <c r="M40" s="759">
        <f t="shared" si="30"/>
        <v>5838.7524505492338</v>
      </c>
      <c r="N40" s="759">
        <f t="shared" ref="N40" si="32">SUM(N32:N39)</f>
        <v>6749.1084505492327</v>
      </c>
    </row>
    <row r="41" spans="1:14" x14ac:dyDescent="0.3">
      <c r="A41" s="137" t="s">
        <v>200</v>
      </c>
      <c r="B41" s="143" t="s">
        <v>201</v>
      </c>
      <c r="C41" s="190" t="s">
        <v>231</v>
      </c>
      <c r="D41" s="190" t="s">
        <v>231</v>
      </c>
      <c r="E41" s="591" t="s">
        <v>231</v>
      </c>
      <c r="F41" s="591" t="str">
        <f>+C41</f>
        <v>***</v>
      </c>
      <c r="G41" s="199" t="str">
        <f>+C41</f>
        <v>***</v>
      </c>
      <c r="H41" s="140" t="str">
        <f>+C41</f>
        <v>***</v>
      </c>
      <c r="I41" s="607" t="str">
        <f>+M41</f>
        <v>***</v>
      </c>
      <c r="J41" s="594" t="s">
        <v>231</v>
      </c>
      <c r="K41" s="594" t="s">
        <v>231</v>
      </c>
      <c r="L41" s="594" t="s">
        <v>231</v>
      </c>
      <c r="M41" s="218" t="s">
        <v>231</v>
      </c>
      <c r="N41" s="218" t="s">
        <v>231</v>
      </c>
    </row>
    <row r="42" spans="1:14" x14ac:dyDescent="0.3">
      <c r="A42" s="137" t="s">
        <v>202</v>
      </c>
      <c r="B42" s="143" t="s">
        <v>203</v>
      </c>
      <c r="C42" s="190" t="str">
        <f>+F42</f>
        <v>**</v>
      </c>
      <c r="D42" s="190" t="str">
        <f>+G42</f>
        <v>**</v>
      </c>
      <c r="E42" s="190" t="s">
        <v>229</v>
      </c>
      <c r="F42" s="190" t="s">
        <v>229</v>
      </c>
      <c r="G42" s="200" t="s">
        <v>229</v>
      </c>
      <c r="H42" s="140" t="s">
        <v>229</v>
      </c>
      <c r="I42" s="607" t="str">
        <f>+M42</f>
        <v>**</v>
      </c>
      <c r="J42" s="192" t="s">
        <v>229</v>
      </c>
      <c r="K42" s="192" t="s">
        <v>229</v>
      </c>
      <c r="L42" s="192" t="s">
        <v>229</v>
      </c>
      <c r="M42" s="211" t="s">
        <v>229</v>
      </c>
      <c r="N42" s="211" t="s">
        <v>229</v>
      </c>
    </row>
    <row r="43" spans="1:14" x14ac:dyDescent="0.3">
      <c r="A43" s="137" t="s">
        <v>204</v>
      </c>
      <c r="B43" s="143" t="s">
        <v>205</v>
      </c>
      <c r="C43" s="190" t="str">
        <f>+F43</f>
        <v>****</v>
      </c>
      <c r="D43" s="190" t="str">
        <f>+G43</f>
        <v>****</v>
      </c>
      <c r="E43" s="190" t="s">
        <v>233</v>
      </c>
      <c r="F43" s="190" t="s">
        <v>233</v>
      </c>
      <c r="G43" s="141" t="str">
        <f>+F43</f>
        <v>****</v>
      </c>
      <c r="H43" s="140" t="str">
        <f>+G43</f>
        <v>****</v>
      </c>
      <c r="I43" s="607" t="str">
        <f>+H43</f>
        <v>****</v>
      </c>
      <c r="J43" s="192" t="s">
        <v>233</v>
      </c>
      <c r="K43" s="192" t="s">
        <v>233</v>
      </c>
      <c r="L43" s="192" t="s">
        <v>233</v>
      </c>
      <c r="M43" s="214" t="str">
        <f>+H43</f>
        <v>****</v>
      </c>
      <c r="N43" s="214" t="str">
        <f>+I43</f>
        <v>****</v>
      </c>
    </row>
    <row r="44" spans="1:14" x14ac:dyDescent="0.3">
      <c r="A44" s="144" t="s">
        <v>206</v>
      </c>
      <c r="B44" s="173" t="s">
        <v>207</v>
      </c>
      <c r="C44" s="604">
        <f t="shared" ref="C44:M44" si="33">+C40</f>
        <v>4854.9994948635403</v>
      </c>
      <c r="D44" s="604">
        <f t="shared" ref="D44" si="34">+D40</f>
        <v>5183.6956452635395</v>
      </c>
      <c r="E44" s="604">
        <f t="shared" si="33"/>
        <v>5265.8696828635402</v>
      </c>
      <c r="F44" s="604">
        <f t="shared" si="33"/>
        <v>5676.7398708635401</v>
      </c>
      <c r="G44" s="604">
        <f t="shared" si="33"/>
        <v>3360.5170548635401</v>
      </c>
      <c r="H44" s="760">
        <f t="shared" si="33"/>
        <v>4973.7746613635409</v>
      </c>
      <c r="I44" s="604">
        <f t="shared" si="33"/>
        <v>6056.4840229348911</v>
      </c>
      <c r="J44" s="604">
        <f t="shared" ref="J44" si="35">+J40</f>
        <v>5983.762850549233</v>
      </c>
      <c r="K44" s="604">
        <f t="shared" si="33"/>
        <v>6057.7344505492338</v>
      </c>
      <c r="L44" s="604">
        <f t="shared" ref="L44" si="36">+L40</f>
        <v>6401.2112005492336</v>
      </c>
      <c r="M44" s="760">
        <f t="shared" si="33"/>
        <v>5838.7524505492338</v>
      </c>
      <c r="N44" s="760">
        <f t="shared" ref="N44" si="37">+N40</f>
        <v>6749.1084505492327</v>
      </c>
    </row>
    <row r="45" spans="1:14" x14ac:dyDescent="0.3">
      <c r="A45" s="137" t="s">
        <v>208</v>
      </c>
      <c r="B45" s="143" t="s">
        <v>160</v>
      </c>
      <c r="C45" s="190" t="s">
        <v>231</v>
      </c>
      <c r="D45" s="190" t="s">
        <v>231</v>
      </c>
      <c r="E45" s="190" t="s">
        <v>231</v>
      </c>
      <c r="F45" s="190" t="str">
        <f>+C45</f>
        <v>***</v>
      </c>
      <c r="G45" s="141" t="str">
        <f>+F45</f>
        <v>***</v>
      </c>
      <c r="H45" s="140" t="str">
        <f>+G45</f>
        <v>***</v>
      </c>
      <c r="I45" s="607" t="str">
        <f>+F45</f>
        <v>***</v>
      </c>
      <c r="J45" s="192" t="str">
        <f t="shared" ref="J45:L47" si="38">+D45</f>
        <v>***</v>
      </c>
      <c r="K45" s="192" t="str">
        <f t="shared" si="38"/>
        <v>***</v>
      </c>
      <c r="L45" s="192" t="str">
        <f t="shared" si="38"/>
        <v>***</v>
      </c>
      <c r="M45" s="214" t="s">
        <v>231</v>
      </c>
      <c r="N45" s="214" t="s">
        <v>231</v>
      </c>
    </row>
    <row r="46" spans="1:14" x14ac:dyDescent="0.3">
      <c r="A46" s="137" t="s">
        <v>209</v>
      </c>
      <c r="B46" s="138" t="s">
        <v>210</v>
      </c>
      <c r="C46" s="190" t="str">
        <f>+F46</f>
        <v>*****</v>
      </c>
      <c r="D46" s="190" t="str">
        <f>+G46</f>
        <v>N.A.</v>
      </c>
      <c r="E46" s="190" t="s">
        <v>235</v>
      </c>
      <c r="F46" s="190" t="s">
        <v>235</v>
      </c>
      <c r="G46" s="141" t="s">
        <v>253</v>
      </c>
      <c r="H46" s="140" t="s">
        <v>211</v>
      </c>
      <c r="I46" s="607" t="str">
        <f>+F46</f>
        <v>*****</v>
      </c>
      <c r="J46" s="192" t="str">
        <f t="shared" si="38"/>
        <v>N.A.</v>
      </c>
      <c r="K46" s="192" t="str">
        <f t="shared" si="38"/>
        <v>*****</v>
      </c>
      <c r="L46" s="192" t="str">
        <f t="shared" si="38"/>
        <v>*****</v>
      </c>
      <c r="M46" s="214" t="s">
        <v>254</v>
      </c>
      <c r="N46" s="214" t="s">
        <v>254</v>
      </c>
    </row>
    <row r="47" spans="1:14" x14ac:dyDescent="0.3">
      <c r="A47" s="137" t="s">
        <v>212</v>
      </c>
      <c r="B47" s="143" t="s">
        <v>290</v>
      </c>
      <c r="C47" s="190" t="str">
        <f>+F47</f>
        <v>******</v>
      </c>
      <c r="D47" s="190" t="str">
        <f>+G47</f>
        <v>******</v>
      </c>
      <c r="E47" s="190" t="s">
        <v>236</v>
      </c>
      <c r="F47" s="190" t="s">
        <v>236</v>
      </c>
      <c r="G47" s="200" t="str">
        <f>+F47</f>
        <v>******</v>
      </c>
      <c r="H47" s="142" t="str">
        <f>+G47</f>
        <v>******</v>
      </c>
      <c r="I47" s="607" t="str">
        <f>+F47</f>
        <v>******</v>
      </c>
      <c r="J47" s="192" t="str">
        <f t="shared" si="38"/>
        <v>******</v>
      </c>
      <c r="K47" s="192" t="str">
        <f t="shared" si="38"/>
        <v>******</v>
      </c>
      <c r="L47" s="192" t="str">
        <f t="shared" si="38"/>
        <v>******</v>
      </c>
      <c r="M47" s="211" t="str">
        <f>+I47</f>
        <v>******</v>
      </c>
      <c r="N47" s="211" t="str">
        <f>+K47</f>
        <v>******</v>
      </c>
    </row>
    <row r="48" spans="1:14" ht="15" thickBot="1" x14ac:dyDescent="0.35">
      <c r="A48" s="148" t="s">
        <v>214</v>
      </c>
      <c r="B48" s="149" t="s">
        <v>215</v>
      </c>
      <c r="C48" s="201"/>
      <c r="D48" s="201"/>
      <c r="E48" s="201"/>
      <c r="F48" s="152"/>
      <c r="G48" s="202"/>
      <c r="H48" s="151"/>
      <c r="I48" s="202"/>
      <c r="J48" s="202"/>
      <c r="K48" s="202"/>
      <c r="L48" s="202"/>
      <c r="M48" s="219"/>
      <c r="N48" s="219"/>
    </row>
    <row r="49" spans="1:21" ht="15" thickTop="1" x14ac:dyDescent="0.3"/>
    <row r="51" spans="1:21" x14ac:dyDescent="0.3">
      <c r="A51" s="156"/>
      <c r="B51" s="256" t="s">
        <v>227</v>
      </c>
      <c r="C51" s="206"/>
      <c r="D51" s="206"/>
      <c r="E51" s="206"/>
      <c r="F51" s="206"/>
      <c r="G51" s="206"/>
      <c r="H51" s="206"/>
      <c r="I51" s="186"/>
      <c r="J51" s="186"/>
      <c r="K51" s="186"/>
      <c r="L51" s="186"/>
      <c r="M51" s="186"/>
      <c r="N51" s="186"/>
      <c r="O51" s="186"/>
      <c r="P51" s="186"/>
      <c r="Q51" s="186"/>
      <c r="R51" s="186"/>
      <c r="S51" s="186"/>
      <c r="T51" s="186"/>
      <c r="U51" s="186"/>
    </row>
    <row r="52" spans="1:21" x14ac:dyDescent="0.3">
      <c r="A52" s="156"/>
      <c r="B52" s="177"/>
      <c r="C52" s="206"/>
      <c r="D52" s="206"/>
      <c r="E52" s="206"/>
      <c r="F52" s="206"/>
      <c r="G52" s="206"/>
      <c r="H52" s="206"/>
      <c r="I52" s="186"/>
      <c r="J52" s="186"/>
      <c r="K52" s="186"/>
      <c r="L52" s="186"/>
      <c r="M52" s="186"/>
      <c r="N52" s="186"/>
      <c r="O52" s="186"/>
      <c r="P52" s="186"/>
      <c r="Q52" s="186"/>
      <c r="R52" s="186"/>
      <c r="S52" s="186"/>
      <c r="T52" s="186"/>
      <c r="U52" s="186"/>
    </row>
    <row r="53" spans="1:21" ht="15" customHeight="1" x14ac:dyDescent="0.3">
      <c r="A53" s="156" t="s">
        <v>190</v>
      </c>
      <c r="B53" s="914" t="str">
        <f>+VAUPES!B28</f>
        <v>De acuerdo con lo establecido en la Resoluccion 91349 de 2014 del MME para combustible de origen nacional o importado a ser distribuido en zonas de frontera, aplica la tarifa de marcación o remarcación vigente a la fecha según corresponda</v>
      </c>
      <c r="C53" s="914"/>
      <c r="D53" s="914"/>
      <c r="E53" s="914"/>
      <c r="F53" s="914"/>
      <c r="G53" s="914"/>
      <c r="H53" s="914"/>
      <c r="I53" s="914"/>
      <c r="J53" s="914"/>
      <c r="K53" s="914"/>
      <c r="L53" s="914"/>
      <c r="M53" s="914"/>
      <c r="N53" s="914"/>
      <c r="O53" s="914"/>
      <c r="P53" s="207"/>
      <c r="Q53" s="207"/>
      <c r="R53" s="207"/>
      <c r="S53" s="207"/>
      <c r="T53" s="207"/>
      <c r="U53" s="207"/>
    </row>
    <row r="54" spans="1:21" ht="26.25" customHeight="1" x14ac:dyDescent="0.3">
      <c r="A54" s="156" t="s">
        <v>217</v>
      </c>
      <c r="B54" s="892" t="s">
        <v>269</v>
      </c>
      <c r="C54" s="892"/>
      <c r="D54" s="892"/>
      <c r="E54" s="892"/>
      <c r="F54" s="892"/>
      <c r="G54" s="892"/>
      <c r="H54" s="892"/>
      <c r="I54" s="892"/>
      <c r="J54" s="892"/>
      <c r="K54" s="892"/>
      <c r="L54" s="892"/>
      <c r="M54" s="892"/>
      <c r="N54" s="892"/>
      <c r="O54" s="892"/>
      <c r="P54" s="186"/>
      <c r="Q54" s="186"/>
      <c r="R54" s="186"/>
      <c r="S54" s="186"/>
      <c r="T54" s="186"/>
      <c r="U54" s="186"/>
    </row>
    <row r="55" spans="1:21" ht="54.6" customHeight="1" x14ac:dyDescent="0.3">
      <c r="A55" s="156" t="s">
        <v>133</v>
      </c>
      <c r="B55" s="914" t="s">
        <v>325</v>
      </c>
      <c r="C55" s="914"/>
      <c r="D55" s="914"/>
      <c r="E55" s="914"/>
      <c r="F55" s="914"/>
      <c r="G55" s="914"/>
      <c r="H55" s="914"/>
      <c r="I55" s="914"/>
      <c r="J55" s="914"/>
      <c r="K55" s="914"/>
      <c r="L55" s="914"/>
      <c r="M55" s="914"/>
      <c r="N55" s="914"/>
      <c r="O55" s="914"/>
      <c r="P55" s="186"/>
      <c r="Q55" s="186"/>
      <c r="R55" s="186"/>
      <c r="S55" s="186"/>
      <c r="T55" s="186"/>
      <c r="U55" s="186"/>
    </row>
    <row r="56" spans="1:21" ht="54.6" customHeight="1" x14ac:dyDescent="0.3">
      <c r="A56" s="156" t="s">
        <v>218</v>
      </c>
      <c r="B56" s="913" t="s">
        <v>398</v>
      </c>
      <c r="C56" s="913"/>
      <c r="D56" s="913"/>
      <c r="E56" s="913"/>
      <c r="F56" s="913"/>
      <c r="G56" s="913"/>
      <c r="H56" s="913"/>
      <c r="I56" s="913"/>
      <c r="J56" s="913"/>
      <c r="K56" s="913"/>
      <c r="L56" s="913"/>
      <c r="M56" s="913"/>
      <c r="N56" s="913"/>
      <c r="O56" s="913"/>
      <c r="P56" s="186"/>
      <c r="Q56" s="186"/>
      <c r="R56" s="186"/>
      <c r="S56" s="186"/>
      <c r="T56" s="186"/>
      <c r="U56" s="186"/>
    </row>
    <row r="57" spans="1:21" ht="19.8" customHeight="1" x14ac:dyDescent="0.3">
      <c r="A57" s="156"/>
      <c r="B57" s="963"/>
      <c r="C57" s="963"/>
      <c r="D57" s="963"/>
      <c r="E57" s="963"/>
      <c r="F57" s="963"/>
      <c r="G57" s="963"/>
      <c r="H57" s="963"/>
      <c r="I57" s="963"/>
      <c r="J57" s="963"/>
      <c r="K57" s="963"/>
      <c r="L57" s="963"/>
      <c r="M57" s="963"/>
      <c r="N57" s="963"/>
      <c r="O57" s="963"/>
      <c r="P57" s="186"/>
      <c r="Q57" s="186"/>
      <c r="R57" s="186"/>
      <c r="S57" s="186"/>
      <c r="T57" s="186"/>
      <c r="U57" s="186"/>
    </row>
    <row r="58" spans="1:21" ht="15" customHeight="1" x14ac:dyDescent="0.3">
      <c r="A58" s="178" t="s">
        <v>102</v>
      </c>
      <c r="B58" s="891" t="s">
        <v>228</v>
      </c>
      <c r="C58" s="891"/>
      <c r="D58" s="891"/>
      <c r="E58" s="891"/>
      <c r="F58" s="891"/>
      <c r="G58" s="891"/>
      <c r="H58" s="891"/>
      <c r="I58" s="891"/>
      <c r="J58" s="891"/>
      <c r="K58" s="891"/>
      <c r="L58" s="891"/>
      <c r="M58" s="891"/>
      <c r="N58" s="891"/>
      <c r="O58" s="891"/>
      <c r="P58" s="186"/>
      <c r="Q58" s="186"/>
      <c r="R58" s="186"/>
      <c r="S58" s="186"/>
      <c r="T58" s="186"/>
      <c r="U58" s="186"/>
    </row>
    <row r="59" spans="1:21" ht="15" customHeight="1" x14ac:dyDescent="0.3">
      <c r="A59" s="178" t="s">
        <v>229</v>
      </c>
      <c r="B59" s="914" t="s">
        <v>289</v>
      </c>
      <c r="C59" s="914"/>
      <c r="D59" s="914"/>
      <c r="E59" s="914"/>
      <c r="F59" s="914"/>
      <c r="G59" s="914"/>
      <c r="H59" s="914"/>
      <c r="I59" s="914"/>
      <c r="J59" s="914"/>
      <c r="K59" s="914"/>
      <c r="L59" s="914"/>
      <c r="M59" s="914"/>
      <c r="N59" s="914"/>
      <c r="O59" s="914"/>
      <c r="P59" s="186"/>
      <c r="Q59" s="186"/>
      <c r="R59" s="186"/>
      <c r="S59" s="186"/>
      <c r="T59" s="186"/>
      <c r="U59" s="186"/>
    </row>
    <row r="60" spans="1:21" ht="15" customHeight="1" x14ac:dyDescent="0.3">
      <c r="A60" s="156" t="s">
        <v>231</v>
      </c>
      <c r="B60" s="914" t="s">
        <v>232</v>
      </c>
      <c r="C60" s="914"/>
      <c r="D60" s="914"/>
      <c r="E60" s="914"/>
      <c r="F60" s="914"/>
      <c r="G60" s="914"/>
      <c r="H60" s="914"/>
      <c r="I60" s="914"/>
      <c r="J60" s="914"/>
      <c r="K60" s="914"/>
      <c r="L60" s="914"/>
      <c r="M60" s="914"/>
      <c r="N60" s="156"/>
      <c r="O60" s="891"/>
      <c r="P60" s="891"/>
      <c r="Q60" s="891"/>
      <c r="R60" s="891"/>
      <c r="S60" s="891"/>
      <c r="T60" s="891"/>
      <c r="U60" s="891"/>
    </row>
    <row r="61" spans="1:21" ht="15" customHeight="1" x14ac:dyDescent="0.3">
      <c r="A61" s="156" t="s">
        <v>233</v>
      </c>
      <c r="B61" s="891" t="s">
        <v>454</v>
      </c>
      <c r="C61" s="891"/>
      <c r="D61" s="891"/>
      <c r="E61" s="891"/>
      <c r="F61" s="891"/>
      <c r="G61" s="891"/>
      <c r="H61" s="891"/>
      <c r="I61" s="891"/>
      <c r="J61" s="891"/>
      <c r="K61" s="891"/>
      <c r="L61" s="891"/>
      <c r="M61" s="891"/>
      <c r="N61" s="156"/>
      <c r="O61" s="325"/>
      <c r="P61" s="325"/>
      <c r="Q61" s="325"/>
      <c r="R61" s="325"/>
      <c r="S61" s="325"/>
      <c r="T61" s="325"/>
      <c r="U61" s="325"/>
    </row>
    <row r="62" spans="1:21" x14ac:dyDescent="0.3">
      <c r="A62" s="178" t="s">
        <v>235</v>
      </c>
      <c r="B62" s="914" t="s">
        <v>237</v>
      </c>
      <c r="C62" s="914"/>
      <c r="D62" s="914"/>
      <c r="E62" s="914"/>
      <c r="F62" s="914"/>
      <c r="G62" s="914"/>
      <c r="H62" s="914"/>
      <c r="I62" s="914"/>
      <c r="J62" s="914"/>
      <c r="K62" s="914"/>
      <c r="L62" s="914"/>
      <c r="M62" s="914"/>
      <c r="N62" s="914"/>
      <c r="O62" s="914"/>
      <c r="P62" s="186"/>
      <c r="Q62" s="186"/>
      <c r="R62" s="186"/>
      <c r="S62" s="186"/>
      <c r="T62" s="186"/>
      <c r="U62" s="186"/>
    </row>
    <row r="63" spans="1:21" x14ac:dyDescent="0.3">
      <c r="A63" s="178" t="s">
        <v>236</v>
      </c>
      <c r="B63" s="914" t="s">
        <v>291</v>
      </c>
      <c r="C63" s="914"/>
      <c r="D63" s="914"/>
      <c r="E63" s="914"/>
      <c r="F63" s="914"/>
      <c r="G63" s="914"/>
      <c r="H63" s="914"/>
      <c r="I63" s="914"/>
      <c r="J63" s="914"/>
      <c r="K63" s="914"/>
      <c r="L63" s="914"/>
      <c r="M63" s="914"/>
      <c r="N63" s="914"/>
      <c r="O63" s="914"/>
      <c r="P63" s="186"/>
      <c r="Q63" s="186"/>
      <c r="R63" s="186"/>
      <c r="S63" s="186"/>
      <c r="T63" s="186"/>
      <c r="U63" s="186"/>
    </row>
    <row r="65" spans="1:15" ht="87.9" customHeight="1" x14ac:dyDescent="0.3">
      <c r="A65" s="894" t="s">
        <v>147</v>
      </c>
      <c r="B65" s="894"/>
      <c r="C65" s="894"/>
      <c r="D65" s="894"/>
      <c r="E65" s="894"/>
      <c r="F65" s="894"/>
      <c r="G65" s="894"/>
      <c r="H65" s="894"/>
      <c r="I65" s="894"/>
      <c r="J65" s="894"/>
      <c r="K65" s="894"/>
      <c r="L65" s="894"/>
      <c r="M65" s="894"/>
      <c r="N65" s="894"/>
      <c r="O65" s="894"/>
    </row>
  </sheetData>
  <sheetProtection algorithmName="SHA-512" hashValue="lDN+A6NH5cFYJ5wh6TTnX48aQfsDYvnQPSNmeukdVr4wIrBMPfrdARz0qD3HBVk027nGcxW7ioRQ4AnY6PXOHQ==" saltValue="tlkpVusrmsESEFqvVM05wA==" spinCount="100000" sheet="1" objects="1" scenarios="1"/>
  <mergeCells count="23">
    <mergeCell ref="B53:O53"/>
    <mergeCell ref="C3:H4"/>
    <mergeCell ref="A5:A7"/>
    <mergeCell ref="B5:B7"/>
    <mergeCell ref="C5:C6"/>
    <mergeCell ref="C27:H28"/>
    <mergeCell ref="A29:A31"/>
    <mergeCell ref="B29:B31"/>
    <mergeCell ref="C29:C30"/>
    <mergeCell ref="I3:N4"/>
    <mergeCell ref="I27:N28"/>
    <mergeCell ref="B61:M61"/>
    <mergeCell ref="B62:O62"/>
    <mergeCell ref="B63:O63"/>
    <mergeCell ref="A65:O65"/>
    <mergeCell ref="B54:O54"/>
    <mergeCell ref="B55:O55"/>
    <mergeCell ref="B58:O58"/>
    <mergeCell ref="B59:O59"/>
    <mergeCell ref="B60:M60"/>
    <mergeCell ref="O60:U60"/>
    <mergeCell ref="B56:O56"/>
    <mergeCell ref="B57:O57"/>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E8" sqref="E8"/>
    </sheetView>
  </sheetViews>
  <sheetFormatPr baseColWidth="10" defaultRowHeight="14.4" x14ac:dyDescent="0.3"/>
  <cols>
    <col min="1" max="1" width="65.77734375" customWidth="1"/>
    <col min="2" max="2" width="32.33203125" customWidth="1"/>
    <col min="3" max="3" width="31" customWidth="1"/>
    <col min="4" max="4" width="25.5546875" hidden="1" customWidth="1"/>
    <col min="7" max="8" width="0" hidden="1" customWidth="1"/>
  </cols>
  <sheetData>
    <row r="1" spans="1:7" x14ac:dyDescent="0.3">
      <c r="A1" s="964" t="s">
        <v>292</v>
      </c>
      <c r="B1" s="964"/>
      <c r="C1" s="964"/>
      <c r="D1" s="964"/>
      <c r="E1" s="296">
        <v>2826.91</v>
      </c>
    </row>
    <row r="2" spans="1:7" x14ac:dyDescent="0.3">
      <c r="A2" s="964" t="s">
        <v>293</v>
      </c>
      <c r="B2" s="964"/>
      <c r="C2" s="964"/>
      <c r="D2" s="964"/>
      <c r="E2" s="295"/>
    </row>
    <row r="3" spans="1:7" x14ac:dyDescent="0.3">
      <c r="A3" s="964" t="s">
        <v>294</v>
      </c>
      <c r="B3" s="964"/>
      <c r="C3" s="964"/>
      <c r="D3" s="964"/>
      <c r="E3" s="295"/>
    </row>
    <row r="4" spans="1:7" x14ac:dyDescent="0.3">
      <c r="A4" s="294"/>
      <c r="B4" s="294"/>
      <c r="C4" s="295"/>
      <c r="D4" s="295"/>
      <c r="E4" s="295"/>
    </row>
    <row r="5" spans="1:7" ht="15" thickBot="1" x14ac:dyDescent="0.35">
      <c r="A5" s="297" t="str">
        <f>+AMAZONAS!C1</f>
        <v>Vigencia: 16 de Julio de 2022; 00:00 horas</v>
      </c>
      <c r="B5" s="294"/>
      <c r="D5" s="610" t="s">
        <v>484</v>
      </c>
      <c r="E5" s="295"/>
    </row>
    <row r="6" spans="1:7" ht="15.9" customHeight="1" thickTop="1" x14ac:dyDescent="0.3">
      <c r="A6" s="965" t="s">
        <v>295</v>
      </c>
      <c r="B6" s="967" t="s">
        <v>463</v>
      </c>
      <c r="C6" s="967" t="s">
        <v>464</v>
      </c>
      <c r="D6" s="969" t="s">
        <v>485</v>
      </c>
      <c r="E6" s="295"/>
    </row>
    <row r="7" spans="1:7" ht="31.65" customHeight="1" x14ac:dyDescent="0.3">
      <c r="A7" s="966"/>
      <c r="B7" s="968"/>
      <c r="C7" s="968"/>
      <c r="D7" s="897"/>
      <c r="E7" s="295"/>
    </row>
    <row r="8" spans="1:7" x14ac:dyDescent="0.3">
      <c r="A8" s="306" t="s">
        <v>296</v>
      </c>
      <c r="B8" s="307">
        <f>+BIODIESEL!C6</f>
        <v>4330.45</v>
      </c>
      <c r="C8" s="308">
        <f>+BIODIESEL!E9</f>
        <v>4705.8137999999999</v>
      </c>
      <c r="D8" s="309">
        <f>+BIODIESEL!F9</f>
        <v>4893.4971999999998</v>
      </c>
      <c r="E8" s="295"/>
      <c r="G8" s="414" t="s">
        <v>404</v>
      </c>
    </row>
    <row r="9" spans="1:7" x14ac:dyDescent="0.3">
      <c r="A9" s="306" t="s">
        <v>297</v>
      </c>
      <c r="B9" s="308" t="s">
        <v>133</v>
      </c>
      <c r="C9" s="308" t="s">
        <v>133</v>
      </c>
      <c r="D9" s="309" t="s">
        <v>133</v>
      </c>
      <c r="E9" s="295"/>
    </row>
    <row r="10" spans="1:7" x14ac:dyDescent="0.3">
      <c r="A10" s="306" t="s">
        <v>495</v>
      </c>
      <c r="B10" s="308">
        <f>+BIODIESEL!C12</f>
        <v>191</v>
      </c>
      <c r="C10" s="308">
        <f>+BIODIESEL!E12</f>
        <v>187.18</v>
      </c>
      <c r="D10" s="309">
        <f>+BIODIESEL!F12</f>
        <v>185.26999999999998</v>
      </c>
      <c r="E10" s="295"/>
    </row>
    <row r="11" spans="1:7" x14ac:dyDescent="0.3">
      <c r="A11" s="306" t="s">
        <v>298</v>
      </c>
      <c r="B11" s="310">
        <f>+BIODIESEL!D13</f>
        <v>8.6314000000000011</v>
      </c>
      <c r="C11" s="310">
        <f>+BIODIESEL!E13</f>
        <v>8.6314000000000011</v>
      </c>
      <c r="D11" s="311">
        <f>+C11</f>
        <v>8.6314000000000011</v>
      </c>
      <c r="E11" s="295"/>
    </row>
    <row r="12" spans="1:7" x14ac:dyDescent="0.3">
      <c r="A12" s="312" t="s">
        <v>299</v>
      </c>
      <c r="B12" s="313" t="s">
        <v>129</v>
      </c>
      <c r="C12" s="313" t="s">
        <v>129</v>
      </c>
      <c r="D12" s="314" t="s">
        <v>129</v>
      </c>
      <c r="E12" s="295"/>
    </row>
    <row r="13" spans="1:7" hidden="1" x14ac:dyDescent="0.3">
      <c r="A13" s="315" t="s">
        <v>300</v>
      </c>
      <c r="B13" s="310"/>
      <c r="C13" s="310"/>
      <c r="D13" s="311"/>
      <c r="E13" s="295"/>
    </row>
    <row r="14" spans="1:7" x14ac:dyDescent="0.3">
      <c r="A14" s="312" t="s">
        <v>301</v>
      </c>
      <c r="B14" s="313" t="s">
        <v>190</v>
      </c>
      <c r="C14" s="313" t="s">
        <v>190</v>
      </c>
      <c r="D14" s="314" t="s">
        <v>190</v>
      </c>
      <c r="E14" s="295"/>
    </row>
    <row r="15" spans="1:7" x14ac:dyDescent="0.3">
      <c r="A15" s="312" t="s">
        <v>302</v>
      </c>
      <c r="B15" s="310" t="s">
        <v>144</v>
      </c>
      <c r="C15" s="310" t="s">
        <v>144</v>
      </c>
      <c r="D15" s="311" t="s">
        <v>144</v>
      </c>
      <c r="E15" s="295"/>
    </row>
    <row r="16" spans="1:7" x14ac:dyDescent="0.3">
      <c r="A16" s="312" t="s">
        <v>303</v>
      </c>
      <c r="B16" s="310" t="s">
        <v>136</v>
      </c>
      <c r="C16" s="310" t="s">
        <v>136</v>
      </c>
      <c r="D16" s="311" t="s">
        <v>136</v>
      </c>
      <c r="E16" s="295"/>
    </row>
    <row r="17" spans="1:11" ht="15" thickBot="1" x14ac:dyDescent="0.35">
      <c r="A17" s="316" t="s">
        <v>304</v>
      </c>
      <c r="B17" s="317" t="s">
        <v>217</v>
      </c>
      <c r="C17" s="317" t="s">
        <v>217</v>
      </c>
      <c r="D17" s="318" t="s">
        <v>217</v>
      </c>
      <c r="E17" s="295"/>
    </row>
    <row r="18" spans="1:11" ht="15" thickTop="1" x14ac:dyDescent="0.3">
      <c r="A18" s="305" t="s">
        <v>305</v>
      </c>
      <c r="B18" s="298"/>
      <c r="C18" s="295"/>
      <c r="D18" s="295"/>
      <c r="E18" s="295"/>
    </row>
    <row r="19" spans="1:11" x14ac:dyDescent="0.3">
      <c r="A19" s="299" t="s">
        <v>158</v>
      </c>
      <c r="B19" s="300"/>
      <c r="C19" s="295"/>
      <c r="D19" s="295"/>
      <c r="E19" s="295"/>
    </row>
    <row r="20" spans="1:11" x14ac:dyDescent="0.3">
      <c r="A20" s="256" t="s">
        <v>227</v>
      </c>
      <c r="B20" s="300"/>
      <c r="C20" s="295"/>
      <c r="D20" s="295"/>
      <c r="E20" s="295"/>
    </row>
    <row r="21" spans="1:11" x14ac:dyDescent="0.3">
      <c r="A21" s="301" t="s">
        <v>306</v>
      </c>
      <c r="B21" s="302"/>
      <c r="C21" s="295"/>
      <c r="D21" s="295"/>
      <c r="E21" s="295"/>
    </row>
    <row r="22" spans="1:11" x14ac:dyDescent="0.3">
      <c r="A22" s="301" t="s">
        <v>307</v>
      </c>
      <c r="B22" s="303"/>
      <c r="C22" s="295"/>
      <c r="D22" s="419"/>
      <c r="E22" s="295"/>
    </row>
    <row r="23" spans="1:11" x14ac:dyDescent="0.3">
      <c r="A23" s="301" t="s">
        <v>308</v>
      </c>
      <c r="B23" s="304"/>
      <c r="C23" s="295"/>
      <c r="D23" s="295"/>
      <c r="E23" s="295"/>
    </row>
    <row r="24" spans="1:11" ht="12" customHeight="1" x14ac:dyDescent="0.3">
      <c r="A24" s="301"/>
      <c r="B24" s="304"/>
      <c r="C24" s="295"/>
      <c r="D24" s="295"/>
      <c r="E24" s="295"/>
    </row>
    <row r="25" spans="1:11" x14ac:dyDescent="0.3">
      <c r="A25" s="299" t="s">
        <v>309</v>
      </c>
      <c r="B25" s="299"/>
      <c r="C25" s="295"/>
      <c r="D25" s="295"/>
      <c r="E25" s="295"/>
    </row>
    <row r="26" spans="1:11" x14ac:dyDescent="0.3">
      <c r="A26" s="299" t="s">
        <v>310</v>
      </c>
      <c r="B26" s="299"/>
      <c r="C26" s="295"/>
      <c r="D26" s="295"/>
      <c r="E26" s="295"/>
    </row>
    <row r="27" spans="1:11" x14ac:dyDescent="0.3">
      <c r="A27" s="970" t="s">
        <v>324</v>
      </c>
      <c r="B27" s="970"/>
      <c r="C27" s="970"/>
      <c r="D27" s="970"/>
      <c r="E27" s="970"/>
    </row>
    <row r="28" spans="1:11" ht="41.4" customHeight="1" x14ac:dyDescent="0.3">
      <c r="A28" s="970"/>
      <c r="B28" s="970"/>
      <c r="C28" s="970"/>
      <c r="D28" s="970"/>
      <c r="E28" s="970"/>
    </row>
    <row r="29" spans="1:11" x14ac:dyDescent="0.3">
      <c r="A29" s="959" t="s">
        <v>444</v>
      </c>
      <c r="B29" s="959"/>
      <c r="C29" s="959"/>
      <c r="D29" s="959"/>
      <c r="E29" s="959"/>
      <c r="F29" s="959"/>
      <c r="G29" s="959"/>
      <c r="H29" s="959"/>
    </row>
    <row r="30" spans="1:11" ht="16.8" customHeight="1" x14ac:dyDescent="0.3">
      <c r="A30" s="963"/>
      <c r="B30" s="963"/>
      <c r="C30" s="963"/>
      <c r="D30" s="963"/>
      <c r="E30" s="963"/>
      <c r="F30" s="654"/>
      <c r="G30" s="654"/>
      <c r="H30" s="654"/>
      <c r="I30" s="654"/>
      <c r="J30" s="654"/>
      <c r="K30" s="654"/>
    </row>
    <row r="31" spans="1:11" ht="90" customHeight="1" x14ac:dyDescent="0.3">
      <c r="A31" s="863" t="s">
        <v>147</v>
      </c>
      <c r="B31" s="863"/>
      <c r="C31" s="863"/>
      <c r="D31" s="863"/>
      <c r="E31" s="863"/>
    </row>
  </sheetData>
  <sheetProtection algorithmName="SHA-512" hashValue="ghT4TJ63tdcCKIzxBSNLYgtrpDOm0gr+FqCotXCcLvhCTWisPmevPj7ElyUIdUR59RvTF5nbsoTQW5M0POn1eQ==" saltValue="krAXGKME/SSZgLNuViV0gQ=="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zoomScale="70" zoomScaleNormal="70" workbookViewId="0">
      <selection activeCell="T13" sqref="T13"/>
    </sheetView>
  </sheetViews>
  <sheetFormatPr baseColWidth="10" defaultColWidth="11.33203125" defaultRowHeight="14.4" x14ac:dyDescent="0.3"/>
  <cols>
    <col min="1" max="1" width="8.88671875" style="340" customWidth="1"/>
    <col min="2" max="2" width="9.6640625" style="340" customWidth="1"/>
    <col min="3" max="3" width="8.33203125" style="340" customWidth="1"/>
    <col min="4" max="4" width="4.6640625" style="340" customWidth="1"/>
    <col min="5" max="5" width="8.21875" style="340" customWidth="1"/>
    <col min="6" max="6" width="10.21875" style="340" customWidth="1"/>
    <col min="7" max="12" width="4.6640625" style="340" customWidth="1"/>
    <col min="13" max="13" width="10.21875" style="340" bestFit="1" customWidth="1"/>
    <col min="14" max="14" width="9" style="340" customWidth="1"/>
    <col min="15" max="15" width="15.77734375" style="340" customWidth="1"/>
    <col min="16" max="16" width="15.21875" style="342" customWidth="1"/>
    <col min="17" max="17" width="9.88671875" style="340" customWidth="1"/>
    <col min="18" max="18" width="13.33203125" style="340" bestFit="1" customWidth="1"/>
    <col min="19" max="19" width="17.109375" style="340" bestFit="1" customWidth="1"/>
    <col min="20" max="20" width="7.109375" style="340" customWidth="1"/>
    <col min="21" max="22" width="10.77734375" style="343" bestFit="1" customWidth="1"/>
    <col min="23" max="16384" width="11.33203125" style="340"/>
  </cols>
  <sheetData>
    <row r="1" spans="1:26" x14ac:dyDescent="0.3">
      <c r="A1" s="340" t="s">
        <v>339</v>
      </c>
      <c r="B1" s="340" t="s">
        <v>340</v>
      </c>
      <c r="C1" s="340" t="s">
        <v>341</v>
      </c>
      <c r="D1" s="340" t="s">
        <v>342</v>
      </c>
      <c r="E1" s="340" t="s">
        <v>343</v>
      </c>
      <c r="F1" s="340" t="s">
        <v>344</v>
      </c>
      <c r="G1" s="340" t="s">
        <v>345</v>
      </c>
      <c r="H1" s="340" t="s">
        <v>346</v>
      </c>
      <c r="I1" s="340" t="s">
        <v>347</v>
      </c>
      <c r="J1" s="340" t="s">
        <v>348</v>
      </c>
      <c r="K1" s="340" t="s">
        <v>349</v>
      </c>
      <c r="L1" s="340" t="s">
        <v>350</v>
      </c>
      <c r="M1" s="340" t="s">
        <v>351</v>
      </c>
      <c r="N1" s="340" t="s">
        <v>352</v>
      </c>
      <c r="O1" s="341" t="s">
        <v>353</v>
      </c>
      <c r="P1" s="342" t="s">
        <v>354</v>
      </c>
      <c r="Q1" s="340" t="s">
        <v>355</v>
      </c>
      <c r="R1" s="340" t="s">
        <v>356</v>
      </c>
      <c r="S1" s="340" t="s">
        <v>357</v>
      </c>
      <c r="T1" s="340" t="s">
        <v>358</v>
      </c>
      <c r="U1" s="343" t="s">
        <v>359</v>
      </c>
      <c r="V1" s="343" t="s">
        <v>360</v>
      </c>
    </row>
    <row r="2" spans="1:26" x14ac:dyDescent="0.3">
      <c r="A2" s="361" t="s">
        <v>361</v>
      </c>
      <c r="B2" s="361">
        <v>543</v>
      </c>
      <c r="C2" s="361" t="s">
        <v>362</v>
      </c>
      <c r="D2" s="361"/>
      <c r="E2" s="361"/>
      <c r="F2" s="361" t="s">
        <v>158</v>
      </c>
      <c r="G2" s="361"/>
      <c r="H2" s="361"/>
      <c r="I2" s="361"/>
      <c r="J2" s="361"/>
      <c r="K2" s="361"/>
      <c r="L2" s="361"/>
      <c r="M2" s="403" t="str">
        <f>+'Calculo IP ZDF'!M28</f>
        <v>Z61</v>
      </c>
      <c r="N2" s="361"/>
      <c r="O2" s="345">
        <f>+'Calculo IP ZDF'!B49</f>
        <v>30000002129</v>
      </c>
      <c r="P2" s="565">
        <f>ROUND('Calculo IP ZDF'!D28,2)</f>
        <v>4025.28</v>
      </c>
      <c r="Q2" s="361" t="s">
        <v>363</v>
      </c>
      <c r="R2" s="361">
        <v>1</v>
      </c>
      <c r="S2" s="361" t="s">
        <v>364</v>
      </c>
      <c r="T2" s="361" t="s">
        <v>365</v>
      </c>
      <c r="U2" s="344" t="str">
        <f>+'Calculo IP ZDF'!B46</f>
        <v>23.06.2022</v>
      </c>
      <c r="V2" s="344" t="str">
        <f>+'Calculo IP ZDF'!C46</f>
        <v>22.07.2022</v>
      </c>
      <c r="X2" s="340">
        <v>4242.59</v>
      </c>
      <c r="Y2" s="340">
        <f>+P2-X2</f>
        <v>-217.30999999999995</v>
      </c>
      <c r="Z2" s="418" t="s">
        <v>406</v>
      </c>
    </row>
    <row r="3" spans="1:26" x14ac:dyDescent="0.3">
      <c r="A3" s="340" t="s">
        <v>361</v>
      </c>
      <c r="B3" s="340">
        <v>543</v>
      </c>
      <c r="C3" s="340" t="s">
        <v>362</v>
      </c>
      <c r="F3" s="340" t="s">
        <v>158</v>
      </c>
      <c r="M3" s="346" t="str">
        <f>+'Calculo IP ZDF'!M29</f>
        <v>Z68</v>
      </c>
      <c r="O3" s="345">
        <f>+O2</f>
        <v>30000002129</v>
      </c>
      <c r="P3" s="341">
        <f>ROUND('Calculo IP ZDF'!D29,2)</f>
        <v>2710.54</v>
      </c>
      <c r="Q3" s="340" t="s">
        <v>363</v>
      </c>
      <c r="R3" s="340">
        <v>1</v>
      </c>
      <c r="S3" s="340" t="s">
        <v>364</v>
      </c>
      <c r="T3" s="340" t="s">
        <v>365</v>
      </c>
      <c r="U3" s="344" t="str">
        <f>+U2</f>
        <v>23.06.2022</v>
      </c>
      <c r="V3" s="344" t="str">
        <f>+V2</f>
        <v>22.07.2022</v>
      </c>
      <c r="X3" s="340">
        <v>4026.31</v>
      </c>
      <c r="Y3" s="340">
        <f t="shared" ref="Y3:Y46" si="0">+P3-X3</f>
        <v>-1315.77</v>
      </c>
      <c r="Z3" s="418" t="s">
        <v>406</v>
      </c>
    </row>
    <row r="4" spans="1:26" x14ac:dyDescent="0.3">
      <c r="A4" s="340" t="s">
        <v>361</v>
      </c>
      <c r="B4" s="340">
        <v>543</v>
      </c>
      <c r="C4" s="340" t="s">
        <v>362</v>
      </c>
      <c r="M4" s="346" t="str">
        <f>+'Calculo IP ZDF'!M30</f>
        <v>Z67</v>
      </c>
      <c r="O4" s="345">
        <f t="shared" ref="O4:O27" si="1">+O3</f>
        <v>30000002129</v>
      </c>
      <c r="P4" s="341">
        <f>ROUND('Calculo IP ZDF'!D30,2)</f>
        <v>4109.3100000000004</v>
      </c>
      <c r="Q4" s="340" t="s">
        <v>363</v>
      </c>
      <c r="R4" s="340">
        <v>1</v>
      </c>
      <c r="S4" s="340" t="s">
        <v>364</v>
      </c>
      <c r="T4" s="340" t="s">
        <v>365</v>
      </c>
      <c r="U4" s="344" t="str">
        <f t="shared" ref="U4:V20" si="2">+U3</f>
        <v>23.06.2022</v>
      </c>
      <c r="V4" s="344" t="str">
        <f t="shared" si="2"/>
        <v>22.07.2022</v>
      </c>
      <c r="X4" s="340">
        <v>4147.91</v>
      </c>
      <c r="Y4" s="340">
        <f t="shared" si="0"/>
        <v>-38.599999999999454</v>
      </c>
      <c r="Z4" s="418" t="s">
        <v>406</v>
      </c>
    </row>
    <row r="5" spans="1:26" x14ac:dyDescent="0.3">
      <c r="A5" s="397" t="s">
        <v>361</v>
      </c>
      <c r="B5" s="397">
        <v>543</v>
      </c>
      <c r="C5" s="397" t="s">
        <v>362</v>
      </c>
      <c r="D5" s="397"/>
      <c r="E5" s="397"/>
      <c r="F5" s="397"/>
      <c r="G5" s="397"/>
      <c r="H5" s="397"/>
      <c r="I5" s="397"/>
      <c r="J5" s="397"/>
      <c r="K5" s="397"/>
      <c r="L5" s="397"/>
      <c r="M5" s="396" t="str">
        <f>+'Calculo IP ZDF'!M31</f>
        <v xml:space="preserve">Z64  </v>
      </c>
      <c r="N5" s="397"/>
      <c r="O5" s="398">
        <f t="shared" si="1"/>
        <v>30000002129</v>
      </c>
      <c r="P5" s="399">
        <f>ROUND('Calculo IP ZDF'!D31,2)</f>
        <v>4243.84</v>
      </c>
      <c r="Q5" s="397" t="s">
        <v>363</v>
      </c>
      <c r="R5" s="397">
        <v>1</v>
      </c>
      <c r="S5" s="397" t="s">
        <v>364</v>
      </c>
      <c r="T5" s="397" t="s">
        <v>365</v>
      </c>
      <c r="U5" s="400" t="str">
        <f t="shared" si="2"/>
        <v>23.06.2022</v>
      </c>
      <c r="V5" s="400" t="str">
        <f t="shared" si="2"/>
        <v>22.07.2022</v>
      </c>
      <c r="X5" s="340">
        <v>4618.07</v>
      </c>
      <c r="Y5" s="340">
        <f t="shared" si="0"/>
        <v>-374.22999999999956</v>
      </c>
      <c r="Z5" s="418" t="s">
        <v>406</v>
      </c>
    </row>
    <row r="6" spans="1:26" x14ac:dyDescent="0.3">
      <c r="A6" s="340" t="s">
        <v>361</v>
      </c>
      <c r="B6" s="340">
        <v>543</v>
      </c>
      <c r="C6" s="340" t="s">
        <v>362</v>
      </c>
      <c r="M6" s="346" t="s">
        <v>400</v>
      </c>
      <c r="O6" s="345">
        <f t="shared" si="1"/>
        <v>30000002129</v>
      </c>
      <c r="P6" s="341">
        <f>ROUND('Calculo IP ZDF'!D32,2)</f>
        <v>3627.64</v>
      </c>
      <c r="Q6" s="340" t="s">
        <v>363</v>
      </c>
      <c r="R6" s="340">
        <v>1</v>
      </c>
      <c r="S6" s="340" t="s">
        <v>364</v>
      </c>
      <c r="T6" s="340" t="s">
        <v>365</v>
      </c>
      <c r="U6" s="344" t="str">
        <f t="shared" si="2"/>
        <v>23.06.2022</v>
      </c>
      <c r="V6" s="344" t="str">
        <f t="shared" si="2"/>
        <v>22.07.2022</v>
      </c>
      <c r="X6" s="340">
        <v>4029.1</v>
      </c>
      <c r="Y6" s="340">
        <f t="shared" si="0"/>
        <v>-401.46000000000004</v>
      </c>
      <c r="Z6" s="418" t="s">
        <v>406</v>
      </c>
    </row>
    <row r="7" spans="1:26" x14ac:dyDescent="0.3">
      <c r="A7" s="340" t="s">
        <v>361</v>
      </c>
      <c r="B7" s="340">
        <v>543</v>
      </c>
      <c r="C7" s="340" t="s">
        <v>362</v>
      </c>
      <c r="M7" s="346" t="str">
        <f>+'Calculo IP ZDF'!M33</f>
        <v>Z65</v>
      </c>
      <c r="O7" s="345">
        <f t="shared" si="1"/>
        <v>30000002129</v>
      </c>
      <c r="P7" s="341">
        <f>ROUND('Calculo IP ZDF'!D33,2)</f>
        <v>4026.13</v>
      </c>
      <c r="Q7" s="340" t="s">
        <v>363</v>
      </c>
      <c r="R7" s="340">
        <v>1</v>
      </c>
      <c r="S7" s="340" t="s">
        <v>364</v>
      </c>
      <c r="T7" s="340" t="s">
        <v>365</v>
      </c>
      <c r="U7" s="344" t="str">
        <f t="shared" si="2"/>
        <v>23.06.2022</v>
      </c>
      <c r="V7" s="344" t="str">
        <f t="shared" si="2"/>
        <v>22.07.2022</v>
      </c>
      <c r="X7" s="340">
        <v>4618.07</v>
      </c>
      <c r="Y7" s="340">
        <f t="shared" si="0"/>
        <v>-591.9399999999996</v>
      </c>
      <c r="Z7" s="418" t="s">
        <v>406</v>
      </c>
    </row>
    <row r="8" spans="1:26" x14ac:dyDescent="0.3">
      <c r="A8" s="340" t="s">
        <v>361</v>
      </c>
      <c r="B8" s="340">
        <v>543</v>
      </c>
      <c r="C8" s="340" t="s">
        <v>362</v>
      </c>
      <c r="M8" s="346" t="str">
        <f>+'Calculo IP ZDF'!M34</f>
        <v>Z69</v>
      </c>
      <c r="O8" s="345">
        <f t="shared" si="1"/>
        <v>30000002129</v>
      </c>
      <c r="P8" s="341">
        <f>ROUND('Calculo IP ZDF'!D34,2)</f>
        <v>3025.01</v>
      </c>
      <c r="Q8" s="340" t="s">
        <v>363</v>
      </c>
      <c r="R8" s="340">
        <v>1</v>
      </c>
      <c r="S8" s="340" t="s">
        <v>364</v>
      </c>
      <c r="T8" s="340" t="s">
        <v>365</v>
      </c>
      <c r="U8" s="344" t="str">
        <f t="shared" si="2"/>
        <v>23.06.2022</v>
      </c>
      <c r="V8" s="344" t="str">
        <f t="shared" si="2"/>
        <v>22.07.2022</v>
      </c>
      <c r="X8" s="340">
        <v>4413.8599999999997</v>
      </c>
      <c r="Y8" s="340">
        <f t="shared" si="0"/>
        <v>-1388.8499999999995</v>
      </c>
      <c r="Z8" s="418" t="s">
        <v>406</v>
      </c>
    </row>
    <row r="9" spans="1:26" x14ac:dyDescent="0.3">
      <c r="A9" s="340" t="s">
        <v>361</v>
      </c>
      <c r="B9" s="340">
        <v>543</v>
      </c>
      <c r="C9" s="340" t="s">
        <v>362</v>
      </c>
      <c r="M9" s="346" t="str">
        <f>+'Calculo IP ZDF'!M36</f>
        <v>Z62</v>
      </c>
      <c r="O9" s="345">
        <f>+O8</f>
        <v>30000002129</v>
      </c>
      <c r="P9" s="341">
        <f>ROUND('Calculo IP ZDF'!D36,2)</f>
        <v>4015.95</v>
      </c>
      <c r="Q9" s="340" t="s">
        <v>363</v>
      </c>
      <c r="R9" s="340">
        <v>1</v>
      </c>
      <c r="S9" s="340" t="s">
        <v>364</v>
      </c>
      <c r="T9" s="340" t="s">
        <v>365</v>
      </c>
      <c r="U9" s="344" t="str">
        <f>+U8</f>
        <v>23.06.2022</v>
      </c>
      <c r="V9" s="344" t="str">
        <f>+V8</f>
        <v>22.07.2022</v>
      </c>
      <c r="X9" s="340">
        <v>4406.43</v>
      </c>
      <c r="Y9" s="340">
        <f t="shared" si="0"/>
        <v>-390.48000000000047</v>
      </c>
      <c r="Z9" s="418" t="s">
        <v>406</v>
      </c>
    </row>
    <row r="10" spans="1:26" s="353" customFormat="1" x14ac:dyDescent="0.3">
      <c r="A10" s="353" t="s">
        <v>361</v>
      </c>
      <c r="B10" s="353">
        <v>543</v>
      </c>
      <c r="C10" s="353" t="s">
        <v>362</v>
      </c>
      <c r="M10" s="354" t="str">
        <f>+M9</f>
        <v>Z62</v>
      </c>
      <c r="O10" s="355">
        <f>+'Calculo IP ZDF'!B51</f>
        <v>30000009250</v>
      </c>
      <c r="P10" s="356">
        <f>+P9</f>
        <v>4015.95</v>
      </c>
      <c r="Q10" s="353" t="s">
        <v>363</v>
      </c>
      <c r="R10" s="353">
        <v>1</v>
      </c>
      <c r="S10" s="353" t="s">
        <v>364</v>
      </c>
      <c r="T10" s="353" t="s">
        <v>365</v>
      </c>
      <c r="U10" s="357" t="str">
        <f>+U9</f>
        <v>23.06.2022</v>
      </c>
      <c r="V10" s="357" t="str">
        <f>+V9</f>
        <v>22.07.2022</v>
      </c>
      <c r="X10" s="353">
        <v>4406.43</v>
      </c>
      <c r="Y10" s="340">
        <f t="shared" si="0"/>
        <v>-390.48000000000047</v>
      </c>
      <c r="Z10" s="353" t="s">
        <v>406</v>
      </c>
    </row>
    <row r="11" spans="1:26" x14ac:dyDescent="0.3">
      <c r="A11" s="340" t="s">
        <v>361</v>
      </c>
      <c r="B11" s="340">
        <v>543</v>
      </c>
      <c r="C11" s="340" t="s">
        <v>362</v>
      </c>
      <c r="M11" s="346" t="str">
        <f>+'Calculo IP ZDF'!M37</f>
        <v>Z60</v>
      </c>
      <c r="O11" s="345">
        <f>+O2</f>
        <v>30000002129</v>
      </c>
      <c r="P11" s="341">
        <f>ROUND('Calculo IP ZDF'!D37,2)</f>
        <v>3618.72</v>
      </c>
      <c r="Q11" s="340" t="s">
        <v>363</v>
      </c>
      <c r="R11" s="340">
        <v>1</v>
      </c>
      <c r="S11" s="340" t="s">
        <v>364</v>
      </c>
      <c r="T11" s="340" t="s">
        <v>365</v>
      </c>
      <c r="U11" s="344" t="str">
        <f>+U9</f>
        <v>23.06.2022</v>
      </c>
      <c r="V11" s="344" t="str">
        <f>+V9</f>
        <v>22.07.2022</v>
      </c>
      <c r="X11" s="340">
        <v>4334.03</v>
      </c>
      <c r="Y11" s="340">
        <f t="shared" si="0"/>
        <v>-715.31</v>
      </c>
      <c r="Z11" s="418" t="s">
        <v>406</v>
      </c>
    </row>
    <row r="12" spans="1:26" x14ac:dyDescent="0.3">
      <c r="A12" s="361" t="s">
        <v>361</v>
      </c>
      <c r="B12" s="361">
        <v>543</v>
      </c>
      <c r="C12" s="361" t="s">
        <v>362</v>
      </c>
      <c r="D12" s="361"/>
      <c r="E12" s="361"/>
      <c r="F12" s="361"/>
      <c r="G12" s="361"/>
      <c r="H12" s="361"/>
      <c r="I12" s="361"/>
      <c r="J12" s="361"/>
      <c r="K12" s="361"/>
      <c r="L12" s="361"/>
      <c r="M12" s="403" t="str">
        <f>+'Calculo IP ZDF'!M38</f>
        <v>Z63</v>
      </c>
      <c r="N12" s="361"/>
      <c r="O12" s="345">
        <f t="shared" si="1"/>
        <v>30000002129</v>
      </c>
      <c r="P12" s="404">
        <f>ROUND('Calculo IP ZDF'!D38,2)</f>
        <v>4026.13</v>
      </c>
      <c r="Q12" s="361" t="s">
        <v>363</v>
      </c>
      <c r="R12" s="361">
        <v>1</v>
      </c>
      <c r="S12" s="361" t="s">
        <v>364</v>
      </c>
      <c r="T12" s="361" t="s">
        <v>365</v>
      </c>
      <c r="U12" s="344" t="str">
        <f>+U11</f>
        <v>23.06.2022</v>
      </c>
      <c r="V12" s="344" t="str">
        <f>+'Calculo IP ZDF'!C46</f>
        <v>22.07.2022</v>
      </c>
      <c r="X12" s="340">
        <v>4399.01</v>
      </c>
      <c r="Y12" s="340">
        <f t="shared" si="0"/>
        <v>-372.88000000000011</v>
      </c>
      <c r="Z12" s="418" t="s">
        <v>406</v>
      </c>
    </row>
    <row r="13" spans="1:26" x14ac:dyDescent="0.3">
      <c r="A13" s="340" t="s">
        <v>361</v>
      </c>
      <c r="B13" s="340">
        <v>543</v>
      </c>
      <c r="C13" s="340" t="s">
        <v>362</v>
      </c>
      <c r="M13" s="346" t="str">
        <f>+'Calculo IP ZDF'!M39</f>
        <v>Z70</v>
      </c>
      <c r="O13" s="345">
        <f t="shared" si="1"/>
        <v>30000002129</v>
      </c>
      <c r="P13" s="341">
        <f>ROUND('Calculo IP ZDF'!D39,2)</f>
        <v>2875.2</v>
      </c>
      <c r="Q13" s="340" t="s">
        <v>363</v>
      </c>
      <c r="R13" s="340">
        <v>1</v>
      </c>
      <c r="S13" s="340" t="s">
        <v>364</v>
      </c>
      <c r="T13" s="340" t="s">
        <v>365</v>
      </c>
      <c r="U13" s="344" t="str">
        <f t="shared" si="2"/>
        <v>23.06.2022</v>
      </c>
      <c r="V13" s="344" t="str">
        <f t="shared" si="2"/>
        <v>22.07.2022</v>
      </c>
      <c r="X13" s="340">
        <v>4618.07</v>
      </c>
      <c r="Y13" s="340">
        <f t="shared" si="0"/>
        <v>-1742.87</v>
      </c>
      <c r="Z13" s="418" t="s">
        <v>406</v>
      </c>
    </row>
    <row r="14" spans="1:26" x14ac:dyDescent="0.3">
      <c r="A14" s="340" t="s">
        <v>361</v>
      </c>
      <c r="B14" s="340">
        <v>543</v>
      </c>
      <c r="C14" s="340" t="s">
        <v>362</v>
      </c>
      <c r="M14" s="346" t="str">
        <f>+'Calculo IP ZDF'!M40</f>
        <v>Z75</v>
      </c>
      <c r="O14" s="345">
        <f t="shared" si="1"/>
        <v>30000002129</v>
      </c>
      <c r="P14" s="341">
        <f>ROUND('Calculo IP ZDF'!D40,2)</f>
        <v>2711.81</v>
      </c>
      <c r="Q14" s="340" t="s">
        <v>363</v>
      </c>
      <c r="R14" s="340">
        <v>1</v>
      </c>
      <c r="S14" s="340" t="s">
        <v>364</v>
      </c>
      <c r="T14" s="340" t="s">
        <v>365</v>
      </c>
      <c r="U14" s="344" t="str">
        <f t="shared" si="2"/>
        <v>23.06.2022</v>
      </c>
      <c r="V14" s="344" t="str">
        <f t="shared" si="2"/>
        <v>22.07.2022</v>
      </c>
      <c r="X14" s="340">
        <v>4017.03</v>
      </c>
      <c r="Y14" s="340">
        <f t="shared" si="0"/>
        <v>-1305.2200000000003</v>
      </c>
      <c r="Z14" s="418" t="s">
        <v>406</v>
      </c>
    </row>
    <row r="15" spans="1:26" x14ac:dyDescent="0.3">
      <c r="A15" s="361" t="s">
        <v>366</v>
      </c>
      <c r="B15" s="361">
        <v>543</v>
      </c>
      <c r="C15" s="361" t="s">
        <v>362</v>
      </c>
      <c r="D15" s="361"/>
      <c r="E15" s="361"/>
      <c r="F15" s="361"/>
      <c r="G15" s="361"/>
      <c r="H15" s="361"/>
      <c r="I15" s="361"/>
      <c r="J15" s="361"/>
      <c r="K15" s="361"/>
      <c r="L15" s="361"/>
      <c r="M15" s="403" t="str">
        <f>+'Calculo IP ZDF'!M28</f>
        <v>Z61</v>
      </c>
      <c r="N15" s="361"/>
      <c r="O15" s="345">
        <f t="shared" si="1"/>
        <v>30000002129</v>
      </c>
      <c r="P15" s="405">
        <f>ROUND('Calculo IP ZDF'!E28,2)</f>
        <v>461.97</v>
      </c>
      <c r="Q15" s="361" t="s">
        <v>363</v>
      </c>
      <c r="R15" s="361">
        <v>1</v>
      </c>
      <c r="S15" s="361" t="s">
        <v>364</v>
      </c>
      <c r="T15" s="361" t="s">
        <v>365</v>
      </c>
      <c r="U15" s="344" t="str">
        <f>+U14</f>
        <v>23.06.2022</v>
      </c>
      <c r="V15" s="344" t="str">
        <f>+V12</f>
        <v>22.07.2022</v>
      </c>
      <c r="X15" s="340">
        <v>230.3</v>
      </c>
      <c r="Y15" s="340">
        <f t="shared" si="0"/>
        <v>231.67000000000002</v>
      </c>
      <c r="Z15" s="418" t="s">
        <v>406</v>
      </c>
    </row>
    <row r="16" spans="1:26" x14ac:dyDescent="0.3">
      <c r="A16" s="340" t="s">
        <v>366</v>
      </c>
      <c r="B16" s="340">
        <v>543</v>
      </c>
      <c r="C16" s="340" t="s">
        <v>362</v>
      </c>
      <c r="M16" s="346" t="str">
        <f>+'Calculo IP ZDF'!M29</f>
        <v>Z68</v>
      </c>
      <c r="O16" s="345">
        <f t="shared" si="1"/>
        <v>30000002129</v>
      </c>
      <c r="P16" s="342">
        <f>ROUND('Calculo IP ZDF'!E29,2)</f>
        <v>461.97</v>
      </c>
      <c r="Q16" s="340" t="s">
        <v>363</v>
      </c>
      <c r="R16" s="340">
        <v>1</v>
      </c>
      <c r="S16" s="340" t="s">
        <v>364</v>
      </c>
      <c r="T16" s="340" t="s">
        <v>365</v>
      </c>
      <c r="U16" s="344" t="str">
        <f t="shared" si="2"/>
        <v>23.06.2022</v>
      </c>
      <c r="V16" s="344" t="str">
        <f t="shared" si="2"/>
        <v>22.07.2022</v>
      </c>
      <c r="X16" s="340">
        <v>230.3</v>
      </c>
      <c r="Y16" s="340">
        <f t="shared" si="0"/>
        <v>231.67000000000002</v>
      </c>
      <c r="Z16" s="418" t="s">
        <v>406</v>
      </c>
    </row>
    <row r="17" spans="1:26" x14ac:dyDescent="0.3">
      <c r="A17" s="340" t="s">
        <v>366</v>
      </c>
      <c r="B17" s="340">
        <v>543</v>
      </c>
      <c r="C17" s="340" t="s">
        <v>362</v>
      </c>
      <c r="M17" s="346" t="str">
        <f>+'Calculo IP ZDF'!M30</f>
        <v>Z67</v>
      </c>
      <c r="O17" s="345">
        <f t="shared" si="1"/>
        <v>30000002129</v>
      </c>
      <c r="P17" s="342">
        <f>ROUND('Calculo IP ZDF'!E30,2)</f>
        <v>461.97</v>
      </c>
      <c r="Q17" s="340" t="s">
        <v>363</v>
      </c>
      <c r="R17" s="340">
        <v>1</v>
      </c>
      <c r="S17" s="340" t="s">
        <v>364</v>
      </c>
      <c r="T17" s="340" t="s">
        <v>365</v>
      </c>
      <c r="U17" s="344" t="str">
        <f t="shared" si="2"/>
        <v>23.06.2022</v>
      </c>
      <c r="V17" s="344" t="str">
        <f t="shared" si="2"/>
        <v>22.07.2022</v>
      </c>
      <c r="X17" s="340">
        <v>230.3</v>
      </c>
      <c r="Y17" s="340">
        <f t="shared" si="0"/>
        <v>231.67000000000002</v>
      </c>
      <c r="Z17" s="418" t="s">
        <v>406</v>
      </c>
    </row>
    <row r="18" spans="1:26" x14ac:dyDescent="0.3">
      <c r="A18" s="397" t="s">
        <v>366</v>
      </c>
      <c r="B18" s="397">
        <v>543</v>
      </c>
      <c r="C18" s="397" t="s">
        <v>362</v>
      </c>
      <c r="D18" s="397"/>
      <c r="E18" s="397"/>
      <c r="F18" s="397"/>
      <c r="G18" s="397"/>
      <c r="H18" s="397"/>
      <c r="I18" s="397"/>
      <c r="J18" s="397"/>
      <c r="K18" s="397"/>
      <c r="L18" s="397"/>
      <c r="M18" s="396" t="str">
        <f>+M5</f>
        <v xml:space="preserve">Z64  </v>
      </c>
      <c r="N18" s="397"/>
      <c r="O18" s="398">
        <f t="shared" si="1"/>
        <v>30000002129</v>
      </c>
      <c r="P18" s="362">
        <f>ROUND('Calculo IP ZDF'!E31,2)</f>
        <v>461.97</v>
      </c>
      <c r="Q18" s="397" t="s">
        <v>363</v>
      </c>
      <c r="R18" s="397">
        <v>1</v>
      </c>
      <c r="S18" s="397" t="s">
        <v>364</v>
      </c>
      <c r="T18" s="397" t="s">
        <v>365</v>
      </c>
      <c r="U18" s="400" t="str">
        <f t="shared" si="2"/>
        <v>23.06.2022</v>
      </c>
      <c r="V18" s="400" t="str">
        <f t="shared" si="2"/>
        <v>22.07.2022</v>
      </c>
      <c r="X18" s="340">
        <v>230.3</v>
      </c>
      <c r="Y18" s="340">
        <f t="shared" si="0"/>
        <v>231.67000000000002</v>
      </c>
      <c r="Z18" s="418" t="s">
        <v>406</v>
      </c>
    </row>
    <row r="19" spans="1:26" x14ac:dyDescent="0.3">
      <c r="A19" s="340" t="s">
        <v>366</v>
      </c>
      <c r="B19" s="340">
        <v>543</v>
      </c>
      <c r="C19" s="340" t="s">
        <v>362</v>
      </c>
      <c r="M19" s="346" t="str">
        <f>+M6</f>
        <v>Z74</v>
      </c>
      <c r="O19" s="345">
        <f t="shared" si="1"/>
        <v>30000002129</v>
      </c>
      <c r="P19" s="342">
        <f>ROUND('Calculo IP ZDF'!E32,2)</f>
        <v>461.97</v>
      </c>
      <c r="Q19" s="340" t="s">
        <v>363</v>
      </c>
      <c r="R19" s="340">
        <v>1</v>
      </c>
      <c r="S19" s="340" t="s">
        <v>364</v>
      </c>
      <c r="T19" s="340" t="s">
        <v>365</v>
      </c>
      <c r="U19" s="344" t="str">
        <f t="shared" si="2"/>
        <v>23.06.2022</v>
      </c>
      <c r="V19" s="344" t="str">
        <f t="shared" si="2"/>
        <v>22.07.2022</v>
      </c>
      <c r="X19" s="340">
        <v>230.3</v>
      </c>
      <c r="Y19" s="340">
        <f t="shared" si="0"/>
        <v>231.67000000000002</v>
      </c>
      <c r="Z19" s="418" t="s">
        <v>406</v>
      </c>
    </row>
    <row r="20" spans="1:26" x14ac:dyDescent="0.3">
      <c r="A20" s="340" t="s">
        <v>366</v>
      </c>
      <c r="B20" s="340">
        <v>543</v>
      </c>
      <c r="C20" s="340" t="s">
        <v>362</v>
      </c>
      <c r="M20" s="346" t="str">
        <f>+'Calculo IP ZDF'!M33</f>
        <v>Z65</v>
      </c>
      <c r="O20" s="345">
        <f t="shared" si="1"/>
        <v>30000002129</v>
      </c>
      <c r="P20" s="342">
        <f>ROUND('Calculo IP ZDF'!E33,2)</f>
        <v>461.97</v>
      </c>
      <c r="Q20" s="340" t="s">
        <v>363</v>
      </c>
      <c r="R20" s="340">
        <v>1</v>
      </c>
      <c r="S20" s="340" t="s">
        <v>364</v>
      </c>
      <c r="T20" s="340" t="s">
        <v>365</v>
      </c>
      <c r="U20" s="344" t="str">
        <f t="shared" si="2"/>
        <v>23.06.2022</v>
      </c>
      <c r="V20" s="344" t="str">
        <f t="shared" si="2"/>
        <v>22.07.2022</v>
      </c>
      <c r="X20" s="340">
        <v>230.3</v>
      </c>
      <c r="Y20" s="340">
        <f t="shared" si="0"/>
        <v>231.67000000000002</v>
      </c>
      <c r="Z20" s="418" t="s">
        <v>406</v>
      </c>
    </row>
    <row r="21" spans="1:26" x14ac:dyDescent="0.3">
      <c r="A21" s="340" t="s">
        <v>366</v>
      </c>
      <c r="B21" s="340">
        <v>543</v>
      </c>
      <c r="C21" s="340" t="s">
        <v>362</v>
      </c>
      <c r="M21" s="346" t="str">
        <f>+'Calculo IP ZDF'!M34</f>
        <v>Z69</v>
      </c>
      <c r="O21" s="345">
        <f t="shared" si="1"/>
        <v>30000002129</v>
      </c>
      <c r="P21" s="342">
        <f>ROUND('Calculo IP ZDF'!E34,2)</f>
        <v>461.97</v>
      </c>
      <c r="Q21" s="340" t="s">
        <v>363</v>
      </c>
      <c r="R21" s="340">
        <v>1</v>
      </c>
      <c r="S21" s="340" t="s">
        <v>364</v>
      </c>
      <c r="T21" s="340" t="s">
        <v>365</v>
      </c>
      <c r="U21" s="344" t="str">
        <f t="shared" ref="U21:V36" si="3">+U20</f>
        <v>23.06.2022</v>
      </c>
      <c r="V21" s="344" t="str">
        <f t="shared" si="3"/>
        <v>22.07.2022</v>
      </c>
      <c r="X21" s="340">
        <v>230.3</v>
      </c>
      <c r="Y21" s="340">
        <f t="shared" si="0"/>
        <v>231.67000000000002</v>
      </c>
      <c r="Z21" s="418" t="s">
        <v>406</v>
      </c>
    </row>
    <row r="22" spans="1:26" x14ac:dyDescent="0.3">
      <c r="A22" s="340" t="s">
        <v>366</v>
      </c>
      <c r="B22" s="340">
        <v>543</v>
      </c>
      <c r="C22" s="340" t="s">
        <v>362</v>
      </c>
      <c r="M22" s="346" t="str">
        <f>+'Calculo IP ZDF'!M36</f>
        <v>Z62</v>
      </c>
      <c r="O22" s="345">
        <f t="shared" si="1"/>
        <v>30000002129</v>
      </c>
      <c r="P22" s="342">
        <f>ROUND('Calculo IP ZDF'!E36,2)</f>
        <v>461.97</v>
      </c>
      <c r="Q22" s="340" t="s">
        <v>363</v>
      </c>
      <c r="R22" s="340">
        <v>1</v>
      </c>
      <c r="S22" s="340" t="s">
        <v>364</v>
      </c>
      <c r="T22" s="340" t="s">
        <v>365</v>
      </c>
      <c r="U22" s="344" t="str">
        <f>+U21</f>
        <v>23.06.2022</v>
      </c>
      <c r="V22" s="344" t="str">
        <f>+V21</f>
        <v>22.07.2022</v>
      </c>
      <c r="X22" s="340">
        <v>230.3</v>
      </c>
      <c r="Y22" s="340">
        <f t="shared" si="0"/>
        <v>231.67000000000002</v>
      </c>
      <c r="Z22" s="418" t="s">
        <v>406</v>
      </c>
    </row>
    <row r="23" spans="1:26" s="353" customFormat="1" x14ac:dyDescent="0.3">
      <c r="A23" s="353" t="s">
        <v>366</v>
      </c>
      <c r="B23" s="353">
        <v>543</v>
      </c>
      <c r="C23" s="353" t="s">
        <v>362</v>
      </c>
      <c r="M23" s="354" t="str">
        <f>+M22</f>
        <v>Z62</v>
      </c>
      <c r="O23" s="358">
        <f>+O10</f>
        <v>30000009250</v>
      </c>
      <c r="P23" s="359">
        <f>ROUND('Calculo IP ZDF'!E37,2)</f>
        <v>461.97</v>
      </c>
      <c r="Q23" s="353" t="s">
        <v>363</v>
      </c>
      <c r="R23" s="353">
        <v>1</v>
      </c>
      <c r="S23" s="353" t="s">
        <v>364</v>
      </c>
      <c r="T23" s="353" t="s">
        <v>365</v>
      </c>
      <c r="U23" s="357" t="str">
        <f>+U22</f>
        <v>23.06.2022</v>
      </c>
      <c r="V23" s="357" t="str">
        <f>+V22</f>
        <v>22.07.2022</v>
      </c>
      <c r="X23" s="353">
        <v>230.3</v>
      </c>
      <c r="Y23" s="340">
        <f t="shared" si="0"/>
        <v>231.67000000000002</v>
      </c>
      <c r="Z23" s="353" t="s">
        <v>406</v>
      </c>
    </row>
    <row r="24" spans="1:26" x14ac:dyDescent="0.3">
      <c r="A24" s="340" t="s">
        <v>366</v>
      </c>
      <c r="B24" s="340">
        <v>543</v>
      </c>
      <c r="C24" s="340" t="s">
        <v>362</v>
      </c>
      <c r="M24" s="346" t="str">
        <f>+'Calculo IP ZDF'!M37</f>
        <v>Z60</v>
      </c>
      <c r="O24" s="345">
        <f>+O22</f>
        <v>30000002129</v>
      </c>
      <c r="P24" s="342">
        <f>ROUND('Calculo IP ZDF'!E37,2)</f>
        <v>461.97</v>
      </c>
      <c r="Q24" s="340" t="s">
        <v>363</v>
      </c>
      <c r="R24" s="340">
        <v>1</v>
      </c>
      <c r="S24" s="340" t="s">
        <v>364</v>
      </c>
      <c r="T24" s="340" t="s">
        <v>365</v>
      </c>
      <c r="U24" s="344" t="str">
        <f>+U22</f>
        <v>23.06.2022</v>
      </c>
      <c r="V24" s="344" t="str">
        <f>+V22</f>
        <v>22.07.2022</v>
      </c>
      <c r="X24" s="340">
        <v>230.3</v>
      </c>
      <c r="Y24" s="340">
        <f t="shared" si="0"/>
        <v>231.67000000000002</v>
      </c>
      <c r="Z24" s="418" t="s">
        <v>406</v>
      </c>
    </row>
    <row r="25" spans="1:26" x14ac:dyDescent="0.3">
      <c r="A25" s="361" t="s">
        <v>366</v>
      </c>
      <c r="B25" s="361">
        <v>543</v>
      </c>
      <c r="C25" s="361" t="s">
        <v>362</v>
      </c>
      <c r="D25" s="361"/>
      <c r="E25" s="361"/>
      <c r="F25" s="361"/>
      <c r="G25" s="361"/>
      <c r="H25" s="361"/>
      <c r="I25" s="361"/>
      <c r="J25" s="361"/>
      <c r="K25" s="361"/>
      <c r="L25" s="361"/>
      <c r="M25" s="403" t="str">
        <f>+'Calculo IP ZDF'!M38</f>
        <v>Z63</v>
      </c>
      <c r="N25" s="361"/>
      <c r="O25" s="345">
        <f t="shared" si="1"/>
        <v>30000002129</v>
      </c>
      <c r="P25" s="405">
        <f>ROUND('Calculo IP ZDF'!E38,2)</f>
        <v>461.97</v>
      </c>
      <c r="Q25" s="361" t="s">
        <v>363</v>
      </c>
      <c r="R25" s="361">
        <v>1</v>
      </c>
      <c r="S25" s="361" t="s">
        <v>364</v>
      </c>
      <c r="T25" s="361" t="s">
        <v>365</v>
      </c>
      <c r="U25" s="344" t="str">
        <f>+U24</f>
        <v>23.06.2022</v>
      </c>
      <c r="V25" s="344" t="str">
        <f>+V15</f>
        <v>22.07.2022</v>
      </c>
      <c r="X25" s="340">
        <v>230.3</v>
      </c>
      <c r="Y25" s="340">
        <f t="shared" si="0"/>
        <v>231.67000000000002</v>
      </c>
      <c r="Z25" s="418" t="s">
        <v>406</v>
      </c>
    </row>
    <row r="26" spans="1:26" x14ac:dyDescent="0.3">
      <c r="A26" s="340" t="s">
        <v>366</v>
      </c>
      <c r="B26" s="340">
        <v>543</v>
      </c>
      <c r="C26" s="340" t="s">
        <v>362</v>
      </c>
      <c r="M26" s="346" t="str">
        <f>+'Calculo IP ZDF'!M39</f>
        <v>Z70</v>
      </c>
      <c r="O26" s="345">
        <f t="shared" si="1"/>
        <v>30000002129</v>
      </c>
      <c r="P26" s="342">
        <f>ROUND('Calculo IP ZDF'!E39,2)</f>
        <v>461.97</v>
      </c>
      <c r="Q26" s="340" t="s">
        <v>363</v>
      </c>
      <c r="R26" s="340">
        <v>1</v>
      </c>
      <c r="S26" s="340" t="s">
        <v>364</v>
      </c>
      <c r="T26" s="340" t="s">
        <v>365</v>
      </c>
      <c r="U26" s="344" t="str">
        <f t="shared" si="3"/>
        <v>23.06.2022</v>
      </c>
      <c r="V26" s="344" t="str">
        <f t="shared" si="3"/>
        <v>22.07.2022</v>
      </c>
      <c r="X26" s="340">
        <v>230.3</v>
      </c>
      <c r="Y26" s="340">
        <f t="shared" si="0"/>
        <v>231.67000000000002</v>
      </c>
      <c r="Z26" s="418" t="s">
        <v>406</v>
      </c>
    </row>
    <row r="27" spans="1:26" x14ac:dyDescent="0.3">
      <c r="A27" s="340" t="s">
        <v>366</v>
      </c>
      <c r="B27" s="340">
        <v>543</v>
      </c>
      <c r="C27" s="340" t="s">
        <v>362</v>
      </c>
      <c r="M27" s="346" t="str">
        <f>+'Calculo IP ZDF'!M40</f>
        <v>Z75</v>
      </c>
      <c r="O27" s="345">
        <f t="shared" si="1"/>
        <v>30000002129</v>
      </c>
      <c r="P27" s="342">
        <f>ROUND('Calculo IP ZDF'!E40,2)</f>
        <v>461.97</v>
      </c>
      <c r="Q27" s="340" t="s">
        <v>363</v>
      </c>
      <c r="R27" s="340">
        <v>1</v>
      </c>
      <c r="S27" s="340" t="s">
        <v>364</v>
      </c>
      <c r="T27" s="340" t="s">
        <v>365</v>
      </c>
      <c r="U27" s="344" t="str">
        <f t="shared" si="3"/>
        <v>23.06.2022</v>
      </c>
      <c r="V27" s="344" t="str">
        <f t="shared" si="3"/>
        <v>22.07.2022</v>
      </c>
      <c r="X27" s="340">
        <v>230.3</v>
      </c>
      <c r="Y27" s="340">
        <f t="shared" si="0"/>
        <v>231.67000000000002</v>
      </c>
      <c r="Z27" s="418" t="s">
        <v>406</v>
      </c>
    </row>
    <row r="28" spans="1:26" x14ac:dyDescent="0.3">
      <c r="A28" s="361" t="s">
        <v>367</v>
      </c>
      <c r="B28" s="361">
        <v>543</v>
      </c>
      <c r="C28" s="361" t="s">
        <v>362</v>
      </c>
      <c r="D28" s="361"/>
      <c r="E28" s="361"/>
      <c r="F28" s="361"/>
      <c r="G28" s="361"/>
      <c r="H28" s="361"/>
      <c r="I28" s="361"/>
      <c r="J28" s="361"/>
      <c r="K28" s="361"/>
      <c r="L28" s="361"/>
      <c r="M28" s="403" t="str">
        <f>+'Calculo IP ZDF'!M28</f>
        <v>Z61</v>
      </c>
      <c r="N28" s="361"/>
      <c r="O28" s="361">
        <f>+'Calculo IP ZDF'!B50</f>
        <v>30000000070</v>
      </c>
      <c r="P28" s="405">
        <f>ROUND('Calculo IP ZDF'!B28,2)</f>
        <v>5064.8</v>
      </c>
      <c r="Q28" s="361" t="s">
        <v>363</v>
      </c>
      <c r="R28" s="361">
        <v>1</v>
      </c>
      <c r="S28" s="361" t="s">
        <v>364</v>
      </c>
      <c r="T28" s="361" t="s">
        <v>365</v>
      </c>
      <c r="U28" s="344" t="str">
        <f>+U27</f>
        <v>23.06.2022</v>
      </c>
      <c r="V28" s="344" t="str">
        <f>+V25</f>
        <v>22.07.2022</v>
      </c>
      <c r="X28" s="340">
        <v>3980</v>
      </c>
      <c r="Y28" s="340">
        <f t="shared" si="0"/>
        <v>1084.8000000000002</v>
      </c>
      <c r="Z28" s="417" t="s">
        <v>408</v>
      </c>
    </row>
    <row r="29" spans="1:26" x14ac:dyDescent="0.3">
      <c r="A29" s="340" t="s">
        <v>367</v>
      </c>
      <c r="B29" s="340">
        <v>543</v>
      </c>
      <c r="C29" s="340" t="s">
        <v>362</v>
      </c>
      <c r="M29" s="346" t="str">
        <f>+'Calculo IP ZDF'!M29</f>
        <v>Z68</v>
      </c>
      <c r="O29" s="340">
        <f>+O28</f>
        <v>30000000070</v>
      </c>
      <c r="P29" s="342">
        <f>ROUND('Calculo IP ZDF'!B29,2)</f>
        <v>4732.04</v>
      </c>
      <c r="Q29" s="340" t="s">
        <v>363</v>
      </c>
      <c r="R29" s="340">
        <v>1</v>
      </c>
      <c r="S29" s="340" t="s">
        <v>364</v>
      </c>
      <c r="T29" s="340" t="s">
        <v>365</v>
      </c>
      <c r="U29" s="344" t="str">
        <f t="shared" si="3"/>
        <v>23.06.2022</v>
      </c>
      <c r="V29" s="344" t="str">
        <f t="shared" si="3"/>
        <v>22.07.2022</v>
      </c>
      <c r="X29" s="340">
        <v>3980</v>
      </c>
      <c r="Y29" s="340">
        <f t="shared" si="0"/>
        <v>752.04</v>
      </c>
      <c r="Z29" s="417" t="s">
        <v>408</v>
      </c>
    </row>
    <row r="30" spans="1:26" x14ac:dyDescent="0.3">
      <c r="A30" s="340" t="s">
        <v>367</v>
      </c>
      <c r="B30" s="340">
        <v>543</v>
      </c>
      <c r="C30" s="340" t="s">
        <v>362</v>
      </c>
      <c r="M30" s="346" t="str">
        <f>+'Calculo IP ZDF'!M30</f>
        <v>Z67</v>
      </c>
      <c r="O30" s="340">
        <f t="shared" ref="O30:O39" si="4">+O29</f>
        <v>30000000070</v>
      </c>
      <c r="P30" s="342">
        <f>ROUND('Calculo IP ZDF'!B30,2)</f>
        <v>5064.8</v>
      </c>
      <c r="Q30" s="340" t="s">
        <v>363</v>
      </c>
      <c r="R30" s="340">
        <v>1</v>
      </c>
      <c r="S30" s="340" t="s">
        <v>364</v>
      </c>
      <c r="T30" s="340" t="s">
        <v>365</v>
      </c>
      <c r="U30" s="344" t="str">
        <f t="shared" si="3"/>
        <v>23.06.2022</v>
      </c>
      <c r="V30" s="344" t="str">
        <f t="shared" si="3"/>
        <v>22.07.2022</v>
      </c>
      <c r="X30" s="340">
        <v>3980</v>
      </c>
      <c r="Y30" s="340">
        <f t="shared" si="0"/>
        <v>1084.8000000000002</v>
      </c>
      <c r="Z30" s="417" t="s">
        <v>408</v>
      </c>
    </row>
    <row r="31" spans="1:26" x14ac:dyDescent="0.3">
      <c r="A31" s="397" t="s">
        <v>367</v>
      </c>
      <c r="B31" s="397">
        <v>543</v>
      </c>
      <c r="C31" s="397" t="s">
        <v>362</v>
      </c>
      <c r="D31" s="397"/>
      <c r="E31" s="397"/>
      <c r="F31" s="397"/>
      <c r="G31" s="397"/>
      <c r="H31" s="397"/>
      <c r="I31" s="397"/>
      <c r="J31" s="397"/>
      <c r="K31" s="397"/>
      <c r="L31" s="397"/>
      <c r="M31" s="396" t="str">
        <f>+M18</f>
        <v xml:space="preserve">Z64  </v>
      </c>
      <c r="N31" s="397"/>
      <c r="O31" s="397">
        <f t="shared" si="4"/>
        <v>30000000070</v>
      </c>
      <c r="P31" s="362">
        <f>ROUND('Calculo IP ZDF'!B31,2)</f>
        <v>5064.8</v>
      </c>
      <c r="Q31" s="397" t="s">
        <v>363</v>
      </c>
      <c r="R31" s="397">
        <v>1</v>
      </c>
      <c r="S31" s="397" t="s">
        <v>364</v>
      </c>
      <c r="T31" s="397" t="s">
        <v>365</v>
      </c>
      <c r="U31" s="400" t="str">
        <f t="shared" si="3"/>
        <v>23.06.2022</v>
      </c>
      <c r="V31" s="400" t="str">
        <f t="shared" si="3"/>
        <v>22.07.2022</v>
      </c>
      <c r="X31" s="340">
        <v>3980</v>
      </c>
      <c r="Y31" s="340">
        <f t="shared" si="0"/>
        <v>1084.8000000000002</v>
      </c>
      <c r="Z31" s="417" t="s">
        <v>408</v>
      </c>
    </row>
    <row r="32" spans="1:26" x14ac:dyDescent="0.3">
      <c r="A32" s="340" t="s">
        <v>367</v>
      </c>
      <c r="B32" s="340">
        <v>543</v>
      </c>
      <c r="C32" s="340" t="s">
        <v>362</v>
      </c>
      <c r="M32" s="346" t="str">
        <f>+M19</f>
        <v>Z74</v>
      </c>
      <c r="O32" s="340">
        <f t="shared" si="4"/>
        <v>30000000070</v>
      </c>
      <c r="P32" s="342">
        <f>ROUND('Calculo IP ZDF'!B32,2)</f>
        <v>4620.1099999999997</v>
      </c>
      <c r="Q32" s="340" t="s">
        <v>363</v>
      </c>
      <c r="R32" s="340">
        <v>1</v>
      </c>
      <c r="S32" s="340" t="s">
        <v>364</v>
      </c>
      <c r="T32" s="340" t="s">
        <v>365</v>
      </c>
      <c r="U32" s="344" t="str">
        <f t="shared" si="3"/>
        <v>23.06.2022</v>
      </c>
      <c r="V32" s="344" t="str">
        <f t="shared" si="3"/>
        <v>22.07.2022</v>
      </c>
      <c r="X32" s="340">
        <v>3980</v>
      </c>
      <c r="Y32" s="340">
        <f t="shared" si="0"/>
        <v>640.10999999999967</v>
      </c>
      <c r="Z32" s="417" t="s">
        <v>408</v>
      </c>
    </row>
    <row r="33" spans="1:26" x14ac:dyDescent="0.3">
      <c r="A33" s="340" t="s">
        <v>367</v>
      </c>
      <c r="B33" s="340">
        <v>543</v>
      </c>
      <c r="C33" s="340" t="s">
        <v>362</v>
      </c>
      <c r="M33" s="346" t="str">
        <f>+'Calculo IP ZDF'!M33</f>
        <v>Z65</v>
      </c>
      <c r="O33" s="340">
        <f t="shared" si="4"/>
        <v>30000000070</v>
      </c>
      <c r="P33" s="342">
        <f>ROUND('Calculo IP ZDF'!B33,2)</f>
        <v>5064.8</v>
      </c>
      <c r="Q33" s="340" t="s">
        <v>363</v>
      </c>
      <c r="R33" s="340">
        <v>1</v>
      </c>
      <c r="S33" s="340" t="s">
        <v>364</v>
      </c>
      <c r="T33" s="340" t="s">
        <v>365</v>
      </c>
      <c r="U33" s="344" t="str">
        <f t="shared" si="3"/>
        <v>23.06.2022</v>
      </c>
      <c r="V33" s="344" t="str">
        <f t="shared" si="3"/>
        <v>22.07.2022</v>
      </c>
      <c r="X33" s="340">
        <v>3980</v>
      </c>
      <c r="Y33" s="340">
        <f t="shared" si="0"/>
        <v>1084.8000000000002</v>
      </c>
      <c r="Z33" s="417" t="s">
        <v>408</v>
      </c>
    </row>
    <row r="34" spans="1:26" x14ac:dyDescent="0.3">
      <c r="A34" s="340" t="s">
        <v>367</v>
      </c>
      <c r="B34" s="340">
        <v>543</v>
      </c>
      <c r="C34" s="340" t="s">
        <v>362</v>
      </c>
      <c r="M34" s="346" t="str">
        <f>+'Calculo IP ZDF'!M34</f>
        <v>Z69</v>
      </c>
      <c r="O34" s="340">
        <f t="shared" si="4"/>
        <v>30000000070</v>
      </c>
      <c r="P34" s="342">
        <f>ROUND('Calculo IP ZDF'!B34,2)</f>
        <v>4830.8100000000004</v>
      </c>
      <c r="Q34" s="340" t="s">
        <v>363</v>
      </c>
      <c r="R34" s="340">
        <v>1</v>
      </c>
      <c r="S34" s="340" t="s">
        <v>364</v>
      </c>
      <c r="T34" s="340" t="s">
        <v>365</v>
      </c>
      <c r="U34" s="344" t="str">
        <f t="shared" si="3"/>
        <v>23.06.2022</v>
      </c>
      <c r="V34" s="344" t="str">
        <f t="shared" si="3"/>
        <v>22.07.2022</v>
      </c>
      <c r="X34" s="340">
        <v>3980</v>
      </c>
      <c r="Y34" s="340">
        <f t="shared" si="0"/>
        <v>850.8100000000004</v>
      </c>
      <c r="Z34" s="417" t="s">
        <v>408</v>
      </c>
    </row>
    <row r="35" spans="1:26" x14ac:dyDescent="0.3">
      <c r="A35" s="340" t="s">
        <v>367</v>
      </c>
      <c r="B35" s="340">
        <v>543</v>
      </c>
      <c r="C35" s="340" t="s">
        <v>362</v>
      </c>
      <c r="M35" s="346" t="str">
        <f>+'Calculo IP ZDF'!M36</f>
        <v>Z62</v>
      </c>
      <c r="O35" s="340">
        <f t="shared" si="4"/>
        <v>30000000070</v>
      </c>
      <c r="P35" s="342">
        <f>ROUND('Calculo IP ZDF'!B36,2)</f>
        <v>5064.8</v>
      </c>
      <c r="Q35" s="340" t="s">
        <v>363</v>
      </c>
      <c r="R35" s="340">
        <v>1</v>
      </c>
      <c r="S35" s="340" t="s">
        <v>364</v>
      </c>
      <c r="T35" s="340" t="s">
        <v>365</v>
      </c>
      <c r="U35" s="344" t="str">
        <f t="shared" si="3"/>
        <v>23.06.2022</v>
      </c>
      <c r="V35" s="344" t="str">
        <f t="shared" si="3"/>
        <v>22.07.2022</v>
      </c>
      <c r="X35" s="340">
        <v>3980</v>
      </c>
      <c r="Y35" s="340">
        <f t="shared" si="0"/>
        <v>1084.8000000000002</v>
      </c>
      <c r="Z35" s="417" t="s">
        <v>408</v>
      </c>
    </row>
    <row r="36" spans="1:26" x14ac:dyDescent="0.3">
      <c r="A36" s="340" t="s">
        <v>367</v>
      </c>
      <c r="B36" s="340">
        <v>543</v>
      </c>
      <c r="C36" s="340" t="s">
        <v>362</v>
      </c>
      <c r="M36" s="346" t="str">
        <f>+'Calculo IP ZDF'!M37</f>
        <v>Z60</v>
      </c>
      <c r="O36" s="340">
        <f t="shared" si="4"/>
        <v>30000000070</v>
      </c>
      <c r="P36" s="342">
        <f>ROUND('Calculo IP ZDF'!B37,2)</f>
        <v>4620.1099999999997</v>
      </c>
      <c r="Q36" s="340" t="s">
        <v>363</v>
      </c>
      <c r="R36" s="340">
        <v>1</v>
      </c>
      <c r="S36" s="340" t="s">
        <v>364</v>
      </c>
      <c r="T36" s="340" t="s">
        <v>365</v>
      </c>
      <c r="U36" s="344" t="str">
        <f t="shared" si="3"/>
        <v>23.06.2022</v>
      </c>
      <c r="V36" s="344" t="str">
        <f t="shared" si="3"/>
        <v>22.07.2022</v>
      </c>
      <c r="X36" s="340">
        <v>3980</v>
      </c>
      <c r="Y36" s="340">
        <f t="shared" si="0"/>
        <v>640.10999999999967</v>
      </c>
      <c r="Z36" s="417" t="s">
        <v>408</v>
      </c>
    </row>
    <row r="37" spans="1:26" x14ac:dyDescent="0.3">
      <c r="A37" s="361" t="s">
        <v>367</v>
      </c>
      <c r="B37" s="361">
        <v>543</v>
      </c>
      <c r="C37" s="361" t="s">
        <v>362</v>
      </c>
      <c r="D37" s="361"/>
      <c r="E37" s="361"/>
      <c r="F37" s="361"/>
      <c r="G37" s="361"/>
      <c r="H37" s="361"/>
      <c r="I37" s="361"/>
      <c r="J37" s="361"/>
      <c r="K37" s="361"/>
      <c r="L37" s="361"/>
      <c r="M37" s="403" t="str">
        <f>+'Calculo IP ZDF'!M38</f>
        <v>Z63</v>
      </c>
      <c r="N37" s="361"/>
      <c r="O37" s="361">
        <f t="shared" si="4"/>
        <v>30000000070</v>
      </c>
      <c r="P37" s="405">
        <f>ROUND('Calculo IP ZDF'!B38,2)</f>
        <v>5064.8</v>
      </c>
      <c r="Q37" s="361" t="s">
        <v>363</v>
      </c>
      <c r="R37" s="361">
        <v>1</v>
      </c>
      <c r="S37" s="361" t="s">
        <v>364</v>
      </c>
      <c r="T37" s="361" t="s">
        <v>365</v>
      </c>
      <c r="U37" s="344" t="str">
        <f>+U36</f>
        <v>23.06.2022</v>
      </c>
      <c r="V37" s="344" t="str">
        <f>+V28</f>
        <v>22.07.2022</v>
      </c>
      <c r="X37" s="340">
        <v>3980</v>
      </c>
      <c r="Y37" s="340">
        <f t="shared" si="0"/>
        <v>1084.8000000000002</v>
      </c>
      <c r="Z37" s="417" t="s">
        <v>408</v>
      </c>
    </row>
    <row r="38" spans="1:26" x14ac:dyDescent="0.3">
      <c r="A38" s="340" t="s">
        <v>367</v>
      </c>
      <c r="B38" s="340">
        <v>543</v>
      </c>
      <c r="C38" s="340" t="s">
        <v>362</v>
      </c>
      <c r="M38" s="346" t="str">
        <f>+'Calculo IP ZDF'!M39</f>
        <v>Z70</v>
      </c>
      <c r="O38" s="340">
        <f t="shared" si="4"/>
        <v>30000000070</v>
      </c>
      <c r="P38" s="342">
        <f>ROUND('Calculo IP ZDF'!B39,2)</f>
        <v>4830.8100000000004</v>
      </c>
      <c r="Q38" s="340" t="s">
        <v>363</v>
      </c>
      <c r="R38" s="340">
        <v>1</v>
      </c>
      <c r="S38" s="340" t="s">
        <v>364</v>
      </c>
      <c r="T38" s="340" t="s">
        <v>365</v>
      </c>
      <c r="U38" s="344" t="str">
        <f t="shared" ref="U38:V43" si="5">+U37</f>
        <v>23.06.2022</v>
      </c>
      <c r="V38" s="344" t="str">
        <f t="shared" si="5"/>
        <v>22.07.2022</v>
      </c>
      <c r="X38" s="340">
        <v>3980</v>
      </c>
      <c r="Y38" s="340">
        <f t="shared" si="0"/>
        <v>850.8100000000004</v>
      </c>
      <c r="Z38" s="417" t="s">
        <v>408</v>
      </c>
    </row>
    <row r="39" spans="1:26" x14ac:dyDescent="0.3">
      <c r="A39" s="340" t="s">
        <v>367</v>
      </c>
      <c r="B39" s="340">
        <v>543</v>
      </c>
      <c r="C39" s="340" t="s">
        <v>362</v>
      </c>
      <c r="M39" s="346" t="str">
        <f>+'Calculo IP ZDF'!M40</f>
        <v>Z75</v>
      </c>
      <c r="O39" s="340">
        <f t="shared" si="4"/>
        <v>30000000070</v>
      </c>
      <c r="P39" s="342">
        <f>ROUND('Calculo IP ZDF'!B40,2)</f>
        <v>4732.55</v>
      </c>
      <c r="Q39" s="340" t="s">
        <v>363</v>
      </c>
      <c r="R39" s="340">
        <v>1</v>
      </c>
      <c r="S39" s="340" t="s">
        <v>364</v>
      </c>
      <c r="T39" s="340" t="s">
        <v>365</v>
      </c>
      <c r="U39" s="344" t="str">
        <f t="shared" si="5"/>
        <v>23.06.2022</v>
      </c>
      <c r="V39" s="344" t="str">
        <f t="shared" si="5"/>
        <v>22.07.2022</v>
      </c>
      <c r="X39" s="340">
        <v>3980</v>
      </c>
      <c r="Y39" s="340">
        <f t="shared" si="0"/>
        <v>752.55000000000018</v>
      </c>
      <c r="Z39" s="417" t="s">
        <v>408</v>
      </c>
    </row>
    <row r="40" spans="1:26" x14ac:dyDescent="0.3">
      <c r="A40" s="340" t="s">
        <v>367</v>
      </c>
      <c r="B40" s="361">
        <v>587</v>
      </c>
      <c r="C40" s="340" t="s">
        <v>362</v>
      </c>
      <c r="F40" s="340">
        <v>3003</v>
      </c>
      <c r="M40" s="346" t="s">
        <v>334</v>
      </c>
      <c r="O40" s="340">
        <v>30000009113</v>
      </c>
      <c r="P40" s="342">
        <f>ROUND(+'Calculo IP ZDF'!B36,2)</f>
        <v>5064.8</v>
      </c>
      <c r="Q40" s="340" t="s">
        <v>363</v>
      </c>
      <c r="R40" s="340">
        <v>1</v>
      </c>
      <c r="S40" s="340" t="s">
        <v>364</v>
      </c>
      <c r="T40" s="340" t="s">
        <v>365</v>
      </c>
      <c r="U40" s="344" t="str">
        <f t="shared" si="5"/>
        <v>23.06.2022</v>
      </c>
      <c r="V40" s="344" t="str">
        <f t="shared" si="5"/>
        <v>22.07.2022</v>
      </c>
      <c r="X40" s="340">
        <v>3980</v>
      </c>
      <c r="Y40" s="340">
        <f t="shared" si="0"/>
        <v>1084.8000000000002</v>
      </c>
      <c r="Z40" s="340" t="s">
        <v>407</v>
      </c>
    </row>
    <row r="41" spans="1:26" x14ac:dyDescent="0.3">
      <c r="A41" s="340" t="s">
        <v>388</v>
      </c>
      <c r="B41" s="361">
        <v>587</v>
      </c>
      <c r="C41" s="340" t="s">
        <v>362</v>
      </c>
      <c r="F41" s="340">
        <v>3003</v>
      </c>
      <c r="M41" s="346" t="s">
        <v>334</v>
      </c>
      <c r="O41" s="340">
        <v>30000009113</v>
      </c>
      <c r="P41" s="413">
        <v>8.6300000000000008</v>
      </c>
      <c r="Q41" s="340" t="s">
        <v>363</v>
      </c>
      <c r="R41" s="340">
        <v>1</v>
      </c>
      <c r="S41" s="340" t="s">
        <v>364</v>
      </c>
      <c r="T41" s="340" t="s">
        <v>365</v>
      </c>
      <c r="U41" s="344" t="str">
        <f t="shared" si="5"/>
        <v>23.06.2022</v>
      </c>
      <c r="V41" s="344" t="str">
        <f t="shared" si="5"/>
        <v>22.07.2022</v>
      </c>
      <c r="X41" s="340">
        <v>8.14</v>
      </c>
      <c r="Y41" s="340">
        <f t="shared" si="0"/>
        <v>0.49000000000000021</v>
      </c>
      <c r="Z41" s="340" t="s">
        <v>407</v>
      </c>
    </row>
    <row r="42" spans="1:26" x14ac:dyDescent="0.3">
      <c r="A42" s="340" t="s">
        <v>367</v>
      </c>
      <c r="B42" s="361">
        <v>587</v>
      </c>
      <c r="C42" s="340" t="s">
        <v>362</v>
      </c>
      <c r="F42" s="340">
        <v>3003</v>
      </c>
      <c r="M42" s="346" t="s">
        <v>334</v>
      </c>
      <c r="O42" s="340">
        <v>30000000003</v>
      </c>
      <c r="P42" s="342">
        <f>ROUND(+'Calculo IP ZDF'!C36,2)</f>
        <v>4097.8999999999996</v>
      </c>
      <c r="Q42" s="340" t="s">
        <v>363</v>
      </c>
      <c r="R42" s="340">
        <v>1</v>
      </c>
      <c r="S42" s="340" t="s">
        <v>364</v>
      </c>
      <c r="T42" s="340" t="s">
        <v>365</v>
      </c>
      <c r="U42" s="344" t="str">
        <f t="shared" si="5"/>
        <v>23.06.2022</v>
      </c>
      <c r="V42" s="344" t="str">
        <f t="shared" si="5"/>
        <v>22.07.2022</v>
      </c>
      <c r="X42" s="340">
        <v>4496.3599999999997</v>
      </c>
      <c r="Y42" s="340">
        <f t="shared" si="0"/>
        <v>-398.46000000000004</v>
      </c>
      <c r="Z42" s="340" t="s">
        <v>106</v>
      </c>
    </row>
    <row r="43" spans="1:26" x14ac:dyDescent="0.3">
      <c r="A43" s="340" t="s">
        <v>388</v>
      </c>
      <c r="B43" s="361">
        <v>587</v>
      </c>
      <c r="C43" s="340" t="s">
        <v>362</v>
      </c>
      <c r="F43" s="340">
        <v>3003</v>
      </c>
      <c r="M43" s="346" t="s">
        <v>334</v>
      </c>
      <c r="O43" s="340">
        <v>30000000003</v>
      </c>
      <c r="P43" s="362">
        <f>+P41</f>
        <v>8.6300000000000008</v>
      </c>
      <c r="Q43" s="340" t="s">
        <v>363</v>
      </c>
      <c r="R43" s="340">
        <v>1</v>
      </c>
      <c r="S43" s="340" t="s">
        <v>364</v>
      </c>
      <c r="T43" s="340" t="s">
        <v>365</v>
      </c>
      <c r="U43" s="344" t="str">
        <f t="shared" si="5"/>
        <v>23.06.2022</v>
      </c>
      <c r="V43" s="344" t="str">
        <f t="shared" si="5"/>
        <v>22.07.2022</v>
      </c>
      <c r="X43" s="340">
        <v>8.14</v>
      </c>
      <c r="Y43" s="340">
        <f t="shared" si="0"/>
        <v>0.49000000000000021</v>
      </c>
      <c r="Z43" s="340" t="s">
        <v>106</v>
      </c>
    </row>
    <row r="44" spans="1:26" x14ac:dyDescent="0.3">
      <c r="A44" s="340" t="s">
        <v>361</v>
      </c>
      <c r="B44" s="340">
        <v>543</v>
      </c>
      <c r="C44" s="340" t="s">
        <v>362</v>
      </c>
      <c r="M44" s="396" t="str">
        <f>+'Calculo IP ZDF'!M41</f>
        <v>Z66</v>
      </c>
      <c r="O44" s="340">
        <v>30000002129</v>
      </c>
      <c r="P44" s="342">
        <f>ROUND(+'Calculo IP ZDF'!D41,2)</f>
        <v>2874.35</v>
      </c>
      <c r="Q44" s="340" t="s">
        <v>363</v>
      </c>
      <c r="R44" s="340">
        <v>1</v>
      </c>
      <c r="S44" s="340" t="s">
        <v>364</v>
      </c>
      <c r="T44" s="340" t="s">
        <v>365</v>
      </c>
      <c r="U44" s="344" t="str">
        <f t="shared" ref="U44:V46" si="6">+U43</f>
        <v>23.06.2022</v>
      </c>
      <c r="V44" s="344" t="str">
        <f t="shared" si="6"/>
        <v>22.07.2022</v>
      </c>
      <c r="X44" s="340">
        <v>4618.07</v>
      </c>
      <c r="Y44" s="340">
        <f t="shared" si="0"/>
        <v>-1743.7199999999998</v>
      </c>
      <c r="Z44" s="418" t="s">
        <v>406</v>
      </c>
    </row>
    <row r="45" spans="1:26" x14ac:dyDescent="0.3">
      <c r="A45" s="340" t="s">
        <v>366</v>
      </c>
      <c r="B45" s="340">
        <v>543</v>
      </c>
      <c r="C45" s="340" t="s">
        <v>362</v>
      </c>
      <c r="M45" s="396" t="str">
        <f>+M44</f>
        <v>Z66</v>
      </c>
      <c r="O45" s="340">
        <v>30000002129</v>
      </c>
      <c r="P45" s="342">
        <f>ROUND(+'Calculo IP ZDF'!E41,2)</f>
        <v>461.97</v>
      </c>
      <c r="Q45" s="340" t="s">
        <v>363</v>
      </c>
      <c r="R45" s="340">
        <v>1</v>
      </c>
      <c r="S45" s="340" t="s">
        <v>364</v>
      </c>
      <c r="T45" s="340" t="s">
        <v>365</v>
      </c>
      <c r="U45" s="344" t="str">
        <f t="shared" si="6"/>
        <v>23.06.2022</v>
      </c>
      <c r="V45" s="344" t="str">
        <f t="shared" si="6"/>
        <v>22.07.2022</v>
      </c>
      <c r="X45" s="340">
        <v>230.3</v>
      </c>
      <c r="Y45" s="340">
        <f t="shared" si="0"/>
        <v>231.67000000000002</v>
      </c>
      <c r="Z45" s="418" t="s">
        <v>406</v>
      </c>
    </row>
    <row r="46" spans="1:26" x14ac:dyDescent="0.3">
      <c r="A46" s="340" t="s">
        <v>367</v>
      </c>
      <c r="B46" s="340">
        <v>543</v>
      </c>
      <c r="C46" s="340" t="s">
        <v>362</v>
      </c>
      <c r="M46" s="346" t="str">
        <f>+M45</f>
        <v>Z66</v>
      </c>
      <c r="O46" s="340">
        <f>+'Calculo IP ZDF'!B50</f>
        <v>30000000070</v>
      </c>
      <c r="P46" s="342">
        <f>ROUND(+'Calculo IP ZDF'!B41,2)</f>
        <v>4830.8100000000004</v>
      </c>
      <c r="Q46" s="340" t="s">
        <v>363</v>
      </c>
      <c r="R46" s="340">
        <v>1</v>
      </c>
      <c r="S46" s="340" t="s">
        <v>364</v>
      </c>
      <c r="T46" s="340" t="s">
        <v>365</v>
      </c>
      <c r="U46" s="344" t="str">
        <f t="shared" si="6"/>
        <v>23.06.2022</v>
      </c>
      <c r="V46" s="344" t="str">
        <f t="shared" si="6"/>
        <v>22.07.2022</v>
      </c>
      <c r="X46" s="340">
        <v>3980</v>
      </c>
      <c r="Y46" s="340">
        <f t="shared" si="0"/>
        <v>850.8100000000004</v>
      </c>
      <c r="Z46" s="417" t="s">
        <v>408</v>
      </c>
    </row>
  </sheetData>
  <autoFilter ref="A1:V46" xr:uid="{00000000-0009-0000-0000-000017000000}"/>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T13" sqref="T13"/>
    </sheetView>
  </sheetViews>
  <sheetFormatPr baseColWidth="10" defaultColWidth="11.33203125" defaultRowHeight="14.4" x14ac:dyDescent="0.3"/>
  <cols>
    <col min="1" max="1" width="7.33203125" style="340" customWidth="1"/>
    <col min="2" max="2" width="9.21875" style="340" customWidth="1"/>
    <col min="3" max="3" width="7.6640625" style="340" customWidth="1"/>
    <col min="4" max="12" width="4.44140625" style="340" customWidth="1"/>
    <col min="13" max="13" width="6.88671875" style="340" customWidth="1"/>
    <col min="14" max="14" width="11.109375" style="340" customWidth="1"/>
    <col min="15" max="15" width="12.21875" style="340" bestFit="1" customWidth="1"/>
    <col min="16" max="16" width="11.77734375" style="342" bestFit="1" customWidth="1"/>
    <col min="17" max="17" width="7.6640625" style="340" customWidth="1"/>
    <col min="18" max="18" width="8.77734375" style="340" customWidth="1"/>
    <col min="19" max="19" width="9.88671875" style="340" customWidth="1"/>
    <col min="20" max="20" width="5.6640625" style="340" customWidth="1"/>
    <col min="21" max="22" width="10.77734375" style="343" bestFit="1" customWidth="1"/>
    <col min="23" max="16384" width="11.33203125" style="340"/>
  </cols>
  <sheetData>
    <row r="1" spans="1:24" x14ac:dyDescent="0.3">
      <c r="A1" s="340" t="s">
        <v>339</v>
      </c>
      <c r="B1" s="340" t="s">
        <v>340</v>
      </c>
      <c r="C1" s="340" t="s">
        <v>341</v>
      </c>
      <c r="D1" s="340" t="s">
        <v>342</v>
      </c>
      <c r="E1" s="340" t="s">
        <v>343</v>
      </c>
      <c r="F1" s="340" t="s">
        <v>344</v>
      </c>
      <c r="G1" s="340" t="s">
        <v>345</v>
      </c>
      <c r="H1" s="340" t="s">
        <v>346</v>
      </c>
      <c r="I1" s="340" t="s">
        <v>347</v>
      </c>
      <c r="J1" s="340" t="s">
        <v>348</v>
      </c>
      <c r="K1" s="340" t="s">
        <v>349</v>
      </c>
      <c r="L1" s="340" t="s">
        <v>350</v>
      </c>
      <c r="M1" s="340" t="s">
        <v>351</v>
      </c>
      <c r="N1" s="340" t="s">
        <v>352</v>
      </c>
      <c r="O1" s="341" t="s">
        <v>353</v>
      </c>
      <c r="P1" s="342" t="s">
        <v>354</v>
      </c>
      <c r="Q1" s="340" t="s">
        <v>355</v>
      </c>
      <c r="R1" s="340" t="s">
        <v>356</v>
      </c>
      <c r="S1" s="340" t="s">
        <v>357</v>
      </c>
      <c r="T1" s="340" t="s">
        <v>358</v>
      </c>
      <c r="U1" s="343" t="s">
        <v>359</v>
      </c>
      <c r="V1" s="343" t="s">
        <v>360</v>
      </c>
    </row>
    <row r="2" spans="1:24" x14ac:dyDescent="0.3">
      <c r="A2" s="340" t="s">
        <v>367</v>
      </c>
      <c r="B2" s="340">
        <v>543</v>
      </c>
      <c r="C2" s="340" t="s">
        <v>381</v>
      </c>
      <c r="F2" s="340" t="s">
        <v>158</v>
      </c>
      <c r="M2" s="403" t="s">
        <v>384</v>
      </c>
      <c r="O2" s="382">
        <v>30000000003</v>
      </c>
      <c r="P2" s="341">
        <f>ROUND('Calculo IP ZDF'!C31,2)</f>
        <v>4330.45</v>
      </c>
      <c r="Q2" s="340" t="s">
        <v>363</v>
      </c>
      <c r="R2" s="340">
        <v>1</v>
      </c>
      <c r="S2" s="340" t="s">
        <v>382</v>
      </c>
      <c r="T2" s="340" t="s">
        <v>365</v>
      </c>
      <c r="U2" s="344" t="str">
        <f>+'Calculo IP ZDF'!B46</f>
        <v>23.06.2022</v>
      </c>
      <c r="V2" s="344" t="str">
        <f>+'Calculo IP ZDF'!C46</f>
        <v>22.07.2022</v>
      </c>
      <c r="X2" s="361" t="s">
        <v>108</v>
      </c>
    </row>
    <row r="3" spans="1:24" x14ac:dyDescent="0.3">
      <c r="A3" s="340" t="s">
        <v>367</v>
      </c>
      <c r="B3" s="340">
        <v>543</v>
      </c>
      <c r="C3" s="340" t="s">
        <v>381</v>
      </c>
      <c r="M3" s="499" t="s">
        <v>383</v>
      </c>
      <c r="O3" s="382">
        <v>30000000003</v>
      </c>
      <c r="P3" s="341">
        <f>ROUND('Calculo IP ZDF'!C32,2)</f>
        <v>3701.67</v>
      </c>
      <c r="Q3" s="340" t="s">
        <v>363</v>
      </c>
      <c r="R3" s="340">
        <v>1</v>
      </c>
      <c r="S3" s="340" t="s">
        <v>382</v>
      </c>
      <c r="T3" s="340" t="s">
        <v>365</v>
      </c>
      <c r="U3" s="500" t="str">
        <f>+U2</f>
        <v>23.06.2022</v>
      </c>
      <c r="V3" s="500" t="str">
        <f>+V2</f>
        <v>22.07.2022</v>
      </c>
      <c r="X3" s="498" t="s">
        <v>462</v>
      </c>
    </row>
    <row r="4" spans="1:24" x14ac:dyDescent="0.3">
      <c r="A4" s="340" t="s">
        <v>367</v>
      </c>
      <c r="B4" s="340">
        <v>543</v>
      </c>
      <c r="C4" s="340" t="s">
        <v>381</v>
      </c>
      <c r="M4" s="494" t="str">
        <f>+'Calculo IP ZDF'!M33</f>
        <v>Z65</v>
      </c>
      <c r="O4" s="382">
        <v>30000000003</v>
      </c>
      <c r="P4" s="341">
        <f>ROUND('Calculo IP ZDF'!C33,2)</f>
        <v>4108.3</v>
      </c>
      <c r="Q4" s="340" t="s">
        <v>363</v>
      </c>
      <c r="R4" s="340">
        <v>1</v>
      </c>
      <c r="S4" s="340" t="s">
        <v>382</v>
      </c>
      <c r="T4" s="340" t="s">
        <v>365</v>
      </c>
      <c r="U4" s="495" t="str">
        <f t="shared" ref="U4:U6" si="0">+U3</f>
        <v>23.06.2022</v>
      </c>
      <c r="V4" s="495" t="str">
        <f t="shared" ref="V4:V6" si="1">+V3</f>
        <v>22.07.2022</v>
      </c>
      <c r="X4" s="493" t="s">
        <v>460</v>
      </c>
    </row>
    <row r="5" spans="1:24" x14ac:dyDescent="0.3">
      <c r="A5" s="340" t="s">
        <v>367</v>
      </c>
      <c r="B5" s="340">
        <v>543</v>
      </c>
      <c r="C5" s="340" t="s">
        <v>381</v>
      </c>
      <c r="M5" s="496" t="str">
        <f>+'Calculo IP ZDF'!M35</f>
        <v>Z73</v>
      </c>
      <c r="O5" s="382">
        <v>30000000003</v>
      </c>
      <c r="P5" s="341">
        <f>ROUND('Calculo IP ZDF'!C35,2)</f>
        <v>2915.69</v>
      </c>
      <c r="Q5" s="340" t="s">
        <v>363</v>
      </c>
      <c r="R5" s="340">
        <v>1</v>
      </c>
      <c r="S5" s="340" t="s">
        <v>382</v>
      </c>
      <c r="T5" s="340" t="s">
        <v>365</v>
      </c>
      <c r="U5" s="344" t="str">
        <f t="shared" si="0"/>
        <v>23.06.2022</v>
      </c>
      <c r="V5" s="344" t="str">
        <f t="shared" si="1"/>
        <v>22.07.2022</v>
      </c>
      <c r="X5" s="497" t="s">
        <v>461</v>
      </c>
    </row>
    <row r="6" spans="1:24" x14ac:dyDescent="0.3">
      <c r="A6" s="340" t="s">
        <v>367</v>
      </c>
      <c r="B6" s="340">
        <v>543</v>
      </c>
      <c r="C6" s="340" t="s">
        <v>381</v>
      </c>
      <c r="M6" s="492" t="str">
        <f>+'Calculo IP ZDF'!M36</f>
        <v>Z62</v>
      </c>
      <c r="O6" s="382">
        <v>30000000003</v>
      </c>
      <c r="P6" s="341">
        <f>ROUND('Calculo IP ZDF'!C36,2)</f>
        <v>4097.8999999999996</v>
      </c>
      <c r="Q6" s="340" t="s">
        <v>363</v>
      </c>
      <c r="R6" s="340">
        <v>1</v>
      </c>
      <c r="S6" s="340" t="s">
        <v>382</v>
      </c>
      <c r="T6" s="340" t="s">
        <v>365</v>
      </c>
      <c r="U6" s="490" t="str">
        <f t="shared" si="0"/>
        <v>23.06.2022</v>
      </c>
      <c r="V6" s="490" t="str">
        <f t="shared" si="1"/>
        <v>22.07.2022</v>
      </c>
      <c r="W6" s="491"/>
      <c r="X6" s="491" t="s">
        <v>110</v>
      </c>
    </row>
    <row r="7" spans="1:24" x14ac:dyDescent="0.3">
      <c r="A7" s="340" t="s">
        <v>367</v>
      </c>
      <c r="B7" s="340">
        <v>543</v>
      </c>
      <c r="C7" s="340" t="s">
        <v>381</v>
      </c>
      <c r="M7" s="403" t="str">
        <f>+M2</f>
        <v xml:space="preserve">Z64  </v>
      </c>
      <c r="O7" s="345">
        <v>30000000070</v>
      </c>
      <c r="P7" s="673">
        <f>ROUND('Calculo IP ZDF'!B31,2)</f>
        <v>5064.8</v>
      </c>
      <c r="Q7" s="340" t="s">
        <v>363</v>
      </c>
      <c r="R7" s="340">
        <v>1</v>
      </c>
      <c r="S7" s="340" t="s">
        <v>382</v>
      </c>
      <c r="T7" s="340" t="s">
        <v>365</v>
      </c>
      <c r="U7" s="344" t="str">
        <f t="shared" ref="U7:U10" si="2">+U6</f>
        <v>23.06.2022</v>
      </c>
      <c r="V7" s="344" t="str">
        <f t="shared" ref="V7:V21" si="3">+V6</f>
        <v>22.07.2022</v>
      </c>
      <c r="X7" s="361" t="s">
        <v>108</v>
      </c>
    </row>
    <row r="8" spans="1:24" x14ac:dyDescent="0.3">
      <c r="A8" s="340" t="s">
        <v>367</v>
      </c>
      <c r="B8" s="340">
        <v>543</v>
      </c>
      <c r="C8" s="340" t="s">
        <v>381</v>
      </c>
      <c r="M8" s="499" t="str">
        <f t="shared" ref="M8:M11" si="4">+M3</f>
        <v>Z51</v>
      </c>
      <c r="O8" s="345">
        <v>30000000070</v>
      </c>
      <c r="P8" s="673">
        <f>ROUND('Calculo IP ZDF'!B32,2)</f>
        <v>4620.1099999999997</v>
      </c>
      <c r="Q8" s="340" t="s">
        <v>363</v>
      </c>
      <c r="R8" s="340">
        <v>1</v>
      </c>
      <c r="S8" s="340" t="s">
        <v>382</v>
      </c>
      <c r="T8" s="340" t="s">
        <v>365</v>
      </c>
      <c r="U8" s="500" t="str">
        <f t="shared" si="2"/>
        <v>23.06.2022</v>
      </c>
      <c r="V8" s="500" t="str">
        <f t="shared" si="3"/>
        <v>22.07.2022</v>
      </c>
      <c r="X8" s="498" t="s">
        <v>462</v>
      </c>
    </row>
    <row r="9" spans="1:24" x14ac:dyDescent="0.3">
      <c r="A9" s="340" t="s">
        <v>367</v>
      </c>
      <c r="B9" s="340">
        <v>543</v>
      </c>
      <c r="C9" s="340" t="s">
        <v>381</v>
      </c>
      <c r="M9" s="494" t="str">
        <f t="shared" si="4"/>
        <v>Z65</v>
      </c>
      <c r="O9" s="345">
        <v>30000000070</v>
      </c>
      <c r="P9" s="673">
        <f>ROUND('Calculo IP ZDF'!B33,2)</f>
        <v>5064.8</v>
      </c>
      <c r="Q9" s="340" t="s">
        <v>363</v>
      </c>
      <c r="R9" s="340">
        <v>1</v>
      </c>
      <c r="S9" s="340" t="s">
        <v>382</v>
      </c>
      <c r="T9" s="340" t="s">
        <v>365</v>
      </c>
      <c r="U9" s="495" t="str">
        <f t="shared" si="2"/>
        <v>23.06.2022</v>
      </c>
      <c r="V9" s="495" t="str">
        <f t="shared" si="3"/>
        <v>22.07.2022</v>
      </c>
      <c r="X9" s="493" t="s">
        <v>460</v>
      </c>
    </row>
    <row r="10" spans="1:24" x14ac:dyDescent="0.3">
      <c r="A10" s="340" t="s">
        <v>367</v>
      </c>
      <c r="B10" s="340">
        <v>543</v>
      </c>
      <c r="C10" s="340" t="s">
        <v>381</v>
      </c>
      <c r="M10" s="496" t="str">
        <f t="shared" si="4"/>
        <v>Z73</v>
      </c>
      <c r="O10" s="345">
        <v>30000000070</v>
      </c>
      <c r="P10" s="341">
        <f>ROUND('Calculo IP ZDF'!B35,2)</f>
        <v>4503.1099999999997</v>
      </c>
      <c r="Q10" s="340" t="s">
        <v>363</v>
      </c>
      <c r="R10" s="340">
        <v>1</v>
      </c>
      <c r="S10" s="340" t="s">
        <v>382</v>
      </c>
      <c r="T10" s="340" t="s">
        <v>365</v>
      </c>
      <c r="U10" s="344" t="str">
        <f t="shared" si="2"/>
        <v>23.06.2022</v>
      </c>
      <c r="V10" s="344" t="str">
        <f t="shared" si="3"/>
        <v>22.07.2022</v>
      </c>
      <c r="X10" s="497" t="s">
        <v>461</v>
      </c>
    </row>
    <row r="11" spans="1:24" x14ac:dyDescent="0.3">
      <c r="A11" s="340" t="s">
        <v>367</v>
      </c>
      <c r="B11" s="340">
        <v>543</v>
      </c>
      <c r="C11" s="340" t="s">
        <v>381</v>
      </c>
      <c r="M11" s="492" t="str">
        <f t="shared" si="4"/>
        <v>Z62</v>
      </c>
      <c r="O11" s="345">
        <v>30000000070</v>
      </c>
      <c r="P11" s="341">
        <f>ROUND('Calculo IP ZDF'!B36,2)</f>
        <v>5064.8</v>
      </c>
      <c r="Q11" s="340" t="s">
        <v>363</v>
      </c>
      <c r="R11" s="340">
        <v>1</v>
      </c>
      <c r="S11" s="340" t="s">
        <v>382</v>
      </c>
      <c r="T11" s="340" t="s">
        <v>365</v>
      </c>
      <c r="U11" s="490" t="str">
        <f>+U10</f>
        <v>23.06.2022</v>
      </c>
      <c r="V11" s="490" t="str">
        <f t="shared" si="3"/>
        <v>22.07.2022</v>
      </c>
      <c r="W11" s="491"/>
      <c r="X11" s="491" t="s">
        <v>110</v>
      </c>
    </row>
    <row r="12" spans="1:24" x14ac:dyDescent="0.3">
      <c r="A12" s="340" t="s">
        <v>361</v>
      </c>
      <c r="B12" s="340">
        <v>543</v>
      </c>
      <c r="C12" s="340" t="s">
        <v>381</v>
      </c>
      <c r="F12" s="340" t="s">
        <v>158</v>
      </c>
      <c r="M12" s="403" t="str">
        <f t="shared" ref="M12:M21" si="5">+M2</f>
        <v xml:space="preserve">Z64  </v>
      </c>
      <c r="O12" s="358">
        <v>30000002129</v>
      </c>
      <c r="P12" s="341">
        <f>ROUND('Calculo IP ZDF'!D31,2)</f>
        <v>4243.84</v>
      </c>
      <c r="Q12" s="340" t="s">
        <v>363</v>
      </c>
      <c r="R12" s="340">
        <v>1</v>
      </c>
      <c r="S12" s="340" t="s">
        <v>382</v>
      </c>
      <c r="T12" s="340" t="s">
        <v>365</v>
      </c>
      <c r="U12" s="344" t="str">
        <f t="shared" ref="U12:U16" si="6">+U11</f>
        <v>23.06.2022</v>
      </c>
      <c r="V12" s="344" t="str">
        <f t="shared" si="3"/>
        <v>22.07.2022</v>
      </c>
      <c r="X12" s="361" t="s">
        <v>108</v>
      </c>
    </row>
    <row r="13" spans="1:24" x14ac:dyDescent="0.3">
      <c r="A13" s="340" t="s">
        <v>361</v>
      </c>
      <c r="B13" s="340">
        <v>543</v>
      </c>
      <c r="C13" s="340" t="s">
        <v>381</v>
      </c>
      <c r="M13" s="499" t="str">
        <f t="shared" si="5"/>
        <v>Z51</v>
      </c>
      <c r="O13" s="358">
        <v>30000002129</v>
      </c>
      <c r="P13" s="341">
        <f>ROUND('Calculo IP ZDF'!D32,2)</f>
        <v>3627.64</v>
      </c>
      <c r="Q13" s="340" t="s">
        <v>363</v>
      </c>
      <c r="R13" s="340">
        <v>1</v>
      </c>
      <c r="S13" s="340" t="s">
        <v>382</v>
      </c>
      <c r="T13" s="340" t="s">
        <v>365</v>
      </c>
      <c r="U13" s="500" t="str">
        <f t="shared" si="6"/>
        <v>23.06.2022</v>
      </c>
      <c r="V13" s="500" t="str">
        <f t="shared" si="3"/>
        <v>22.07.2022</v>
      </c>
      <c r="X13" s="498" t="s">
        <v>462</v>
      </c>
    </row>
    <row r="14" spans="1:24" x14ac:dyDescent="0.3">
      <c r="A14" s="340" t="s">
        <v>361</v>
      </c>
      <c r="B14" s="340">
        <v>543</v>
      </c>
      <c r="C14" s="340" t="s">
        <v>381</v>
      </c>
      <c r="M14" s="494" t="str">
        <f t="shared" si="5"/>
        <v>Z65</v>
      </c>
      <c r="O14" s="358">
        <v>30000002129</v>
      </c>
      <c r="P14" s="341">
        <f>ROUND('Calculo IP ZDF'!D33,2)</f>
        <v>4026.13</v>
      </c>
      <c r="Q14" s="340" t="s">
        <v>363</v>
      </c>
      <c r="R14" s="340">
        <v>1</v>
      </c>
      <c r="S14" s="340" t="s">
        <v>382</v>
      </c>
      <c r="T14" s="340" t="s">
        <v>365</v>
      </c>
      <c r="U14" s="495" t="str">
        <f t="shared" si="6"/>
        <v>23.06.2022</v>
      </c>
      <c r="V14" s="495" t="str">
        <f t="shared" si="3"/>
        <v>22.07.2022</v>
      </c>
      <c r="X14" s="493" t="s">
        <v>460</v>
      </c>
    </row>
    <row r="15" spans="1:24" x14ac:dyDescent="0.3">
      <c r="A15" s="340" t="s">
        <v>361</v>
      </c>
      <c r="B15" s="340">
        <v>543</v>
      </c>
      <c r="C15" s="340" t="s">
        <v>381</v>
      </c>
      <c r="M15" s="496" t="str">
        <f t="shared" si="5"/>
        <v>Z73</v>
      </c>
      <c r="O15" s="358">
        <v>30000002129</v>
      </c>
      <c r="P15" s="341">
        <f>ROUND('Calculo IP ZDF'!D35,2)</f>
        <v>2857.38</v>
      </c>
      <c r="Q15" s="340" t="s">
        <v>363</v>
      </c>
      <c r="R15" s="340">
        <v>1</v>
      </c>
      <c r="S15" s="340" t="s">
        <v>382</v>
      </c>
      <c r="T15" s="340" t="s">
        <v>365</v>
      </c>
      <c r="U15" s="344" t="str">
        <f t="shared" si="6"/>
        <v>23.06.2022</v>
      </c>
      <c r="V15" s="344" t="str">
        <f t="shared" si="3"/>
        <v>22.07.2022</v>
      </c>
      <c r="X15" s="497" t="s">
        <v>461</v>
      </c>
    </row>
    <row r="16" spans="1:24" x14ac:dyDescent="0.3">
      <c r="A16" s="340" t="s">
        <v>361</v>
      </c>
      <c r="B16" s="340">
        <v>543</v>
      </c>
      <c r="C16" s="340" t="s">
        <v>381</v>
      </c>
      <c r="M16" s="492" t="str">
        <f t="shared" si="5"/>
        <v>Z62</v>
      </c>
      <c r="O16" s="358">
        <v>30000002129</v>
      </c>
      <c r="P16" s="341">
        <f>ROUND('Calculo IP ZDF'!D36,2)</f>
        <v>4015.95</v>
      </c>
      <c r="Q16" s="340" t="s">
        <v>363</v>
      </c>
      <c r="R16" s="340">
        <v>1</v>
      </c>
      <c r="S16" s="340" t="s">
        <v>382</v>
      </c>
      <c r="T16" s="340" t="s">
        <v>365</v>
      </c>
      <c r="U16" s="490" t="str">
        <f t="shared" si="6"/>
        <v>23.06.2022</v>
      </c>
      <c r="V16" s="490" t="str">
        <f t="shared" si="3"/>
        <v>22.07.2022</v>
      </c>
      <c r="W16" s="491"/>
      <c r="X16" s="491" t="s">
        <v>110</v>
      </c>
    </row>
    <row r="17" spans="1:25" x14ac:dyDescent="0.3">
      <c r="A17" s="340" t="s">
        <v>366</v>
      </c>
      <c r="B17" s="340">
        <v>543</v>
      </c>
      <c r="C17" s="340" t="s">
        <v>381</v>
      </c>
      <c r="F17" s="340" t="s">
        <v>158</v>
      </c>
      <c r="M17" s="403" t="str">
        <f t="shared" si="5"/>
        <v xml:space="preserve">Z64  </v>
      </c>
      <c r="O17" s="358">
        <v>30000002129</v>
      </c>
      <c r="P17" s="341">
        <f>ROUND('Calculo IP ZDF'!E31,2)</f>
        <v>461.97</v>
      </c>
      <c r="Q17" s="340" t="s">
        <v>363</v>
      </c>
      <c r="R17" s="340">
        <v>1</v>
      </c>
      <c r="S17" s="340" t="s">
        <v>382</v>
      </c>
      <c r="T17" s="340" t="s">
        <v>365</v>
      </c>
      <c r="U17" s="344" t="str">
        <f t="shared" ref="U17:U21" si="7">+U16</f>
        <v>23.06.2022</v>
      </c>
      <c r="V17" s="344" t="str">
        <f t="shared" si="3"/>
        <v>22.07.2022</v>
      </c>
      <c r="X17" s="361" t="s">
        <v>108</v>
      </c>
    </row>
    <row r="18" spans="1:25" x14ac:dyDescent="0.3">
      <c r="A18" s="340" t="s">
        <v>366</v>
      </c>
      <c r="B18" s="340">
        <v>543</v>
      </c>
      <c r="C18" s="340" t="s">
        <v>381</v>
      </c>
      <c r="M18" s="499" t="str">
        <f t="shared" si="5"/>
        <v>Z51</v>
      </c>
      <c r="O18" s="358">
        <v>30000002129</v>
      </c>
      <c r="P18" s="341">
        <f>ROUND('Calculo IP ZDF'!E32,2)</f>
        <v>461.97</v>
      </c>
      <c r="Q18" s="340" t="s">
        <v>363</v>
      </c>
      <c r="R18" s="340">
        <v>1</v>
      </c>
      <c r="S18" s="340" t="s">
        <v>382</v>
      </c>
      <c r="T18" s="340" t="s">
        <v>365</v>
      </c>
      <c r="U18" s="500" t="str">
        <f t="shared" si="7"/>
        <v>23.06.2022</v>
      </c>
      <c r="V18" s="500" t="str">
        <f t="shared" si="3"/>
        <v>22.07.2022</v>
      </c>
      <c r="X18" s="498" t="s">
        <v>462</v>
      </c>
    </row>
    <row r="19" spans="1:25" x14ac:dyDescent="0.3">
      <c r="A19" s="340" t="s">
        <v>366</v>
      </c>
      <c r="B19" s="340">
        <v>543</v>
      </c>
      <c r="C19" s="340" t="s">
        <v>381</v>
      </c>
      <c r="M19" s="494" t="str">
        <f t="shared" si="5"/>
        <v>Z65</v>
      </c>
      <c r="O19" s="358">
        <v>30000002129</v>
      </c>
      <c r="P19" s="341">
        <f>ROUND('Calculo IP ZDF'!E33,2)</f>
        <v>461.97</v>
      </c>
      <c r="Q19" s="340" t="s">
        <v>363</v>
      </c>
      <c r="R19" s="340">
        <v>1</v>
      </c>
      <c r="S19" s="340" t="s">
        <v>382</v>
      </c>
      <c r="T19" s="340" t="s">
        <v>365</v>
      </c>
      <c r="U19" s="495" t="str">
        <f t="shared" si="7"/>
        <v>23.06.2022</v>
      </c>
      <c r="V19" s="495" t="str">
        <f t="shared" si="3"/>
        <v>22.07.2022</v>
      </c>
      <c r="X19" s="493" t="s">
        <v>460</v>
      </c>
    </row>
    <row r="20" spans="1:25" x14ac:dyDescent="0.3">
      <c r="A20" s="340" t="s">
        <v>366</v>
      </c>
      <c r="B20" s="340">
        <v>543</v>
      </c>
      <c r="C20" s="340" t="s">
        <v>381</v>
      </c>
      <c r="M20" s="496" t="str">
        <f t="shared" si="5"/>
        <v>Z73</v>
      </c>
      <c r="O20" s="358">
        <v>30000002129</v>
      </c>
      <c r="P20" s="341">
        <f>ROUND('Calculo IP ZDF'!E35,2)</f>
        <v>461.97</v>
      </c>
      <c r="Q20" s="340" t="s">
        <v>363</v>
      </c>
      <c r="R20" s="340">
        <v>1</v>
      </c>
      <c r="S20" s="340" t="s">
        <v>382</v>
      </c>
      <c r="T20" s="340" t="s">
        <v>365</v>
      </c>
      <c r="U20" s="344" t="str">
        <f t="shared" si="7"/>
        <v>23.06.2022</v>
      </c>
      <c r="V20" s="344" t="str">
        <f t="shared" si="3"/>
        <v>22.07.2022</v>
      </c>
      <c r="X20" s="497" t="s">
        <v>461</v>
      </c>
    </row>
    <row r="21" spans="1:25" x14ac:dyDescent="0.3">
      <c r="A21" s="340" t="s">
        <v>366</v>
      </c>
      <c r="B21" s="340">
        <v>543</v>
      </c>
      <c r="C21" s="340" t="s">
        <v>381</v>
      </c>
      <c r="M21" s="492" t="str">
        <f t="shared" si="5"/>
        <v>Z62</v>
      </c>
      <c r="O21" s="358">
        <v>30000002129</v>
      </c>
      <c r="P21" s="341">
        <f>ROUND('Calculo IP ZDF'!E36,2)</f>
        <v>461.97</v>
      </c>
      <c r="Q21" s="340" t="s">
        <v>363</v>
      </c>
      <c r="R21" s="340">
        <v>1</v>
      </c>
      <c r="S21" s="340" t="s">
        <v>382</v>
      </c>
      <c r="T21" s="340" t="s">
        <v>365</v>
      </c>
      <c r="U21" s="490" t="str">
        <f t="shared" si="7"/>
        <v>23.06.2022</v>
      </c>
      <c r="V21" s="490" t="str">
        <f t="shared" si="3"/>
        <v>22.07.2022</v>
      </c>
      <c r="W21" s="491"/>
      <c r="X21" s="491" t="s">
        <v>110</v>
      </c>
    </row>
    <row r="22" spans="1:25" x14ac:dyDescent="0.3">
      <c r="A22" s="526" t="s">
        <v>367</v>
      </c>
      <c r="B22" s="526">
        <v>549</v>
      </c>
      <c r="C22" s="526" t="s">
        <v>381</v>
      </c>
      <c r="D22" s="526"/>
      <c r="E22" s="526"/>
      <c r="F22" s="526"/>
      <c r="G22" s="526"/>
      <c r="H22" s="526"/>
      <c r="I22" s="526">
        <v>9000014799</v>
      </c>
      <c r="J22" s="526"/>
      <c r="K22" s="526"/>
      <c r="L22" s="526"/>
      <c r="M22" s="527" t="str">
        <f>+M21</f>
        <v>Z62</v>
      </c>
      <c r="N22" s="526"/>
      <c r="O22" s="526">
        <v>30000000003</v>
      </c>
      <c r="P22" s="528">
        <f>ROUND('Calculo IP ZDF'!C36,2)</f>
        <v>4097.8999999999996</v>
      </c>
      <c r="Q22" s="526" t="s">
        <v>363</v>
      </c>
      <c r="R22" s="526">
        <v>1</v>
      </c>
      <c r="S22" s="526" t="s">
        <v>382</v>
      </c>
      <c r="T22" s="526" t="s">
        <v>365</v>
      </c>
      <c r="U22" s="529" t="str">
        <f>+U21</f>
        <v>23.06.2022</v>
      </c>
      <c r="V22" s="529" t="str">
        <f>+V21</f>
        <v>22.07.2022</v>
      </c>
      <c r="W22" s="387" t="s">
        <v>396</v>
      </c>
      <c r="X22" s="388"/>
      <c r="Y22" s="388"/>
    </row>
    <row r="27" spans="1:25" x14ac:dyDescent="0.3">
      <c r="I27" s="361" t="s">
        <v>423</v>
      </c>
      <c r="J27" s="361"/>
      <c r="K27" s="361"/>
      <c r="L27" s="361"/>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3203125" defaultRowHeight="14.4"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 x14ac:dyDescent="0.7">
      <c r="B2" s="1">
        <v>3</v>
      </c>
      <c r="D2" s="2" t="s">
        <v>13</v>
      </c>
    </row>
    <row r="4" spans="2:12" ht="21" x14ac:dyDescent="0.4">
      <c r="D4" s="4" t="s">
        <v>0</v>
      </c>
      <c r="E4" s="5" t="s">
        <v>1</v>
      </c>
      <c r="F4" s="6" t="s">
        <v>2</v>
      </c>
    </row>
    <row r="5" spans="2:12" ht="21" x14ac:dyDescent="0.4">
      <c r="D5" s="4"/>
      <c r="E5" s="5"/>
      <c r="F5" s="6" t="s">
        <v>14</v>
      </c>
    </row>
    <row r="6" spans="2:12" x14ac:dyDescent="0.3">
      <c r="D6" s="11" t="s">
        <v>15</v>
      </c>
      <c r="E6" s="7" t="s">
        <v>16</v>
      </c>
      <c r="F6" s="841" t="s">
        <v>17</v>
      </c>
      <c r="G6" s="841"/>
      <c r="H6" s="841"/>
      <c r="I6" s="841"/>
      <c r="J6" s="841"/>
      <c r="K6" s="8">
        <v>4169.6138703799988</v>
      </c>
      <c r="L6" s="13"/>
    </row>
    <row r="7" spans="2:12" x14ac:dyDescent="0.3">
      <c r="D7" s="11" t="s">
        <v>18</v>
      </c>
      <c r="E7" s="7" t="s">
        <v>19</v>
      </c>
      <c r="F7" s="841" t="s">
        <v>17</v>
      </c>
      <c r="G7" s="841"/>
      <c r="H7" s="841"/>
      <c r="I7" s="841"/>
      <c r="J7" s="841"/>
      <c r="K7" s="8">
        <v>4923.01</v>
      </c>
      <c r="L7" s="13"/>
    </row>
    <row r="10" spans="2:12" ht="21" x14ac:dyDescent="0.4">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1" x14ac:dyDescent="0.4">
      <c r="D19" s="842" t="s">
        <v>9</v>
      </c>
      <c r="E19" s="843" t="s">
        <v>1</v>
      </c>
      <c r="F19" s="844" t="s">
        <v>2</v>
      </c>
      <c r="G19" s="845"/>
      <c r="H19" s="845"/>
      <c r="I19" s="845"/>
      <c r="J19" s="846"/>
    </row>
    <row r="20" spans="4:12" ht="21" x14ac:dyDescent="0.4">
      <c r="D20" s="842"/>
      <c r="E20" s="843"/>
      <c r="F20" s="847" t="s">
        <v>23</v>
      </c>
      <c r="G20" s="848"/>
      <c r="H20" s="848"/>
      <c r="I20" s="848"/>
      <c r="J20" s="849"/>
    </row>
    <row r="21" spans="4:12" x14ac:dyDescent="0.3">
      <c r="D21" s="12" t="s">
        <v>24</v>
      </c>
      <c r="E21" s="14" t="s">
        <v>10</v>
      </c>
      <c r="F21" s="841" t="s">
        <v>25</v>
      </c>
      <c r="G21" s="841"/>
      <c r="H21" s="841"/>
      <c r="I21" s="841"/>
      <c r="J21" s="841"/>
      <c r="K21" s="15">
        <v>4915.26</v>
      </c>
      <c r="L21" s="2" t="s">
        <v>316</v>
      </c>
    </row>
    <row r="22" spans="4:12" x14ac:dyDescent="0.3">
      <c r="D22" s="12" t="s">
        <v>26</v>
      </c>
      <c r="E22" s="14" t="s">
        <v>11</v>
      </c>
      <c r="F22" s="841" t="s">
        <v>27</v>
      </c>
      <c r="G22" s="841"/>
      <c r="H22" s="841"/>
      <c r="I22" s="841"/>
      <c r="J22" s="841"/>
      <c r="K22" s="15">
        <v>203.74</v>
      </c>
      <c r="L22" s="2" t="s">
        <v>316</v>
      </c>
    </row>
    <row r="23" spans="4:12" x14ac:dyDescent="0.3">
      <c r="D23" s="12" t="s">
        <v>28</v>
      </c>
      <c r="E23" s="14" t="s">
        <v>4</v>
      </c>
      <c r="F23" s="841" t="s">
        <v>29</v>
      </c>
      <c r="G23" s="841"/>
      <c r="H23" s="841"/>
      <c r="I23" s="841"/>
      <c r="J23" s="841"/>
      <c r="K23" s="15">
        <v>4923.01</v>
      </c>
      <c r="L23" s="2" t="s">
        <v>316</v>
      </c>
    </row>
    <row r="24" spans="4:12" x14ac:dyDescent="0.3">
      <c r="D24" s="12" t="s">
        <v>30</v>
      </c>
      <c r="E24" s="14" t="s">
        <v>3</v>
      </c>
      <c r="F24" s="841" t="s">
        <v>29</v>
      </c>
      <c r="G24" s="841"/>
      <c r="H24" s="841"/>
      <c r="I24" s="841"/>
      <c r="J24" s="841"/>
      <c r="K24" s="15">
        <v>5015.57</v>
      </c>
      <c r="L24" s="2" t="s">
        <v>318</v>
      </c>
    </row>
    <row r="25" spans="4:12" x14ac:dyDescent="0.3">
      <c r="D25" s="12" t="s">
        <v>31</v>
      </c>
      <c r="E25" s="14" t="s">
        <v>12</v>
      </c>
      <c r="F25" s="841" t="s">
        <v>32</v>
      </c>
      <c r="G25" s="841"/>
      <c r="H25" s="841"/>
      <c r="I25" s="841"/>
      <c r="J25" s="841"/>
      <c r="K25" s="15">
        <v>4254.7080309999992</v>
      </c>
      <c r="L25" s="331" t="s">
        <v>316</v>
      </c>
    </row>
    <row r="26" spans="4:12" x14ac:dyDescent="0.3">
      <c r="D26" s="12" t="s">
        <v>33</v>
      </c>
      <c r="E26" s="14" t="s">
        <v>34</v>
      </c>
      <c r="F26" s="841" t="s">
        <v>32</v>
      </c>
      <c r="G26" s="841"/>
      <c r="H26" s="841"/>
      <c r="I26" s="841"/>
      <c r="J26" s="841"/>
      <c r="K26" s="15">
        <v>4391.8172209999993</v>
      </c>
      <c r="L26" s="2" t="s">
        <v>316</v>
      </c>
    </row>
    <row r="27" spans="4:12" ht="15" customHeight="1" x14ac:dyDescent="0.3">
      <c r="D27" s="12" t="s">
        <v>35</v>
      </c>
      <c r="E27" s="14" t="s">
        <v>36</v>
      </c>
      <c r="F27" s="841" t="s">
        <v>32</v>
      </c>
      <c r="G27" s="841"/>
      <c r="H27" s="841"/>
      <c r="I27" s="841"/>
      <c r="J27" s="841"/>
      <c r="K27" s="15">
        <v>4384.4327060000005</v>
      </c>
      <c r="L27" s="2" t="s">
        <v>316</v>
      </c>
    </row>
    <row r="28" spans="4:12" ht="15" customHeight="1" x14ac:dyDescent="0.3">
      <c r="D28" s="12" t="s">
        <v>37</v>
      </c>
      <c r="E28" s="14" t="s">
        <v>38</v>
      </c>
      <c r="F28" s="841" t="s">
        <v>32</v>
      </c>
      <c r="G28" s="841"/>
      <c r="H28" s="841"/>
      <c r="I28" s="841"/>
      <c r="J28" s="841"/>
      <c r="K28" s="15">
        <v>4505.5387520000004</v>
      </c>
      <c r="L28" s="2" t="s">
        <v>316</v>
      </c>
    </row>
    <row r="29" spans="4:12" ht="15" customHeight="1" x14ac:dyDescent="0.3">
      <c r="D29" s="12" t="s">
        <v>39</v>
      </c>
      <c r="E29" s="14" t="s">
        <v>40</v>
      </c>
      <c r="F29" s="841" t="s">
        <v>32</v>
      </c>
      <c r="G29" s="841"/>
      <c r="H29" s="841"/>
      <c r="I29" s="841"/>
      <c r="J29" s="841"/>
      <c r="K29" s="15">
        <v>4234.7732020000003</v>
      </c>
      <c r="L29" s="2" t="s">
        <v>316</v>
      </c>
    </row>
    <row r="30" spans="4:12" x14ac:dyDescent="0.3">
      <c r="D30" s="12" t="s">
        <v>41</v>
      </c>
      <c r="E30" s="14" t="s">
        <v>42</v>
      </c>
      <c r="F30" s="841" t="s">
        <v>32</v>
      </c>
      <c r="G30" s="841"/>
      <c r="H30" s="841"/>
      <c r="I30" s="841"/>
      <c r="J30" s="841"/>
      <c r="K30" s="15">
        <v>4923.01</v>
      </c>
      <c r="L30" s="2" t="s">
        <v>316</v>
      </c>
    </row>
    <row r="31" spans="4:12" x14ac:dyDescent="0.3">
      <c r="D31" s="12" t="s">
        <v>43</v>
      </c>
      <c r="E31" s="14" t="s">
        <v>4</v>
      </c>
      <c r="F31" s="841" t="s">
        <v>29</v>
      </c>
      <c r="G31" s="841"/>
      <c r="H31" s="841"/>
      <c r="I31" s="841"/>
      <c r="J31" s="841"/>
      <c r="K31" s="15">
        <v>4923.01</v>
      </c>
      <c r="L31" s="2" t="s">
        <v>316</v>
      </c>
    </row>
    <row r="32" spans="4:12" x14ac:dyDescent="0.3">
      <c r="D32" s="12" t="s">
        <v>44</v>
      </c>
      <c r="E32" s="14" t="s">
        <v>40</v>
      </c>
      <c r="F32" s="841" t="s">
        <v>45</v>
      </c>
      <c r="G32" s="841"/>
      <c r="H32" s="841"/>
      <c r="I32" s="841"/>
      <c r="J32" s="841"/>
      <c r="K32" s="15">
        <v>4923.01</v>
      </c>
      <c r="L32" s="2" t="s">
        <v>316</v>
      </c>
    </row>
    <row r="33" spans="4:12" x14ac:dyDescent="0.3">
      <c r="D33" s="12" t="s">
        <v>46</v>
      </c>
      <c r="E33" s="14" t="s">
        <v>47</v>
      </c>
      <c r="F33" s="841" t="s">
        <v>32</v>
      </c>
      <c r="G33" s="841"/>
      <c r="H33" s="841"/>
      <c r="I33" s="841"/>
      <c r="J33" s="841"/>
      <c r="K33" s="15">
        <v>4056.8112165399998</v>
      </c>
      <c r="L33" s="2" t="s">
        <v>318</v>
      </c>
    </row>
    <row r="34" spans="4:12" x14ac:dyDescent="0.3">
      <c r="D34" s="12" t="s">
        <v>48</v>
      </c>
      <c r="E34" s="14">
        <v>0</v>
      </c>
      <c r="F34" s="841"/>
      <c r="G34" s="841"/>
      <c r="H34" s="841"/>
      <c r="I34" s="841"/>
      <c r="J34" s="841"/>
      <c r="K34" s="15"/>
      <c r="L34" s="2" t="s">
        <v>316</v>
      </c>
    </row>
    <row r="35" spans="4:12" x14ac:dyDescent="0.3">
      <c r="D35" s="12" t="s">
        <v>49</v>
      </c>
      <c r="E35" s="14" t="s">
        <v>50</v>
      </c>
      <c r="F35" s="841" t="s">
        <v>32</v>
      </c>
      <c r="G35" s="841"/>
      <c r="H35" s="841"/>
      <c r="I35" s="841"/>
      <c r="J35" s="841"/>
      <c r="K35" s="15">
        <v>3853.07121654</v>
      </c>
      <c r="L35" s="2" t="s">
        <v>316</v>
      </c>
    </row>
    <row r="36" spans="4:12" x14ac:dyDescent="0.3">
      <c r="D36" s="12" t="s">
        <v>51</v>
      </c>
      <c r="E36" s="14" t="s">
        <v>52</v>
      </c>
      <c r="F36" s="841" t="s">
        <v>32</v>
      </c>
      <c r="G36" s="841"/>
      <c r="H36" s="841"/>
      <c r="I36" s="841"/>
      <c r="J36" s="841"/>
      <c r="K36" s="15">
        <v>203.74</v>
      </c>
      <c r="L36" s="2" t="s">
        <v>316</v>
      </c>
    </row>
    <row r="37" spans="4:12" x14ac:dyDescent="0.3">
      <c r="D37" s="12" t="s">
        <v>53</v>
      </c>
      <c r="E37" s="14" t="s">
        <v>54</v>
      </c>
      <c r="F37" s="841" t="s">
        <v>55</v>
      </c>
      <c r="G37" s="841"/>
      <c r="H37" s="841"/>
      <c r="I37" s="841"/>
      <c r="J37" s="841"/>
      <c r="K37" s="15">
        <v>4345.8234222199999</v>
      </c>
      <c r="L37" s="16" t="s">
        <v>317</v>
      </c>
    </row>
    <row r="38" spans="4:12" x14ac:dyDescent="0.3">
      <c r="D38" s="12" t="s">
        <v>56</v>
      </c>
      <c r="E38" s="14" t="s">
        <v>57</v>
      </c>
      <c r="F38" s="841" t="s">
        <v>55</v>
      </c>
      <c r="G38" s="841"/>
      <c r="H38" s="841"/>
      <c r="I38" s="841"/>
      <c r="J38" s="841"/>
      <c r="K38" s="15">
        <v>4142.0884222200002</v>
      </c>
      <c r="L38" s="2" t="s">
        <v>316</v>
      </c>
    </row>
    <row r="39" spans="4:12" x14ac:dyDescent="0.3">
      <c r="D39" s="12" t="s">
        <v>58</v>
      </c>
      <c r="E39" s="14" t="s">
        <v>59</v>
      </c>
      <c r="F39" s="841" t="s">
        <v>55</v>
      </c>
      <c r="G39" s="841"/>
      <c r="H39" s="841"/>
      <c r="I39" s="841"/>
      <c r="J39" s="841"/>
      <c r="K39" s="15">
        <v>203.73500000000001</v>
      </c>
      <c r="L39" s="2" t="s">
        <v>316</v>
      </c>
    </row>
    <row r="40" spans="4:12" x14ac:dyDescent="0.3">
      <c r="D40" s="12" t="s">
        <v>60</v>
      </c>
      <c r="E40" s="14" t="s">
        <v>61</v>
      </c>
      <c r="F40" s="841" t="s">
        <v>62</v>
      </c>
      <c r="G40" s="841"/>
      <c r="H40" s="841"/>
      <c r="I40" s="841"/>
      <c r="J40" s="841"/>
      <c r="K40" s="15">
        <v>4180.670733259999</v>
      </c>
      <c r="L40" s="16" t="s">
        <v>317</v>
      </c>
    </row>
    <row r="41" spans="4:12" x14ac:dyDescent="0.3">
      <c r="D41" s="12" t="s">
        <v>63</v>
      </c>
      <c r="E41" s="14" t="s">
        <v>64</v>
      </c>
      <c r="F41" s="841" t="s">
        <v>62</v>
      </c>
      <c r="G41" s="841"/>
      <c r="H41" s="841"/>
      <c r="I41" s="841"/>
      <c r="J41" s="841"/>
      <c r="K41" s="15">
        <v>3976.9357332599993</v>
      </c>
      <c r="L41" s="17" t="s">
        <v>316</v>
      </c>
    </row>
    <row r="42" spans="4:12" x14ac:dyDescent="0.3">
      <c r="D42" s="12" t="s">
        <v>65</v>
      </c>
      <c r="E42" s="14" t="s">
        <v>66</v>
      </c>
      <c r="F42" s="841" t="s">
        <v>62</v>
      </c>
      <c r="G42" s="841"/>
      <c r="H42" s="841"/>
      <c r="I42" s="841"/>
      <c r="J42" s="841"/>
      <c r="K42" s="15">
        <v>203.73500000000001</v>
      </c>
      <c r="L42" s="2" t="s">
        <v>316</v>
      </c>
    </row>
    <row r="43" spans="4:12" x14ac:dyDescent="0.3">
      <c r="D43" s="12" t="s">
        <v>67</v>
      </c>
      <c r="E43" s="14" t="s">
        <v>68</v>
      </c>
      <c r="F43" s="841" t="s">
        <v>69</v>
      </c>
      <c r="G43" s="841"/>
      <c r="H43" s="841"/>
      <c r="I43" s="841"/>
      <c r="J43" s="841"/>
      <c r="K43" s="15">
        <v>4373.3488703799985</v>
      </c>
      <c r="L43" s="16" t="s">
        <v>316</v>
      </c>
    </row>
    <row r="44" spans="4:12" x14ac:dyDescent="0.3">
      <c r="D44" s="12" t="s">
        <v>70</v>
      </c>
      <c r="E44" s="14" t="s">
        <v>16</v>
      </c>
      <c r="F44" s="841" t="s">
        <v>69</v>
      </c>
      <c r="G44" s="841"/>
      <c r="H44" s="841"/>
      <c r="I44" s="841"/>
      <c r="J44" s="841"/>
      <c r="K44" s="15">
        <v>4169.6138703799988</v>
      </c>
      <c r="L44" s="2" t="s">
        <v>316</v>
      </c>
    </row>
    <row r="45" spans="4:12" x14ac:dyDescent="0.3">
      <c r="D45" s="12" t="s">
        <v>71</v>
      </c>
      <c r="E45" s="14" t="s">
        <v>72</v>
      </c>
      <c r="F45" s="841" t="s">
        <v>69</v>
      </c>
      <c r="G45" s="841"/>
      <c r="H45" s="841"/>
      <c r="I45" s="841"/>
      <c r="J45" s="841"/>
      <c r="K45" s="15">
        <v>203.73500000000001</v>
      </c>
      <c r="L45" s="2" t="s">
        <v>316</v>
      </c>
    </row>
    <row r="46" spans="4:12" x14ac:dyDescent="0.3">
      <c r="D46" s="12" t="s">
        <v>73</v>
      </c>
      <c r="E46" s="10">
        <v>0</v>
      </c>
      <c r="F46" s="841"/>
      <c r="G46" s="841"/>
      <c r="H46" s="841"/>
      <c r="I46" s="841"/>
      <c r="J46" s="841"/>
      <c r="K46" s="15"/>
      <c r="L46" s="2" t="s">
        <v>318</v>
      </c>
    </row>
    <row r="47" spans="4:12" x14ac:dyDescent="0.3">
      <c r="D47" s="330" t="s">
        <v>319</v>
      </c>
      <c r="E47" s="18"/>
      <c r="F47" s="2" t="s">
        <v>320</v>
      </c>
      <c r="K47" s="2">
        <f>+'Calculo IP ZDF'!C36</f>
        <v>4097.9048350000003</v>
      </c>
      <c r="L47" s="2" t="s">
        <v>316</v>
      </c>
    </row>
    <row r="48" spans="4:12" x14ac:dyDescent="0.3">
      <c r="D48" s="330" t="s">
        <v>321</v>
      </c>
      <c r="E48" s="18"/>
      <c r="F48" s="2" t="s">
        <v>322</v>
      </c>
      <c r="K48" s="2">
        <f>+'Calculo IP ZDF'!C32</f>
        <v>3701.6686599999998</v>
      </c>
      <c r="L48" s="331" t="s">
        <v>316</v>
      </c>
    </row>
    <row r="49" spans="4:12" x14ac:dyDescent="0.3">
      <c r="D49" s="329" t="s">
        <v>323</v>
      </c>
      <c r="K49" s="2">
        <f>+'Calculo IP ZDF'!C35</f>
        <v>2915.6919849999999</v>
      </c>
      <c r="L49" s="331" t="s">
        <v>316</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W52"/>
  <sheetViews>
    <sheetView topLeftCell="A20" zoomScale="90" zoomScaleNormal="90" workbookViewId="0">
      <selection activeCell="F38" sqref="F38"/>
    </sheetView>
  </sheetViews>
  <sheetFormatPr baseColWidth="10" defaultRowHeight="14.4" x14ac:dyDescent="0.3"/>
  <cols>
    <col min="1" max="1" width="28.21875" customWidth="1"/>
    <col min="2" max="2" width="11.6640625" customWidth="1"/>
    <col min="4" max="5" width="11.33203125" customWidth="1"/>
    <col min="6" max="6" width="15.5546875" customWidth="1"/>
    <col min="7" max="10" width="14.88671875" customWidth="1"/>
    <col min="11" max="11" width="18.5546875" style="614" customWidth="1"/>
    <col min="12" max="12" width="12.109375" customWidth="1"/>
    <col min="13" max="13" width="16.109375" customWidth="1"/>
    <col min="14" max="14" width="7.44140625" customWidth="1"/>
    <col min="15" max="15" width="13.77734375" customWidth="1"/>
    <col min="16" max="16" width="18.33203125" customWidth="1"/>
  </cols>
  <sheetData>
    <row r="1" spans="1:18" x14ac:dyDescent="0.3">
      <c r="A1" s="334"/>
      <c r="D1" s="184">
        <f>+C24</f>
        <v>4330.45</v>
      </c>
      <c r="R1" t="s">
        <v>158</v>
      </c>
    </row>
    <row r="2" spans="1:18" x14ac:dyDescent="0.3">
      <c r="A2" s="851" t="s">
        <v>120</v>
      </c>
      <c r="B2" s="850" t="s">
        <v>119</v>
      </c>
      <c r="C2" s="850"/>
      <c r="G2" t="s">
        <v>158</v>
      </c>
    </row>
    <row r="3" spans="1:18" x14ac:dyDescent="0.3">
      <c r="A3" s="851"/>
      <c r="B3" s="335" t="s">
        <v>405</v>
      </c>
      <c r="C3" s="336" t="s">
        <v>106</v>
      </c>
    </row>
    <row r="4" spans="1:18" x14ac:dyDescent="0.3">
      <c r="A4" s="21" t="s">
        <v>107</v>
      </c>
      <c r="B4" s="770">
        <v>1</v>
      </c>
      <c r="C4" s="770">
        <v>0.94850000000000001</v>
      </c>
      <c r="D4" s="457"/>
      <c r="F4" s="425" t="s">
        <v>515</v>
      </c>
      <c r="G4" s="425"/>
      <c r="H4" s="425"/>
      <c r="I4" s="425"/>
    </row>
    <row r="5" spans="1:18" x14ac:dyDescent="0.3">
      <c r="A5" s="21" t="s">
        <v>115</v>
      </c>
      <c r="B5" s="770">
        <v>0.93430000000000002</v>
      </c>
      <c r="C5" s="770">
        <v>0.63870000000000005</v>
      </c>
      <c r="E5" s="184"/>
      <c r="F5" s="425" t="s">
        <v>518</v>
      </c>
    </row>
    <row r="6" spans="1:18" x14ac:dyDescent="0.3">
      <c r="A6" s="21" t="s">
        <v>112</v>
      </c>
      <c r="B6" s="770">
        <v>1</v>
      </c>
      <c r="C6" s="770">
        <v>0.96830000000000005</v>
      </c>
      <c r="E6" s="184"/>
    </row>
    <row r="7" spans="1:18" x14ac:dyDescent="0.3">
      <c r="A7" s="21" t="s">
        <v>108</v>
      </c>
      <c r="B7" s="770">
        <v>1</v>
      </c>
      <c r="C7" s="770">
        <v>1</v>
      </c>
    </row>
    <row r="8" spans="1:18" x14ac:dyDescent="0.3">
      <c r="A8" s="21" t="s">
        <v>113</v>
      </c>
      <c r="B8" s="800">
        <v>0.91220000000000001</v>
      </c>
      <c r="C8" s="770">
        <v>0.8548</v>
      </c>
    </row>
    <row r="9" spans="1:18" x14ac:dyDescent="0.3">
      <c r="A9" s="21" t="s">
        <v>448</v>
      </c>
      <c r="B9" s="770">
        <v>1</v>
      </c>
      <c r="C9" s="770">
        <v>1</v>
      </c>
      <c r="D9" t="s">
        <v>447</v>
      </c>
    </row>
    <row r="10" spans="1:18" x14ac:dyDescent="0.3">
      <c r="A10" s="21" t="s">
        <v>449</v>
      </c>
      <c r="B10" s="770">
        <v>1</v>
      </c>
      <c r="C10" s="770">
        <v>1</v>
      </c>
      <c r="D10" t="s">
        <v>447</v>
      </c>
    </row>
    <row r="11" spans="1:18" x14ac:dyDescent="0.3">
      <c r="A11" s="21" t="s">
        <v>121</v>
      </c>
      <c r="B11" s="770">
        <v>1</v>
      </c>
      <c r="C11" s="770">
        <v>0.94869999999999999</v>
      </c>
    </row>
    <row r="12" spans="1:18" x14ac:dyDescent="0.3">
      <c r="A12" s="21" t="s">
        <v>116</v>
      </c>
      <c r="B12" s="770">
        <v>0.95379999999999998</v>
      </c>
      <c r="C12" s="770">
        <v>0.71279999999999999</v>
      </c>
    </row>
    <row r="13" spans="1:18" x14ac:dyDescent="0.3">
      <c r="A13" s="21" t="s">
        <v>111</v>
      </c>
      <c r="B13" s="770">
        <v>0.8891</v>
      </c>
      <c r="C13" s="770">
        <v>0.67330000000000001</v>
      </c>
    </row>
    <row r="14" spans="1:18" x14ac:dyDescent="0.3">
      <c r="A14" s="21" t="s">
        <v>446</v>
      </c>
      <c r="B14" s="770">
        <v>0.8891</v>
      </c>
      <c r="C14" s="770">
        <v>0.67330000000000001</v>
      </c>
      <c r="D14" t="s">
        <v>447</v>
      </c>
    </row>
    <row r="15" spans="1:18" x14ac:dyDescent="0.3">
      <c r="A15" s="21" t="s">
        <v>110</v>
      </c>
      <c r="B15" s="770">
        <v>1</v>
      </c>
      <c r="C15" s="770">
        <v>0.94630000000000003</v>
      </c>
      <c r="D15" s="414"/>
      <c r="I15" s="386"/>
    </row>
    <row r="16" spans="1:18" x14ac:dyDescent="0.3">
      <c r="A16" s="21" t="s">
        <v>109</v>
      </c>
      <c r="B16" s="800">
        <v>0.91220000000000001</v>
      </c>
      <c r="C16" s="770">
        <v>0.85270000000000001</v>
      </c>
    </row>
    <row r="17" spans="1:23" x14ac:dyDescent="0.3">
      <c r="A17" s="21" t="s">
        <v>313</v>
      </c>
      <c r="B17" s="770">
        <v>1</v>
      </c>
      <c r="C17" s="770">
        <v>0.94869999999999999</v>
      </c>
    </row>
    <row r="18" spans="1:23" x14ac:dyDescent="0.3">
      <c r="A18" s="21" t="s">
        <v>117</v>
      </c>
      <c r="B18" s="770">
        <v>0.95379999999999998</v>
      </c>
      <c r="C18" s="770">
        <v>0.67749999999999999</v>
      </c>
    </row>
    <row r="19" spans="1:23" x14ac:dyDescent="0.3">
      <c r="A19" s="21" t="s">
        <v>114</v>
      </c>
      <c r="B19" s="770">
        <v>0.93440000000000001</v>
      </c>
      <c r="C19" s="770">
        <v>0.63900000000000001</v>
      </c>
    </row>
    <row r="20" spans="1:23" x14ac:dyDescent="0.3">
      <c r="A20" s="21" t="s">
        <v>482</v>
      </c>
      <c r="B20" s="770">
        <v>0.95379999999999998</v>
      </c>
      <c r="C20" s="770">
        <v>0.67730000000000001</v>
      </c>
      <c r="H20" s="457"/>
    </row>
    <row r="22" spans="1:23" x14ac:dyDescent="0.3">
      <c r="G22" s="457"/>
      <c r="J22" s="614"/>
      <c r="K22"/>
      <c r="L22" s="614"/>
    </row>
    <row r="23" spans="1:23" x14ac:dyDescent="0.3">
      <c r="A23" s="337" t="s">
        <v>244</v>
      </c>
      <c r="B23" s="337" t="s">
        <v>118</v>
      </c>
      <c r="C23" s="337" t="s">
        <v>243</v>
      </c>
      <c r="D23" s="337" t="s">
        <v>245</v>
      </c>
      <c r="E23" s="337" t="s">
        <v>246</v>
      </c>
      <c r="F23" s="332"/>
      <c r="G23" s="184"/>
      <c r="J23" s="614"/>
      <c r="K23"/>
      <c r="L23" s="614"/>
    </row>
    <row r="24" spans="1:23" ht="15.9" customHeight="1" x14ac:dyDescent="0.4">
      <c r="A24" s="21" t="s">
        <v>326</v>
      </c>
      <c r="B24" s="671">
        <v>5064.8</v>
      </c>
      <c r="C24" s="671">
        <v>4330.45</v>
      </c>
      <c r="D24" s="671">
        <v>23098.69</v>
      </c>
      <c r="E24" s="671">
        <v>13048.21</v>
      </c>
      <c r="F24" s="566" t="s">
        <v>506</v>
      </c>
      <c r="G24" s="457"/>
      <c r="H24" s="457"/>
      <c r="J24" s="614"/>
      <c r="K24"/>
      <c r="L24" s="614"/>
    </row>
    <row r="25" spans="1:23" x14ac:dyDescent="0.3">
      <c r="B25" s="184"/>
      <c r="C25" s="184"/>
      <c r="D25" s="184">
        <f>+D24*0.02</f>
        <v>461.97379999999998</v>
      </c>
      <c r="E25" s="184"/>
      <c r="J25" s="614"/>
      <c r="K25"/>
      <c r="L25" s="614"/>
    </row>
    <row r="26" spans="1:23" x14ac:dyDescent="0.3">
      <c r="B26" s="184"/>
      <c r="C26" s="184"/>
      <c r="D26" s="184"/>
      <c r="E26" s="184"/>
      <c r="G26" s="456"/>
      <c r="H26" s="609"/>
      <c r="J26" s="614"/>
      <c r="K26"/>
      <c r="L26" s="614"/>
      <c r="M26" t="s">
        <v>158</v>
      </c>
      <c r="T26" t="s">
        <v>379</v>
      </c>
      <c r="W26" t="s">
        <v>380</v>
      </c>
    </row>
    <row r="27" spans="1:23" s="333" customFormat="1" ht="66" customHeight="1" x14ac:dyDescent="0.3">
      <c r="A27" s="338" t="s">
        <v>242</v>
      </c>
      <c r="B27" s="339" t="s">
        <v>374</v>
      </c>
      <c r="C27" s="339" t="s">
        <v>375</v>
      </c>
      <c r="D27" s="350" t="s">
        <v>327</v>
      </c>
      <c r="E27" s="350" t="s">
        <v>328</v>
      </c>
      <c r="F27" s="351" t="s">
        <v>376</v>
      </c>
      <c r="G27" s="743" t="s">
        <v>508</v>
      </c>
      <c r="H27" s="743" t="s">
        <v>509</v>
      </c>
      <c r="I27" s="624" t="s">
        <v>510</v>
      </c>
      <c r="J27" s="624" t="s">
        <v>507</v>
      </c>
      <c r="K27" s="338" t="s">
        <v>490</v>
      </c>
      <c r="L27" s="338" t="s">
        <v>497</v>
      </c>
      <c r="M27" s="542" t="s">
        <v>378</v>
      </c>
      <c r="N27" s="460" t="s">
        <v>418</v>
      </c>
      <c r="P27" s="533" t="s">
        <v>471</v>
      </c>
      <c r="Q27" s="351" t="s">
        <v>468</v>
      </c>
      <c r="R27"/>
    </row>
    <row r="28" spans="1:23" x14ac:dyDescent="0.3">
      <c r="A28" s="185" t="s">
        <v>107</v>
      </c>
      <c r="B28" s="395">
        <f>+B$24*B4</f>
        <v>5064.8</v>
      </c>
      <c r="C28" s="185">
        <f t="shared" ref="B28:C32" si="0">+C$24*C4</f>
        <v>4107.4318249999997</v>
      </c>
      <c r="D28" s="185">
        <f>+ROUND(C28*0.98,2)</f>
        <v>4025.28</v>
      </c>
      <c r="E28" s="185">
        <f>+D$24*0.02</f>
        <v>461.97379999999998</v>
      </c>
      <c r="F28" s="741">
        <f>+ROUND(D28+E28,2)</f>
        <v>4487.25</v>
      </c>
      <c r="G28" s="741">
        <f>(B28*96%)+('GAS CTE'!D$8)</f>
        <v>5384.1363999999994</v>
      </c>
      <c r="H28" s="741">
        <f>(B28*95%)+($E$24*5%)</f>
        <v>5463.9705000000004</v>
      </c>
      <c r="I28" s="741">
        <f>ROUND(($B28*94%),2)+($E$24*6%)</f>
        <v>5543.8026</v>
      </c>
      <c r="J28" s="741"/>
      <c r="K28" s="645">
        <f>(C28*89%)+(BIODIESEL!I$8)</f>
        <v>6196.4702242499998</v>
      </c>
      <c r="L28" s="667">
        <f>(C28*90%)+(BIODIESEL!H$8)</f>
        <v>6006.5576424999999</v>
      </c>
      <c r="M28" s="534" t="s">
        <v>329</v>
      </c>
      <c r="N28" s="429" t="s">
        <v>419</v>
      </c>
      <c r="R28" s="543" t="s">
        <v>107</v>
      </c>
    </row>
    <row r="29" spans="1:23" x14ac:dyDescent="0.3">
      <c r="A29" s="185" t="s">
        <v>115</v>
      </c>
      <c r="B29" s="395">
        <f t="shared" si="0"/>
        <v>4732.0426400000006</v>
      </c>
      <c r="C29" s="185">
        <f>+C$24*C5</f>
        <v>2765.8584150000002</v>
      </c>
      <c r="D29" s="185">
        <f t="shared" ref="D29:D40" si="1">+C29*0.98</f>
        <v>2710.5412467000001</v>
      </c>
      <c r="E29" s="185">
        <f t="shared" ref="E29:E41" si="2">+D$24*0.02</f>
        <v>461.97379999999998</v>
      </c>
      <c r="F29" s="741">
        <f>+D29+E29</f>
        <v>3172.5150467000003</v>
      </c>
      <c r="G29" s="741">
        <f>(B29*96%)+('GAS CTE'!D$8)</f>
        <v>5064.6893344</v>
      </c>
      <c r="H29" s="741">
        <f>(B29*95%)+($E$24*5%)</f>
        <v>5147.8510080000005</v>
      </c>
      <c r="I29" s="742"/>
      <c r="J29" s="744">
        <f>(B29*90%)+($E$24*10%)</f>
        <v>5563.6593760000005</v>
      </c>
      <c r="K29"/>
      <c r="L29" s="203">
        <f>(C29*90%)+(BIODIESEL!H$8)</f>
        <v>4799.141573500001</v>
      </c>
      <c r="M29" s="534" t="s">
        <v>330</v>
      </c>
      <c r="N29" s="458" t="s">
        <v>421</v>
      </c>
      <c r="P29" s="184">
        <f>(B29*95%)+5%*$E$24</f>
        <v>5147.8510080000005</v>
      </c>
      <c r="Q29" s="184">
        <f>(C29*95%)+(5%*$D$24)</f>
        <v>3782.4999942499999</v>
      </c>
      <c r="R29" s="543" t="s">
        <v>115</v>
      </c>
    </row>
    <row r="30" spans="1:23" ht="15.6" x14ac:dyDescent="0.3">
      <c r="A30" s="185" t="s">
        <v>112</v>
      </c>
      <c r="B30" s="395">
        <f t="shared" si="0"/>
        <v>5064.8</v>
      </c>
      <c r="C30" s="185">
        <f t="shared" si="0"/>
        <v>4193.1747349999996</v>
      </c>
      <c r="D30" s="185">
        <f t="shared" si="1"/>
        <v>4109.3112402999996</v>
      </c>
      <c r="E30" s="185">
        <f t="shared" si="2"/>
        <v>461.97379999999998</v>
      </c>
      <c r="F30" s="741">
        <f>+D30+E30</f>
        <v>4571.2850402999993</v>
      </c>
      <c r="G30" s="741">
        <f>(B30*96%)+('GAS CTE'!D$8)</f>
        <v>5384.1363999999994</v>
      </c>
      <c r="H30" s="741">
        <f>(B30*95%)+($E$24*5%)</f>
        <v>5463.9705000000004</v>
      </c>
      <c r="I30" s="741">
        <f>ROUND(($B30*94%),2)+($E$24*6%)</f>
        <v>5543.8026</v>
      </c>
      <c r="J30" s="741"/>
      <c r="K30" s="646">
        <f>(C30*89%)+(BIODIESEL!I$8)</f>
        <v>6272.7814141500003</v>
      </c>
      <c r="L30" s="668">
        <f>(C30*90%)+(BIODIESEL!H$8)</f>
        <v>6083.7262615</v>
      </c>
      <c r="M30" s="534" t="s">
        <v>331</v>
      </c>
      <c r="N30" s="459">
        <f>(C30*88%)+BIODIESEL!J8</f>
        <v>6461.8365667999997</v>
      </c>
      <c r="O30" s="456" t="s">
        <v>467</v>
      </c>
      <c r="R30" s="543" t="s">
        <v>112</v>
      </c>
    </row>
    <row r="31" spans="1:23" ht="15.6" x14ac:dyDescent="0.3">
      <c r="A31" s="185" t="s">
        <v>108</v>
      </c>
      <c r="B31" s="395">
        <f t="shared" si="0"/>
        <v>5064.8</v>
      </c>
      <c r="C31" s="185">
        <f t="shared" si="0"/>
        <v>4330.45</v>
      </c>
      <c r="D31" s="185">
        <f t="shared" ref="D31:D39" si="3">+ROUND(C31*0.98,2)</f>
        <v>4243.84</v>
      </c>
      <c r="E31" s="185">
        <f t="shared" si="2"/>
        <v>461.97379999999998</v>
      </c>
      <c r="F31" s="741">
        <f t="shared" ref="F31:F41" si="4">+D31+E31</f>
        <v>4705.8137999999999</v>
      </c>
      <c r="G31" s="741">
        <f>(B31*96%)+('GAS CTE'!D$8)</f>
        <v>5384.1363999999994</v>
      </c>
      <c r="H31" s="741">
        <f>(B31*95%)+($E$24*5%)</f>
        <v>5463.9705000000004</v>
      </c>
      <c r="I31" s="741">
        <f>ROUND(($B31*94%),2)+($E$24*6%)</f>
        <v>5543.8026</v>
      </c>
      <c r="J31" s="741"/>
      <c r="K31" s="647">
        <f>(C31*89%)+(BIODIESEL!I$8)</f>
        <v>6394.9564</v>
      </c>
      <c r="L31" s="668">
        <f>(C31*90%)+(BIODIESEL!H$8)</f>
        <v>6207.2739999999994</v>
      </c>
      <c r="M31" s="534" t="s">
        <v>384</v>
      </c>
      <c r="N31" s="459">
        <f>(C31*88%)+(BIODIESEL!J$8)</f>
        <v>6582.6387999999997</v>
      </c>
      <c r="O31" s="456" t="s">
        <v>420</v>
      </c>
      <c r="R31" s="543" t="s">
        <v>108</v>
      </c>
    </row>
    <row r="32" spans="1:23" ht="15.6" x14ac:dyDescent="0.3">
      <c r="A32" s="185" t="s">
        <v>113</v>
      </c>
      <c r="B32" s="395">
        <f t="shared" si="0"/>
        <v>4620.1105600000001</v>
      </c>
      <c r="C32" s="185">
        <f t="shared" si="0"/>
        <v>3701.6686599999998</v>
      </c>
      <c r="D32" s="185">
        <f t="shared" si="3"/>
        <v>3627.64</v>
      </c>
      <c r="E32" s="185">
        <f t="shared" si="2"/>
        <v>461.97379999999998</v>
      </c>
      <c r="F32" s="741">
        <f t="shared" si="4"/>
        <v>4089.6138000000001</v>
      </c>
      <c r="G32" s="741">
        <f>(B32*96%)+('GAS CTE'!D$8)</f>
        <v>4957.2345375999994</v>
      </c>
      <c r="H32" s="742" t="s">
        <v>455</v>
      </c>
      <c r="I32" s="742"/>
      <c r="J32" s="742"/>
      <c r="K32" s="647">
        <f>(C32*89%)+(BIODIESEL!I$8)</f>
        <v>5835.3410074000003</v>
      </c>
      <c r="L32" s="668">
        <f>(C32*90%)+(BIODIESEL!H$8)</f>
        <v>5641.3707940000004</v>
      </c>
      <c r="M32" s="534" t="s">
        <v>470</v>
      </c>
      <c r="N32" s="458" t="s">
        <v>421</v>
      </c>
      <c r="Q32" s="184">
        <f>(C32*95%)+(5%*$D$24)</f>
        <v>4671.5197269999999</v>
      </c>
      <c r="R32" s="543" t="s">
        <v>113</v>
      </c>
    </row>
    <row r="33" spans="1:21" ht="15.6" x14ac:dyDescent="0.3">
      <c r="A33" s="185" t="s">
        <v>121</v>
      </c>
      <c r="B33" s="395">
        <f t="shared" ref="B33:C35" si="5">+B$24*B11</f>
        <v>5064.8</v>
      </c>
      <c r="C33" s="185">
        <f t="shared" si="5"/>
        <v>4108.2979150000001</v>
      </c>
      <c r="D33" s="185">
        <f t="shared" si="3"/>
        <v>4026.13</v>
      </c>
      <c r="E33" s="185">
        <f t="shared" si="2"/>
        <v>461.97379999999998</v>
      </c>
      <c r="F33" s="741">
        <f t="shared" si="4"/>
        <v>4488.1037999999999</v>
      </c>
      <c r="G33" s="741">
        <f>(B33*96%)+('GAS CTE'!D$8)</f>
        <v>5384.1363999999994</v>
      </c>
      <c r="H33" s="741">
        <f t="shared" ref="H33:H41" si="6">(B33*95%)+($E$24*5%)</f>
        <v>5463.9705000000004</v>
      </c>
      <c r="I33" s="741">
        <f>ROUND(($B33*94%),2)+($E$24*6%)</f>
        <v>5543.8026</v>
      </c>
      <c r="J33" s="741"/>
      <c r="K33" s="647">
        <f>(C33*89%)+(BIODIESEL!I$8)</f>
        <v>6197.2410443500003</v>
      </c>
      <c r="L33" s="668">
        <f>(C33*90%)+(BIODIESEL!H$8)</f>
        <v>6007.3371235000004</v>
      </c>
      <c r="M33" s="534" t="s">
        <v>332</v>
      </c>
      <c r="N33" s="429" t="s">
        <v>419</v>
      </c>
      <c r="R33" s="543" t="s">
        <v>121</v>
      </c>
      <c r="S33" s="416" t="s">
        <v>381</v>
      </c>
    </row>
    <row r="34" spans="1:21" x14ac:dyDescent="0.3">
      <c r="A34" s="185" t="s">
        <v>116</v>
      </c>
      <c r="B34" s="395">
        <f t="shared" si="5"/>
        <v>4830.8062399999999</v>
      </c>
      <c r="C34" s="185">
        <f t="shared" si="5"/>
        <v>3086.74476</v>
      </c>
      <c r="D34" s="185">
        <f t="shared" si="3"/>
        <v>3025.01</v>
      </c>
      <c r="E34" s="185">
        <f t="shared" si="2"/>
        <v>461.97379999999998</v>
      </c>
      <c r="F34" s="741">
        <f>+D34+E34</f>
        <v>3486.9838</v>
      </c>
      <c r="G34" s="741">
        <f>(B34*96%)+('GAS CTE'!D$8)</f>
        <v>5159.5023903999991</v>
      </c>
      <c r="H34" s="741">
        <f t="shared" si="6"/>
        <v>5241.6764279999998</v>
      </c>
      <c r="I34" s="742"/>
      <c r="J34" s="744">
        <f>(B34*90%)+($E$24*10%)</f>
        <v>5652.5466159999996</v>
      </c>
      <c r="K34"/>
      <c r="L34" s="203">
        <f>(C34*90%)+(BIODIESEL!H$8)</f>
        <v>5087.939284</v>
      </c>
      <c r="M34" s="534" t="s">
        <v>333</v>
      </c>
      <c r="N34" s="458" t="s">
        <v>421</v>
      </c>
      <c r="P34" s="184">
        <f>(B34*95%)+5%*$E$24</f>
        <v>5241.6764279999998</v>
      </c>
      <c r="Q34" s="184">
        <f>(C34*95%)+(5%*$D$24)</f>
        <v>4087.3420219999998</v>
      </c>
      <c r="R34" s="543" t="s">
        <v>116</v>
      </c>
    </row>
    <row r="35" spans="1:21" x14ac:dyDescent="0.3">
      <c r="A35" s="185" t="s">
        <v>111</v>
      </c>
      <c r="B35" s="395">
        <f t="shared" si="5"/>
        <v>4503.1136800000004</v>
      </c>
      <c r="C35" s="185">
        <f t="shared" si="5"/>
        <v>2915.6919849999999</v>
      </c>
      <c r="D35" s="185">
        <f t="shared" si="3"/>
        <v>2857.38</v>
      </c>
      <c r="E35" s="185">
        <f t="shared" si="2"/>
        <v>461.97379999999998</v>
      </c>
      <c r="F35" s="741">
        <f t="shared" si="4"/>
        <v>3319.3537999999999</v>
      </c>
      <c r="G35" s="741">
        <f>(B35*96%)+('GAS CTE'!D$8)</f>
        <v>4844.9175328000001</v>
      </c>
      <c r="H35" s="741">
        <f t="shared" si="6"/>
        <v>4930.3684960000001</v>
      </c>
      <c r="I35" s="742"/>
      <c r="J35" s="744">
        <f>(B35*90%)+($E$24*10%)</f>
        <v>5357.6233119999997</v>
      </c>
      <c r="K35"/>
      <c r="L35" s="203">
        <f>(C35*90%)+(BIODIESEL!H$8)</f>
        <v>4933.9917865000007</v>
      </c>
      <c r="M35" s="534" t="s">
        <v>377</v>
      </c>
      <c r="N35" s="458" t="s">
        <v>421</v>
      </c>
      <c r="P35" s="184">
        <f>(B35*95%)+5%*$E$24</f>
        <v>4930.3684960000001</v>
      </c>
      <c r="Q35" s="184">
        <f>(C35*95%)+(5%*$D$24)</f>
        <v>3924.8418857500001</v>
      </c>
      <c r="R35" s="543" t="s">
        <v>111</v>
      </c>
      <c r="S35" s="416" t="s">
        <v>381</v>
      </c>
    </row>
    <row r="36" spans="1:21" ht="15.6" x14ac:dyDescent="0.3">
      <c r="A36" s="185" t="s">
        <v>110</v>
      </c>
      <c r="B36" s="395">
        <f>+B$24*B15</f>
        <v>5064.8</v>
      </c>
      <c r="C36" s="185">
        <f>+C$24*C15</f>
        <v>4097.9048350000003</v>
      </c>
      <c r="D36" s="185">
        <f t="shared" si="3"/>
        <v>4015.95</v>
      </c>
      <c r="E36" s="185">
        <f t="shared" si="2"/>
        <v>461.97379999999998</v>
      </c>
      <c r="F36" s="741">
        <f t="shared" si="4"/>
        <v>4477.9237999999996</v>
      </c>
      <c r="G36" s="741">
        <f>(B36*96%)+('GAS CTE'!D$8)</f>
        <v>5384.1363999999994</v>
      </c>
      <c r="H36" s="741">
        <f t="shared" si="6"/>
        <v>5463.9705000000004</v>
      </c>
      <c r="I36" s="741">
        <f>ROUND(($B36*94%),2)+($E$24*6%)</f>
        <v>5543.8026</v>
      </c>
      <c r="J36" s="741"/>
      <c r="K36" s="647">
        <f>(C36*89%)+(BIODIESEL!I$8)</f>
        <v>6187.9912031500007</v>
      </c>
      <c r="L36" s="668">
        <f>(C36*90%)+(BIODIESEL!H$8)</f>
        <v>5997.9833515000009</v>
      </c>
      <c r="M36" s="534" t="s">
        <v>334</v>
      </c>
      <c r="N36" s="429" t="s">
        <v>419</v>
      </c>
      <c r="P36" s="184"/>
      <c r="Q36" s="184"/>
      <c r="R36" s="543" t="s">
        <v>110</v>
      </c>
    </row>
    <row r="37" spans="1:21" x14ac:dyDescent="0.3">
      <c r="A37" s="185" t="s">
        <v>109</v>
      </c>
      <c r="B37" s="395">
        <f t="shared" ref="B37:C41" si="7">+B$24*B16</f>
        <v>4620.1105600000001</v>
      </c>
      <c r="C37" s="185">
        <f t="shared" si="7"/>
        <v>3692.5747149999997</v>
      </c>
      <c r="D37" s="185">
        <f t="shared" si="3"/>
        <v>3618.72</v>
      </c>
      <c r="E37" s="185">
        <f t="shared" si="2"/>
        <v>461.97379999999998</v>
      </c>
      <c r="F37" s="741">
        <f t="shared" si="4"/>
        <v>4080.6938</v>
      </c>
      <c r="G37" s="741">
        <f>(B37*96%)+('GAS CTE'!D$8)</f>
        <v>4957.2345375999994</v>
      </c>
      <c r="H37" s="761">
        <f t="shared" si="6"/>
        <v>5041.5155319999994</v>
      </c>
      <c r="I37" s="742"/>
      <c r="J37" s="742"/>
      <c r="K37"/>
      <c r="L37" s="203">
        <f>(C37*90%)+(BIODIESEL!H$8)</f>
        <v>5633.1862435000003</v>
      </c>
      <c r="M37" s="534" t="s">
        <v>335</v>
      </c>
      <c r="N37" s="458" t="s">
        <v>421</v>
      </c>
      <c r="Q37" s="184">
        <f>(C37*95%)+(5%*$D$24)</f>
        <v>4662.8804792499996</v>
      </c>
      <c r="R37" s="543" t="s">
        <v>109</v>
      </c>
    </row>
    <row r="38" spans="1:21" ht="15.6" x14ac:dyDescent="0.3">
      <c r="A38" s="185" t="s">
        <v>313</v>
      </c>
      <c r="B38" s="395">
        <f t="shared" si="7"/>
        <v>5064.8</v>
      </c>
      <c r="C38" s="185">
        <f t="shared" si="7"/>
        <v>4108.2979150000001</v>
      </c>
      <c r="D38" s="185">
        <f t="shared" si="3"/>
        <v>4026.13</v>
      </c>
      <c r="E38" s="185">
        <f t="shared" si="2"/>
        <v>461.97379999999998</v>
      </c>
      <c r="F38" s="741">
        <f t="shared" si="4"/>
        <v>4488.1037999999999</v>
      </c>
      <c r="G38" s="741">
        <f>(B38*96%)+('GAS CTE'!D$8)</f>
        <v>5384.1363999999994</v>
      </c>
      <c r="H38" s="741">
        <f t="shared" si="6"/>
        <v>5463.9705000000004</v>
      </c>
      <c r="I38" s="741">
        <f>ROUND(($B38*94%),2)+($E$24*6%)</f>
        <v>5543.8026</v>
      </c>
      <c r="J38" s="741"/>
      <c r="K38" s="647">
        <f>(C38*89%)+(BIODIESEL!I$8)</f>
        <v>6197.2410443500003</v>
      </c>
      <c r="L38" s="668">
        <f>(C38*90%)+(BIODIESEL!H$8)</f>
        <v>6007.3371235000004</v>
      </c>
      <c r="M38" s="534" t="s">
        <v>336</v>
      </c>
      <c r="N38" s="429" t="s">
        <v>419</v>
      </c>
      <c r="R38" s="543" t="s">
        <v>313</v>
      </c>
    </row>
    <row r="39" spans="1:21" x14ac:dyDescent="0.3">
      <c r="A39" s="185" t="s">
        <v>117</v>
      </c>
      <c r="B39" s="395">
        <f t="shared" si="7"/>
        <v>4830.8062399999999</v>
      </c>
      <c r="C39" s="185">
        <f t="shared" si="7"/>
        <v>2933.8798749999996</v>
      </c>
      <c r="D39" s="185">
        <f t="shared" si="3"/>
        <v>2875.2</v>
      </c>
      <c r="E39" s="185">
        <f t="shared" si="2"/>
        <v>461.97379999999998</v>
      </c>
      <c r="F39" s="741">
        <f t="shared" si="4"/>
        <v>3337.1737999999996</v>
      </c>
      <c r="G39" s="741">
        <f>(B39*96%)+('GAS CTE'!D$8)</f>
        <v>5159.5023903999991</v>
      </c>
      <c r="H39" s="741">
        <f t="shared" si="6"/>
        <v>5241.6764279999998</v>
      </c>
      <c r="I39" s="742"/>
      <c r="J39" s="744">
        <f>(B39*90%)+($E$24*10%)</f>
        <v>5652.5466159999996</v>
      </c>
      <c r="K39"/>
      <c r="L39" s="203">
        <f>(C39*90%)+(BIODIESEL!H$8)</f>
        <v>4950.3608875</v>
      </c>
      <c r="M39" s="534" t="s">
        <v>338</v>
      </c>
      <c r="N39" s="458" t="s">
        <v>421</v>
      </c>
      <c r="P39" s="184">
        <f>(B39*95%)+5%*$E$24</f>
        <v>5241.6764279999998</v>
      </c>
      <c r="Q39" s="184">
        <f>(C39*95%)+(5%*$D$24)</f>
        <v>3942.1203812499998</v>
      </c>
      <c r="R39" s="543" t="s">
        <v>117</v>
      </c>
    </row>
    <row r="40" spans="1:21" ht="15.9" customHeight="1" x14ac:dyDescent="0.3">
      <c r="A40" s="185" t="s">
        <v>387</v>
      </c>
      <c r="B40" s="395">
        <f t="shared" si="7"/>
        <v>4732.5491200000006</v>
      </c>
      <c r="C40" s="185">
        <f t="shared" si="7"/>
        <v>2767.1575499999999</v>
      </c>
      <c r="D40" s="185">
        <f t="shared" si="1"/>
        <v>2711.8143989999999</v>
      </c>
      <c r="E40" s="185">
        <f t="shared" si="2"/>
        <v>461.97379999999998</v>
      </c>
      <c r="F40" s="741">
        <f t="shared" si="4"/>
        <v>3173.7881989999996</v>
      </c>
      <c r="G40" s="741">
        <f>(B40*96%)+('GAS CTE'!D$8)</f>
        <v>5065.1755552000004</v>
      </c>
      <c r="H40" s="741">
        <f t="shared" si="6"/>
        <v>5148.3321640000004</v>
      </c>
      <c r="I40" s="741">
        <f>ROUND(($B40*94%),2)+($E$24*6%)</f>
        <v>5231.4926000000005</v>
      </c>
      <c r="J40" s="744">
        <f>(B40*90%)+($E$24*10%)</f>
        <v>5564.1152080000002</v>
      </c>
      <c r="K40"/>
      <c r="L40" s="203">
        <f>(C40*90%)+(BIODIESEL!H$8)</f>
        <v>4800.3107950000003</v>
      </c>
      <c r="M40" s="534" t="s">
        <v>399</v>
      </c>
      <c r="N40" s="458" t="s">
        <v>421</v>
      </c>
      <c r="P40" s="459">
        <f>(B40*95%)+5%*$E$24</f>
        <v>5148.3321640000004</v>
      </c>
      <c r="Q40" s="184">
        <f>(C40*95%)+(5%*$D$24)</f>
        <v>3783.7341724999997</v>
      </c>
      <c r="R40" s="543" t="s">
        <v>472</v>
      </c>
      <c r="U40" t="s">
        <v>158</v>
      </c>
    </row>
    <row r="41" spans="1:21" ht="15.9" customHeight="1" x14ac:dyDescent="0.3">
      <c r="A41" s="185" t="s">
        <v>386</v>
      </c>
      <c r="B41" s="395">
        <f t="shared" si="7"/>
        <v>4830.8062399999999</v>
      </c>
      <c r="C41" s="185">
        <f t="shared" si="7"/>
        <v>2933.0137850000001</v>
      </c>
      <c r="D41" s="185">
        <f>+ROUND(C41*0.98,2)</f>
        <v>2874.35</v>
      </c>
      <c r="E41" s="185">
        <f t="shared" si="2"/>
        <v>461.97379999999998</v>
      </c>
      <c r="F41" s="741">
        <f t="shared" si="4"/>
        <v>3336.3238000000001</v>
      </c>
      <c r="G41" s="741">
        <f>(B41*96%)+('GAS CTE'!D$8)</f>
        <v>5159.5023903999991</v>
      </c>
      <c r="H41" s="741">
        <f t="shared" si="6"/>
        <v>5241.6764279999998</v>
      </c>
      <c r="I41" s="742"/>
      <c r="J41" s="744">
        <f>(B41*90%)+($E$24*10%)</f>
        <v>5652.5466159999996</v>
      </c>
      <c r="K41"/>
      <c r="L41" s="203">
        <f>(C41*90%)+(BIODIESEL!H$8)</f>
        <v>4949.5814065000004</v>
      </c>
      <c r="M41" s="534" t="s">
        <v>337</v>
      </c>
      <c r="N41" s="458" t="s">
        <v>421</v>
      </c>
      <c r="P41" s="459">
        <f>(B41*95%)+5%*$E$24</f>
        <v>5241.6764279999998</v>
      </c>
      <c r="Q41" s="184">
        <f>(C41*95%)+(5%*$D$24)</f>
        <v>3941.2975957500003</v>
      </c>
      <c r="R41" s="543" t="s">
        <v>473</v>
      </c>
    </row>
    <row r="42" spans="1:21" ht="15.9" customHeight="1" x14ac:dyDescent="0.3">
      <c r="A42" s="485" t="s">
        <v>448</v>
      </c>
      <c r="B42" s="486">
        <f>+B$24*B9</f>
        <v>5064.8</v>
      </c>
      <c r="C42" s="486">
        <f>+C$24*C9</f>
        <v>4330.45</v>
      </c>
      <c r="D42" s="486">
        <f t="shared" ref="D42" si="8">+ROUND(C42*0.98,2)</f>
        <v>4243.84</v>
      </c>
      <c r="E42" s="486">
        <f t="shared" ref="E42" si="9">+D$24*0.02</f>
        <v>461.97379999999998</v>
      </c>
      <c r="F42" s="486">
        <f t="shared" ref="F42:F44" si="10">+D42+E42</f>
        <v>4705.8137999999999</v>
      </c>
      <c r="G42" s="486">
        <f>(B42*96%)+('GAS CTE'!D$8)</f>
        <v>5384.1363999999994</v>
      </c>
      <c r="H42" s="486"/>
      <c r="I42" s="486"/>
      <c r="J42" s="486"/>
      <c r="K42" s="486">
        <f>(C42*90%)+(BIODIESEL!H$8)</f>
        <v>6207.2739999999994</v>
      </c>
      <c r="L42" s="666"/>
      <c r="M42" s="487"/>
      <c r="N42" s="488">
        <f>(C42*88%)+(BIODIESEL!J$8)</f>
        <v>6582.6387999999997</v>
      </c>
    </row>
    <row r="43" spans="1:21" ht="15.9" customHeight="1" x14ac:dyDescent="0.3">
      <c r="A43" s="485" t="s">
        <v>449</v>
      </c>
      <c r="B43" s="486">
        <f>+B$24*B10</f>
        <v>5064.8</v>
      </c>
      <c r="C43" s="486">
        <f>+C$24*C10</f>
        <v>4330.45</v>
      </c>
      <c r="D43" s="486">
        <f t="shared" ref="D43:D44" si="11">+ROUND(C43*0.98,2)</f>
        <v>4243.84</v>
      </c>
      <c r="E43" s="486">
        <f t="shared" ref="E43:E44" si="12">+D$24*0.02</f>
        <v>461.97379999999998</v>
      </c>
      <c r="F43" s="486">
        <f t="shared" si="10"/>
        <v>4705.8137999999999</v>
      </c>
      <c r="G43" s="486">
        <f>(B43*96%)+('GAS CTE'!D$8)</f>
        <v>5384.1363999999994</v>
      </c>
      <c r="H43" s="486"/>
      <c r="I43" s="486"/>
      <c r="J43" s="486"/>
      <c r="K43" s="486">
        <f>(C43*90%)+(BIODIESEL!H$8)</f>
        <v>6207.2739999999994</v>
      </c>
      <c r="L43" s="666"/>
      <c r="M43" s="487"/>
      <c r="N43" s="488">
        <f>(C43*88%)+(BIODIESEL!J$8)</f>
        <v>6582.6387999999997</v>
      </c>
    </row>
    <row r="44" spans="1:21" ht="15.9" customHeight="1" x14ac:dyDescent="0.3">
      <c r="A44" s="485" t="s">
        <v>446</v>
      </c>
      <c r="B44" s="486">
        <f>+B$24*B14</f>
        <v>4503.1136800000004</v>
      </c>
      <c r="C44" s="486">
        <f>+C$24*C14</f>
        <v>2915.6919849999999</v>
      </c>
      <c r="D44" s="486">
        <f t="shared" si="11"/>
        <v>2857.38</v>
      </c>
      <c r="E44" s="486">
        <f t="shared" si="12"/>
        <v>461.97379999999998</v>
      </c>
      <c r="F44" s="486">
        <f t="shared" si="10"/>
        <v>3319.3537999999999</v>
      </c>
      <c r="G44" s="486">
        <f>(B44*96%)+('GAS CTE'!D$8)</f>
        <v>4844.9175328000001</v>
      </c>
      <c r="H44" s="486"/>
      <c r="I44" s="486"/>
      <c r="J44" s="486"/>
      <c r="K44" s="486">
        <f>(C44*90%)+(BIODIESEL!H$8)</f>
        <v>4933.9917865000007</v>
      </c>
      <c r="L44" s="666"/>
      <c r="M44" s="487"/>
      <c r="N44" s="489"/>
    </row>
    <row r="45" spans="1:21" x14ac:dyDescent="0.3">
      <c r="I45" s="614"/>
      <c r="J45" s="614"/>
      <c r="K45"/>
      <c r="L45" s="614"/>
    </row>
    <row r="46" spans="1:21" ht="15.6" x14ac:dyDescent="0.3">
      <c r="A46" s="349" t="s">
        <v>373</v>
      </c>
      <c r="B46" s="567" t="s">
        <v>503</v>
      </c>
      <c r="C46" s="567" t="s">
        <v>504</v>
      </c>
      <c r="D46" s="411" t="s">
        <v>402</v>
      </c>
      <c r="E46" s="530"/>
      <c r="F46" s="531"/>
      <c r="G46" s="531"/>
      <c r="H46" s="531"/>
      <c r="I46" s="531"/>
      <c r="J46" s="531"/>
      <c r="K46" s="531"/>
      <c r="L46" s="531"/>
      <c r="M46" s="531"/>
    </row>
    <row r="47" spans="1:21" x14ac:dyDescent="0.3">
      <c r="E47" s="530"/>
      <c r="F47" s="531"/>
      <c r="G47" s="531"/>
      <c r="H47" s="531"/>
      <c r="I47" s="531"/>
      <c r="J47" s="531"/>
      <c r="K47" s="531"/>
      <c r="L47" s="531"/>
    </row>
    <row r="48" spans="1:21" x14ac:dyDescent="0.3">
      <c r="A48" s="360" t="s">
        <v>370</v>
      </c>
      <c r="B48" s="360" t="s">
        <v>368</v>
      </c>
      <c r="C48" s="360" t="s">
        <v>369</v>
      </c>
      <c r="D48" t="s">
        <v>158</v>
      </c>
      <c r="E48" s="532"/>
      <c r="F48" s="531"/>
      <c r="G48" s="531"/>
      <c r="H48" s="531"/>
      <c r="I48" s="531"/>
      <c r="J48" s="531"/>
      <c r="K48" s="531"/>
    </row>
    <row r="49" spans="1:11" x14ac:dyDescent="0.3">
      <c r="A49" s="347" t="s">
        <v>371</v>
      </c>
      <c r="B49" s="348">
        <v>30000002129</v>
      </c>
      <c r="C49" s="21"/>
      <c r="E49" s="530"/>
      <c r="F49" s="531"/>
      <c r="G49" s="531"/>
      <c r="H49" s="531"/>
      <c r="I49" s="531"/>
      <c r="J49" s="531"/>
      <c r="K49" s="531"/>
    </row>
    <row r="50" spans="1:11" x14ac:dyDescent="0.3">
      <c r="A50" s="347" t="s">
        <v>372</v>
      </c>
      <c r="B50" s="348">
        <v>30000000070</v>
      </c>
      <c r="C50" s="348">
        <v>30000000070</v>
      </c>
    </row>
    <row r="51" spans="1:11" x14ac:dyDescent="0.3">
      <c r="A51" s="347" t="s">
        <v>385</v>
      </c>
      <c r="B51" s="352">
        <v>30000009250</v>
      </c>
      <c r="C51" s="348"/>
      <c r="E51" t="s">
        <v>158</v>
      </c>
    </row>
    <row r="52" spans="1:11" x14ac:dyDescent="0.3">
      <c r="A52" s="347" t="s">
        <v>106</v>
      </c>
      <c r="B52" s="348" t="s">
        <v>158</v>
      </c>
      <c r="C52" s="348">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B12" sqref="B12"/>
    </sheetView>
  </sheetViews>
  <sheetFormatPr baseColWidth="10" defaultColWidth="11.33203125" defaultRowHeight="13.8" outlineLevelCol="1" x14ac:dyDescent="0.3"/>
  <cols>
    <col min="1" max="1" width="59.88671875" style="87" customWidth="1"/>
    <col min="2" max="2" width="18.88671875" style="87" customWidth="1" outlineLevel="1"/>
    <col min="3" max="4" width="18.88671875" style="87" hidden="1" customWidth="1"/>
    <col min="5" max="5" width="18.88671875" style="87" customWidth="1" outlineLevel="1"/>
    <col min="6" max="6" width="19.33203125" style="87" customWidth="1"/>
    <col min="7" max="10" width="11.33203125" style="49"/>
    <col min="11" max="11" width="15.77734375" style="49" customWidth="1"/>
    <col min="12" max="16384" width="11.33203125" style="49"/>
  </cols>
  <sheetData>
    <row r="1" spans="1:10" ht="14.4" thickBot="1" x14ac:dyDescent="0.35">
      <c r="A1" s="44">
        <v>2020</v>
      </c>
      <c r="B1" s="45"/>
      <c r="C1" s="45">
        <v>7.2405999999999997</v>
      </c>
      <c r="D1" s="46"/>
      <c r="E1" s="47"/>
      <c r="F1" s="48"/>
    </row>
    <row r="2" spans="1:10" s="50" customFormat="1" ht="21.75" customHeight="1" thickTop="1" x14ac:dyDescent="0.3">
      <c r="A2" s="854" t="str">
        <f>CONCATENATE("ESTRUCTURAS DE PRECIOS DE COMBUSTIBLES LIQUIDOS VIGENTES A PARTIR DE ",$A$1)</f>
        <v>ESTRUCTURAS DE PRECIOS DE COMBUSTIBLES LIQUIDOS VIGENTES A PARTIR DE 2020</v>
      </c>
      <c r="B2" s="855"/>
      <c r="C2" s="855"/>
      <c r="D2" s="855"/>
      <c r="E2" s="855"/>
      <c r="F2" s="856"/>
    </row>
    <row r="3" spans="1:10" s="50" customFormat="1" ht="21.75" customHeight="1" x14ac:dyDescent="0.3">
      <c r="A3" s="51" t="s">
        <v>122</v>
      </c>
      <c r="B3" s="52"/>
      <c r="C3" s="52"/>
      <c r="D3" s="52"/>
      <c r="E3" s="52"/>
      <c r="F3" s="53"/>
    </row>
    <row r="4" spans="1:10" s="55" customFormat="1" ht="24" customHeight="1" x14ac:dyDescent="0.3">
      <c r="A4" s="857" t="s">
        <v>123</v>
      </c>
      <c r="B4" s="859" t="s">
        <v>96</v>
      </c>
      <c r="C4" s="861"/>
      <c r="D4" s="862"/>
      <c r="E4" s="859" t="s">
        <v>125</v>
      </c>
      <c r="F4" s="54"/>
    </row>
    <row r="5" spans="1:10" s="55" customFormat="1" ht="24" customHeight="1" x14ac:dyDescent="0.3">
      <c r="A5" s="857"/>
      <c r="B5" s="860"/>
      <c r="C5" s="56"/>
      <c r="D5" s="56"/>
      <c r="E5" s="860"/>
      <c r="F5" s="57"/>
    </row>
    <row r="6" spans="1:10" s="55" customFormat="1" ht="24" customHeight="1" thickBot="1" x14ac:dyDescent="0.35">
      <c r="A6" s="858"/>
      <c r="B6" s="58"/>
      <c r="C6" s="59"/>
      <c r="D6" s="58"/>
      <c r="E6" s="58"/>
      <c r="F6" s="60"/>
      <c r="G6" s="55" t="s">
        <v>410</v>
      </c>
      <c r="H6" s="55" t="s">
        <v>410</v>
      </c>
      <c r="I6" s="55" t="s">
        <v>410</v>
      </c>
    </row>
    <row r="7" spans="1:10" ht="22.65" customHeight="1" thickTop="1" x14ac:dyDescent="0.3">
      <c r="A7" s="61" t="s">
        <v>126</v>
      </c>
      <c r="B7" s="552">
        <f>+'Calculo IP ZDF'!B24</f>
        <v>5064.8</v>
      </c>
      <c r="C7" s="736"/>
      <c r="D7" s="737"/>
      <c r="E7" s="552">
        <f>+'Calculo IP ZDF'!C24</f>
        <v>4330.45</v>
      </c>
      <c r="F7" s="420"/>
      <c r="G7" s="62"/>
      <c r="J7" s="406" t="s">
        <v>403</v>
      </c>
    </row>
    <row r="8" spans="1:10" ht="22.65" customHeight="1" x14ac:dyDescent="0.3">
      <c r="A8" s="63" t="s">
        <v>127</v>
      </c>
      <c r="B8" s="556">
        <v>8.6300000000000008</v>
      </c>
      <c r="C8" s="64"/>
      <c r="D8" s="64"/>
      <c r="E8" s="552">
        <f>+B8</f>
        <v>8.6300000000000008</v>
      </c>
      <c r="F8" s="65"/>
    </row>
    <row r="9" spans="1:10" ht="22.65" customHeight="1" x14ac:dyDescent="0.3">
      <c r="A9" s="63" t="s">
        <v>128</v>
      </c>
      <c r="B9" s="553" t="s">
        <v>129</v>
      </c>
      <c r="C9" s="66"/>
      <c r="D9" s="66"/>
      <c r="E9" s="553" t="s">
        <v>129</v>
      </c>
      <c r="F9" s="67"/>
      <c r="H9" s="49" t="s">
        <v>129</v>
      </c>
      <c r="I9" s="49" t="s">
        <v>129</v>
      </c>
    </row>
    <row r="10" spans="1:10" ht="22.65" customHeight="1" x14ac:dyDescent="0.3">
      <c r="A10" s="63" t="s">
        <v>130</v>
      </c>
      <c r="B10" s="554">
        <v>0</v>
      </c>
      <c r="C10" s="64"/>
      <c r="D10" s="64"/>
      <c r="E10" s="554">
        <v>0</v>
      </c>
      <c r="F10" s="69"/>
    </row>
    <row r="11" spans="1:10" ht="22.65" customHeight="1" x14ac:dyDescent="0.3">
      <c r="A11" s="63" t="s">
        <v>131</v>
      </c>
      <c r="B11" s="557">
        <v>586.25</v>
      </c>
      <c r="C11" s="68"/>
      <c r="D11" s="68"/>
      <c r="E11" s="554">
        <v>561.12</v>
      </c>
      <c r="F11" s="70"/>
      <c r="H11" s="71"/>
      <c r="I11" s="71"/>
    </row>
    <row r="12" spans="1:10" ht="22.65" customHeight="1" x14ac:dyDescent="0.3">
      <c r="A12" s="63" t="s">
        <v>132</v>
      </c>
      <c r="B12" s="555" t="s">
        <v>133</v>
      </c>
      <c r="C12" s="551"/>
      <c r="D12" s="551"/>
      <c r="E12" s="555" t="s">
        <v>133</v>
      </c>
      <c r="F12" s="72"/>
      <c r="H12" s="49" t="s">
        <v>133</v>
      </c>
      <c r="I12" s="49" t="s">
        <v>133</v>
      </c>
    </row>
    <row r="13" spans="1:10" ht="22.65" customHeight="1" x14ac:dyDescent="0.3">
      <c r="A13" s="63" t="s">
        <v>134</v>
      </c>
      <c r="B13" s="557">
        <v>169</v>
      </c>
      <c r="C13" s="68"/>
      <c r="D13" s="68"/>
      <c r="E13" s="554">
        <v>191</v>
      </c>
      <c r="F13" s="70"/>
    </row>
    <row r="14" spans="1:10" ht="22.65" customHeight="1" x14ac:dyDescent="0.3">
      <c r="A14" s="63" t="s">
        <v>135</v>
      </c>
      <c r="B14" s="66" t="s">
        <v>136</v>
      </c>
      <c r="C14" s="66"/>
      <c r="D14" s="66"/>
      <c r="E14" s="66" t="s">
        <v>136</v>
      </c>
      <c r="F14" s="67"/>
    </row>
    <row r="15" spans="1:10" ht="22.65" customHeight="1" x14ac:dyDescent="0.3">
      <c r="A15" s="63" t="s">
        <v>137</v>
      </c>
      <c r="B15" s="66" t="s">
        <v>138</v>
      </c>
      <c r="C15" s="66"/>
      <c r="D15" s="66"/>
      <c r="E15" s="66" t="s">
        <v>138</v>
      </c>
      <c r="F15" s="73"/>
    </row>
    <row r="16" spans="1:10" ht="22.65" customHeight="1" x14ac:dyDescent="0.3">
      <c r="A16" s="63" t="s">
        <v>139</v>
      </c>
      <c r="B16" s="68"/>
      <c r="C16" s="68"/>
      <c r="D16" s="68"/>
      <c r="E16" s="68"/>
      <c r="F16" s="74"/>
    </row>
    <row r="17" spans="1:7" ht="22.65" customHeight="1" x14ac:dyDescent="0.3">
      <c r="A17" s="63" t="s">
        <v>141</v>
      </c>
      <c r="B17" s="66" t="s">
        <v>136</v>
      </c>
      <c r="C17" s="66"/>
      <c r="D17" s="66"/>
      <c r="E17" s="66" t="s">
        <v>136</v>
      </c>
      <c r="F17" s="74"/>
    </row>
    <row r="18" spans="1:7" ht="22.65" customHeight="1" x14ac:dyDescent="0.3">
      <c r="A18" s="63" t="s">
        <v>142</v>
      </c>
      <c r="B18" s="66" t="s">
        <v>138</v>
      </c>
      <c r="C18" s="66"/>
      <c r="D18" s="66"/>
      <c r="E18" s="66" t="s">
        <v>138</v>
      </c>
      <c r="F18" s="74"/>
    </row>
    <row r="19" spans="1:7" ht="22.65" customHeight="1" x14ac:dyDescent="0.3">
      <c r="A19" s="63" t="s">
        <v>143</v>
      </c>
      <c r="B19" s="66" t="s">
        <v>144</v>
      </c>
      <c r="C19" s="66"/>
      <c r="D19" s="66"/>
      <c r="E19" s="66"/>
      <c r="F19" s="75"/>
      <c r="G19" s="49" t="s">
        <v>140</v>
      </c>
    </row>
    <row r="20" spans="1:7" ht="22.65" customHeight="1" x14ac:dyDescent="0.3">
      <c r="A20" s="63" t="s">
        <v>145</v>
      </c>
      <c r="B20" s="66" t="s">
        <v>138</v>
      </c>
      <c r="C20" s="68"/>
      <c r="D20" s="68"/>
      <c r="E20" s="66" t="s">
        <v>138</v>
      </c>
      <c r="F20" s="74"/>
      <c r="G20" s="49" t="s">
        <v>140</v>
      </c>
    </row>
    <row r="21" spans="1:7" ht="22.65" customHeight="1" thickBot="1" x14ac:dyDescent="0.35">
      <c r="A21" s="76" t="s">
        <v>146</v>
      </c>
      <c r="B21" s="77" t="s">
        <v>136</v>
      </c>
      <c r="C21" s="77"/>
      <c r="D21" s="77"/>
      <c r="E21" s="77" t="s">
        <v>136</v>
      </c>
      <c r="F21" s="78"/>
      <c r="G21" s="49" t="s">
        <v>140</v>
      </c>
    </row>
    <row r="22" spans="1:7" ht="21.75" customHeight="1" thickTop="1" x14ac:dyDescent="0.3">
      <c r="A22" s="852"/>
      <c r="B22" s="853"/>
      <c r="C22" s="853"/>
      <c r="D22" s="853"/>
      <c r="E22" s="853"/>
      <c r="F22" s="853"/>
    </row>
    <row r="23" spans="1:7" s="79" customFormat="1" ht="30" customHeight="1" x14ac:dyDescent="0.3">
      <c r="A23" s="864"/>
      <c r="B23" s="864"/>
      <c r="C23" s="864"/>
      <c r="D23" s="864"/>
      <c r="E23" s="864"/>
      <c r="F23" s="864"/>
    </row>
    <row r="24" spans="1:7" s="79" customFormat="1" ht="11.25" customHeight="1" x14ac:dyDescent="0.3">
      <c r="A24" s="80"/>
      <c r="B24" s="80"/>
      <c r="C24" s="80"/>
      <c r="D24" s="80"/>
      <c r="E24" s="80"/>
      <c r="F24" s="80"/>
    </row>
    <row r="25" spans="1:7" s="79" customFormat="1" ht="31.65" customHeight="1" x14ac:dyDescent="0.3">
      <c r="A25" s="864"/>
      <c r="B25" s="864"/>
      <c r="C25" s="864"/>
      <c r="D25" s="864"/>
      <c r="E25" s="864"/>
      <c r="F25" s="864"/>
    </row>
    <row r="26" spans="1:7" s="79" customFormat="1" ht="7.5" customHeight="1" x14ac:dyDescent="0.3">
      <c r="A26" s="81"/>
      <c r="B26" s="82"/>
      <c r="C26" s="82"/>
      <c r="D26" s="82"/>
      <c r="E26" s="82"/>
      <c r="F26" s="82"/>
    </row>
    <row r="27" spans="1:7" ht="43.5" customHeight="1" x14ac:dyDescent="0.3">
      <c r="A27" s="865"/>
      <c r="B27" s="865"/>
      <c r="C27" s="865"/>
      <c r="D27" s="865"/>
      <c r="E27" s="865"/>
      <c r="F27" s="865"/>
    </row>
    <row r="28" spans="1:7" s="84" customFormat="1" ht="8.25" customHeight="1" x14ac:dyDescent="0.3">
      <c r="A28" s="83"/>
      <c r="B28" s="83"/>
      <c r="C28" s="83"/>
      <c r="D28" s="83"/>
      <c r="E28" s="83"/>
      <c r="F28" s="83"/>
    </row>
    <row r="29" spans="1:7" ht="18" customHeight="1" x14ac:dyDescent="0.3">
      <c r="A29" s="864"/>
      <c r="B29" s="864"/>
      <c r="C29" s="864"/>
      <c r="D29" s="864"/>
      <c r="E29" s="864"/>
      <c r="F29" s="864"/>
    </row>
    <row r="30" spans="1:7" ht="7.5" customHeight="1" x14ac:dyDescent="0.3">
      <c r="A30" s="852"/>
      <c r="B30" s="853"/>
      <c r="C30" s="853"/>
      <c r="D30" s="853"/>
      <c r="E30" s="853"/>
      <c r="F30" s="853"/>
    </row>
    <row r="31" spans="1:7" ht="29.25" customHeight="1" x14ac:dyDescent="0.3">
      <c r="A31" s="864"/>
      <c r="B31" s="864"/>
      <c r="C31" s="864"/>
      <c r="D31" s="864"/>
      <c r="E31" s="864"/>
      <c r="F31" s="864"/>
    </row>
    <row r="32" spans="1:7" s="85" customFormat="1" ht="18" customHeight="1" x14ac:dyDescent="0.3">
      <c r="A32" s="864"/>
      <c r="B32" s="864"/>
      <c r="C32" s="864"/>
      <c r="D32" s="864"/>
      <c r="E32" s="864"/>
      <c r="F32" s="864"/>
    </row>
    <row r="33" spans="1:6" s="85" customFormat="1" x14ac:dyDescent="0.3">
      <c r="A33" s="864"/>
      <c r="B33" s="864"/>
      <c r="C33" s="864"/>
      <c r="D33" s="864"/>
      <c r="E33" s="864"/>
      <c r="F33" s="864"/>
    </row>
    <row r="34" spans="1:6" s="85" customFormat="1" x14ac:dyDescent="0.3">
      <c r="A34" s="80"/>
      <c r="B34" s="80"/>
      <c r="C34" s="80"/>
      <c r="D34" s="80"/>
      <c r="E34" s="80"/>
      <c r="F34" s="80"/>
    </row>
    <row r="35" spans="1:6" s="85" customFormat="1" x14ac:dyDescent="0.3">
      <c r="A35" s="864"/>
      <c r="B35" s="864"/>
      <c r="C35" s="864"/>
      <c r="D35" s="864"/>
      <c r="E35" s="864"/>
      <c r="F35" s="864"/>
    </row>
    <row r="36" spans="1:6" s="85" customFormat="1" ht="14.25" customHeight="1" x14ac:dyDescent="0.3">
      <c r="A36" s="864"/>
      <c r="B36" s="864"/>
      <c r="C36" s="864"/>
      <c r="D36" s="864"/>
      <c r="E36" s="864"/>
      <c r="F36" s="864"/>
    </row>
    <row r="37" spans="1:6" s="85" customFormat="1" x14ac:dyDescent="0.3">
      <c r="A37" s="864"/>
      <c r="B37" s="864"/>
      <c r="C37" s="864"/>
      <c r="D37" s="864"/>
      <c r="E37" s="864"/>
      <c r="F37" s="864"/>
    </row>
    <row r="38" spans="1:6" s="85" customFormat="1" ht="90" customHeight="1" x14ac:dyDescent="0.3">
      <c r="A38" s="863"/>
      <c r="B38" s="863"/>
      <c r="C38" s="863"/>
      <c r="D38" s="863"/>
      <c r="E38" s="863"/>
      <c r="F38" s="86"/>
    </row>
    <row r="39" spans="1:6" s="85" customFormat="1" x14ac:dyDescent="0.3">
      <c r="A39" s="86"/>
      <c r="B39" s="86"/>
      <c r="C39" s="86"/>
      <c r="D39" s="86"/>
      <c r="E39" s="86"/>
      <c r="F39" s="86"/>
    </row>
    <row r="40" spans="1:6" s="85" customFormat="1" x14ac:dyDescent="0.3">
      <c r="A40" s="86"/>
      <c r="B40" s="86"/>
      <c r="C40" s="86"/>
      <c r="D40" s="86"/>
      <c r="E40" s="86"/>
      <c r="F40" s="86"/>
    </row>
    <row r="41" spans="1:6" s="85" customFormat="1" x14ac:dyDescent="0.3">
      <c r="A41" s="86"/>
      <c r="B41" s="86"/>
      <c r="C41" s="86"/>
      <c r="D41" s="86"/>
      <c r="E41" s="86"/>
      <c r="F41" s="86"/>
    </row>
    <row r="42" spans="1:6" s="85" customFormat="1" x14ac:dyDescent="0.3">
      <c r="A42" s="86"/>
      <c r="B42" s="86"/>
      <c r="C42" s="86"/>
      <c r="D42" s="86"/>
      <c r="E42" s="86"/>
      <c r="F42" s="86"/>
    </row>
    <row r="43" spans="1:6" s="85" customFormat="1" x14ac:dyDescent="0.3">
      <c r="A43" s="86"/>
      <c r="B43" s="86"/>
      <c r="C43" s="86"/>
      <c r="D43" s="86"/>
      <c r="E43" s="86"/>
      <c r="F43" s="86"/>
    </row>
    <row r="44" spans="1:6" s="85" customFormat="1" x14ac:dyDescent="0.3">
      <c r="A44" s="87"/>
      <c r="B44" s="87"/>
      <c r="C44" s="87"/>
      <c r="D44" s="87"/>
      <c r="E44" s="87"/>
      <c r="F44" s="87"/>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N41"/>
  <sheetViews>
    <sheetView showGridLines="0" zoomScale="70" zoomScaleNormal="70" workbookViewId="0">
      <selection activeCell="D10" sqref="D10"/>
    </sheetView>
  </sheetViews>
  <sheetFormatPr baseColWidth="10" defaultColWidth="54.21875" defaultRowHeight="14.4" x14ac:dyDescent="0.3"/>
  <cols>
    <col min="1" max="1" width="50.77734375" customWidth="1"/>
    <col min="2" max="2" width="14.6640625" customWidth="1"/>
    <col min="3" max="3" width="13.88671875" customWidth="1"/>
    <col min="4" max="6" width="15.33203125" customWidth="1"/>
    <col min="7" max="7" width="17.5546875" customWidth="1"/>
    <col min="8" max="8" width="17.5546875" style="614" customWidth="1"/>
    <col min="9" max="9" width="11.88671875" customWidth="1"/>
    <col min="10" max="10" width="10.33203125" customWidth="1"/>
    <col min="11" max="11" width="10.44140625" customWidth="1"/>
    <col min="12" max="12" width="19.33203125" customWidth="1"/>
    <col min="13" max="13" width="10.33203125" customWidth="1"/>
  </cols>
  <sheetData>
    <row r="1" spans="1:14" ht="33.9" customHeight="1" x14ac:dyDescent="0.3">
      <c r="A1" s="869" t="s">
        <v>409</v>
      </c>
      <c r="B1" s="870"/>
      <c r="C1" s="870"/>
      <c r="D1" s="870"/>
      <c r="E1" s="538"/>
      <c r="F1" s="563"/>
      <c r="G1" s="88"/>
      <c r="H1" s="88"/>
    </row>
    <row r="2" spans="1:14" ht="17.399999999999999" x14ac:dyDescent="0.3">
      <c r="A2" s="871" t="s">
        <v>122</v>
      </c>
      <c r="B2" s="872"/>
      <c r="C2" s="872"/>
      <c r="D2" s="872"/>
      <c r="E2" s="52"/>
      <c r="F2" s="52"/>
      <c r="G2" s="88"/>
      <c r="H2" s="88"/>
    </row>
    <row r="3" spans="1:14" ht="41.4" x14ac:dyDescent="0.3">
      <c r="A3" s="873" t="s">
        <v>123</v>
      </c>
      <c r="B3" s="874" t="s">
        <v>148</v>
      </c>
      <c r="C3" s="874" t="s">
        <v>149</v>
      </c>
      <c r="D3" s="89" t="s">
        <v>150</v>
      </c>
      <c r="E3" s="539" t="s">
        <v>150</v>
      </c>
      <c r="F3" s="564" t="s">
        <v>150</v>
      </c>
      <c r="G3" s="483" t="s">
        <v>150</v>
      </c>
      <c r="H3" s="684" t="s">
        <v>150</v>
      </c>
      <c r="J3" s="501"/>
    </row>
    <row r="4" spans="1:14" x14ac:dyDescent="0.3">
      <c r="A4" s="857"/>
      <c r="B4" s="860"/>
      <c r="C4" s="875"/>
      <c r="D4" s="732">
        <v>0.04</v>
      </c>
      <c r="E4" s="733">
        <v>0.05</v>
      </c>
      <c r="F4" s="733">
        <v>0.06</v>
      </c>
      <c r="G4" s="733">
        <v>0.08</v>
      </c>
      <c r="H4" s="734">
        <v>0.1</v>
      </c>
    </row>
    <row r="5" spans="1:14" ht="15" thickBot="1" x14ac:dyDescent="0.35">
      <c r="A5" s="858"/>
      <c r="B5" s="90"/>
      <c r="C5" s="59"/>
      <c r="D5" s="725"/>
      <c r="E5" s="725"/>
      <c r="F5" s="725"/>
      <c r="G5" s="725"/>
      <c r="H5" s="726"/>
    </row>
    <row r="6" spans="1:14" ht="27.6" customHeight="1" thickTop="1" x14ac:dyDescent="0.3">
      <c r="A6" s="721" t="s">
        <v>126</v>
      </c>
      <c r="B6" s="735">
        <f>+'Calculo IP ZDF'!E24</f>
        <v>13048.21</v>
      </c>
      <c r="C6" s="735">
        <f>+'Calculo IP ZDF'!B24</f>
        <v>5064.8</v>
      </c>
      <c r="D6" s="546"/>
      <c r="E6" s="546"/>
      <c r="F6" s="641"/>
      <c r="G6" s="546"/>
      <c r="H6" s="727"/>
      <c r="J6" s="406" t="s">
        <v>453</v>
      </c>
      <c r="K6" s="414"/>
      <c r="L6" s="504" t="s">
        <v>475</v>
      </c>
      <c r="M6" s="512">
        <v>0.06</v>
      </c>
    </row>
    <row r="7" spans="1:14" ht="27.6" x14ac:dyDescent="0.3">
      <c r="A7" s="722" t="s">
        <v>151</v>
      </c>
      <c r="B7" s="92"/>
      <c r="C7" s="93"/>
      <c r="D7" s="718">
        <f>+C6*0.96</f>
        <v>4862.2079999999996</v>
      </c>
      <c r="E7" s="718">
        <f>+C6*0.95</f>
        <v>4811.5600000000004</v>
      </c>
      <c r="F7" s="718">
        <f>+ROUND(C6*0.94,2)</f>
        <v>4760.91</v>
      </c>
      <c r="G7" s="718">
        <f>+$C$6*0.92</f>
        <v>4659.616</v>
      </c>
      <c r="H7" s="718">
        <f>+$C$6*0.9</f>
        <v>4558.3200000000006</v>
      </c>
      <c r="J7" s="502">
        <f>C6*0.96</f>
        <v>4862.2079999999996</v>
      </c>
      <c r="K7" s="459">
        <f>+D7-J7</f>
        <v>0</v>
      </c>
      <c r="L7" s="505">
        <f>+C6*(1-M6)</f>
        <v>4760.9120000000003</v>
      </c>
      <c r="M7" s="506">
        <f>+L7-G7</f>
        <v>101.29600000000028</v>
      </c>
      <c r="N7">
        <f>5023.9*0.94</f>
        <v>4722.4659999999994</v>
      </c>
    </row>
    <row r="8" spans="1:14" ht="22.2" customHeight="1" x14ac:dyDescent="0.3">
      <c r="A8" s="722" t="s">
        <v>152</v>
      </c>
      <c r="B8" s="92"/>
      <c r="C8" s="93"/>
      <c r="D8" s="718">
        <f>+B6*0.04</f>
        <v>521.92840000000001</v>
      </c>
      <c r="E8" s="718">
        <f>+B6*0.05</f>
        <v>652.41049999999996</v>
      </c>
      <c r="F8" s="718">
        <f>+$B$6*0.06</f>
        <v>782.8925999999999</v>
      </c>
      <c r="G8" s="718">
        <f>+$B$6*0.08</f>
        <v>1043.8568</v>
      </c>
      <c r="H8" s="718">
        <f>+$B$6*0.1</f>
        <v>1304.8209999999999</v>
      </c>
      <c r="I8">
        <f>+B6*0.07</f>
        <v>913.37470000000008</v>
      </c>
      <c r="J8" s="502">
        <f>+B6*4%</f>
        <v>521.92840000000001</v>
      </c>
      <c r="K8" s="459">
        <f>+D8-J8</f>
        <v>0</v>
      </c>
      <c r="L8" s="505">
        <f>+B6*M6</f>
        <v>782.8925999999999</v>
      </c>
      <c r="M8" s="506">
        <f>+L8-G8</f>
        <v>-260.96420000000012</v>
      </c>
      <c r="N8">
        <f>10101.25*0.06</f>
        <v>606.07499999999993</v>
      </c>
    </row>
    <row r="9" spans="1:14" ht="27.6" x14ac:dyDescent="0.3">
      <c r="A9" s="722" t="s">
        <v>153</v>
      </c>
      <c r="B9" s="92"/>
      <c r="C9" s="93"/>
      <c r="D9" s="740">
        <f>+D7+D8</f>
        <v>5384.1363999999994</v>
      </c>
      <c r="E9" s="740">
        <f>+E7+E8</f>
        <v>5463.9705000000004</v>
      </c>
      <c r="F9" s="740">
        <f>+F7+F8</f>
        <v>5543.8026</v>
      </c>
      <c r="G9" s="740">
        <f>+G7+G8</f>
        <v>5703.4727999999996</v>
      </c>
      <c r="H9" s="740">
        <f>+H7+H8</f>
        <v>5863.1410000000005</v>
      </c>
      <c r="J9" s="503">
        <f>+J7+J8</f>
        <v>5384.1363999999994</v>
      </c>
      <c r="K9" s="459">
        <f>+D9-J9</f>
        <v>0</v>
      </c>
      <c r="L9" s="509">
        <f>+L7+L8</f>
        <v>5543.8046000000004</v>
      </c>
      <c r="M9" s="510">
        <f>+L9-G9</f>
        <v>-159.66819999999916</v>
      </c>
      <c r="N9">
        <f>+N7+N8</f>
        <v>5328.5409999999993</v>
      </c>
    </row>
    <row r="10" spans="1:14" ht="19.2" customHeight="1" x14ac:dyDescent="0.3">
      <c r="A10" s="723" t="s">
        <v>131</v>
      </c>
      <c r="B10" s="92"/>
      <c r="C10" s="719">
        <v>586.25</v>
      </c>
      <c r="D10" s="718">
        <f>+C10*0.96</f>
        <v>562.79999999999995</v>
      </c>
      <c r="E10" s="718">
        <f>+C10*0.95</f>
        <v>556.9375</v>
      </c>
      <c r="F10" s="718">
        <f>+C10*0.94</f>
        <v>551.07499999999993</v>
      </c>
      <c r="G10" s="718">
        <f>+D10*0.92</f>
        <v>517.77599999999995</v>
      </c>
      <c r="H10" s="718">
        <f>+E10*0.9</f>
        <v>501.24375000000003</v>
      </c>
      <c r="I10" s="49"/>
      <c r="J10" s="508">
        <f>+C10*0.96</f>
        <v>562.79999999999995</v>
      </c>
      <c r="K10" s="459">
        <f>+J10-D10</f>
        <v>0</v>
      </c>
      <c r="L10" s="511">
        <f>+C10*(1-M6)</f>
        <v>551.07499999999993</v>
      </c>
      <c r="M10" s="510">
        <f>+G10-L10</f>
        <v>-33.298999999999978</v>
      </c>
    </row>
    <row r="11" spans="1:14" ht="19.2" customHeight="1" x14ac:dyDescent="0.3">
      <c r="A11" s="722" t="s">
        <v>132</v>
      </c>
      <c r="B11" s="92"/>
      <c r="C11" s="720" t="s">
        <v>133</v>
      </c>
      <c r="D11" s="718" t="s">
        <v>133</v>
      </c>
      <c r="E11" s="718"/>
      <c r="F11" s="718"/>
      <c r="G11" s="72"/>
      <c r="H11" s="728"/>
      <c r="I11" s="49"/>
      <c r="J11" s="414"/>
      <c r="K11" s="414"/>
      <c r="L11" s="511"/>
      <c r="M11" s="511"/>
    </row>
    <row r="12" spans="1:14" ht="19.2" customHeight="1" x14ac:dyDescent="0.3">
      <c r="A12" s="724" t="s">
        <v>134</v>
      </c>
      <c r="B12" s="92"/>
      <c r="C12" s="719">
        <v>169</v>
      </c>
      <c r="D12" s="718">
        <f>+C12*0.96</f>
        <v>162.23999999999998</v>
      </c>
      <c r="E12" s="718">
        <f>+C12*0.95</f>
        <v>160.54999999999998</v>
      </c>
      <c r="F12" s="718">
        <f>+C12*0.94</f>
        <v>158.85999999999999</v>
      </c>
      <c r="G12" s="718">
        <f>+D12*0.92</f>
        <v>149.26079999999999</v>
      </c>
      <c r="H12" s="718">
        <f>+E12*0.9</f>
        <v>144.49499999999998</v>
      </c>
      <c r="I12" s="49"/>
      <c r="J12" s="414">
        <f>+C12*0.96</f>
        <v>162.23999999999998</v>
      </c>
      <c r="K12" s="459">
        <f>+D12-J12</f>
        <v>0</v>
      </c>
      <c r="L12" s="511">
        <f>+C12*(1-M6)</f>
        <v>158.85999999999999</v>
      </c>
      <c r="M12" s="510">
        <f>+G12-L12</f>
        <v>-9.5991999999999962</v>
      </c>
    </row>
    <row r="13" spans="1:14" ht="19.2" customHeight="1" x14ac:dyDescent="0.3">
      <c r="A13" s="722" t="s">
        <v>127</v>
      </c>
      <c r="B13" s="92"/>
      <c r="C13" s="719">
        <v>8.6300000000000008</v>
      </c>
      <c r="D13" s="718">
        <f>+C13</f>
        <v>8.6300000000000008</v>
      </c>
      <c r="E13" s="718"/>
      <c r="F13" s="718"/>
      <c r="G13" s="72"/>
      <c r="H13" s="728"/>
      <c r="I13" s="49"/>
    </row>
    <row r="14" spans="1:14" ht="27.6" hidden="1" x14ac:dyDescent="0.3">
      <c r="A14" s="91" t="s">
        <v>154</v>
      </c>
      <c r="B14" s="92"/>
      <c r="C14" s="93"/>
      <c r="D14" s="111" t="s">
        <v>129</v>
      </c>
      <c r="E14" s="111"/>
      <c r="F14" s="111"/>
      <c r="G14" s="111"/>
      <c r="H14" s="729"/>
      <c r="I14" s="507">
        <f>+D12/C12</f>
        <v>0.95999999999999985</v>
      </c>
    </row>
    <row r="15" spans="1:14" ht="27.6" hidden="1" x14ac:dyDescent="0.3">
      <c r="A15" s="91" t="s">
        <v>155</v>
      </c>
      <c r="B15" s="92"/>
      <c r="C15" s="717"/>
      <c r="D15" s="111" t="s">
        <v>136</v>
      </c>
      <c r="E15" s="111"/>
      <c r="F15" s="111"/>
      <c r="G15" s="111"/>
      <c r="H15" s="729"/>
      <c r="I15" s="49"/>
    </row>
    <row r="16" spans="1:14" hidden="1" x14ac:dyDescent="0.3">
      <c r="A16" s="91" t="s">
        <v>247</v>
      </c>
      <c r="B16" s="92"/>
      <c r="C16" s="93"/>
      <c r="D16" s="111">
        <v>0</v>
      </c>
      <c r="E16" s="111"/>
      <c r="F16" s="111"/>
      <c r="G16" s="111"/>
      <c r="H16" s="729"/>
      <c r="I16" s="455"/>
    </row>
    <row r="17" spans="1:9" hidden="1" x14ac:dyDescent="0.3">
      <c r="A17" s="91" t="s">
        <v>156</v>
      </c>
      <c r="B17" s="92"/>
      <c r="C17" s="93" t="s">
        <v>138</v>
      </c>
      <c r="D17" s="111" t="s">
        <v>138</v>
      </c>
      <c r="E17" s="111"/>
      <c r="F17" s="111"/>
      <c r="G17" s="111"/>
      <c r="H17" s="729"/>
      <c r="I17" s="49"/>
    </row>
    <row r="18" spans="1:9" hidden="1" x14ac:dyDescent="0.3">
      <c r="A18" s="91" t="s">
        <v>139</v>
      </c>
      <c r="B18" s="92"/>
      <c r="C18" s="93"/>
      <c r="D18" s="111" t="s">
        <v>456</v>
      </c>
      <c r="E18" s="111"/>
      <c r="F18" s="111"/>
      <c r="G18" s="111"/>
      <c r="H18" s="729"/>
      <c r="I18" s="49"/>
    </row>
    <row r="19" spans="1:9" hidden="1" x14ac:dyDescent="0.3">
      <c r="A19" s="91" t="s">
        <v>157</v>
      </c>
      <c r="B19" s="92"/>
      <c r="C19" s="716" t="s">
        <v>158</v>
      </c>
      <c r="D19" s="111" t="s">
        <v>144</v>
      </c>
      <c r="E19" s="111"/>
      <c r="F19" s="111"/>
      <c r="G19" s="111"/>
      <c r="H19" s="729"/>
      <c r="I19" s="49"/>
    </row>
    <row r="20" spans="1:9" ht="27.6" hidden="1" x14ac:dyDescent="0.3">
      <c r="A20" s="91" t="s">
        <v>159</v>
      </c>
      <c r="B20" s="92"/>
      <c r="C20" s="93" t="s">
        <v>158</v>
      </c>
      <c r="D20" s="111" t="s">
        <v>138</v>
      </c>
      <c r="E20" s="111"/>
      <c r="F20" s="111"/>
      <c r="G20" s="111"/>
      <c r="H20" s="729"/>
      <c r="I20" s="49"/>
    </row>
    <row r="21" spans="1:9" hidden="1" x14ac:dyDescent="0.3">
      <c r="A21" s="91" t="s">
        <v>160</v>
      </c>
      <c r="B21" s="92"/>
      <c r="C21" s="68" t="s">
        <v>158</v>
      </c>
      <c r="D21" s="111" t="s">
        <v>144</v>
      </c>
      <c r="E21" s="111"/>
      <c r="F21" s="111"/>
      <c r="G21" s="111"/>
      <c r="H21" s="729"/>
      <c r="I21" s="49"/>
    </row>
    <row r="22" spans="1:9" hidden="1" x14ac:dyDescent="0.3">
      <c r="A22" s="91" t="s">
        <v>161</v>
      </c>
      <c r="B22" s="92"/>
      <c r="C22" s="93" t="s">
        <v>158</v>
      </c>
      <c r="D22" s="111" t="s">
        <v>162</v>
      </c>
      <c r="E22" s="111"/>
      <c r="F22" s="111"/>
      <c r="G22" s="111" t="s">
        <v>162</v>
      </c>
      <c r="H22" s="729"/>
      <c r="I22" s="49"/>
    </row>
    <row r="23" spans="1:9" hidden="1" x14ac:dyDescent="0.3">
      <c r="A23" s="91" t="s">
        <v>145</v>
      </c>
      <c r="B23" s="92"/>
      <c r="C23" s="93" t="s">
        <v>158</v>
      </c>
      <c r="D23" s="94" t="s">
        <v>144</v>
      </c>
      <c r="E23" s="94"/>
      <c r="F23" s="568"/>
      <c r="G23" s="94" t="s">
        <v>144</v>
      </c>
      <c r="H23" s="730"/>
      <c r="I23" s="49"/>
    </row>
    <row r="24" spans="1:9" ht="28.2" hidden="1" thickBot="1" x14ac:dyDescent="0.35">
      <c r="A24" s="95" t="s">
        <v>163</v>
      </c>
      <c r="B24" s="96"/>
      <c r="C24" s="97" t="s">
        <v>158</v>
      </c>
      <c r="D24" s="98" t="s">
        <v>138</v>
      </c>
      <c r="E24" s="98"/>
      <c r="F24" s="98"/>
      <c r="G24" s="98" t="s">
        <v>138</v>
      </c>
      <c r="H24" s="731"/>
      <c r="I24" s="49"/>
    </row>
    <row r="25" spans="1:9" x14ac:dyDescent="0.3">
      <c r="A25" s="99"/>
      <c r="B25" s="99"/>
      <c r="C25" s="100"/>
      <c r="D25" s="101"/>
      <c r="E25" s="101"/>
      <c r="F25" s="101"/>
      <c r="G25" s="99"/>
      <c r="H25" s="99"/>
    </row>
    <row r="26" spans="1:9" x14ac:dyDescent="0.3">
      <c r="A26" s="868"/>
      <c r="B26" s="868"/>
      <c r="C26" s="868"/>
      <c r="D26" s="868"/>
      <c r="E26" s="537"/>
      <c r="F26" s="562"/>
      <c r="G26" s="102"/>
      <c r="H26" s="102"/>
    </row>
    <row r="27" spans="1:9" x14ac:dyDescent="0.3">
      <c r="A27" s="103"/>
      <c r="B27" s="103"/>
      <c r="C27" s="103"/>
      <c r="D27" s="103"/>
      <c r="E27" s="537"/>
      <c r="F27" s="562"/>
      <c r="G27" s="102"/>
      <c r="H27" s="102"/>
    </row>
    <row r="28" spans="1:9" x14ac:dyDescent="0.3">
      <c r="A28" s="866"/>
      <c r="B28" s="866"/>
      <c r="C28" s="866"/>
      <c r="D28" s="866"/>
      <c r="E28" s="540"/>
      <c r="F28" s="560"/>
      <c r="G28" s="102"/>
      <c r="H28" s="102"/>
    </row>
    <row r="29" spans="1:9" x14ac:dyDescent="0.3">
      <c r="A29" s="104"/>
      <c r="B29" s="104"/>
      <c r="C29" s="105"/>
      <c r="D29" s="105"/>
      <c r="E29" s="105"/>
      <c r="F29" s="105"/>
      <c r="G29" s="102"/>
      <c r="H29" s="102"/>
    </row>
    <row r="30" spans="1:9" x14ac:dyDescent="0.3">
      <c r="A30" s="866"/>
      <c r="B30" s="866"/>
      <c r="C30" s="866"/>
      <c r="D30" s="866"/>
      <c r="E30" s="540"/>
      <c r="F30" s="560"/>
      <c r="G30" s="102"/>
      <c r="H30" s="102"/>
    </row>
    <row r="31" spans="1:9" x14ac:dyDescent="0.3">
      <c r="A31" s="104"/>
      <c r="B31" s="104"/>
      <c r="C31" s="105"/>
      <c r="D31" s="105"/>
      <c r="E31" s="105"/>
      <c r="F31" s="105"/>
      <c r="G31" s="102"/>
      <c r="H31" s="102"/>
    </row>
    <row r="32" spans="1:9" x14ac:dyDescent="0.3">
      <c r="A32" s="867"/>
      <c r="B32" s="867"/>
      <c r="C32" s="867"/>
      <c r="D32" s="867"/>
      <c r="E32" s="541"/>
      <c r="F32" s="561"/>
      <c r="G32" s="106"/>
      <c r="H32" s="106"/>
    </row>
    <row r="33" spans="1:8" x14ac:dyDescent="0.3">
      <c r="A33" s="104"/>
      <c r="B33" s="104"/>
      <c r="C33" s="105"/>
      <c r="D33" s="105"/>
      <c r="E33" s="105"/>
      <c r="F33" s="105"/>
      <c r="G33" s="102"/>
      <c r="H33" s="102"/>
    </row>
    <row r="34" spans="1:8" x14ac:dyDescent="0.3">
      <c r="A34" s="866"/>
      <c r="B34" s="866"/>
      <c r="C34" s="866"/>
      <c r="D34" s="866"/>
      <c r="E34" s="540"/>
      <c r="F34" s="560"/>
      <c r="G34" s="102"/>
      <c r="H34" s="102"/>
    </row>
    <row r="35" spans="1:8" x14ac:dyDescent="0.3">
      <c r="A35" s="107"/>
      <c r="B35" s="107"/>
      <c r="C35" s="107"/>
      <c r="D35" s="107"/>
      <c r="E35" s="540"/>
      <c r="F35" s="560"/>
      <c r="G35" s="102"/>
      <c r="H35" s="102"/>
    </row>
    <row r="36" spans="1:8" x14ac:dyDescent="0.3">
      <c r="A36" s="864"/>
      <c r="B36" s="864"/>
      <c r="C36" s="864"/>
      <c r="D36" s="864"/>
      <c r="E36" s="864"/>
      <c r="F36" s="864"/>
      <c r="G36" s="864"/>
      <c r="H36" s="683"/>
    </row>
    <row r="37" spans="1:8" x14ac:dyDescent="0.3">
      <c r="A37" s="864"/>
      <c r="B37" s="864"/>
      <c r="C37" s="864"/>
      <c r="D37" s="864"/>
      <c r="E37" s="536"/>
      <c r="F37" s="559"/>
      <c r="G37" s="80"/>
      <c r="H37" s="683"/>
    </row>
    <row r="38" spans="1:8" x14ac:dyDescent="0.3">
      <c r="A38" s="864"/>
      <c r="B38" s="864"/>
      <c r="C38" s="864"/>
      <c r="D38" s="864"/>
      <c r="E38" s="536"/>
      <c r="F38" s="559"/>
      <c r="G38" s="80"/>
      <c r="H38" s="683"/>
    </row>
    <row r="39" spans="1:8" x14ac:dyDescent="0.3">
      <c r="A39" s="864"/>
      <c r="B39" s="864"/>
      <c r="C39" s="864"/>
      <c r="D39" s="864"/>
      <c r="E39" s="536"/>
      <c r="F39" s="559"/>
      <c r="G39" s="99"/>
      <c r="H39" s="99"/>
    </row>
    <row r="40" spans="1:8" x14ac:dyDescent="0.3">
      <c r="A40" s="48"/>
      <c r="B40" s="48"/>
      <c r="C40" s="48"/>
      <c r="D40" s="48"/>
      <c r="E40" s="48"/>
      <c r="F40" s="48"/>
      <c r="G40" s="99"/>
      <c r="H40" s="99"/>
    </row>
    <row r="41" spans="1:8" x14ac:dyDescent="0.3">
      <c r="A41" s="863"/>
      <c r="B41" s="863"/>
      <c r="C41" s="863"/>
      <c r="D41" s="863"/>
      <c r="E41" s="535"/>
      <c r="F41" s="558"/>
      <c r="G41" s="99"/>
      <c r="H41" s="99"/>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G36"/>
    <mergeCell ref="A37:D3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4.4" x14ac:dyDescent="0.3"/>
  <cols>
    <col min="1" max="1" width="36.109375" customWidth="1"/>
    <col min="2" max="4" width="20.33203125" customWidth="1"/>
    <col min="5" max="5" width="14.88671875" customWidth="1"/>
    <col min="6" max="6" width="20.109375" customWidth="1"/>
  </cols>
  <sheetData>
    <row r="1" spans="1:6" ht="16.8" x14ac:dyDescent="0.3">
      <c r="A1" s="878" t="str">
        <f>CONCATENATE("ESTRUCTURA DE PRECIOS DE GASOLINA EXTRA OXIGENADA VIGENTE A PARTIR DE ",'[5]COMBUSTIBLES '!$A$1)</f>
        <v>ESTRUCTURA DE PRECIOS DE GASOLINA EXTRA OXIGENADA VIGENTE A PARTIR DE 1 DE ABRIL 2019</v>
      </c>
      <c r="B1" s="879"/>
      <c r="C1" s="879"/>
      <c r="D1" s="879"/>
    </row>
    <row r="2" spans="1:6" ht="16.8" x14ac:dyDescent="0.3">
      <c r="A2" s="880" t="s">
        <v>122</v>
      </c>
      <c r="B2" s="881"/>
      <c r="C2" s="881"/>
      <c r="D2" s="881"/>
    </row>
    <row r="3" spans="1:6" ht="30" customHeight="1" x14ac:dyDescent="0.3">
      <c r="A3" s="873" t="s">
        <v>123</v>
      </c>
      <c r="B3" s="874" t="s">
        <v>148</v>
      </c>
      <c r="C3" s="874" t="s">
        <v>389</v>
      </c>
      <c r="D3" s="363" t="s">
        <v>164</v>
      </c>
      <c r="E3" s="876" t="s">
        <v>390</v>
      </c>
      <c r="F3" s="364" t="s">
        <v>164</v>
      </c>
    </row>
    <row r="4" spans="1:6" x14ac:dyDescent="0.3">
      <c r="A4" s="857"/>
      <c r="B4" s="860"/>
      <c r="C4" s="860"/>
      <c r="D4" s="365">
        <v>0.1</v>
      </c>
      <c r="E4" s="877"/>
      <c r="F4" s="366">
        <v>0.1</v>
      </c>
    </row>
    <row r="5" spans="1:6" ht="42" thickBot="1" x14ac:dyDescent="0.35">
      <c r="A5" s="858"/>
      <c r="B5" s="108" t="s">
        <v>391</v>
      </c>
      <c r="C5" s="108" t="s">
        <v>391</v>
      </c>
      <c r="D5" s="367" t="s">
        <v>391</v>
      </c>
      <c r="E5" s="108" t="s">
        <v>391</v>
      </c>
      <c r="F5" s="109" t="s">
        <v>391</v>
      </c>
    </row>
    <row r="6" spans="1:6" ht="15" thickTop="1" x14ac:dyDescent="0.3">
      <c r="A6" s="61" t="s">
        <v>126</v>
      </c>
      <c r="B6" s="110">
        <v>8286.2999999999993</v>
      </c>
      <c r="C6" s="110">
        <v>5700</v>
      </c>
      <c r="D6" s="368">
        <v>5958.63</v>
      </c>
      <c r="E6" s="369">
        <v>5700</v>
      </c>
      <c r="F6" s="370">
        <v>5958.63</v>
      </c>
    </row>
    <row r="7" spans="1:6" x14ac:dyDescent="0.3">
      <c r="A7" s="63" t="s">
        <v>165</v>
      </c>
      <c r="B7" s="68"/>
      <c r="C7" s="68">
        <v>8.1370000000000005</v>
      </c>
      <c r="D7" s="371">
        <v>8.1370000000000005</v>
      </c>
      <c r="E7" s="371">
        <v>8.1370000000000005</v>
      </c>
      <c r="F7" s="70">
        <v>8.1370000000000005</v>
      </c>
    </row>
    <row r="8" spans="1:6" ht="27.6" x14ac:dyDescent="0.3">
      <c r="A8" s="63" t="s">
        <v>128</v>
      </c>
      <c r="B8" s="93"/>
      <c r="C8" s="93" t="s">
        <v>129</v>
      </c>
      <c r="D8" s="372" t="s">
        <v>129</v>
      </c>
      <c r="E8" s="372" t="s">
        <v>129</v>
      </c>
      <c r="F8" s="111" t="s">
        <v>129</v>
      </c>
    </row>
    <row r="9" spans="1:6" x14ac:dyDescent="0.3">
      <c r="A9" s="63" t="s">
        <v>247</v>
      </c>
      <c r="B9" s="93"/>
      <c r="C9" s="93">
        <v>71.510000000000005</v>
      </c>
      <c r="D9" s="372">
        <v>71.510000000000005</v>
      </c>
      <c r="E9" s="372">
        <v>71.510000000000005</v>
      </c>
      <c r="F9" s="111">
        <v>71.510000000000005</v>
      </c>
    </row>
    <row r="10" spans="1:6" ht="27.6" x14ac:dyDescent="0.3">
      <c r="A10" s="230" t="s">
        <v>131</v>
      </c>
      <c r="B10" s="68"/>
      <c r="C10" s="68">
        <v>1036.78</v>
      </c>
      <c r="D10" s="371">
        <v>933.1</v>
      </c>
      <c r="E10" s="68">
        <v>1036.78</v>
      </c>
      <c r="F10" s="373">
        <v>933.1</v>
      </c>
    </row>
    <row r="11" spans="1:6" x14ac:dyDescent="0.3">
      <c r="A11" s="63" t="s">
        <v>132</v>
      </c>
      <c r="B11" s="68"/>
      <c r="C11" s="64" t="s">
        <v>133</v>
      </c>
      <c r="D11" s="374" t="s">
        <v>133</v>
      </c>
      <c r="E11" s="64" t="s">
        <v>133</v>
      </c>
      <c r="F11" s="375" t="s">
        <v>133</v>
      </c>
    </row>
    <row r="12" spans="1:6" x14ac:dyDescent="0.3">
      <c r="A12" s="229" t="s">
        <v>134</v>
      </c>
      <c r="B12" s="68"/>
      <c r="C12" s="68">
        <v>155</v>
      </c>
      <c r="D12" s="371">
        <v>139.5</v>
      </c>
      <c r="E12" s="68">
        <v>155</v>
      </c>
      <c r="F12" s="373">
        <v>139.5</v>
      </c>
    </row>
    <row r="13" spans="1:6" ht="27.6" x14ac:dyDescent="0.3">
      <c r="A13" s="63" t="s">
        <v>166</v>
      </c>
      <c r="B13" s="93"/>
      <c r="C13" s="93" t="s">
        <v>136</v>
      </c>
      <c r="D13" s="372" t="s">
        <v>136</v>
      </c>
      <c r="E13" s="93" t="s">
        <v>136</v>
      </c>
      <c r="F13" s="376" t="s">
        <v>136</v>
      </c>
    </row>
    <row r="14" spans="1:6" x14ac:dyDescent="0.3">
      <c r="A14" s="63" t="s">
        <v>167</v>
      </c>
      <c r="B14" s="68"/>
      <c r="C14" s="112"/>
      <c r="D14" s="377"/>
      <c r="E14" s="112"/>
      <c r="F14" s="378"/>
    </row>
    <row r="15" spans="1:6" x14ac:dyDescent="0.3">
      <c r="A15" s="63" t="s">
        <v>139</v>
      </c>
      <c r="B15" s="68"/>
      <c r="C15" s="68">
        <v>1776.95</v>
      </c>
      <c r="D15" s="371">
        <v>1599.26</v>
      </c>
      <c r="E15" s="68">
        <v>1776.95</v>
      </c>
      <c r="F15" s="373">
        <v>1599.26</v>
      </c>
    </row>
    <row r="16" spans="1:6" ht="27.6" x14ac:dyDescent="0.3">
      <c r="A16" s="63" t="s">
        <v>141</v>
      </c>
      <c r="B16" s="114"/>
      <c r="C16" s="114"/>
      <c r="D16" s="379"/>
      <c r="E16" s="114"/>
      <c r="F16" s="380"/>
    </row>
    <row r="17" spans="1:6" x14ac:dyDescent="0.3">
      <c r="A17" s="63" t="s">
        <v>168</v>
      </c>
      <c r="B17" s="68"/>
      <c r="C17" s="112"/>
      <c r="D17" s="377"/>
      <c r="E17" s="112"/>
      <c r="F17" s="113"/>
    </row>
    <row r="18" spans="1:6" x14ac:dyDescent="0.3">
      <c r="A18" s="63" t="s">
        <v>143</v>
      </c>
      <c r="B18" s="68"/>
      <c r="C18" s="68"/>
      <c r="D18" s="371"/>
      <c r="E18" s="68"/>
      <c r="F18" s="70"/>
    </row>
    <row r="19" spans="1:6" ht="27.6" x14ac:dyDescent="0.3">
      <c r="A19" s="63" t="s">
        <v>145</v>
      </c>
      <c r="B19" s="68"/>
      <c r="C19" s="68"/>
      <c r="D19" s="371"/>
      <c r="E19" s="68"/>
      <c r="F19" s="70"/>
    </row>
    <row r="20" spans="1:6" ht="15" thickBot="1" x14ac:dyDescent="0.35">
      <c r="A20" s="76" t="s">
        <v>146</v>
      </c>
      <c r="B20" s="97"/>
      <c r="C20" s="97" t="s">
        <v>136</v>
      </c>
      <c r="D20" s="381" t="s">
        <v>136</v>
      </c>
      <c r="E20" s="97" t="s">
        <v>136</v>
      </c>
      <c r="F20" s="115" t="s">
        <v>136</v>
      </c>
    </row>
    <row r="21" spans="1:6" ht="1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4"/>
  <sheetViews>
    <sheetView zoomScale="70" zoomScaleNormal="70" workbookViewId="0">
      <selection activeCell="F38" sqref="F38"/>
    </sheetView>
  </sheetViews>
  <sheetFormatPr baseColWidth="10" defaultColWidth="11.33203125" defaultRowHeight="13.8" x14ac:dyDescent="0.3"/>
  <cols>
    <col min="1" max="1" width="48.33203125" style="116" customWidth="1"/>
    <col min="2" max="2" width="21" style="116" customWidth="1"/>
    <col min="3" max="5" width="14.5546875" style="116" customWidth="1"/>
    <col min="6" max="6" width="12" style="116" customWidth="1"/>
    <col min="7" max="7" width="14.109375" style="116" customWidth="1"/>
    <col min="8" max="10" width="14.5546875" style="116" customWidth="1"/>
    <col min="11" max="11" width="11.33203125" style="116"/>
    <col min="12" max="12" width="12.6640625" style="116" customWidth="1"/>
    <col min="13" max="13" width="11.33203125" style="116"/>
    <col min="14" max="14" width="5.6640625" style="116" customWidth="1"/>
    <col min="15" max="15" width="10.77734375" style="116" customWidth="1"/>
    <col min="16" max="16" width="11.109375" style="116" customWidth="1"/>
    <col min="17" max="17" width="7.33203125" style="116" customWidth="1"/>
    <col min="18" max="18" width="14.44140625" style="116" customWidth="1"/>
    <col min="19" max="16384" width="11.33203125" style="116"/>
  </cols>
  <sheetData>
    <row r="1" spans="1:19" ht="34.5" customHeight="1" thickTop="1" x14ac:dyDescent="0.3">
      <c r="A1" s="882" t="s">
        <v>469</v>
      </c>
      <c r="B1" s="883"/>
      <c r="C1" s="883"/>
      <c r="D1" s="883"/>
      <c r="E1" s="883"/>
      <c r="F1" s="883"/>
      <c r="G1" s="883"/>
      <c r="H1" s="883"/>
      <c r="I1" s="644"/>
    </row>
    <row r="2" spans="1:19" x14ac:dyDescent="0.3">
      <c r="A2" s="884" t="s">
        <v>122</v>
      </c>
      <c r="B2" s="885"/>
      <c r="C2" s="885"/>
      <c r="D2" s="885"/>
      <c r="E2" s="885"/>
      <c r="F2" s="885"/>
      <c r="G2" s="885"/>
      <c r="H2" s="885"/>
      <c r="I2" s="644"/>
    </row>
    <row r="3" spans="1:19" ht="39.299999999999997" customHeight="1" x14ac:dyDescent="0.3">
      <c r="A3" s="886" t="s">
        <v>123</v>
      </c>
      <c r="B3" s="117" t="s">
        <v>169</v>
      </c>
      <c r="C3" s="889" t="s">
        <v>170</v>
      </c>
      <c r="D3" s="889" t="s">
        <v>171</v>
      </c>
      <c r="E3" s="118" t="s">
        <v>392</v>
      </c>
      <c r="F3" s="118" t="s">
        <v>486</v>
      </c>
      <c r="G3" s="118" t="s">
        <v>474</v>
      </c>
      <c r="H3" s="118" t="s">
        <v>397</v>
      </c>
      <c r="I3" s="118" t="s">
        <v>489</v>
      </c>
      <c r="J3" s="118" t="s">
        <v>422</v>
      </c>
      <c r="L3" s="116">
        <f>+B6*0.1</f>
        <v>2309.8690000000001</v>
      </c>
    </row>
    <row r="4" spans="1:19" ht="19.649999999999999" customHeight="1" x14ac:dyDescent="0.3">
      <c r="A4" s="887"/>
      <c r="B4" s="119">
        <v>1</v>
      </c>
      <c r="C4" s="890"/>
      <c r="D4" s="890"/>
      <c r="E4" s="120">
        <v>0.02</v>
      </c>
      <c r="F4" s="120">
        <v>0.03</v>
      </c>
      <c r="G4" s="120">
        <v>0.05</v>
      </c>
      <c r="H4" s="120">
        <v>0.1</v>
      </c>
      <c r="I4" s="120">
        <v>0.11</v>
      </c>
      <c r="J4" s="120">
        <v>0.12</v>
      </c>
    </row>
    <row r="5" spans="1:19" ht="14.4" thickBot="1" x14ac:dyDescent="0.35">
      <c r="A5" s="888"/>
      <c r="B5" s="121" t="str">
        <f>+'[5]COMBUSTIBLES '!C5</f>
        <v>Ecopetrol</v>
      </c>
      <c r="C5" s="121" t="str">
        <f>+B5</f>
        <v>Ecopetrol</v>
      </c>
      <c r="D5" s="121" t="str">
        <f>+C5</f>
        <v>Ecopetrol</v>
      </c>
      <c r="E5" s="122" t="str">
        <f>+B5</f>
        <v>Ecopetrol</v>
      </c>
      <c r="F5" s="122" t="str">
        <f>+C5</f>
        <v>Ecopetrol</v>
      </c>
      <c r="G5" s="122" t="str">
        <f>+D5</f>
        <v>Ecopetrol</v>
      </c>
      <c r="H5" s="122" t="str">
        <f>+B5</f>
        <v>Ecopetrol</v>
      </c>
      <c r="I5" s="122" t="str">
        <f>+C5</f>
        <v>Ecopetrol</v>
      </c>
      <c r="J5" s="122" t="str">
        <f>+C5</f>
        <v>Ecopetrol</v>
      </c>
    </row>
    <row r="6" spans="1:19" ht="18.899999999999999" customHeight="1" thickTop="1" x14ac:dyDescent="0.3">
      <c r="A6" s="123" t="s">
        <v>126</v>
      </c>
      <c r="B6" s="738">
        <f>+'Calculo IP ZDF'!$D$24</f>
        <v>23098.69</v>
      </c>
      <c r="C6" s="739">
        <f>+'Calculo IP ZDF'!C24</f>
        <v>4330.45</v>
      </c>
      <c r="D6" s="739">
        <f>+C6</f>
        <v>4330.45</v>
      </c>
      <c r="E6" s="547"/>
      <c r="F6" s="548"/>
      <c r="G6" s="548"/>
      <c r="H6" s="547"/>
      <c r="I6" s="547"/>
      <c r="J6" s="547"/>
      <c r="L6" s="415" t="s">
        <v>465</v>
      </c>
      <c r="M6" s="513">
        <v>0.1</v>
      </c>
      <c r="O6" s="516" t="s">
        <v>475</v>
      </c>
      <c r="P6" s="517">
        <v>0.05</v>
      </c>
      <c r="R6" s="516" t="s">
        <v>466</v>
      </c>
      <c r="S6" s="517">
        <v>0.12</v>
      </c>
    </row>
    <row r="7" spans="1:19" ht="22.8" customHeight="1" x14ac:dyDescent="0.3">
      <c r="A7" s="124" t="s">
        <v>173</v>
      </c>
      <c r="B7" s="549"/>
      <c r="C7" s="550"/>
      <c r="D7" s="550"/>
      <c r="E7" s="710">
        <f>+ROUND(D6*0.98,2)</f>
        <v>4243.84</v>
      </c>
      <c r="F7" s="710">
        <f>+C6*97%</f>
        <v>4200.5365000000002</v>
      </c>
      <c r="G7" s="710">
        <f>+D6*0.95</f>
        <v>4113.9274999999998</v>
      </c>
      <c r="H7" s="710">
        <f>+C6*0.9</f>
        <v>3897.4049999999997</v>
      </c>
      <c r="I7" s="710">
        <f>+C6*0.89</f>
        <v>3854.1005</v>
      </c>
      <c r="J7" s="709">
        <f>+C6*0.88</f>
        <v>3810.7959999999998</v>
      </c>
      <c r="K7" s="430"/>
      <c r="L7" s="514">
        <f>+D6*(1-M6)</f>
        <v>3897.4049999999997</v>
      </c>
      <c r="M7" s="515">
        <f>+L7-H7</f>
        <v>0</v>
      </c>
      <c r="O7" s="518">
        <f>+C6*(1-P6)</f>
        <v>4113.9274999999998</v>
      </c>
      <c r="P7" s="519">
        <f>+O7-G7</f>
        <v>0</v>
      </c>
      <c r="R7" s="518">
        <f>+C6*(1-S6)</f>
        <v>3810.7959999999998</v>
      </c>
      <c r="S7" s="519">
        <f>+R7-J7</f>
        <v>0</v>
      </c>
    </row>
    <row r="8" spans="1:19" ht="22.8" customHeight="1" x14ac:dyDescent="0.3">
      <c r="A8" s="124" t="s">
        <v>174</v>
      </c>
      <c r="B8" s="550"/>
      <c r="C8" s="550"/>
      <c r="D8" s="550"/>
      <c r="E8" s="710">
        <f>+B6*0.02</f>
        <v>461.97379999999998</v>
      </c>
      <c r="F8" s="710">
        <f>+B6*3%</f>
        <v>692.96069999999997</v>
      </c>
      <c r="G8" s="710">
        <f>+B6*0.05</f>
        <v>1154.9345000000001</v>
      </c>
      <c r="H8" s="710">
        <f>+B6*0.1</f>
        <v>2309.8690000000001</v>
      </c>
      <c r="I8" s="710">
        <f>+B6*0.11</f>
        <v>2540.8559</v>
      </c>
      <c r="J8" s="709">
        <f>+B6*0.12</f>
        <v>2771.8427999999999</v>
      </c>
      <c r="K8" s="430"/>
      <c r="L8" s="515">
        <f>+B6*M6</f>
        <v>2309.8690000000001</v>
      </c>
      <c r="M8" s="515">
        <f>+L8-H8</f>
        <v>0</v>
      </c>
      <c r="O8" s="519">
        <f>+B6*P6</f>
        <v>1154.9345000000001</v>
      </c>
      <c r="P8" s="519">
        <f>+O8-G8</f>
        <v>0</v>
      </c>
      <c r="R8" s="519">
        <f>+B6*S6</f>
        <v>2771.8427999999999</v>
      </c>
      <c r="S8" s="519">
        <f>+R8-J8</f>
        <v>0</v>
      </c>
    </row>
    <row r="9" spans="1:19" ht="22.8" customHeight="1" x14ac:dyDescent="0.3">
      <c r="A9" s="124" t="s">
        <v>175</v>
      </c>
      <c r="B9" s="550"/>
      <c r="C9" s="550"/>
      <c r="D9" s="550"/>
      <c r="E9" s="714">
        <f t="shared" ref="E9:J9" si="0">+E7+E8</f>
        <v>4705.8137999999999</v>
      </c>
      <c r="F9" s="714">
        <f t="shared" si="0"/>
        <v>4893.4971999999998</v>
      </c>
      <c r="G9" s="714">
        <f t="shared" si="0"/>
        <v>5268.8620000000001</v>
      </c>
      <c r="H9" s="714">
        <f t="shared" si="0"/>
        <v>6207.2739999999994</v>
      </c>
      <c r="I9" s="714">
        <f t="shared" si="0"/>
        <v>6394.9564</v>
      </c>
      <c r="J9" s="714">
        <f t="shared" si="0"/>
        <v>6582.6387999999997</v>
      </c>
      <c r="K9" s="430"/>
      <c r="L9" s="515">
        <f>+L7+L8</f>
        <v>6207.2739999999994</v>
      </c>
      <c r="M9" s="515">
        <f>+L9-H9</f>
        <v>0</v>
      </c>
      <c r="O9" s="519">
        <f>+O7+O8</f>
        <v>5268.8620000000001</v>
      </c>
      <c r="P9" s="519">
        <f>+O9-G9</f>
        <v>0</v>
      </c>
      <c r="R9" s="519">
        <f>+R7+R8</f>
        <v>6582.6387999999997</v>
      </c>
      <c r="S9" s="519">
        <f>+R9-J9</f>
        <v>0</v>
      </c>
    </row>
    <row r="10" spans="1:19" ht="22.8" customHeight="1" x14ac:dyDescent="0.3">
      <c r="A10" s="231" t="s">
        <v>131</v>
      </c>
      <c r="B10" s="550"/>
      <c r="C10" s="706">
        <v>561.12</v>
      </c>
      <c r="D10" s="706">
        <f>+C10</f>
        <v>561.12</v>
      </c>
      <c r="E10" s="710">
        <f>+C10*0.98</f>
        <v>549.89760000000001</v>
      </c>
      <c r="F10" s="710">
        <f>+C10*0.97</f>
        <v>544.28639999999996</v>
      </c>
      <c r="G10" s="710">
        <f>+C10*0.95</f>
        <v>533.06399999999996</v>
      </c>
      <c r="H10" s="710">
        <f>+C10*0.9</f>
        <v>505.00800000000004</v>
      </c>
      <c r="I10" s="710">
        <f>+C10*0.89</f>
        <v>499.39679999999998</v>
      </c>
      <c r="J10" s="709">
        <f>+C10*0.88</f>
        <v>493.78559999999999</v>
      </c>
      <c r="L10" s="415">
        <f>+C10*0.9</f>
        <v>505.00800000000004</v>
      </c>
      <c r="M10" s="515">
        <f>+L10-H10</f>
        <v>0</v>
      </c>
      <c r="O10" s="416">
        <f>+C10*(1-P6)</f>
        <v>533.06399999999996</v>
      </c>
      <c r="P10" s="520">
        <f>+O10-G10</f>
        <v>0</v>
      </c>
      <c r="R10" s="544">
        <f>+C10*(1-S6)</f>
        <v>493.78559999999999</v>
      </c>
      <c r="S10" s="416"/>
    </row>
    <row r="11" spans="1:19" ht="22.8" customHeight="1" x14ac:dyDescent="0.3">
      <c r="A11" s="124" t="s">
        <v>132</v>
      </c>
      <c r="B11" s="550"/>
      <c r="C11" s="706" t="s">
        <v>133</v>
      </c>
      <c r="D11" s="706" t="s">
        <v>133</v>
      </c>
      <c r="E11" s="710" t="s">
        <v>133</v>
      </c>
      <c r="F11" s="710" t="s">
        <v>133</v>
      </c>
      <c r="G11" s="710" t="s">
        <v>133</v>
      </c>
      <c r="H11" s="710" t="s">
        <v>133</v>
      </c>
      <c r="I11" s="710" t="s">
        <v>133</v>
      </c>
      <c r="J11" s="709" t="s">
        <v>133</v>
      </c>
      <c r="L11" s="415"/>
      <c r="M11" s="415"/>
      <c r="O11" s="416"/>
      <c r="P11" s="416"/>
      <c r="R11" s="416"/>
      <c r="S11" s="416"/>
    </row>
    <row r="12" spans="1:19" ht="22.8" customHeight="1" x14ac:dyDescent="0.3">
      <c r="A12" s="232" t="s">
        <v>134</v>
      </c>
      <c r="B12" s="550"/>
      <c r="C12" s="706">
        <v>191</v>
      </c>
      <c r="D12" s="706">
        <f>+C12</f>
        <v>191</v>
      </c>
      <c r="E12" s="710">
        <f>+C12*0.98</f>
        <v>187.18</v>
      </c>
      <c r="F12" s="710">
        <f>+D12*0.97</f>
        <v>185.26999999999998</v>
      </c>
      <c r="G12" s="710">
        <f>+D12*0.95</f>
        <v>181.45</v>
      </c>
      <c r="H12" s="710">
        <f>+D12*0.9</f>
        <v>171.9</v>
      </c>
      <c r="I12" s="710">
        <f>+D12*0.89</f>
        <v>169.99</v>
      </c>
      <c r="J12" s="709">
        <f>+D12*0.88</f>
        <v>168.08</v>
      </c>
      <c r="K12" s="116">
        <f>+D12*0.89</f>
        <v>169.99</v>
      </c>
      <c r="L12" s="415">
        <f>+C12*(1-M6)</f>
        <v>171.9</v>
      </c>
      <c r="M12" s="515">
        <f>+H12-L12</f>
        <v>0</v>
      </c>
      <c r="O12" s="416">
        <f>+C12*(1-P6)</f>
        <v>181.45</v>
      </c>
      <c r="P12" s="520">
        <f>+G12-O12</f>
        <v>0</v>
      </c>
      <c r="R12" s="416">
        <f>+D12*(1-S6)</f>
        <v>168.08</v>
      </c>
      <c r="S12" s="520">
        <f>+J12-R12</f>
        <v>0</v>
      </c>
    </row>
    <row r="13" spans="1:19" ht="22.8" customHeight="1" x14ac:dyDescent="0.3">
      <c r="A13" s="124" t="s">
        <v>127</v>
      </c>
      <c r="B13" s="550"/>
      <c r="C13" s="706">
        <f>ROUND(8.3842,2)*1.03</f>
        <v>8.6314000000000011</v>
      </c>
      <c r="D13" s="706">
        <f>+C13</f>
        <v>8.6314000000000011</v>
      </c>
      <c r="E13" s="710">
        <f>+D13</f>
        <v>8.6314000000000011</v>
      </c>
      <c r="F13" s="710">
        <f>+E13</f>
        <v>8.6314000000000011</v>
      </c>
      <c r="G13" s="710">
        <f>+F13</f>
        <v>8.6314000000000011</v>
      </c>
      <c r="H13" s="710">
        <f>+F13</f>
        <v>8.6314000000000011</v>
      </c>
      <c r="I13" s="710">
        <v>8.6314000000000011</v>
      </c>
      <c r="J13" s="709">
        <f>+H13</f>
        <v>8.6314000000000011</v>
      </c>
      <c r="L13" s="415"/>
      <c r="M13" s="415"/>
      <c r="O13" s="416"/>
      <c r="P13" s="416"/>
      <c r="R13" s="416"/>
      <c r="S13" s="416"/>
    </row>
    <row r="14" spans="1:19" ht="22.8" customHeight="1" x14ac:dyDescent="0.3">
      <c r="A14" s="124" t="s">
        <v>176</v>
      </c>
      <c r="B14" s="706"/>
      <c r="C14" s="706" t="s">
        <v>129</v>
      </c>
      <c r="D14" s="706" t="s">
        <v>129</v>
      </c>
      <c r="E14" s="710" t="s">
        <v>129</v>
      </c>
      <c r="F14" s="710"/>
      <c r="G14" s="710"/>
      <c r="H14" s="710" t="s">
        <v>129</v>
      </c>
      <c r="I14" s="710"/>
      <c r="J14" s="710" t="s">
        <v>129</v>
      </c>
      <c r="L14" s="415"/>
      <c r="M14" s="415"/>
      <c r="O14" s="416"/>
      <c r="P14" s="416"/>
      <c r="R14" s="416"/>
      <c r="S14" s="416"/>
    </row>
    <row r="15" spans="1:19" ht="21.45" customHeight="1" x14ac:dyDescent="0.3">
      <c r="A15" s="124" t="s">
        <v>177</v>
      </c>
      <c r="B15" s="706" t="s">
        <v>158</v>
      </c>
      <c r="C15" s="706"/>
      <c r="D15" s="706"/>
      <c r="E15" s="710" t="s">
        <v>136</v>
      </c>
      <c r="F15" s="710"/>
      <c r="G15" s="710"/>
      <c r="H15" s="710" t="s">
        <v>136</v>
      </c>
      <c r="I15" s="710"/>
      <c r="J15" s="710" t="s">
        <v>136</v>
      </c>
      <c r="L15" s="415"/>
      <c r="M15" s="415"/>
      <c r="O15" s="416"/>
      <c r="P15" s="416"/>
      <c r="R15" s="416"/>
      <c r="S15" s="416"/>
    </row>
    <row r="16" spans="1:19" ht="21.45" hidden="1" customHeight="1" x14ac:dyDescent="0.3">
      <c r="A16" s="126" t="s">
        <v>247</v>
      </c>
      <c r="B16" s="706"/>
      <c r="C16" s="706"/>
      <c r="D16" s="706"/>
      <c r="E16" s="710"/>
      <c r="F16" s="710"/>
      <c r="G16" s="710"/>
      <c r="H16" s="710"/>
      <c r="I16" s="710"/>
      <c r="J16" s="710"/>
      <c r="L16" s="415"/>
      <c r="M16" s="415"/>
      <c r="O16" s="416"/>
      <c r="P16" s="416"/>
      <c r="R16" s="416"/>
      <c r="S16" s="416"/>
    </row>
    <row r="17" spans="1:10" ht="21.45" hidden="1" customHeight="1" x14ac:dyDescent="0.3">
      <c r="A17" s="124" t="s">
        <v>156</v>
      </c>
      <c r="B17" s="125"/>
      <c r="C17" s="125"/>
      <c r="D17" s="125"/>
      <c r="E17" s="710"/>
      <c r="F17" s="710"/>
      <c r="G17" s="710"/>
      <c r="H17" s="710"/>
      <c r="I17" s="710"/>
      <c r="J17" s="710"/>
    </row>
    <row r="18" spans="1:10" ht="21.45" hidden="1" customHeight="1" x14ac:dyDescent="0.3">
      <c r="A18" s="124" t="s">
        <v>157</v>
      </c>
      <c r="B18" s="127"/>
      <c r="C18" s="128"/>
      <c r="D18" s="128"/>
      <c r="E18" s="711" t="s">
        <v>158</v>
      </c>
      <c r="F18" s="711"/>
      <c r="G18" s="712"/>
      <c r="H18" s="713" t="s">
        <v>144</v>
      </c>
      <c r="I18" s="713"/>
      <c r="J18" s="713" t="s">
        <v>144</v>
      </c>
    </row>
    <row r="19" spans="1:10" ht="21.45" hidden="1" customHeight="1" x14ac:dyDescent="0.3">
      <c r="A19" s="124" t="s">
        <v>159</v>
      </c>
      <c r="B19" s="127"/>
      <c r="C19" s="127"/>
      <c r="D19" s="127"/>
      <c r="E19" s="711" t="s">
        <v>158</v>
      </c>
      <c r="F19" s="711"/>
      <c r="G19" s="711"/>
      <c r="H19" s="711" t="s">
        <v>138</v>
      </c>
      <c r="I19" s="711"/>
      <c r="J19" s="711" t="s">
        <v>138</v>
      </c>
    </row>
    <row r="20" spans="1:10" ht="21.45" hidden="1" customHeight="1" x14ac:dyDescent="0.3">
      <c r="A20" s="124" t="s">
        <v>160</v>
      </c>
      <c r="B20" s="127"/>
      <c r="C20" s="127"/>
      <c r="D20" s="127"/>
      <c r="E20" s="711" t="s">
        <v>158</v>
      </c>
      <c r="F20" s="711"/>
      <c r="G20" s="711"/>
      <c r="H20" s="710" t="s">
        <v>144</v>
      </c>
      <c r="I20" s="710"/>
      <c r="J20" s="710" t="s">
        <v>144</v>
      </c>
    </row>
    <row r="21" spans="1:10" ht="21.45" hidden="1" customHeight="1" x14ac:dyDescent="0.3">
      <c r="A21" s="124" t="s">
        <v>178</v>
      </c>
      <c r="B21" s="127"/>
      <c r="C21" s="127"/>
      <c r="D21" s="127"/>
      <c r="E21" s="711" t="s">
        <v>158</v>
      </c>
      <c r="F21" s="711"/>
      <c r="G21" s="711"/>
      <c r="H21" s="710" t="s">
        <v>144</v>
      </c>
      <c r="I21" s="710"/>
      <c r="J21" s="710" t="s">
        <v>144</v>
      </c>
    </row>
    <row r="22" spans="1:10" ht="21.45" customHeight="1" x14ac:dyDescent="0.3">
      <c r="A22" s="129" t="s">
        <v>139</v>
      </c>
      <c r="B22" s="125"/>
      <c r="C22" s="125"/>
      <c r="D22" s="125"/>
      <c r="E22" s="710"/>
      <c r="F22" s="710"/>
      <c r="G22" s="710"/>
      <c r="H22" s="710"/>
      <c r="I22" s="710"/>
      <c r="J22" s="710">
        <v>301</v>
      </c>
    </row>
    <row r="23" spans="1:10" ht="27" thickBot="1" x14ac:dyDescent="0.35">
      <c r="A23" s="130" t="s">
        <v>163</v>
      </c>
      <c r="B23" s="131"/>
      <c r="C23" s="131"/>
      <c r="D23" s="131"/>
      <c r="E23" s="707" t="s">
        <v>158</v>
      </c>
      <c r="F23" s="708"/>
      <c r="G23" s="708"/>
      <c r="H23" s="707"/>
      <c r="I23" s="707"/>
      <c r="J23" s="707" t="s">
        <v>138</v>
      </c>
    </row>
    <row r="24" spans="1:10" ht="14.4" thickTop="1" x14ac:dyDescent="0.3"/>
  </sheetData>
  <mergeCells count="5">
    <mergeCell ref="A1:H1"/>
    <mergeCell ref="A2:H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O46"/>
  <sheetViews>
    <sheetView zoomScale="85" zoomScaleNormal="85" workbookViewId="0">
      <selection activeCell="O17" sqref="O17"/>
    </sheetView>
  </sheetViews>
  <sheetFormatPr baseColWidth="10" defaultRowHeight="14.4" x14ac:dyDescent="0.3"/>
  <cols>
    <col min="2" max="2" width="51.77734375" customWidth="1"/>
    <col min="3" max="3" width="16" customWidth="1"/>
    <col min="4" max="4" width="16" style="614" customWidth="1"/>
    <col min="5" max="5" width="14.88671875" hidden="1" customWidth="1"/>
    <col min="6" max="6" width="15.21875" style="614" hidden="1" customWidth="1"/>
    <col min="7" max="7" width="15.21875" style="614" customWidth="1"/>
    <col min="8" max="8" width="15.109375" customWidth="1"/>
    <col min="9" max="9" width="13.88671875" customWidth="1"/>
    <col min="10" max="10" width="13.44140625" hidden="1" customWidth="1"/>
    <col min="11" max="11" width="14.77734375" style="614" customWidth="1"/>
    <col min="12" max="12" width="15.6640625" customWidth="1"/>
    <col min="13" max="13" width="18.88671875" customWidth="1"/>
    <col min="14" max="14" width="0" hidden="1" customWidth="1"/>
  </cols>
  <sheetData>
    <row r="1" spans="1:15" x14ac:dyDescent="0.3">
      <c r="A1" s="132"/>
      <c r="B1" s="158" t="s">
        <v>519</v>
      </c>
      <c r="C1" s="412" t="str">
        <f>+B1</f>
        <v>Vigencia: 16 de Julio de 2022; 00:00 horas</v>
      </c>
      <c r="D1" s="412"/>
      <c r="E1" s="158"/>
      <c r="F1" s="158"/>
      <c r="G1" s="158"/>
      <c r="H1" s="133"/>
      <c r="I1" s="133"/>
      <c r="J1" s="133"/>
      <c r="K1" s="133"/>
      <c r="L1" s="133"/>
    </row>
    <row r="2" spans="1:15" ht="15" thickBot="1" x14ac:dyDescent="0.35">
      <c r="A2" s="159" t="s">
        <v>179</v>
      </c>
      <c r="B2" s="160"/>
      <c r="C2" s="160"/>
      <c r="D2" s="160"/>
      <c r="E2" s="476"/>
      <c r="F2" s="476"/>
      <c r="G2" s="476"/>
      <c r="H2" s="160"/>
      <c r="I2" s="476"/>
      <c r="J2" s="160"/>
      <c r="K2" s="160"/>
      <c r="L2" s="160"/>
    </row>
    <row r="3" spans="1:15" ht="15" thickTop="1" x14ac:dyDescent="0.3">
      <c r="A3" s="161"/>
      <c r="B3" s="162" t="s">
        <v>219</v>
      </c>
      <c r="C3" s="903" t="s">
        <v>180</v>
      </c>
      <c r="D3" s="904"/>
      <c r="E3" s="904"/>
      <c r="F3" s="904"/>
      <c r="G3" s="904"/>
      <c r="H3" s="904"/>
      <c r="I3" s="904"/>
      <c r="J3" s="907" t="s">
        <v>220</v>
      </c>
      <c r="K3" s="908"/>
      <c r="L3" s="909"/>
    </row>
    <row r="4" spans="1:15" ht="27.6" x14ac:dyDescent="0.3">
      <c r="A4" s="163"/>
      <c r="B4" s="681" t="s">
        <v>501</v>
      </c>
      <c r="C4" s="905"/>
      <c r="D4" s="906"/>
      <c r="E4" s="906"/>
      <c r="F4" s="906"/>
      <c r="G4" s="906"/>
      <c r="H4" s="906"/>
      <c r="I4" s="906"/>
      <c r="J4" s="910"/>
      <c r="K4" s="911"/>
      <c r="L4" s="912"/>
      <c r="O4" s="19"/>
    </row>
    <row r="5" spans="1:15" ht="27.6" x14ac:dyDescent="0.3">
      <c r="A5" s="895" t="s">
        <v>181</v>
      </c>
      <c r="B5" s="897" t="s">
        <v>182</v>
      </c>
      <c r="C5" s="901" t="s">
        <v>240</v>
      </c>
      <c r="D5" s="769" t="s">
        <v>96</v>
      </c>
      <c r="E5" s="164" t="s">
        <v>96</v>
      </c>
      <c r="F5" s="623" t="s">
        <v>96</v>
      </c>
      <c r="G5" s="899" t="s">
        <v>496</v>
      </c>
      <c r="H5" s="164" t="s">
        <v>393</v>
      </c>
      <c r="I5" s="164" t="s">
        <v>397</v>
      </c>
      <c r="J5" s="164" t="s">
        <v>96</v>
      </c>
      <c r="K5" s="623" t="s">
        <v>96</v>
      </c>
      <c r="L5" s="136" t="str">
        <f>+I5</f>
        <v>Biodiesel B10</v>
      </c>
    </row>
    <row r="6" spans="1:15" x14ac:dyDescent="0.3">
      <c r="A6" s="895"/>
      <c r="B6" s="897"/>
      <c r="C6" s="902"/>
      <c r="D6" s="545" t="s">
        <v>514</v>
      </c>
      <c r="E6" s="545" t="s">
        <v>477</v>
      </c>
      <c r="F6" s="545" t="s">
        <v>487</v>
      </c>
      <c r="G6" s="900"/>
      <c r="H6" s="182">
        <v>0.02</v>
      </c>
      <c r="I6" s="165">
        <v>0.1</v>
      </c>
      <c r="J6" s="524" t="str">
        <f>+E6</f>
        <v>Oxigenada 5%</v>
      </c>
      <c r="K6" s="524" t="str">
        <f>+D6</f>
        <v>Oxigenada 4%</v>
      </c>
      <c r="L6" s="165">
        <f>+I6</f>
        <v>0.1</v>
      </c>
    </row>
    <row r="7" spans="1:15" x14ac:dyDescent="0.3">
      <c r="A7" s="896"/>
      <c r="B7" s="898"/>
      <c r="C7" s="135" t="s">
        <v>183</v>
      </c>
      <c r="D7" s="769" t="s">
        <v>183</v>
      </c>
      <c r="E7" s="164" t="s">
        <v>183</v>
      </c>
      <c r="F7" s="623" t="s">
        <v>183</v>
      </c>
      <c r="G7" s="656" t="s">
        <v>183</v>
      </c>
      <c r="H7" s="164" t="s">
        <v>183</v>
      </c>
      <c r="I7" s="164" t="s">
        <v>183</v>
      </c>
      <c r="J7" s="135" t="s">
        <v>183</v>
      </c>
      <c r="K7" s="622" t="s">
        <v>183</v>
      </c>
      <c r="L7" s="136" t="s">
        <v>183</v>
      </c>
    </row>
    <row r="8" spans="1:15" x14ac:dyDescent="0.3">
      <c r="A8" s="137" t="s">
        <v>184</v>
      </c>
      <c r="B8" s="143" t="s">
        <v>185</v>
      </c>
      <c r="C8" s="139">
        <f>+'Calculo IP ZDF'!B28</f>
        <v>5064.8</v>
      </c>
      <c r="D8" s="141">
        <f>+'Calculo IP ZDF'!G28</f>
        <v>5384.1363999999994</v>
      </c>
      <c r="E8" s="166">
        <f>+'Calculo IP ZDF'!H28</f>
        <v>5463.9705000000004</v>
      </c>
      <c r="F8" s="166">
        <f>+'Calculo IP ZDF'!I28</f>
        <v>5543.8026</v>
      </c>
      <c r="G8" s="166">
        <f>+'Calculo IP ZDF'!C28</f>
        <v>4107.4318249999997</v>
      </c>
      <c r="H8" s="166">
        <f>+'Calculo IP ZDF'!F28</f>
        <v>4487.25</v>
      </c>
      <c r="I8" s="477">
        <f>+'Calculo IP ZDF'!L28</f>
        <v>6006.5576424999999</v>
      </c>
      <c r="J8" s="139">
        <f>+'GAS CTE'!E9</f>
        <v>5463.9705000000004</v>
      </c>
      <c r="K8" s="192">
        <f>+'GAS CTE'!D9</f>
        <v>5384.1363999999994</v>
      </c>
      <c r="L8" s="140">
        <f>+BIODIESEL!H9</f>
        <v>6207.2739999999994</v>
      </c>
    </row>
    <row r="9" spans="1:15" x14ac:dyDescent="0.3">
      <c r="A9" s="137" t="s">
        <v>186</v>
      </c>
      <c r="B9" s="143" t="s">
        <v>187</v>
      </c>
      <c r="C9" s="147" t="s">
        <v>188</v>
      </c>
      <c r="D9" s="167" t="s">
        <v>188</v>
      </c>
      <c r="E9" s="167" t="s">
        <v>188</v>
      </c>
      <c r="F9" s="167" t="s">
        <v>188</v>
      </c>
      <c r="G9" s="167" t="s">
        <v>188</v>
      </c>
      <c r="H9" s="167" t="s">
        <v>188</v>
      </c>
      <c r="I9" s="167" t="s">
        <v>188</v>
      </c>
      <c r="J9" s="147">
        <f>+'GAS CTE'!E10</f>
        <v>556.9375</v>
      </c>
      <c r="K9" s="147">
        <f>+'GAS CTE'!D10</f>
        <v>562.79999999999995</v>
      </c>
      <c r="L9" s="168">
        <f>+BIODIESEL!H10</f>
        <v>505.00800000000004</v>
      </c>
    </row>
    <row r="10" spans="1:15" x14ac:dyDescent="0.3">
      <c r="A10" s="137"/>
      <c r="B10" s="143" t="s">
        <v>132</v>
      </c>
      <c r="C10" s="147" t="s">
        <v>188</v>
      </c>
      <c r="D10" s="167" t="s">
        <v>188</v>
      </c>
      <c r="E10" s="167" t="s">
        <v>188</v>
      </c>
      <c r="F10" s="167" t="s">
        <v>188</v>
      </c>
      <c r="G10" s="167" t="s">
        <v>188</v>
      </c>
      <c r="H10" s="167" t="s">
        <v>188</v>
      </c>
      <c r="I10" s="167" t="s">
        <v>188</v>
      </c>
      <c r="J10" s="147" t="s">
        <v>133</v>
      </c>
      <c r="K10" s="147" t="s">
        <v>133</v>
      </c>
      <c r="L10" s="168" t="str">
        <f>+J10</f>
        <v>(3)</v>
      </c>
    </row>
    <row r="11" spans="1:15" x14ac:dyDescent="0.3">
      <c r="A11" s="137"/>
      <c r="B11" s="143" t="s">
        <v>134</v>
      </c>
      <c r="C11" s="169" t="s">
        <v>218</v>
      </c>
      <c r="D11" s="169" t="s">
        <v>218</v>
      </c>
      <c r="E11" s="167" t="str">
        <f>+C11</f>
        <v>(4)</v>
      </c>
      <c r="F11" s="167" t="str">
        <f t="shared" ref="F11:G14" si="0">+E11</f>
        <v>(4)</v>
      </c>
      <c r="G11" s="167" t="str">
        <f t="shared" si="0"/>
        <v>(4)</v>
      </c>
      <c r="H11" s="167" t="str">
        <f>+C11</f>
        <v>(4)</v>
      </c>
      <c r="I11" s="167" t="str">
        <f>+C11</f>
        <v>(4)</v>
      </c>
      <c r="J11" s="147" t="str">
        <f>+E11</f>
        <v>(4)</v>
      </c>
      <c r="K11" s="147" t="str">
        <f>+F11</f>
        <v>(4)</v>
      </c>
      <c r="L11" s="168" t="str">
        <f>+I11</f>
        <v>(4)</v>
      </c>
    </row>
    <row r="12" spans="1:15" x14ac:dyDescent="0.3">
      <c r="A12" s="137" t="s">
        <v>189</v>
      </c>
      <c r="B12" s="143" t="s">
        <v>311</v>
      </c>
      <c r="C12" s="169" t="s">
        <v>217</v>
      </c>
      <c r="D12" s="169" t="s">
        <v>217</v>
      </c>
      <c r="E12" s="170" t="str">
        <f>+C12</f>
        <v>(2)</v>
      </c>
      <c r="F12" s="642" t="str">
        <f t="shared" si="0"/>
        <v>(2)</v>
      </c>
      <c r="G12" s="642" t="str">
        <f t="shared" si="0"/>
        <v>(2)</v>
      </c>
      <c r="H12" s="170" t="str">
        <f>+C12</f>
        <v>(2)</v>
      </c>
      <c r="I12" s="170" t="str">
        <f>+C12</f>
        <v>(2)</v>
      </c>
      <c r="J12" s="169" t="str">
        <f>+C12</f>
        <v>(2)</v>
      </c>
      <c r="K12" s="643" t="str">
        <f>+E12</f>
        <v>(2)</v>
      </c>
      <c r="L12" s="171" t="str">
        <f>+C12</f>
        <v>(2)</v>
      </c>
    </row>
    <row r="13" spans="1:15" x14ac:dyDescent="0.3">
      <c r="A13" s="137" t="s">
        <v>191</v>
      </c>
      <c r="B13" s="143" t="s">
        <v>192</v>
      </c>
      <c r="C13" s="139">
        <f>+RUBROS!AC13</f>
        <v>23.500029293035123</v>
      </c>
      <c r="D13" s="139">
        <f>+RUBROS!AD13</f>
        <v>23.500029293035123</v>
      </c>
      <c r="E13" s="166">
        <f>+C13</f>
        <v>23.500029293035123</v>
      </c>
      <c r="F13" s="166">
        <f t="shared" si="0"/>
        <v>23.500029293035123</v>
      </c>
      <c r="G13" s="166">
        <f>+RUBROS!AC13</f>
        <v>23.500029293035123</v>
      </c>
      <c r="H13" s="166">
        <f>+C13</f>
        <v>23.500029293035123</v>
      </c>
      <c r="I13" s="166">
        <f>+C13</f>
        <v>23.500029293035123</v>
      </c>
      <c r="J13" s="139">
        <f>+RUBROS!AD13</f>
        <v>23.500029293035123</v>
      </c>
      <c r="K13" s="139">
        <f>+RUBROS!AD13</f>
        <v>23.500029293035123</v>
      </c>
      <c r="L13" s="140">
        <f>+J13</f>
        <v>23.500029293035123</v>
      </c>
    </row>
    <row r="14" spans="1:15" x14ac:dyDescent="0.3">
      <c r="A14" s="137" t="s">
        <v>195</v>
      </c>
      <c r="B14" s="143" t="s">
        <v>196</v>
      </c>
      <c r="C14" s="139">
        <f>+RUBROS!AU39</f>
        <v>13.326421256197724</v>
      </c>
      <c r="D14" s="139">
        <f>+RUBROS!AV39</f>
        <v>13.326421256197724</v>
      </c>
      <c r="E14" s="166">
        <f>+C14</f>
        <v>13.326421256197724</v>
      </c>
      <c r="F14" s="166">
        <f t="shared" si="0"/>
        <v>13.326421256197724</v>
      </c>
      <c r="G14" s="166">
        <f>+RUBROS!AU39</f>
        <v>13.326421256197724</v>
      </c>
      <c r="H14" s="166">
        <f>+C14</f>
        <v>13.326421256197724</v>
      </c>
      <c r="I14" s="166">
        <f>+C14</f>
        <v>13.326421256197724</v>
      </c>
      <c r="J14" s="139">
        <f>+C14</f>
        <v>13.326421256197724</v>
      </c>
      <c r="K14" s="139">
        <f>+J14</f>
        <v>13.326421256197724</v>
      </c>
      <c r="L14" s="140">
        <f>+C14</f>
        <v>13.326421256197724</v>
      </c>
    </row>
    <row r="15" spans="1:15" hidden="1" x14ac:dyDescent="0.3">
      <c r="A15" s="137"/>
      <c r="B15" s="143" t="s">
        <v>197</v>
      </c>
      <c r="C15" s="139"/>
      <c r="D15" s="139"/>
      <c r="E15" s="166"/>
      <c r="F15" s="166"/>
      <c r="G15" s="166"/>
      <c r="H15" s="166"/>
      <c r="I15" s="166"/>
      <c r="J15" s="139"/>
      <c r="K15" s="192"/>
      <c r="L15" s="140"/>
      <c r="N15" s="429" t="s">
        <v>417</v>
      </c>
    </row>
    <row r="16" spans="1:15" x14ac:dyDescent="0.3">
      <c r="A16" s="144" t="s">
        <v>198</v>
      </c>
      <c r="B16" s="173" t="s">
        <v>199</v>
      </c>
      <c r="C16" s="145">
        <f>SUM(C8:C15)</f>
        <v>5101.6264505492336</v>
      </c>
      <c r="D16" s="145">
        <f>SUM(D8:D15)</f>
        <v>5420.9628505492328</v>
      </c>
      <c r="E16" s="174">
        <f t="shared" ref="E16:L16" si="1">SUM(E8:E15)</f>
        <v>5500.7969505492338</v>
      </c>
      <c r="F16" s="174">
        <f t="shared" si="1"/>
        <v>5580.6290505492334</v>
      </c>
      <c r="G16" s="174">
        <f t="shared" si="1"/>
        <v>4144.2582755492331</v>
      </c>
      <c r="H16" s="174">
        <f t="shared" si="1"/>
        <v>4524.0764505492334</v>
      </c>
      <c r="I16" s="174">
        <f t="shared" si="1"/>
        <v>6043.3840930492333</v>
      </c>
      <c r="J16" s="145">
        <f t="shared" si="1"/>
        <v>6057.7344505492338</v>
      </c>
      <c r="K16" s="145">
        <f t="shared" si="1"/>
        <v>5983.762850549233</v>
      </c>
      <c r="L16" s="146">
        <f t="shared" si="1"/>
        <v>6749.1084505492327</v>
      </c>
    </row>
    <row r="17" spans="1:14" x14ac:dyDescent="0.3">
      <c r="A17" s="137" t="s">
        <v>221</v>
      </c>
      <c r="B17" s="143" t="s">
        <v>222</v>
      </c>
      <c r="C17" s="139" t="str">
        <f>H17</f>
        <v>**</v>
      </c>
      <c r="D17" s="139" t="str">
        <f>I17</f>
        <v>**</v>
      </c>
      <c r="E17" s="166" t="str">
        <f t="shared" ref="E17:F20" si="2">I17</f>
        <v>**</v>
      </c>
      <c r="F17" s="166" t="str">
        <f t="shared" si="2"/>
        <v>**</v>
      </c>
      <c r="G17" s="166" t="s">
        <v>229</v>
      </c>
      <c r="H17" s="166" t="str">
        <f>+A35</f>
        <v>**</v>
      </c>
      <c r="I17" s="166" t="str">
        <f>+H17</f>
        <v>**</v>
      </c>
      <c r="J17" s="139" t="str">
        <f>+I17</f>
        <v>**</v>
      </c>
      <c r="K17" s="139" t="str">
        <f>+J17</f>
        <v>**</v>
      </c>
      <c r="L17" s="140" t="str">
        <f>+I17</f>
        <v>**</v>
      </c>
    </row>
    <row r="18" spans="1:14" x14ac:dyDescent="0.3">
      <c r="A18" s="137" t="s">
        <v>200</v>
      </c>
      <c r="B18" s="143" t="s">
        <v>223</v>
      </c>
      <c r="C18" s="139" t="str">
        <f>H18</f>
        <v>***</v>
      </c>
      <c r="D18" s="139" t="str">
        <f>I18</f>
        <v>***</v>
      </c>
      <c r="E18" s="166" t="str">
        <f t="shared" si="2"/>
        <v>***</v>
      </c>
      <c r="F18" s="166" t="str">
        <f t="shared" si="2"/>
        <v>***</v>
      </c>
      <c r="G18" s="166" t="s">
        <v>231</v>
      </c>
      <c r="H18" s="166" t="str">
        <f>+A36</f>
        <v>***</v>
      </c>
      <c r="I18" s="166" t="str">
        <f>+H18</f>
        <v>***</v>
      </c>
      <c r="J18" s="139" t="str">
        <f t="shared" ref="J18:K20" si="3">+I18</f>
        <v>***</v>
      </c>
      <c r="K18" s="139" t="str">
        <f t="shared" si="3"/>
        <v>***</v>
      </c>
      <c r="L18" s="140" t="str">
        <f t="shared" ref="L18:L20" si="4">+I18</f>
        <v>***</v>
      </c>
    </row>
    <row r="19" spans="1:14" x14ac:dyDescent="0.3">
      <c r="A19" s="137" t="s">
        <v>224</v>
      </c>
      <c r="B19" s="143" t="s">
        <v>225</v>
      </c>
      <c r="C19" s="175" t="s">
        <v>233</v>
      </c>
      <c r="D19" s="175" t="s">
        <v>233</v>
      </c>
      <c r="E19" s="172" t="str">
        <f t="shared" si="2"/>
        <v>****</v>
      </c>
      <c r="F19" s="172" t="str">
        <f t="shared" si="2"/>
        <v>****</v>
      </c>
      <c r="G19" s="172" t="s">
        <v>233</v>
      </c>
      <c r="H19" s="172" t="str">
        <f>+A37</f>
        <v>****</v>
      </c>
      <c r="I19" s="172" t="str">
        <f>+H19</f>
        <v>****</v>
      </c>
      <c r="J19" s="139" t="str">
        <f t="shared" si="3"/>
        <v>****</v>
      </c>
      <c r="K19" s="139" t="str">
        <f t="shared" si="3"/>
        <v>****</v>
      </c>
      <c r="L19" s="140" t="str">
        <f t="shared" si="4"/>
        <v>****</v>
      </c>
    </row>
    <row r="20" spans="1:14" x14ac:dyDescent="0.3">
      <c r="A20" s="137" t="s">
        <v>204</v>
      </c>
      <c r="B20" s="143" t="s">
        <v>139</v>
      </c>
      <c r="C20" s="139" t="str">
        <f>H20</f>
        <v>*****</v>
      </c>
      <c r="D20" s="139" t="str">
        <f>I20</f>
        <v>*****</v>
      </c>
      <c r="E20" s="166" t="str">
        <f t="shared" si="2"/>
        <v>*****</v>
      </c>
      <c r="F20" s="166" t="str">
        <f t="shared" si="2"/>
        <v>*****</v>
      </c>
      <c r="G20" s="166" t="s">
        <v>235</v>
      </c>
      <c r="H20" s="166" t="str">
        <f>+A38</f>
        <v>*****</v>
      </c>
      <c r="I20" s="166" t="str">
        <f>+H20</f>
        <v>*****</v>
      </c>
      <c r="J20" s="139" t="str">
        <f t="shared" si="3"/>
        <v>*****</v>
      </c>
      <c r="K20" s="139" t="str">
        <f t="shared" si="3"/>
        <v>*****</v>
      </c>
      <c r="L20" s="140" t="str">
        <f t="shared" si="4"/>
        <v>*****</v>
      </c>
    </row>
    <row r="21" spans="1:14" x14ac:dyDescent="0.3">
      <c r="A21" s="144" t="s">
        <v>206</v>
      </c>
      <c r="B21" s="173" t="s">
        <v>226</v>
      </c>
      <c r="C21" s="145">
        <f t="shared" ref="C21:L21" si="5">+C16</f>
        <v>5101.6264505492336</v>
      </c>
      <c r="D21" s="145">
        <f t="shared" ref="D21" si="6">+D16</f>
        <v>5420.9628505492328</v>
      </c>
      <c r="E21" s="174">
        <f t="shared" si="5"/>
        <v>5500.7969505492338</v>
      </c>
      <c r="F21" s="174">
        <f t="shared" ref="F21:G21" si="7">+F16</f>
        <v>5580.6290505492334</v>
      </c>
      <c r="G21" s="174">
        <f t="shared" si="7"/>
        <v>4144.2582755492331</v>
      </c>
      <c r="H21" s="174">
        <f t="shared" si="5"/>
        <v>4524.0764505492334</v>
      </c>
      <c r="I21" s="174">
        <f t="shared" si="5"/>
        <v>6043.3840930492333</v>
      </c>
      <c r="J21" s="145">
        <f t="shared" si="5"/>
        <v>6057.7344505492338</v>
      </c>
      <c r="K21" s="145">
        <f t="shared" ref="K21" si="8">+K16</f>
        <v>5983.762850549233</v>
      </c>
      <c r="L21" s="146">
        <f t="shared" si="5"/>
        <v>6749.1084505492327</v>
      </c>
    </row>
    <row r="22" spans="1:14" x14ac:dyDescent="0.3">
      <c r="A22" s="137" t="s">
        <v>208</v>
      </c>
      <c r="B22" s="143" t="s">
        <v>160</v>
      </c>
      <c r="C22" s="139" t="str">
        <f>H22</f>
        <v>***</v>
      </c>
      <c r="D22" s="139" t="str">
        <f>I22</f>
        <v>***</v>
      </c>
      <c r="E22" s="166" t="str">
        <f t="shared" ref="E22:G24" si="9">I22</f>
        <v>***</v>
      </c>
      <c r="F22" s="166" t="str">
        <f t="shared" si="9"/>
        <v>***</v>
      </c>
      <c r="G22" s="166" t="str">
        <f t="shared" si="9"/>
        <v>***</v>
      </c>
      <c r="H22" s="166" t="str">
        <f>+H18</f>
        <v>***</v>
      </c>
      <c r="I22" s="166" t="str">
        <f>+H22</f>
        <v>***</v>
      </c>
      <c r="J22" s="139" t="str">
        <f>+J18</f>
        <v>***</v>
      </c>
      <c r="K22" s="139" t="str">
        <f>+K18</f>
        <v>***</v>
      </c>
      <c r="L22" s="140" t="str">
        <f>+L18</f>
        <v>***</v>
      </c>
    </row>
    <row r="23" spans="1:14" x14ac:dyDescent="0.3">
      <c r="A23" s="137" t="s">
        <v>209</v>
      </c>
      <c r="B23" s="138" t="s">
        <v>210</v>
      </c>
      <c r="C23" s="175" t="s">
        <v>236</v>
      </c>
      <c r="D23" s="175" t="s">
        <v>236</v>
      </c>
      <c r="E23" s="172" t="str">
        <f>+C23</f>
        <v>******</v>
      </c>
      <c r="F23" s="172" t="str">
        <f>+E23</f>
        <v>******</v>
      </c>
      <c r="G23" s="172" t="str">
        <f>+F23</f>
        <v>******</v>
      </c>
      <c r="H23" s="172" t="s">
        <v>211</v>
      </c>
      <c r="I23" s="172" t="str">
        <f>+H23</f>
        <v>N.A</v>
      </c>
      <c r="J23" s="175" t="str">
        <f>+C23</f>
        <v>******</v>
      </c>
      <c r="K23" s="175" t="str">
        <f>+E23</f>
        <v>******</v>
      </c>
      <c r="L23" s="142" t="s">
        <v>211</v>
      </c>
    </row>
    <row r="24" spans="1:14" x14ac:dyDescent="0.3">
      <c r="A24" s="137" t="s">
        <v>212</v>
      </c>
      <c r="B24" s="143" t="s">
        <v>213</v>
      </c>
      <c r="C24" s="175" t="str">
        <f>H24</f>
        <v>*******</v>
      </c>
      <c r="D24" s="175" t="str">
        <f>I24</f>
        <v>*******</v>
      </c>
      <c r="E24" s="172" t="str">
        <f t="shared" si="9"/>
        <v>*******</v>
      </c>
      <c r="F24" s="172" t="str">
        <f t="shared" si="9"/>
        <v>*******</v>
      </c>
      <c r="G24" s="172" t="str">
        <f t="shared" si="9"/>
        <v>*******</v>
      </c>
      <c r="H24" s="172" t="str">
        <f>+A40</f>
        <v>*******</v>
      </c>
      <c r="I24" s="172" t="str">
        <f>+H24</f>
        <v>*******</v>
      </c>
      <c r="J24" s="175" t="str">
        <f>+I24</f>
        <v>*******</v>
      </c>
      <c r="K24" s="175" t="str">
        <f>+J24</f>
        <v>*******</v>
      </c>
      <c r="L24" s="142" t="str">
        <f>+I24</f>
        <v>*******</v>
      </c>
    </row>
    <row r="25" spans="1:14" ht="15" thickBot="1" x14ac:dyDescent="0.35">
      <c r="A25" s="148" t="s">
        <v>214</v>
      </c>
      <c r="B25" s="149" t="s">
        <v>215</v>
      </c>
      <c r="C25" s="150"/>
      <c r="D25" s="152"/>
      <c r="E25" s="176"/>
      <c r="F25" s="176"/>
      <c r="G25" s="176"/>
      <c r="H25" s="176"/>
      <c r="I25" s="176"/>
      <c r="J25" s="150"/>
      <c r="K25" s="202"/>
      <c r="L25" s="151"/>
    </row>
    <row r="26" spans="1:14" ht="15" thickTop="1" x14ac:dyDescent="0.3">
      <c r="A26" s="153"/>
      <c r="B26" s="154"/>
      <c r="C26" s="154"/>
      <c r="D26" s="154"/>
      <c r="E26" s="154"/>
      <c r="F26" s="154"/>
      <c r="G26" s="154"/>
      <c r="H26" s="155"/>
      <c r="I26" s="155"/>
      <c r="J26" s="155"/>
      <c r="K26" s="155"/>
      <c r="L26" s="155"/>
    </row>
    <row r="27" spans="1:14" x14ac:dyDescent="0.3">
      <c r="A27" s="156"/>
      <c r="B27" s="256" t="s">
        <v>227</v>
      </c>
      <c r="C27" s="177"/>
      <c r="D27" s="177"/>
      <c r="E27" s="177"/>
      <c r="F27" s="177"/>
      <c r="G27" s="177"/>
      <c r="H27" s="177"/>
      <c r="I27" s="177"/>
      <c r="J27" s="177"/>
      <c r="K27" s="177"/>
      <c r="L27" s="177"/>
    </row>
    <row r="28" spans="1:14" x14ac:dyDescent="0.3">
      <c r="A28" s="156" t="s">
        <v>158</v>
      </c>
      <c r="B28" s="891"/>
      <c r="C28" s="891"/>
      <c r="D28" s="891"/>
      <c r="E28" s="891"/>
      <c r="F28" s="891"/>
      <c r="G28" s="891"/>
      <c r="H28" s="891"/>
      <c r="I28" s="891"/>
      <c r="J28" s="891"/>
      <c r="K28" s="891"/>
      <c r="L28" s="891"/>
    </row>
    <row r="29" spans="1:14" s="614" customFormat="1" ht="39" customHeight="1" x14ac:dyDescent="0.3">
      <c r="A29" s="179" t="s">
        <v>190</v>
      </c>
      <c r="B29" s="891" t="s">
        <v>502</v>
      </c>
      <c r="C29" s="891"/>
      <c r="D29" s="891"/>
      <c r="E29" s="891"/>
      <c r="F29" s="891"/>
      <c r="G29" s="891"/>
      <c r="H29" s="891"/>
      <c r="I29" s="891"/>
      <c r="J29" s="891"/>
      <c r="K29" s="891"/>
      <c r="L29" s="891"/>
    </row>
    <row r="30" spans="1:14" ht="28.5" customHeight="1" x14ac:dyDescent="0.3">
      <c r="A30" s="180" t="s">
        <v>217</v>
      </c>
      <c r="B30" s="892" t="s">
        <v>269</v>
      </c>
      <c r="C30" s="892"/>
      <c r="D30" s="892"/>
      <c r="E30" s="892"/>
      <c r="F30" s="892"/>
      <c r="G30" s="892"/>
      <c r="H30" s="892"/>
      <c r="I30" s="892"/>
      <c r="J30" s="892"/>
      <c r="K30" s="892"/>
      <c r="L30" s="892"/>
      <c r="M30" s="892"/>
      <c r="N30" s="892"/>
    </row>
    <row r="31" spans="1:14" ht="58.65" customHeight="1" x14ac:dyDescent="0.3">
      <c r="A31" s="180" t="s">
        <v>133</v>
      </c>
      <c r="B31" s="892" t="s">
        <v>325</v>
      </c>
      <c r="C31" s="892"/>
      <c r="D31" s="892"/>
      <c r="E31" s="892"/>
      <c r="F31" s="892"/>
      <c r="G31" s="892"/>
      <c r="H31" s="892"/>
      <c r="I31" s="892"/>
      <c r="J31" s="892"/>
      <c r="K31" s="892"/>
      <c r="L31" s="892"/>
    </row>
    <row r="32" spans="1:14" ht="61.5" customHeight="1" x14ac:dyDescent="0.3">
      <c r="A32" s="180" t="s">
        <v>218</v>
      </c>
      <c r="B32" s="913" t="s">
        <v>398</v>
      </c>
      <c r="C32" s="914"/>
      <c r="D32" s="914"/>
      <c r="E32" s="914"/>
      <c r="F32" s="914"/>
      <c r="G32" s="914"/>
      <c r="H32" s="914"/>
      <c r="I32" s="914"/>
      <c r="J32" s="914"/>
      <c r="K32" s="914"/>
      <c r="L32" s="914"/>
    </row>
    <row r="33" spans="1:12" ht="40.200000000000003" customHeight="1" x14ac:dyDescent="0.3">
      <c r="A33" s="156"/>
      <c r="B33" s="915" t="s">
        <v>491</v>
      </c>
      <c r="C33" s="915"/>
      <c r="D33" s="915"/>
      <c r="E33" s="915"/>
      <c r="F33" s="915"/>
      <c r="G33" s="915"/>
      <c r="H33" s="915"/>
      <c r="I33" s="915"/>
      <c r="J33" s="915"/>
      <c r="K33" s="915"/>
      <c r="L33" s="915"/>
    </row>
    <row r="34" spans="1:12" x14ac:dyDescent="0.3">
      <c r="A34" s="156" t="s">
        <v>102</v>
      </c>
      <c r="B34" s="891" t="s">
        <v>228</v>
      </c>
      <c r="C34" s="891"/>
      <c r="D34" s="891"/>
      <c r="E34" s="891"/>
      <c r="F34" s="891"/>
      <c r="G34" s="891"/>
      <c r="H34" s="891"/>
      <c r="I34" s="891"/>
      <c r="J34" s="891"/>
      <c r="K34" s="891"/>
      <c r="L34" s="891"/>
    </row>
    <row r="35" spans="1:12" ht="29.25" customHeight="1" x14ac:dyDescent="0.3">
      <c r="A35" s="156" t="s">
        <v>229</v>
      </c>
      <c r="B35" s="892" t="s">
        <v>230</v>
      </c>
      <c r="C35" s="892"/>
      <c r="D35" s="892"/>
      <c r="E35" s="892"/>
      <c r="F35" s="892"/>
      <c r="G35" s="892"/>
      <c r="H35" s="892"/>
      <c r="I35" s="892"/>
      <c r="J35" s="892"/>
      <c r="K35" s="892"/>
      <c r="L35" s="892"/>
    </row>
    <row r="36" spans="1:12" x14ac:dyDescent="0.3">
      <c r="A36" s="156" t="s">
        <v>231</v>
      </c>
      <c r="B36" s="891" t="s">
        <v>232</v>
      </c>
      <c r="C36" s="891"/>
      <c r="D36" s="891"/>
      <c r="E36" s="891"/>
      <c r="F36" s="891"/>
      <c r="G36" s="891"/>
      <c r="H36" s="891"/>
      <c r="I36" s="891"/>
      <c r="J36" s="891"/>
      <c r="K36" s="891"/>
      <c r="L36" s="891"/>
    </row>
    <row r="37" spans="1:12" ht="43.5" customHeight="1" x14ac:dyDescent="0.3">
      <c r="A37" s="178" t="s">
        <v>233</v>
      </c>
      <c r="B37" s="892" t="s">
        <v>234</v>
      </c>
      <c r="C37" s="892"/>
      <c r="D37" s="892"/>
      <c r="E37" s="892"/>
      <c r="F37" s="892"/>
      <c r="G37" s="892"/>
      <c r="H37" s="892"/>
      <c r="I37" s="892"/>
      <c r="J37" s="892"/>
      <c r="K37" s="892"/>
      <c r="L37" s="892"/>
    </row>
    <row r="38" spans="1:12" x14ac:dyDescent="0.3">
      <c r="A38" s="178" t="s">
        <v>235</v>
      </c>
      <c r="B38" s="891" t="s">
        <v>454</v>
      </c>
      <c r="C38" s="891"/>
      <c r="D38" s="891"/>
      <c r="E38" s="891"/>
      <c r="F38" s="891"/>
      <c r="G38" s="891"/>
      <c r="H38" s="891"/>
      <c r="I38" s="891"/>
      <c r="J38" s="891"/>
      <c r="K38" s="891"/>
      <c r="L38" s="891"/>
    </row>
    <row r="39" spans="1:12" x14ac:dyDescent="0.3">
      <c r="A39" s="156" t="s">
        <v>236</v>
      </c>
      <c r="B39" s="891" t="s">
        <v>237</v>
      </c>
      <c r="C39" s="891"/>
      <c r="D39" s="891"/>
      <c r="E39" s="891"/>
      <c r="F39" s="891"/>
      <c r="G39" s="891"/>
      <c r="H39" s="891"/>
      <c r="I39" s="891"/>
      <c r="J39" s="891"/>
      <c r="K39" s="891"/>
      <c r="L39" s="891"/>
    </row>
    <row r="40" spans="1:12" ht="30" customHeight="1" x14ac:dyDescent="0.3">
      <c r="A40" s="156" t="s">
        <v>238</v>
      </c>
      <c r="B40" s="892" t="s">
        <v>239</v>
      </c>
      <c r="C40" s="892"/>
      <c r="D40" s="892"/>
      <c r="E40" s="892"/>
      <c r="F40" s="892"/>
      <c r="G40" s="892"/>
      <c r="H40" s="892"/>
      <c r="I40" s="892"/>
      <c r="J40" s="892"/>
      <c r="K40" s="892"/>
      <c r="L40" s="892"/>
    </row>
    <row r="41" spans="1:12" x14ac:dyDescent="0.3">
      <c r="A41" s="132"/>
      <c r="B41" s="133"/>
      <c r="C41" s="133"/>
      <c r="D41" s="133"/>
      <c r="E41" s="133"/>
      <c r="F41" s="133"/>
      <c r="G41" s="133"/>
      <c r="H41" s="133"/>
      <c r="I41" s="133"/>
      <c r="J41" s="133"/>
      <c r="K41" s="133"/>
      <c r="L41" s="133"/>
    </row>
    <row r="42" spans="1:12" x14ac:dyDescent="0.3">
      <c r="A42" s="179" t="s">
        <v>190</v>
      </c>
      <c r="B42" s="891" t="s">
        <v>445</v>
      </c>
      <c r="C42" s="891"/>
      <c r="D42" s="891"/>
      <c r="E42" s="891"/>
      <c r="F42" s="891"/>
      <c r="G42" s="891"/>
      <c r="H42" s="891"/>
      <c r="I42" s="891"/>
      <c r="J42" s="891"/>
      <c r="K42" s="891"/>
      <c r="L42" s="891"/>
    </row>
    <row r="43" spans="1:12" hidden="1" x14ac:dyDescent="0.3">
      <c r="A43" s="180" t="s">
        <v>133</v>
      </c>
      <c r="B43" s="181" t="s">
        <v>216</v>
      </c>
      <c r="C43" s="133"/>
      <c r="D43" s="133"/>
      <c r="E43" s="133"/>
      <c r="F43" s="133"/>
      <c r="G43" s="133"/>
      <c r="H43" s="133"/>
      <c r="I43" s="133"/>
      <c r="J43" s="133"/>
      <c r="K43" s="133"/>
      <c r="L43" s="133"/>
    </row>
    <row r="44" spans="1:12" ht="39.75" hidden="1" customHeight="1" x14ac:dyDescent="0.3">
      <c r="A44" s="180" t="s">
        <v>218</v>
      </c>
      <c r="B44" s="892" t="s">
        <v>241</v>
      </c>
      <c r="C44" s="892"/>
      <c r="D44" s="892"/>
      <c r="E44" s="892"/>
      <c r="F44" s="892"/>
      <c r="G44" s="892"/>
      <c r="H44" s="892"/>
      <c r="I44" s="892"/>
      <c r="J44" s="892"/>
      <c r="K44" s="892"/>
      <c r="L44" s="892"/>
    </row>
    <row r="45" spans="1:12" x14ac:dyDescent="0.3">
      <c r="A45" s="180"/>
      <c r="B45" s="891" t="s">
        <v>158</v>
      </c>
      <c r="C45" s="891"/>
      <c r="D45" s="891"/>
      <c r="E45" s="891"/>
      <c r="F45" s="891"/>
      <c r="G45" s="891"/>
      <c r="H45" s="891"/>
      <c r="I45" s="891"/>
      <c r="J45" s="891"/>
      <c r="K45" s="891"/>
      <c r="L45" s="891"/>
    </row>
    <row r="46" spans="1:12" ht="100.5" customHeight="1" x14ac:dyDescent="0.3">
      <c r="A46" s="893" t="s">
        <v>476</v>
      </c>
      <c r="B46" s="894"/>
      <c r="C46" s="894"/>
      <c r="D46" s="894"/>
      <c r="E46" s="894"/>
      <c r="F46" s="894"/>
      <c r="G46" s="894"/>
      <c r="H46" s="894"/>
      <c r="I46" s="894"/>
      <c r="J46" s="894"/>
      <c r="K46" s="894"/>
      <c r="L46" s="894"/>
    </row>
  </sheetData>
  <sheetProtection algorithmName="SHA-512" hashValue="IWur8PvkKQlZ6C7upxQ7sylNLm2UWkD0y22hfDVhQowJRwppxTariVyx6W2QoCN+9bW3v3BSuuWuwldug3/x/Q==" saltValue="IHvRv94UvUrvjpp/mJz2nQ==" spinCount="100000" sheet="1" objects="1" scenarios="1"/>
  <mergeCells count="24">
    <mergeCell ref="M30:N30"/>
    <mergeCell ref="B34:L34"/>
    <mergeCell ref="C5:C6"/>
    <mergeCell ref="C3:I4"/>
    <mergeCell ref="J3:L4"/>
    <mergeCell ref="B32:L32"/>
    <mergeCell ref="B33:L33"/>
    <mergeCell ref="B29:L29"/>
    <mergeCell ref="A5:A7"/>
    <mergeCell ref="B5:B7"/>
    <mergeCell ref="B28:L28"/>
    <mergeCell ref="B31:L31"/>
    <mergeCell ref="B30:L30"/>
    <mergeCell ref="G5:G6"/>
    <mergeCell ref="B42:L42"/>
    <mergeCell ref="B44:L44"/>
    <mergeCell ref="B45:L45"/>
    <mergeCell ref="A46:L46"/>
    <mergeCell ref="B35:L35"/>
    <mergeCell ref="B36:L36"/>
    <mergeCell ref="B37:L37"/>
    <mergeCell ref="B38:L38"/>
    <mergeCell ref="B39:L39"/>
    <mergeCell ref="B40:L40"/>
  </mergeCells>
  <hyperlinks>
    <hyperlink ref="B27" location="AMAZONAS!A46" display="Ver Nota Informativa" xr:uid="{00000000-0004-0000-0800-000000000000}"/>
  </hyperlinks>
  <pageMargins left="0.7" right="0.7" top="0.75" bottom="0.75" header="0.3" footer="0.3"/>
  <pageSetup orientation="portrait" r:id="rId1"/>
  <ignoredErrors>
    <ignoredError sqref="L10:L12 H12 A30:A31 A42:A44 E12 J10:J12 C12" numberStoredAsText="1"/>
    <ignoredError sqref="H13:I13 L13:L14 L16:L23 E13:E14 E16:E23 H16:J23 H14:J14 C17:C2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2022-09-28T16:48:22Z</dcterms:modified>
</cp:coreProperties>
</file>