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960" windowWidth="11340" windowHeight="5835" firstSheet="3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3">#REF!</definedName>
    <definedName name="\A" localSheetId="7">#REF!</definedName>
    <definedName name="\A" localSheetId="11">#REF!</definedName>
    <definedName name="\A" localSheetId="0">#REF!</definedName>
    <definedName name="\A" localSheetId="6">#REF!</definedName>
    <definedName name="\A" localSheetId="5">#REF!</definedName>
    <definedName name="\A" localSheetId="2">#REF!</definedName>
    <definedName name="\A" localSheetId="4">#REF!</definedName>
    <definedName name="\A" localSheetId="10">#REF!</definedName>
    <definedName name="\A" localSheetId="9">#REF!</definedName>
    <definedName name="\A" localSheetId="8">#REF!</definedName>
    <definedName name="\A">#REF!</definedName>
    <definedName name="\L" localSheetId="3">#REF!</definedName>
    <definedName name="\L" localSheetId="7">#REF!</definedName>
    <definedName name="\L" localSheetId="11">#REF!</definedName>
    <definedName name="\L" localSheetId="0">#REF!</definedName>
    <definedName name="\L" localSheetId="6">#REF!</definedName>
    <definedName name="\L" localSheetId="5">#REF!</definedName>
    <definedName name="\L" localSheetId="2">#REF!</definedName>
    <definedName name="\L" localSheetId="4">#REF!</definedName>
    <definedName name="\L" localSheetId="10">#REF!</definedName>
    <definedName name="\L" localSheetId="9">#REF!</definedName>
    <definedName name="\L" localSheetId="8">#REF!</definedName>
    <definedName name="\L">#REF!</definedName>
    <definedName name="\P" localSheetId="3">#REF!</definedName>
    <definedName name="\P" localSheetId="7">#REF!</definedName>
    <definedName name="\P" localSheetId="11">#REF!</definedName>
    <definedName name="\P" localSheetId="0">#REF!</definedName>
    <definedName name="\P" localSheetId="6">#REF!</definedName>
    <definedName name="\P" localSheetId="5">#REF!</definedName>
    <definedName name="\P" localSheetId="2">#REF!</definedName>
    <definedName name="\P" localSheetId="4">#REF!</definedName>
    <definedName name="\P" localSheetId="10">#REF!</definedName>
    <definedName name="\P" localSheetId="9">#REF!</definedName>
    <definedName name="\P" localSheetId="8">#REF!</definedName>
    <definedName name="\P">#REF!</definedName>
    <definedName name="A_IMPRESIÓN_IM" localSheetId="3">#REF!</definedName>
    <definedName name="A_IMPRESIÓN_IM" localSheetId="7">#REF!</definedName>
    <definedName name="A_IMPRESIÓN_IM" localSheetId="11">#REF!</definedName>
    <definedName name="A_IMPRESIÓN_IM" localSheetId="0">#REF!</definedName>
    <definedName name="A_IMPRESIÓN_IM" localSheetId="6">#REF!</definedName>
    <definedName name="A_IMPRESIÓN_IM" localSheetId="5">#REF!</definedName>
    <definedName name="A_IMPRESIÓN_IM" localSheetId="2">#REF!</definedName>
    <definedName name="A_IMPRESIÓN_IM" localSheetId="4">#REF!</definedName>
    <definedName name="A_IMPRESIÓN_IM" localSheetId="10">#REF!</definedName>
    <definedName name="A_IMPRESIÓN_IM" localSheetId="9">#REF!</definedName>
    <definedName name="A_IMPRESIÓN_IM" localSheetId="8">#REF!</definedName>
    <definedName name="A_IMPRESIÓN_IM">#REF!</definedName>
    <definedName name="ADI" localSheetId="3">#REF!</definedName>
    <definedName name="ADI" localSheetId="7">#REF!</definedName>
    <definedName name="ADI" localSheetId="11">#REF!</definedName>
    <definedName name="ADI" localSheetId="0">#REF!</definedName>
    <definedName name="ADI" localSheetId="6">#REF!</definedName>
    <definedName name="ADI" localSheetId="5">#REF!</definedName>
    <definedName name="ADI" localSheetId="2">#REF!</definedName>
    <definedName name="ADI" localSheetId="4">#REF!</definedName>
    <definedName name="ADI" localSheetId="10">#REF!</definedName>
    <definedName name="ADI" localSheetId="9">#REF!</definedName>
    <definedName name="ADI" localSheetId="8">#REF!</definedName>
    <definedName name="ADI">#REF!</definedName>
    <definedName name="_xlnm.Print_Area" localSheetId="3">'ABRIL'!$A$1:$L$25</definedName>
    <definedName name="_xlnm.Print_Area" localSheetId="7">'AGOSTO'!$A$1:$L$25</definedName>
    <definedName name="_xlnm.Print_Area" localSheetId="11">'DICIEMBRE'!$A$1:$L$25</definedName>
    <definedName name="_xlnm.Print_Area" localSheetId="6">'JULIO'!$A$1:$L$25</definedName>
    <definedName name="_xlnm.Print_Area" localSheetId="5">'JUNIO'!$A$1:$L$25</definedName>
    <definedName name="_xlnm.Print_Area" localSheetId="2">'MARZO'!$A$1:$L$25</definedName>
    <definedName name="_xlnm.Print_Area" localSheetId="4">'MAYO'!$A$1:$L$25</definedName>
    <definedName name="_xlnm.Print_Area" localSheetId="10">'NOVIEMBRE'!$A$1:$L$25</definedName>
    <definedName name="_xlnm.Print_Area" localSheetId="9">'OCTUBRE'!$A$1:$L$25</definedName>
    <definedName name="_xlnm.Print_Area" localSheetId="8">'SEPTIEMBRE'!$A$1:$L$25</definedName>
    <definedName name="DAT" localSheetId="3">#REF!</definedName>
    <definedName name="DAT" localSheetId="7">#REF!</definedName>
    <definedName name="DAT" localSheetId="11">#REF!</definedName>
    <definedName name="DAT" localSheetId="0">#REF!</definedName>
    <definedName name="DAT" localSheetId="6">#REF!</definedName>
    <definedName name="DAT" localSheetId="5">#REF!</definedName>
    <definedName name="DAT" localSheetId="2">#REF!</definedName>
    <definedName name="DAT" localSheetId="4">#REF!</definedName>
    <definedName name="DAT" localSheetId="10">#REF!</definedName>
    <definedName name="DAT" localSheetId="9">#REF!</definedName>
    <definedName name="DAT" localSheetId="8">#REF!</definedName>
    <definedName name="DAT">#REF!</definedName>
    <definedName name="ERR" localSheetId="11">'[12]TARIF2002'!#REF!</definedName>
    <definedName name="ERR" localSheetId="10">'[12]TARIF2002'!#REF!</definedName>
    <definedName name="ERR" localSheetId="9">'[12]TARIF2002'!#REF!</definedName>
    <definedName name="ERR">'[1]TARIF2002'!#REF!</definedName>
    <definedName name="ERROR" localSheetId="11">#REF!</definedName>
    <definedName name="ERROR" localSheetId="10">#REF!</definedName>
    <definedName name="ERROR" localSheetId="9">#REF!</definedName>
    <definedName name="ERROR">#REF!</definedName>
    <definedName name="ERROR1" localSheetId="11">#REF!</definedName>
    <definedName name="ERROR1" localSheetId="10">#REF!</definedName>
    <definedName name="ERROR1" localSheetId="9">#REF!</definedName>
    <definedName name="ERROR1">#REF!</definedName>
    <definedName name="ERROR2" localSheetId="11">#REF!</definedName>
    <definedName name="ERROR2" localSheetId="10">#REF!</definedName>
    <definedName name="ERROR2" localSheetId="9">#REF!</definedName>
    <definedName name="ERROR2">#REF!</definedName>
    <definedName name="ERROR3" localSheetId="11">'[12]TARIF2002'!#REF!</definedName>
    <definedName name="ERROR3" localSheetId="10">'[12]TARIF2002'!#REF!</definedName>
    <definedName name="ERROR3" localSheetId="9">'[12]TARIF2002'!#REF!</definedName>
    <definedName name="ERROR3">'[1]TARIF2002'!#REF!</definedName>
    <definedName name="ERROR5" localSheetId="11">'[12]TARIF2002'!#REF!</definedName>
    <definedName name="ERROR5" localSheetId="10">'[12]TARIF2002'!#REF!</definedName>
    <definedName name="ERROR5" localSheetId="9">'[12]TARIF2002'!#REF!</definedName>
    <definedName name="ERROR5">'[1]TARIF2002'!#REF!</definedName>
    <definedName name="j" localSheetId="11">#REF!</definedName>
    <definedName name="j" localSheetId="10">#REF!</definedName>
    <definedName name="j" localSheetId="9">#REF!</definedName>
    <definedName name="j">#REF!</definedName>
    <definedName name="MATRIZRICS" localSheetId="11">'[11]RICS NUEVA HOJA DIARIA'!$A$1:$AB$42</definedName>
    <definedName name="MATRIZRICS" localSheetId="10">'[11]RICS NUEVA HOJA DIARIA'!$A$1:$AB$42</definedName>
    <definedName name="MATRIZRICS" localSheetId="9">'[11]RICS NUEVA HOJA DIARIA'!$A$1:$AB$42</definedName>
    <definedName name="MATRIZRICS">'[6]RICS NUEVA HOJA DIARIA'!$A$1:$AB$42</definedName>
    <definedName name="MES" localSheetId="3">#REF!</definedName>
    <definedName name="MES" localSheetId="7">#REF!</definedName>
    <definedName name="MES" localSheetId="11">#REF!</definedName>
    <definedName name="MES" localSheetId="0">#REF!</definedName>
    <definedName name="MES" localSheetId="6">#REF!</definedName>
    <definedName name="MES" localSheetId="5">#REF!</definedName>
    <definedName name="MES" localSheetId="2">#REF!</definedName>
    <definedName name="MES" localSheetId="4">#REF!</definedName>
    <definedName name="MES" localSheetId="10">#REF!</definedName>
    <definedName name="MES" localSheetId="9">#REF!</definedName>
    <definedName name="MES" localSheetId="8">#REF!</definedName>
    <definedName name="MES">#REF!</definedName>
    <definedName name="Q" localSheetId="11">'[8]TARIF2002'!#REF!</definedName>
    <definedName name="Q" localSheetId="10">'[8]TARIF2002'!#REF!</definedName>
    <definedName name="Q" localSheetId="9">'[8]TARIF2002'!#REF!</definedName>
    <definedName name="Q">'[3]TARIF2002'!#REF!</definedName>
    <definedName name="QE" localSheetId="3">'[5]TARIF2002'!#REF!</definedName>
    <definedName name="QE" localSheetId="7">'[5]TARIF2002'!#REF!</definedName>
    <definedName name="QE" localSheetId="11">'[10]TARIF2002'!#REF!</definedName>
    <definedName name="QE" localSheetId="0">'[5]TARIF2002'!#REF!</definedName>
    <definedName name="QE" localSheetId="6">'[5]TARIF2002'!#REF!</definedName>
    <definedName name="QE" localSheetId="5">'[5]TARIF2002'!#REF!</definedName>
    <definedName name="QE" localSheetId="2">'[5]TARIF2002'!#REF!</definedName>
    <definedName name="QE" localSheetId="4">'[5]TARIF2002'!#REF!</definedName>
    <definedName name="QE" localSheetId="10">'[10]TARIF2002'!#REF!</definedName>
    <definedName name="QE" localSheetId="9">'[10]TARIF2002'!#REF!</definedName>
    <definedName name="QE" localSheetId="8">'[5]TARIF2002'!#REF!</definedName>
    <definedName name="QE">'[1]TARIF2002'!#REF!</definedName>
    <definedName name="QE_TE" localSheetId="3">'[5]TARIF2002'!#REF!</definedName>
    <definedName name="QE_TE" localSheetId="7">'[5]TARIF2002'!#REF!</definedName>
    <definedName name="QE_TE" localSheetId="11">'[10]TARIF2002'!#REF!</definedName>
    <definedName name="QE_TE" localSheetId="0">'[5]TARIF2002'!#REF!</definedName>
    <definedName name="QE_TE" localSheetId="6">'[5]TARIF2002'!#REF!</definedName>
    <definedName name="QE_TE" localSheetId="5">'[5]TARIF2002'!#REF!</definedName>
    <definedName name="QE_TE" localSheetId="2">'[5]TARIF2002'!#REF!</definedName>
    <definedName name="QE_TE" localSheetId="4">'[5]TARIF2002'!#REF!</definedName>
    <definedName name="QE_TE" localSheetId="10">'[10]TARIF2002'!#REF!</definedName>
    <definedName name="QE_TE" localSheetId="9">'[10]TARIF2002'!#REF!</definedName>
    <definedName name="QE_TE" localSheetId="8">'[5]TARIF2002'!#REF!</definedName>
    <definedName name="QE_TE">'[1]TARIF2002'!#REF!</definedName>
    <definedName name="QI" localSheetId="3">'[5]TARIF2002'!#REF!</definedName>
    <definedName name="QI" localSheetId="7">'[5]TARIF2002'!#REF!</definedName>
    <definedName name="QI" localSheetId="11">'[10]TARIF2002'!#REF!</definedName>
    <definedName name="QI" localSheetId="0">'[5]TARIF2002'!#REF!</definedName>
    <definedName name="QI" localSheetId="6">'[5]TARIF2002'!#REF!</definedName>
    <definedName name="QI" localSheetId="5">'[5]TARIF2002'!#REF!</definedName>
    <definedName name="QI" localSheetId="2">'[5]TARIF2002'!#REF!</definedName>
    <definedName name="QI" localSheetId="4">'[5]TARIF2002'!#REF!</definedName>
    <definedName name="QI" localSheetId="10">'[10]TARIF2002'!#REF!</definedName>
    <definedName name="QI" localSheetId="9">'[10]TARIF2002'!#REF!</definedName>
    <definedName name="QI" localSheetId="8">'[5]TARIF2002'!#REF!</definedName>
    <definedName name="QI">'[1]TARIF2002'!#REF!</definedName>
    <definedName name="QI_TI" localSheetId="3">'[5]TARIF2002'!#REF!</definedName>
    <definedName name="QI_TI" localSheetId="7">'[5]TARIF2002'!#REF!</definedName>
    <definedName name="QI_TI" localSheetId="11">'[10]TARIF2002'!#REF!</definedName>
    <definedName name="QI_TI" localSheetId="0">'[5]TARIF2002'!#REF!</definedName>
    <definedName name="QI_TI" localSheetId="6">'[5]TARIF2002'!#REF!</definedName>
    <definedName name="QI_TI" localSheetId="5">'[5]TARIF2002'!#REF!</definedName>
    <definedName name="QI_TI" localSheetId="2">'[5]TARIF2002'!#REF!</definedName>
    <definedName name="QI_TI" localSheetId="4">'[5]TARIF2002'!#REF!</definedName>
    <definedName name="QI_TI" localSheetId="10">'[10]TARIF2002'!#REF!</definedName>
    <definedName name="QI_TI" localSheetId="9">'[10]TARIF2002'!#REF!</definedName>
    <definedName name="QI_TI" localSheetId="8">'[5]TARIF2002'!#REF!</definedName>
    <definedName name="QI_TI">'[1]TARIF2002'!#REF!</definedName>
    <definedName name="QN" localSheetId="3">'[5]TARIF2002'!#REF!</definedName>
    <definedName name="QN" localSheetId="7">'[5]TARIF2002'!#REF!</definedName>
    <definedName name="QN" localSheetId="11">'[10]TARIF2002'!#REF!</definedName>
    <definedName name="QN" localSheetId="0">'[5]TARIF2002'!#REF!</definedName>
    <definedName name="QN" localSheetId="6">'[5]TARIF2002'!#REF!</definedName>
    <definedName name="QN" localSheetId="5">'[5]TARIF2002'!#REF!</definedName>
    <definedName name="QN" localSheetId="2">'[5]TARIF2002'!#REF!</definedName>
    <definedName name="QN" localSheetId="4">'[5]TARIF2002'!#REF!</definedName>
    <definedName name="QN" localSheetId="10">'[10]TARIF2002'!#REF!</definedName>
    <definedName name="QN" localSheetId="9">'[10]TARIF2002'!#REF!</definedName>
    <definedName name="QN" localSheetId="8">'[5]TARIF2002'!#REF!</definedName>
    <definedName name="QN">'[1]TARIF2002'!#REF!</definedName>
    <definedName name="QN_QI" localSheetId="3">'[5]TARIF2002'!#REF!</definedName>
    <definedName name="QN_QI" localSheetId="7">'[5]TARIF2002'!#REF!</definedName>
    <definedName name="QN_QI" localSheetId="11">'[10]TARIF2002'!#REF!</definedName>
    <definedName name="QN_QI" localSheetId="0">'[5]TARIF2002'!#REF!</definedName>
    <definedName name="QN_QI" localSheetId="6">'[5]TARIF2002'!#REF!</definedName>
    <definedName name="QN_QI" localSheetId="5">'[5]TARIF2002'!#REF!</definedName>
    <definedName name="QN_QI" localSheetId="2">'[5]TARIF2002'!#REF!</definedName>
    <definedName name="QN_QI" localSheetId="4">'[5]TARIF2002'!#REF!</definedName>
    <definedName name="QN_QI" localSheetId="10">'[10]TARIF2002'!#REF!</definedName>
    <definedName name="QN_QI" localSheetId="9">'[10]TARIF2002'!#REF!</definedName>
    <definedName name="QN_QI" localSheetId="8">'[5]TARIF2002'!#REF!</definedName>
    <definedName name="QN_QI">'[1]TARIF2002'!#REF!</definedName>
    <definedName name="QNS" localSheetId="11">'[8]TARIF2002'!#REF!</definedName>
    <definedName name="QNS" localSheetId="10">'[8]TARIF2002'!#REF!</definedName>
    <definedName name="QNS" localSheetId="9">'[8]TARIF2002'!#REF!</definedName>
    <definedName name="QNS">'[3]TARIF2002'!#REF!</definedName>
    <definedName name="REG" localSheetId="3">#REF!</definedName>
    <definedName name="REG" localSheetId="7">#REF!</definedName>
    <definedName name="REG" localSheetId="11">#REF!</definedName>
    <definedName name="REG" localSheetId="0">#REF!</definedName>
    <definedName name="REG" localSheetId="6">#REF!</definedName>
    <definedName name="REG" localSheetId="5">#REF!</definedName>
    <definedName name="REG" localSheetId="2">#REF!</definedName>
    <definedName name="REG" localSheetId="4">#REF!</definedName>
    <definedName name="REG" localSheetId="10">#REF!</definedName>
    <definedName name="REG" localSheetId="9">#REF!</definedName>
    <definedName name="REG" localSheetId="8">#REF!</definedName>
    <definedName name="REG">#REF!</definedName>
    <definedName name="REGULAR" localSheetId="3">#REF!</definedName>
    <definedName name="REGULAR" localSheetId="7">#REF!</definedName>
    <definedName name="REGULAR" localSheetId="11">#REF!</definedName>
    <definedName name="REGULAR" localSheetId="0">#REF!</definedName>
    <definedName name="REGULAR" localSheetId="6">#REF!</definedName>
    <definedName name="REGULAR" localSheetId="5">#REF!</definedName>
    <definedName name="REGULAR" localSheetId="2">#REF!</definedName>
    <definedName name="REGULAR" localSheetId="4">#REF!</definedName>
    <definedName name="REGULAR" localSheetId="10">#REF!</definedName>
    <definedName name="REGULAR" localSheetId="9">#REF!</definedName>
    <definedName name="REGULAR" localSheetId="8">#REF!</definedName>
    <definedName name="REGULAR">#REF!</definedName>
    <definedName name="SOL" localSheetId="3">#REF!</definedName>
    <definedName name="SOL" localSheetId="7">#REF!</definedName>
    <definedName name="SOL" localSheetId="11">#REF!</definedName>
    <definedName name="SOL" localSheetId="0">#REF!</definedName>
    <definedName name="SOL" localSheetId="6">#REF!</definedName>
    <definedName name="SOL" localSheetId="5">#REF!</definedName>
    <definedName name="SOL" localSheetId="2">#REF!</definedName>
    <definedName name="SOL" localSheetId="4">#REF!</definedName>
    <definedName name="SOL" localSheetId="10">#REF!</definedName>
    <definedName name="SOL" localSheetId="9">#REF!</definedName>
    <definedName name="SOL" localSheetId="8">#REF!</definedName>
    <definedName name="SOL">#REF!</definedName>
    <definedName name="TABLE" localSheetId="3">'ABRIL'!$A$2:$L$20</definedName>
    <definedName name="TABLE" localSheetId="7">'AGOSTO'!$A$2:$L$20</definedName>
    <definedName name="TABLE" localSheetId="11">'DICIEMBRE'!$A$2:$L$20</definedName>
    <definedName name="TABLE" localSheetId="0">'ENERO'!#REF!</definedName>
    <definedName name="TABLE" localSheetId="6">'JULIO'!$A$2:$L$20</definedName>
    <definedName name="TABLE" localSheetId="5">'JUNIO'!$A$2:$L$20</definedName>
    <definedName name="TABLE" localSheetId="2">'MARZO'!$A$2:$L$20</definedName>
    <definedName name="TABLE" localSheetId="4">'MAYO'!$A$2:$L$20</definedName>
    <definedName name="TABLE" localSheetId="10">'NOVIEMBRE'!$A$2:$L$20</definedName>
    <definedName name="TABLE" localSheetId="9">'OCTUBRE'!$A$2:$L$20</definedName>
    <definedName name="TABLE" localSheetId="8">'SEPTIEMBRE'!$A$2:$L$20</definedName>
    <definedName name="TE" localSheetId="3">'[5]TARIF2002'!#REF!</definedName>
    <definedName name="TE" localSheetId="7">'[5]TARIF2002'!#REF!</definedName>
    <definedName name="TE" localSheetId="11">'[10]TARIF2002'!#REF!</definedName>
    <definedName name="TE" localSheetId="0">'[5]TARIF2002'!#REF!</definedName>
    <definedName name="TE" localSheetId="6">'[5]TARIF2002'!#REF!</definedName>
    <definedName name="TE" localSheetId="5">'[5]TARIF2002'!#REF!</definedName>
    <definedName name="TE" localSheetId="2">'[5]TARIF2002'!#REF!</definedName>
    <definedName name="TE" localSheetId="4">'[5]TARIF2002'!#REF!</definedName>
    <definedName name="TE" localSheetId="10">'[10]TARIF2002'!#REF!</definedName>
    <definedName name="TE" localSheetId="9">'[10]TARIF2002'!#REF!</definedName>
    <definedName name="TE" localSheetId="8">'[5]TARIF2002'!#REF!</definedName>
    <definedName name="TE">'[1]TARIF2002'!#REF!</definedName>
    <definedName name="TI" localSheetId="3">'[5]TARIF2002'!#REF!</definedName>
    <definedName name="TI" localSheetId="7">'[5]TARIF2002'!#REF!</definedName>
    <definedName name="TI" localSheetId="11">'[10]TARIF2002'!#REF!</definedName>
    <definedName name="TI" localSheetId="0">'[5]TARIF2002'!#REF!</definedName>
    <definedName name="TI" localSheetId="6">'[5]TARIF2002'!#REF!</definedName>
    <definedName name="TI" localSheetId="5">'[5]TARIF2002'!#REF!</definedName>
    <definedName name="TI" localSheetId="2">'[5]TARIF2002'!#REF!</definedName>
    <definedName name="TI" localSheetId="4">'[5]TARIF2002'!#REF!</definedName>
    <definedName name="TI" localSheetId="10">'[10]TARIF2002'!#REF!</definedName>
    <definedName name="TI" localSheetId="9">'[10]TARIF2002'!#REF!</definedName>
    <definedName name="TI" localSheetId="8">'[5]TARIF2002'!#REF!</definedName>
    <definedName name="TI">'[1]TARIF2002'!#REF!</definedName>
    <definedName name="TITU" localSheetId="3">#REF!</definedName>
    <definedName name="TITU" localSheetId="7">#REF!</definedName>
    <definedName name="TITU" localSheetId="11">#REF!</definedName>
    <definedName name="TITU" localSheetId="0">#REF!</definedName>
    <definedName name="TITU" localSheetId="6">#REF!</definedName>
    <definedName name="TITU" localSheetId="5">#REF!</definedName>
    <definedName name="TITU" localSheetId="2">#REF!</definedName>
    <definedName name="TITU" localSheetId="4">#REF!</definedName>
    <definedName name="TITU" localSheetId="10">#REF!</definedName>
    <definedName name="TITU" localSheetId="9">#REF!</definedName>
    <definedName name="TITU" localSheetId="8">#REF!</definedName>
    <definedName name="TITU">#REF!</definedName>
    <definedName name="TOT" localSheetId="3">#REF!</definedName>
    <definedName name="TOT" localSheetId="7">#REF!</definedName>
    <definedName name="TOT" localSheetId="11">#REF!</definedName>
    <definedName name="TOT" localSheetId="0">#REF!</definedName>
    <definedName name="TOT" localSheetId="6">#REF!</definedName>
    <definedName name="TOT" localSheetId="5">#REF!</definedName>
    <definedName name="TOT" localSheetId="2">#REF!</definedName>
    <definedName name="TOT" localSheetId="4">#REF!</definedName>
    <definedName name="TOT" localSheetId="10">#REF!</definedName>
    <definedName name="TOT" localSheetId="9">#REF!</definedName>
    <definedName name="TOT" localSheetId="8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<sst xmlns="http://schemas.openxmlformats.org/spreadsheetml/2006/main" count="1285" uniqueCount="54">
  <si>
    <t>($/Galón)</t>
  </si>
  <si>
    <t>ITEM</t>
  </si>
  <si>
    <t>A.C.P.M.</t>
  </si>
  <si>
    <t xml:space="preserve">A.C.E.M </t>
  </si>
  <si>
    <t>Queroseno</t>
  </si>
  <si>
    <t>Avigás</t>
  </si>
  <si>
    <t>GLP</t>
  </si>
  <si>
    <t> </t>
  </si>
  <si>
    <t xml:space="preserve">CONTADO </t>
  </si>
  <si>
    <t>Ingreso al productor</t>
  </si>
  <si>
    <t>Transporte y/o manejo</t>
  </si>
  <si>
    <t>(*)</t>
  </si>
  <si>
    <t>Margen de seguridad</t>
  </si>
  <si>
    <t>Impuesto global</t>
  </si>
  <si>
    <t>Impuesto a las ventas</t>
  </si>
  <si>
    <t>Precio de venta al distr. Mayorista</t>
  </si>
  <si>
    <t>(**)</t>
  </si>
  <si>
    <t>Margen mayorista</t>
  </si>
  <si>
    <t>Precio de venta en planta de abasto mayorista</t>
  </si>
  <si>
    <t>Margen minorista</t>
  </si>
  <si>
    <t>(***)</t>
  </si>
  <si>
    <t>Pérdida evaporación</t>
  </si>
  <si>
    <t>Transporte planta de abasto a Est. de servicio</t>
  </si>
  <si>
    <t>Sobretasa</t>
  </si>
  <si>
    <t>Precio de venta al público</t>
  </si>
  <si>
    <t>(**) Se calcularán en cada sitio de entrega habilitado dependiendo de la tarifa por poliductos que le corresponda.</t>
  </si>
  <si>
    <t>Gasolina Extra</t>
  </si>
  <si>
    <t>30 DÍAS</t>
  </si>
  <si>
    <t>5 DIAS</t>
  </si>
  <si>
    <t>(****)</t>
  </si>
  <si>
    <t xml:space="preserve">(*) Corresponde al costo máximo de transporte a través del sistema de poliductos definido en la Resolución 18 0088 del 30 de ENERO de 2003, modificada por la Resolución 18 1701 del 22 de Diciembre de 2003. </t>
  </si>
  <si>
    <t>(***) De conformidad con lo señalado en el artículo 1 y 2 de la Resolución 18 0479 del 28 de Abril de 2004, según corresponda</t>
  </si>
  <si>
    <t>(****) De conformidad con lo establecido en la Resolución 8 2439 de 1998, estos ítems serán fijados libremente por cada distribuidor Minorista.</t>
  </si>
  <si>
    <t>Gasolina Corriente</t>
  </si>
  <si>
    <t>Bencina Industrial</t>
  </si>
  <si>
    <t>Tarifa de Marcación</t>
  </si>
  <si>
    <t xml:space="preserve">Combustóleo                   GCB - GRC         </t>
  </si>
  <si>
    <t xml:space="preserve"> Estos items se publican como una referencia y se calculan de acuerdo con lo dispuesto en la Resolución 18 1549 del 29 de Noviembre de 2004</t>
  </si>
  <si>
    <t>ESTRUCTURAS DE PRECIOS DE COMBUSTIBLES LIQUIDOS VIGENTES A PARTIR DEL 1 DE ENERO DE 2005.</t>
  </si>
  <si>
    <t>Crudo Castilla</t>
  </si>
  <si>
    <t>ESTRUCTURAS DE PRECIOS DE COMBUSTIBLES LIQUIDOS VIGENTES A PARTIR DEL 1 DE FEBRERO DE 2005.</t>
  </si>
  <si>
    <t>ESTRUCTURAS DE PRECIOS DE COMBUSTIBLES LIQUIDOS VIGENTES A PARTIR DEL 1 DE MARZO DE 2005.</t>
  </si>
  <si>
    <t xml:space="preserve"> Estos ítems se publican como una referencia y se calculan de acuerdo con lo dispuesto en la Resolución 18 1549 del 29 de Noviembre de 2004</t>
  </si>
  <si>
    <t>ESTRUCTURAS DE PRECIOS DE COMBUSTIBLES LIQUIDOS VIGENTES A PARTIR DEL 1 DE ABRIL DE 2005.</t>
  </si>
  <si>
    <t>ESTRUCTURAS DE PRECIOS DE COMBUSTIBLES LIQUIDOS VIGENTES A PARTIR DEL 1 DE MAYO DE 2005.</t>
  </si>
  <si>
    <t>ESTRUCTURAS DE PRECIOS DE COMBUSTIBLES LIQUIDOS VIGENTES A PARTIR DEL 1 DE JULIO DE 2005.</t>
  </si>
  <si>
    <t xml:space="preserve"> Estos ítems se publican como una referencia y se calculan de acuerdo con lo dispuesto en las Resoluciones 18 1549 del 29 de Noviembre de 2004 y 18 0822 del 29 de Junio de 2005</t>
  </si>
  <si>
    <t>ESTRUCTURAS DE PRECIOS DE COMBUSTIBLES LIQUIDOS VIGENTES A PARTIR DEL 1 DE JUNIO DE 2005.</t>
  </si>
  <si>
    <t>ESTRUCTURAS DE PRECIOS DE COMBUSTIBLES LIQUIDOS VIGENTES A PARTIR DEL 1 DE SEPTIEMBRE DE 2005.</t>
  </si>
  <si>
    <t>ESTRUCTURAS DE PRECIOS DE COMBUSTIBLES LIQUIDOS VIGENTES A PARTIR DEL 1 DE AGOSTO DE 2005.</t>
  </si>
  <si>
    <t>ESTRUCTURAS DE PRECIOS DE COMBUSTIBLES LIQUIDOS VIGENTES A PARTIR DEL 1 DE OCTUBRE DE 2005.</t>
  </si>
  <si>
    <t>TRM</t>
  </si>
  <si>
    <t>ESTRUCTURAS DE PRECIOS DE COMBUSTIBLES LIQUIDOS VIGENTES A PARTIR DEL 1 DE NOVIEMBRE DE 2005.</t>
  </si>
  <si>
    <t>ESTRUCTURAS DE PRECIOS DE COMBUSTIBLES LIQUIDOS VIGENTES A PARTIR DEL 1 DE DICIEMBRE DE 2005.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</si>
</sst>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0000"/>
    <numFmt numFmtId="177" formatCode="General_)"/>
    <numFmt numFmtId="178" formatCode="0.0%"/>
    <numFmt numFmtId="179" formatCode="0.0000"/>
    <numFmt numFmtId="180" formatCode="#,##0.0000_);\(#,##0.0000\)"/>
    <numFmt numFmtId="181" formatCode="#,##0.0000"/>
    <numFmt numFmtId="182" formatCode="_-* #,##0.0000_-;\-* #,##0.0000_-;_-* &quot;-&quot;??_-;_-@_-"/>
    <numFmt numFmtId="183" formatCode="_-* #,##0.000\ _p_t_a_-;\-* #,##0.000\ _p_t_a_-;_-* &quot;-&quot;??\ _p_t_a_-;_-@_-"/>
    <numFmt numFmtId="184" formatCode="_-* #,##0.0000\ _p_t_a_-;\-* #,##0.0000\ _p_t_a_-;_-* &quot;-&quot;??\ _p_t_a_-;_-@_-"/>
    <numFmt numFmtId="185" formatCode="_-* #,##0.00000_-;\-* #,##0.00000_-;_-* &quot;-&quot;??_-;_-@_-"/>
    <numFmt numFmtId="186" formatCode="#,##0.000_);\(#,##0.000\)"/>
    <numFmt numFmtId="187" formatCode="#,##0.00_);\(#,##0.00\)"/>
  </numFmts>
  <fonts count="52">
    <font>
      <sz val="10"/>
      <name val="Arial"/>
      <family val="0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sz val="7"/>
      <name val="Small Fonts"/>
      <family val="0"/>
    </font>
    <font>
      <sz val="8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Times New Roman"/>
      <family val="1"/>
    </font>
    <font>
      <sz val="8"/>
      <name val="Arial"/>
      <family val="0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>
      <alignment/>
      <protection locked="0"/>
    </xf>
    <xf numFmtId="0" fontId="45" fillId="31" borderId="0" applyNumberFormat="0" applyBorder="0" applyAlignment="0" applyProtection="0"/>
    <xf numFmtId="37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177" fontId="14" fillId="0" borderId="0">
      <alignment horizontal="left"/>
      <protection/>
    </xf>
    <xf numFmtId="38" fontId="8" fillId="0" borderId="0">
      <alignment/>
      <protection/>
    </xf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3" fillId="0" borderId="9">
      <alignment/>
      <protection locked="0"/>
    </xf>
  </cellStyleXfs>
  <cellXfs count="85">
    <xf numFmtId="0" fontId="0" fillId="0" borderId="0" xfId="0" applyAlignment="1">
      <alignment/>
    </xf>
    <xf numFmtId="0" fontId="17" fillId="33" borderId="0" xfId="0" applyFont="1" applyFill="1" applyAlignment="1" applyProtection="1" quotePrefix="1">
      <alignment horizontal="left" vertical="center" wrapText="1"/>
      <protection hidden="1"/>
    </xf>
    <xf numFmtId="0" fontId="11" fillId="34" borderId="10" xfId="0" applyFont="1" applyFill="1" applyBorder="1" applyAlignment="1" applyProtection="1">
      <alignment horizontal="centerContinuous" wrapText="1"/>
      <protection hidden="1"/>
    </xf>
    <xf numFmtId="0" fontId="10" fillId="34" borderId="11" xfId="0" applyFont="1" applyFill="1" applyBorder="1" applyAlignment="1" applyProtection="1">
      <alignment horizontal="centerContinuous"/>
      <protection hidden="1"/>
    </xf>
    <xf numFmtId="0" fontId="10" fillId="34" borderId="12" xfId="0" applyFont="1" applyFill="1" applyBorder="1" applyAlignment="1" applyProtection="1">
      <alignment horizontal="centerContinuous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34" borderId="13" xfId="0" applyFont="1" applyFill="1" applyBorder="1" applyAlignment="1" applyProtection="1">
      <alignment horizontal="centerContinuous" wrapText="1"/>
      <protection hidden="1"/>
    </xf>
    <xf numFmtId="0" fontId="10" fillId="34" borderId="14" xfId="0" applyFont="1" applyFill="1" applyBorder="1" applyAlignment="1" applyProtection="1">
      <alignment horizontal="centerContinuous"/>
      <protection hidden="1"/>
    </xf>
    <xf numFmtId="0" fontId="10" fillId="34" borderId="15" xfId="0" applyFont="1" applyFill="1" applyBorder="1" applyAlignment="1" applyProtection="1">
      <alignment horizontal="centerContinuous"/>
      <protection hidden="1"/>
    </xf>
    <xf numFmtId="0" fontId="9" fillId="35" borderId="10" xfId="0" applyFont="1" applyFill="1" applyBorder="1" applyAlignment="1" applyProtection="1">
      <alignment horizontal="center" vertical="center" wrapText="1"/>
      <protection hidden="1"/>
    </xf>
    <xf numFmtId="0" fontId="9" fillId="35" borderId="11" xfId="0" applyFont="1" applyFill="1" applyBorder="1" applyAlignment="1" applyProtection="1" quotePrefix="1">
      <alignment horizontal="center" vertical="center" wrapText="1"/>
      <protection hidden="1"/>
    </xf>
    <xf numFmtId="0" fontId="9" fillId="35" borderId="11" xfId="0" applyFont="1" applyFill="1" applyBorder="1" applyAlignment="1" applyProtection="1">
      <alignment horizontal="center" vertical="center" wrapText="1"/>
      <protection hidden="1"/>
    </xf>
    <xf numFmtId="2" fontId="9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5" borderId="12" xfId="0" applyFont="1" applyFill="1" applyBorder="1" applyAlignment="1" applyProtection="1">
      <alignment horizontal="center" vertical="center" wrapText="1"/>
      <protection hidden="1"/>
    </xf>
    <xf numFmtId="0" fontId="10" fillId="35" borderId="16" xfId="0" applyFont="1" applyFill="1" applyBorder="1" applyAlignment="1" applyProtection="1">
      <alignment horizontal="center"/>
      <protection hidden="1"/>
    </xf>
    <xf numFmtId="15" fontId="10" fillId="35" borderId="17" xfId="0" applyNumberFormat="1" applyFont="1" applyFill="1" applyBorder="1" applyAlignment="1" applyProtection="1" quotePrefix="1">
      <alignment horizontal="center" wrapText="1"/>
      <protection hidden="1"/>
    </xf>
    <xf numFmtId="15" fontId="10" fillId="35" borderId="18" xfId="0" applyNumberFormat="1" applyFont="1" applyFill="1" applyBorder="1" applyAlignment="1" applyProtection="1" quotePrefix="1">
      <alignment horizontal="center" wrapText="1"/>
      <protection hidden="1"/>
    </xf>
    <xf numFmtId="0" fontId="10" fillId="35" borderId="17" xfId="0" applyFont="1" applyFill="1" applyBorder="1" applyAlignment="1" applyProtection="1">
      <alignment horizontal="center" wrapText="1"/>
      <protection hidden="1"/>
    </xf>
    <xf numFmtId="0" fontId="9" fillId="35" borderId="17" xfId="0" applyFont="1" applyFill="1" applyBorder="1" applyAlignment="1" applyProtection="1">
      <alignment horizontal="center" vertical="center" wrapText="1"/>
      <protection hidden="1"/>
    </xf>
    <xf numFmtId="0" fontId="10" fillId="35" borderId="17" xfId="0" applyFont="1" applyFill="1" applyBorder="1" applyAlignment="1" applyProtection="1">
      <alignment horizontal="center" vertical="center" wrapText="1"/>
      <protection hidden="1"/>
    </xf>
    <xf numFmtId="0" fontId="10" fillId="35" borderId="14" xfId="0" applyFont="1" applyFill="1" applyBorder="1" applyAlignment="1" applyProtection="1">
      <alignment horizontal="center" vertical="center" wrapText="1"/>
      <protection hidden="1"/>
    </xf>
    <xf numFmtId="15" fontId="10" fillId="35" borderId="14" xfId="0" applyNumberFormat="1" applyFont="1" applyFill="1" applyBorder="1" applyAlignment="1" applyProtection="1" quotePrefix="1">
      <alignment horizontal="center" vertical="center" wrapText="1"/>
      <protection hidden="1"/>
    </xf>
    <xf numFmtId="15" fontId="10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Border="1" applyAlignment="1" applyProtection="1">
      <alignment horizontal="left" vertical="center" wrapText="1"/>
      <protection hidden="1"/>
    </xf>
    <xf numFmtId="175" fontId="9" fillId="0" borderId="17" xfId="64" applyFont="1" applyFill="1" applyBorder="1" applyAlignment="1" applyProtection="1">
      <alignment vertical="center" wrapText="1"/>
      <protection hidden="1"/>
    </xf>
    <xf numFmtId="175" fontId="9" fillId="0" borderId="18" xfId="64" applyFont="1" applyFill="1" applyBorder="1" applyAlignment="1" applyProtection="1">
      <alignment vertical="center" wrapText="1"/>
      <protection hidden="1"/>
    </xf>
    <xf numFmtId="175" fontId="9" fillId="0" borderId="17" xfId="64" applyFont="1" applyFill="1" applyBorder="1" applyAlignment="1" applyProtection="1">
      <alignment horizontal="center" vertical="center" wrapText="1"/>
      <protection hidden="1"/>
    </xf>
    <xf numFmtId="175" fontId="9" fillId="33" borderId="17" xfId="64" applyFont="1" applyFill="1" applyBorder="1" applyAlignment="1" applyProtection="1">
      <alignment horizontal="center" vertical="center" wrapText="1"/>
      <protection hidden="1"/>
    </xf>
    <xf numFmtId="175" fontId="9" fillId="0" borderId="17" xfId="64" applyFont="1" applyBorder="1" applyAlignment="1" applyProtection="1">
      <alignment horizontal="center" vertical="center" wrapText="1"/>
      <protection hidden="1"/>
    </xf>
    <xf numFmtId="175" fontId="9" fillId="0" borderId="18" xfId="64" applyFont="1" applyFill="1" applyBorder="1" applyAlignment="1" applyProtection="1">
      <alignment horizontal="center" vertical="center" wrapText="1"/>
      <protection hidden="1"/>
    </xf>
    <xf numFmtId="2" fontId="9" fillId="33" borderId="17" xfId="0" applyNumberFormat="1" applyFont="1" applyFill="1" applyBorder="1" applyAlignment="1" applyProtection="1">
      <alignment horizontal="right" wrapText="1"/>
      <protection hidden="1"/>
    </xf>
    <xf numFmtId="2" fontId="9" fillId="0" borderId="17" xfId="0" applyNumberFormat="1" applyFont="1" applyFill="1" applyBorder="1" applyAlignment="1" applyProtection="1">
      <alignment horizontal="right" wrapText="1"/>
      <protection hidden="1"/>
    </xf>
    <xf numFmtId="2" fontId="9" fillId="0" borderId="17" xfId="0" applyNumberFormat="1" applyFont="1" applyBorder="1" applyAlignment="1" applyProtection="1">
      <alignment horizontal="right" wrapText="1"/>
      <protection hidden="1"/>
    </xf>
    <xf numFmtId="2" fontId="10" fillId="0" borderId="17" xfId="0" applyNumberFormat="1" applyFont="1" applyBorder="1" applyAlignment="1" applyProtection="1">
      <alignment horizontal="center" wrapText="1"/>
      <protection hidden="1"/>
    </xf>
    <xf numFmtId="2" fontId="10" fillId="0" borderId="17" xfId="0" applyNumberFormat="1" applyFont="1" applyFill="1" applyBorder="1" applyAlignment="1" applyProtection="1">
      <alignment horizontal="center" wrapText="1"/>
      <protection hidden="1"/>
    </xf>
    <xf numFmtId="2" fontId="9" fillId="0" borderId="17" xfId="0" applyNumberFormat="1" applyFont="1" applyBorder="1" applyAlignment="1" applyProtection="1">
      <alignment horizontal="center" wrapText="1"/>
      <protection hidden="1"/>
    </xf>
    <xf numFmtId="2" fontId="9" fillId="0" borderId="17" xfId="0" applyNumberFormat="1" applyFont="1" applyFill="1" applyBorder="1" applyAlignment="1" applyProtection="1">
      <alignment horizontal="center" wrapText="1"/>
      <protection hidden="1"/>
    </xf>
    <xf numFmtId="176" fontId="9" fillId="0" borderId="17" xfId="0" applyNumberFormat="1" applyFont="1" applyBorder="1" applyAlignment="1" applyProtection="1">
      <alignment horizontal="center" wrapText="1"/>
      <protection hidden="1"/>
    </xf>
    <xf numFmtId="2" fontId="9" fillId="0" borderId="18" xfId="0" applyNumberFormat="1" applyFont="1" applyFill="1" applyBorder="1" applyAlignment="1" applyProtection="1">
      <alignment horizontal="center" wrapText="1"/>
      <protection hidden="1"/>
    </xf>
    <xf numFmtId="2" fontId="9" fillId="33" borderId="17" xfId="0" applyNumberFormat="1" applyFont="1" applyFill="1" applyBorder="1" applyAlignment="1" applyProtection="1">
      <alignment horizontal="right" vertical="center" wrapText="1"/>
      <protection hidden="1"/>
    </xf>
    <xf numFmtId="2" fontId="9" fillId="0" borderId="17" xfId="0" applyNumberFormat="1" applyFont="1" applyFill="1" applyBorder="1" applyAlignment="1" applyProtection="1">
      <alignment horizontal="right" vertical="center" wrapText="1"/>
      <protection hidden="1"/>
    </xf>
    <xf numFmtId="2" fontId="9" fillId="0" borderId="17" xfId="0" applyNumberFormat="1" applyFont="1" applyBorder="1" applyAlignment="1" applyProtection="1">
      <alignment horizontal="right" vertical="center" wrapText="1"/>
      <protection hidden="1"/>
    </xf>
    <xf numFmtId="175" fontId="13" fillId="0" borderId="17" xfId="64" applyFont="1" applyFill="1" applyBorder="1" applyAlignment="1" applyProtection="1">
      <alignment vertical="center" wrapText="1"/>
      <protection hidden="1"/>
    </xf>
    <xf numFmtId="2" fontId="9" fillId="0" borderId="18" xfId="0" applyNumberFormat="1" applyFont="1" applyBorder="1" applyAlignment="1" applyProtection="1">
      <alignment horizontal="center" wrapText="1"/>
      <protection hidden="1"/>
    </xf>
    <xf numFmtId="2" fontId="9" fillId="33" borderId="17" xfId="0" applyNumberFormat="1" applyFont="1" applyFill="1" applyBorder="1" applyAlignment="1" applyProtection="1" quotePrefix="1">
      <alignment horizontal="right" vertical="center" wrapText="1"/>
      <protection hidden="1"/>
    </xf>
    <xf numFmtId="2" fontId="9" fillId="0" borderId="17" xfId="0" applyNumberFormat="1" applyFont="1" applyFill="1" applyBorder="1" applyAlignment="1" applyProtection="1" quotePrefix="1">
      <alignment horizontal="right" vertical="center" wrapText="1"/>
      <protection hidden="1"/>
    </xf>
    <xf numFmtId="2" fontId="9" fillId="0" borderId="17" xfId="0" applyNumberFormat="1" applyFont="1" applyBorder="1" applyAlignment="1" applyProtection="1">
      <alignment horizontal="center" vertical="center" wrapText="1"/>
      <protection hidden="1"/>
    </xf>
    <xf numFmtId="175" fontId="9" fillId="0" borderId="17" xfId="64" applyFont="1" applyFill="1" applyBorder="1" applyAlignment="1" applyProtection="1">
      <alignment horizontal="right" vertical="center" wrapText="1"/>
      <protection hidden="1"/>
    </xf>
    <xf numFmtId="2" fontId="12" fillId="0" borderId="17" xfId="0" applyNumberFormat="1" applyFont="1" applyBorder="1" applyAlignment="1" applyProtection="1">
      <alignment horizontal="center" wrapText="1"/>
      <protection hidden="1"/>
    </xf>
    <xf numFmtId="2" fontId="13" fillId="0" borderId="17" xfId="0" applyNumberFormat="1" applyFont="1" applyBorder="1" applyAlignment="1" applyProtection="1">
      <alignment horizontal="center" wrapText="1"/>
      <protection hidden="1"/>
    </xf>
    <xf numFmtId="2" fontId="13" fillId="0" borderId="18" xfId="0" applyNumberFormat="1" applyFont="1" applyBorder="1" applyAlignment="1" applyProtection="1">
      <alignment horizontal="center" wrapText="1"/>
      <protection hidden="1"/>
    </xf>
    <xf numFmtId="175" fontId="9" fillId="33" borderId="17" xfId="64" applyFont="1" applyFill="1" applyBorder="1" applyAlignment="1" applyProtection="1">
      <alignment vertical="center" wrapText="1"/>
      <protection hidden="1"/>
    </xf>
    <xf numFmtId="2" fontId="12" fillId="0" borderId="17" xfId="0" applyNumberFormat="1" applyFont="1" applyFill="1" applyBorder="1" applyAlignment="1" applyProtection="1">
      <alignment horizontal="center" wrapText="1"/>
      <protection hidden="1"/>
    </xf>
    <xf numFmtId="0" fontId="9" fillId="0" borderId="19" xfId="0" applyFont="1" applyBorder="1" applyAlignment="1" applyProtection="1">
      <alignment horizontal="left" vertical="center" wrapText="1"/>
      <protection hidden="1"/>
    </xf>
    <xf numFmtId="2" fontId="9" fillId="0" borderId="20" xfId="0" applyNumberFormat="1" applyFont="1" applyBorder="1" applyAlignment="1" applyProtection="1">
      <alignment horizontal="right" vertical="center" wrapText="1"/>
      <protection hidden="1"/>
    </xf>
    <xf numFmtId="2" fontId="9" fillId="0" borderId="20" xfId="0" applyNumberFormat="1" applyFont="1" applyFill="1" applyBorder="1" applyAlignment="1" applyProtection="1">
      <alignment horizontal="right" vertical="center" wrapText="1"/>
      <protection hidden="1"/>
    </xf>
    <xf numFmtId="2" fontId="9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2" fontId="13" fillId="0" borderId="20" xfId="0" applyNumberFormat="1" applyFont="1" applyBorder="1" applyAlignment="1" applyProtection="1">
      <alignment horizontal="center" vertical="center" wrapText="1"/>
      <protection hidden="1"/>
    </xf>
    <xf numFmtId="2" fontId="12" fillId="0" borderId="20" xfId="0" applyNumberFormat="1" applyFont="1" applyBorder="1" applyAlignment="1" applyProtection="1">
      <alignment horizontal="center" wrapText="1"/>
      <protection hidden="1"/>
    </xf>
    <xf numFmtId="2" fontId="13" fillId="0" borderId="20" xfId="0" applyNumberFormat="1" applyFont="1" applyBorder="1" applyAlignment="1" applyProtection="1">
      <alignment horizontal="center" wrapText="1"/>
      <protection hidden="1"/>
    </xf>
    <xf numFmtId="2" fontId="13" fillId="0" borderId="21" xfId="0" applyNumberFormat="1" applyFont="1" applyBorder="1" applyAlignment="1" applyProtection="1">
      <alignment horizontal="center" wrapText="1"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8" fillId="33" borderId="0" xfId="0" applyFont="1" applyFill="1" applyAlignment="1" applyProtection="1" quotePrefix="1">
      <alignment horizontal="left"/>
      <protection hidden="1"/>
    </xf>
    <xf numFmtId="2" fontId="10" fillId="33" borderId="0" xfId="0" applyNumberFormat="1" applyFont="1" applyFill="1" applyAlignment="1" applyProtection="1">
      <alignment/>
      <protection hidden="1"/>
    </xf>
    <xf numFmtId="178" fontId="10" fillId="33" borderId="0" xfId="72" applyNumberFormat="1" applyFont="1" applyFill="1" applyBorder="1" applyAlignment="1" applyProtection="1">
      <alignment/>
      <protection hidden="1"/>
    </xf>
    <xf numFmtId="2" fontId="10" fillId="33" borderId="17" xfId="0" applyNumberFormat="1" applyFont="1" applyFill="1" applyBorder="1" applyAlignment="1" applyProtection="1">
      <alignment horizontal="center" wrapText="1"/>
      <protection hidden="1"/>
    </xf>
    <xf numFmtId="175" fontId="13" fillId="33" borderId="17" xfId="64" applyFont="1" applyFill="1" applyBorder="1" applyAlignment="1" applyProtection="1">
      <alignment vertical="center" wrapText="1"/>
      <protection hidden="1"/>
    </xf>
    <xf numFmtId="2" fontId="9" fillId="33" borderId="20" xfId="0" applyNumberFormat="1" applyFont="1" applyFill="1" applyBorder="1" applyAlignment="1" applyProtection="1">
      <alignment horizontal="right" vertical="center" wrapText="1"/>
      <protection hidden="1"/>
    </xf>
    <xf numFmtId="0" fontId="19" fillId="33" borderId="0" xfId="0" applyFont="1" applyFill="1" applyAlignment="1" applyProtection="1">
      <alignment/>
      <protection hidden="1"/>
    </xf>
    <xf numFmtId="2" fontId="13" fillId="0" borderId="17" xfId="0" applyNumberFormat="1" applyFont="1" applyFill="1" applyBorder="1" applyAlignment="1" applyProtection="1" quotePrefix="1">
      <alignment horizontal="right" vertical="center" wrapText="1"/>
      <protection hidden="1"/>
    </xf>
    <xf numFmtId="175" fontId="13" fillId="0" borderId="17" xfId="64" applyFont="1" applyFill="1" applyBorder="1" applyAlignment="1" applyProtection="1">
      <alignment horizontal="right" vertical="center" wrapText="1"/>
      <protection hidden="1"/>
    </xf>
    <xf numFmtId="0" fontId="9" fillId="35" borderId="22" xfId="0" applyFont="1" applyFill="1" applyBorder="1" applyAlignment="1" applyProtection="1" quotePrefix="1">
      <alignment horizontal="center" wrapText="1"/>
      <protection hidden="1"/>
    </xf>
    <xf numFmtId="0" fontId="9" fillId="35" borderId="23" xfId="0" applyFont="1" applyFill="1" applyBorder="1" applyAlignment="1" applyProtection="1" quotePrefix="1">
      <alignment horizontal="center" wrapText="1"/>
      <protection hidden="1"/>
    </xf>
    <xf numFmtId="0" fontId="16" fillId="33" borderId="24" xfId="0" applyFont="1" applyFill="1" applyBorder="1" applyAlignment="1" applyProtection="1" quotePrefix="1">
      <alignment horizontal="left" vertical="center" wrapText="1"/>
      <protection hidden="1"/>
    </xf>
    <xf numFmtId="0" fontId="0" fillId="33" borderId="0" xfId="0" applyFont="1" applyFill="1" applyAlignment="1" applyProtection="1" quotePrefix="1">
      <alignment horizontal="left" vertical="center" wrapText="1"/>
      <protection hidden="1"/>
    </xf>
    <xf numFmtId="0" fontId="13" fillId="33" borderId="24" xfId="0" applyFont="1" applyFill="1" applyBorder="1" applyAlignment="1" applyProtection="1">
      <alignment horizontal="left" vertical="center" wrapText="1"/>
      <protection hidden="1"/>
    </xf>
    <xf numFmtId="0" fontId="13" fillId="33" borderId="24" xfId="0" applyFont="1" applyFill="1" applyBorder="1" applyAlignment="1" applyProtection="1" quotePrefix="1">
      <alignment horizontal="left" vertical="center" wrapText="1"/>
      <protection hidden="1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tario" xfId="68"/>
    <cellStyle name="Neutral" xfId="69"/>
    <cellStyle name="no dec" xfId="70"/>
    <cellStyle name="Notas" xfId="71"/>
    <cellStyle name="Percent" xfId="72"/>
    <cellStyle name="Priceheader" xfId="73"/>
    <cellStyle name="RM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0939709\CONFIG~1\Temp\precios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DOCUME~1\e0448394\CONFIG~1\Temp\precios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Constancita\HOJA%20DIARIA\HD%202003\Hoja%20Diaria%20Nuev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DOCUME~1\e0939709\CONFIG~1\Temp\precios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DOCUME~1\e0939709\CONFIG~1\Temp\TARIFADISTANCI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windows\TEMP\PreciosCombustiblesDIC-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0939709\CONFIG~1\Temp\TARIFADISTANCI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RYVENT\ZZZ.MERCA.GQ\MERCADEO\POLITICA%20DE%20PRECIOS\PRECIOS%20MARZO%202003\preci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RYVENT\ZZZ.MERCA.GQ\MERCADEO\POLITICA%20DE%20PRECIOS\PRECIOS%20MARZO%202003\TARIFADISTANCI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0448394\CONFIG~1\Temp\precios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nstancita\HOJA%20DIARIA\HD%202003\Hoja%20Diaria%20Nuev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reciosCombustiblesDIC-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MERYVENT\ZZZ.MERCA.GQ\MERCADEO\POLITICA%20DE%20PRECIOS\PRECIOS%20MARZO%202003\precios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0992774a\PRECIOS\MERYVENT\ZZZ.MERCA.GQ\MERCADEO\POLITICA%20DE%20PRECIOS\PRECIOS%20MARZO%202003\TARIFADISTANC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DFRT-CAR-US-FO</v>
          </cell>
          <cell r="V5" t="str">
            <v>DFRT-CAR-US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37917</v>
          </cell>
          <cell r="B8">
            <v>55.25</v>
          </cell>
          <cell r="C8">
            <v>71.5</v>
          </cell>
          <cell r="D8">
            <v>82.2</v>
          </cell>
          <cell r="E8">
            <v>88.2</v>
          </cell>
          <cell r="F8">
            <v>240</v>
          </cell>
          <cell r="G8">
            <v>80.2</v>
          </cell>
          <cell r="H8">
            <v>82.8499999999999</v>
          </cell>
          <cell r="I8">
            <v>80.3499999999999</v>
          </cell>
          <cell r="J8">
            <v>25.825</v>
          </cell>
          <cell r="K8">
            <v>30.385</v>
          </cell>
          <cell r="L8">
            <v>30.13</v>
          </cell>
          <cell r="M8">
            <v>30.3</v>
          </cell>
          <cell r="N8">
            <v>28.085</v>
          </cell>
          <cell r="O8">
            <v>29.45</v>
          </cell>
          <cell r="P8">
            <v>30.31</v>
          </cell>
          <cell r="Q8">
            <v>27.385</v>
          </cell>
          <cell r="R8">
            <v>81.75</v>
          </cell>
          <cell r="S8">
            <v>28.625</v>
          </cell>
          <cell r="T8">
            <v>23.9</v>
          </cell>
          <cell r="U8">
            <v>155</v>
          </cell>
          <cell r="V8">
            <v>350</v>
          </cell>
          <cell r="W8">
            <v>30.375</v>
          </cell>
          <cell r="X8">
            <v>90.15</v>
          </cell>
          <cell r="Y8">
            <v>102.9</v>
          </cell>
        </row>
        <row r="9">
          <cell r="A9">
            <v>37916</v>
          </cell>
          <cell r="B9">
            <v>55</v>
          </cell>
          <cell r="C9">
            <v>71.125</v>
          </cell>
          <cell r="D9">
            <v>79.4</v>
          </cell>
          <cell r="E9">
            <v>85.4</v>
          </cell>
          <cell r="F9">
            <v>240</v>
          </cell>
          <cell r="G9">
            <v>79.4</v>
          </cell>
          <cell r="H9">
            <v>81.5999999999999</v>
          </cell>
          <cell r="I9">
            <v>79.0999999999999</v>
          </cell>
          <cell r="J9">
            <v>25.625</v>
          </cell>
          <cell r="K9">
            <v>29.965</v>
          </cell>
          <cell r="L9">
            <v>29.705</v>
          </cell>
          <cell r="M9">
            <v>29.92</v>
          </cell>
          <cell r="N9">
            <v>27.69</v>
          </cell>
          <cell r="O9">
            <v>29.395</v>
          </cell>
          <cell r="P9">
            <v>29.89</v>
          </cell>
          <cell r="Q9">
            <v>26.965</v>
          </cell>
          <cell r="R9">
            <v>80.5</v>
          </cell>
          <cell r="S9">
            <v>28.5</v>
          </cell>
          <cell r="T9">
            <v>23.875</v>
          </cell>
          <cell r="U9">
            <v>155</v>
          </cell>
          <cell r="V9">
            <v>375</v>
          </cell>
          <cell r="W9">
            <v>30.375</v>
          </cell>
          <cell r="X9">
            <v>91.15</v>
          </cell>
          <cell r="Y9">
            <v>102.15</v>
          </cell>
        </row>
        <row r="10">
          <cell r="A10">
            <v>37915</v>
          </cell>
          <cell r="B10">
            <v>55.125</v>
          </cell>
          <cell r="C10">
            <v>71</v>
          </cell>
          <cell r="D10">
            <v>82.775</v>
          </cell>
          <cell r="E10">
            <v>89.525</v>
          </cell>
          <cell r="F10">
            <v>240</v>
          </cell>
          <cell r="G10">
            <v>82.775</v>
          </cell>
          <cell r="H10">
            <v>82.675</v>
          </cell>
          <cell r="I10">
            <v>79.875</v>
          </cell>
          <cell r="J10">
            <v>25.625</v>
          </cell>
          <cell r="K10">
            <v>30.455</v>
          </cell>
          <cell r="L10">
            <v>30.08</v>
          </cell>
          <cell r="M10">
            <v>30.18</v>
          </cell>
          <cell r="N10">
            <v>28.105</v>
          </cell>
          <cell r="O10">
            <v>29.685</v>
          </cell>
          <cell r="P10">
            <v>30.28</v>
          </cell>
          <cell r="Q10">
            <v>27.655</v>
          </cell>
          <cell r="R10">
            <v>81.425</v>
          </cell>
          <cell r="S10">
            <v>28.5</v>
          </cell>
          <cell r="T10">
            <v>24.625</v>
          </cell>
          <cell r="U10">
            <v>170</v>
          </cell>
          <cell r="V10">
            <v>360</v>
          </cell>
          <cell r="W10">
            <v>30.5</v>
          </cell>
          <cell r="X10">
            <v>90.7249999999999</v>
          </cell>
          <cell r="Y10">
            <v>100.725</v>
          </cell>
        </row>
        <row r="11">
          <cell r="A11">
            <v>37914</v>
          </cell>
          <cell r="B11">
            <v>54.875</v>
          </cell>
          <cell r="C11">
            <v>70.25</v>
          </cell>
          <cell r="D11">
            <v>83.5</v>
          </cell>
          <cell r="E11">
            <v>91</v>
          </cell>
          <cell r="F11">
            <v>240</v>
          </cell>
          <cell r="G11">
            <v>83.5</v>
          </cell>
          <cell r="H11">
            <v>82.3</v>
          </cell>
          <cell r="I11">
            <v>79.5</v>
          </cell>
          <cell r="J11">
            <v>25.625</v>
          </cell>
          <cell r="K11">
            <v>30.55</v>
          </cell>
          <cell r="L11">
            <v>30.325</v>
          </cell>
          <cell r="M11">
            <v>30.35</v>
          </cell>
          <cell r="N11">
            <v>28.3</v>
          </cell>
          <cell r="O11">
            <v>29.785</v>
          </cell>
          <cell r="P11">
            <v>30.375</v>
          </cell>
          <cell r="Q11">
            <v>27.85</v>
          </cell>
          <cell r="R11">
            <v>81.075</v>
          </cell>
          <cell r="S11">
            <v>28.5</v>
          </cell>
          <cell r="T11">
            <v>24.75</v>
          </cell>
          <cell r="U11">
            <v>215</v>
          </cell>
          <cell r="V11">
            <v>365</v>
          </cell>
          <cell r="W11">
            <v>30.5</v>
          </cell>
          <cell r="X11">
            <v>87.3499999999999</v>
          </cell>
          <cell r="Y11">
            <v>99.3499999999999</v>
          </cell>
        </row>
        <row r="12">
          <cell r="A12">
            <v>37911</v>
          </cell>
          <cell r="B12">
            <v>55.875</v>
          </cell>
          <cell r="C12">
            <v>71.125</v>
          </cell>
          <cell r="D12">
            <v>82.95</v>
          </cell>
          <cell r="E12">
            <v>90.2</v>
          </cell>
          <cell r="F12">
            <v>240</v>
          </cell>
          <cell r="G12">
            <v>82.95</v>
          </cell>
          <cell r="H12">
            <v>83.075</v>
          </cell>
          <cell r="I12">
            <v>80.3499999999999</v>
          </cell>
          <cell r="J12">
            <v>25.95</v>
          </cell>
          <cell r="K12">
            <v>30.835</v>
          </cell>
          <cell r="L12">
            <v>30.63</v>
          </cell>
          <cell r="M12">
            <v>30.68</v>
          </cell>
          <cell r="N12">
            <v>28.585</v>
          </cell>
          <cell r="O12">
            <v>29.705</v>
          </cell>
          <cell r="P12">
            <v>30.66</v>
          </cell>
          <cell r="Q12">
            <v>28.135</v>
          </cell>
          <cell r="R12">
            <v>82.075</v>
          </cell>
          <cell r="S12">
            <v>28.5</v>
          </cell>
          <cell r="T12">
            <v>24.75</v>
          </cell>
          <cell r="U12">
            <v>245</v>
          </cell>
          <cell r="V12">
            <v>365</v>
          </cell>
          <cell r="W12">
            <v>30.625</v>
          </cell>
          <cell r="X12">
            <v>84.45</v>
          </cell>
          <cell r="Y12">
            <v>93.45</v>
          </cell>
        </row>
        <row r="13">
          <cell r="A13">
            <v>37910</v>
          </cell>
          <cell r="B13">
            <v>57.625</v>
          </cell>
          <cell r="C13">
            <v>72.625</v>
          </cell>
          <cell r="D13">
            <v>85.4749999999999</v>
          </cell>
          <cell r="E13">
            <v>92.9749999999999</v>
          </cell>
          <cell r="F13">
            <v>240</v>
          </cell>
          <cell r="G13">
            <v>83.4749999999999</v>
          </cell>
          <cell r="H13">
            <v>86.125</v>
          </cell>
          <cell r="I13">
            <v>83.5</v>
          </cell>
          <cell r="J13">
            <v>26.975</v>
          </cell>
          <cell r="K13">
            <v>31.695</v>
          </cell>
          <cell r="L13">
            <v>31.45</v>
          </cell>
          <cell r="M13">
            <v>31.54</v>
          </cell>
          <cell r="N13">
            <v>29.445</v>
          </cell>
          <cell r="O13">
            <v>31.095</v>
          </cell>
          <cell r="P13">
            <v>31.52</v>
          </cell>
          <cell r="Q13">
            <v>29.045</v>
          </cell>
          <cell r="R13">
            <v>85.125</v>
          </cell>
          <cell r="S13">
            <v>28.5</v>
          </cell>
          <cell r="T13">
            <v>25.5</v>
          </cell>
          <cell r="U13">
            <v>280</v>
          </cell>
          <cell r="V13">
            <v>365</v>
          </cell>
          <cell r="W13">
            <v>30.975</v>
          </cell>
          <cell r="X13">
            <v>83.5999999999999</v>
          </cell>
          <cell r="Y13">
            <v>92.5999999999999</v>
          </cell>
        </row>
        <row r="14">
          <cell r="A14">
            <v>37909</v>
          </cell>
          <cell r="B14">
            <v>57.75</v>
          </cell>
          <cell r="C14">
            <v>72</v>
          </cell>
          <cell r="D14">
            <v>86.775</v>
          </cell>
          <cell r="E14">
            <v>95.025</v>
          </cell>
          <cell r="F14">
            <v>240</v>
          </cell>
          <cell r="G14">
            <v>84.775</v>
          </cell>
          <cell r="H14">
            <v>86.775</v>
          </cell>
          <cell r="I14">
            <v>84.25</v>
          </cell>
          <cell r="J14">
            <v>27.325</v>
          </cell>
          <cell r="K14">
            <v>31.915</v>
          </cell>
          <cell r="L14">
            <v>31.73</v>
          </cell>
          <cell r="M14">
            <v>31.77</v>
          </cell>
          <cell r="N14">
            <v>29.715</v>
          </cell>
          <cell r="O14">
            <v>31.225</v>
          </cell>
          <cell r="P14">
            <v>31.79</v>
          </cell>
          <cell r="Q14">
            <v>29.265</v>
          </cell>
          <cell r="R14">
            <v>85.825</v>
          </cell>
          <cell r="S14">
            <v>28.125</v>
          </cell>
          <cell r="T14">
            <v>25.75</v>
          </cell>
          <cell r="U14">
            <v>302</v>
          </cell>
          <cell r="V14">
            <v>390</v>
          </cell>
          <cell r="W14">
            <v>31.125</v>
          </cell>
          <cell r="X14">
            <v>82.2249999999999</v>
          </cell>
          <cell r="Y14">
            <v>91.2249999999999</v>
          </cell>
        </row>
        <row r="15">
          <cell r="A15">
            <v>37908</v>
          </cell>
          <cell r="B15">
            <v>57.75</v>
          </cell>
          <cell r="C15">
            <v>72.125</v>
          </cell>
          <cell r="D15">
            <v>88.325</v>
          </cell>
          <cell r="E15">
            <v>96.575</v>
          </cell>
          <cell r="F15">
            <v>240</v>
          </cell>
          <cell r="G15">
            <v>86.325</v>
          </cell>
          <cell r="H15">
            <v>87.0999999999999</v>
          </cell>
          <cell r="I15">
            <v>84.575</v>
          </cell>
          <cell r="J15">
            <v>27.475</v>
          </cell>
          <cell r="K15">
            <v>31.925</v>
          </cell>
          <cell r="L15">
            <v>31.75</v>
          </cell>
          <cell r="M15">
            <v>31.82</v>
          </cell>
          <cell r="N15">
            <v>29.725</v>
          </cell>
          <cell r="O15">
            <v>31.53</v>
          </cell>
          <cell r="P15">
            <v>31.8</v>
          </cell>
          <cell r="Q15">
            <v>29.275</v>
          </cell>
          <cell r="R15">
            <v>86.375</v>
          </cell>
          <cell r="S15">
            <v>28.125</v>
          </cell>
          <cell r="T15">
            <v>25.75</v>
          </cell>
          <cell r="U15">
            <v>325</v>
          </cell>
          <cell r="V15">
            <v>390</v>
          </cell>
          <cell r="W15">
            <v>31.125</v>
          </cell>
          <cell r="X15">
            <v>84</v>
          </cell>
          <cell r="Y15">
            <v>93</v>
          </cell>
        </row>
        <row r="16">
          <cell r="A16">
            <v>37907</v>
          </cell>
          <cell r="B16">
            <v>57.875</v>
          </cell>
          <cell r="C16">
            <v>72.25</v>
          </cell>
          <cell r="D16">
            <v>87.7</v>
          </cell>
          <cell r="E16">
            <v>95.95</v>
          </cell>
          <cell r="F16">
            <v>240</v>
          </cell>
          <cell r="G16">
            <v>83.7</v>
          </cell>
          <cell r="H16">
            <v>87.0999999999999</v>
          </cell>
          <cell r="I16">
            <v>84.45</v>
          </cell>
          <cell r="J16">
            <v>27.475</v>
          </cell>
          <cell r="K16">
            <v>32.145</v>
          </cell>
          <cell r="L16">
            <v>31.91</v>
          </cell>
          <cell r="M16">
            <v>31.95</v>
          </cell>
          <cell r="N16">
            <v>29.795</v>
          </cell>
          <cell r="O16">
            <v>31.235</v>
          </cell>
          <cell r="P16">
            <v>32.02</v>
          </cell>
          <cell r="Q16">
            <v>29.495</v>
          </cell>
          <cell r="R16">
            <v>86.425</v>
          </cell>
          <cell r="S16">
            <v>28.125</v>
          </cell>
          <cell r="T16">
            <v>25.625</v>
          </cell>
          <cell r="U16">
            <v>340</v>
          </cell>
          <cell r="V16">
            <v>390</v>
          </cell>
          <cell r="W16">
            <v>30.875</v>
          </cell>
          <cell r="X16">
            <v>93.175</v>
          </cell>
          <cell r="Y16">
            <v>102.175</v>
          </cell>
        </row>
        <row r="17">
          <cell r="A17">
            <v>37904</v>
          </cell>
          <cell r="B17">
            <v>58.625</v>
          </cell>
          <cell r="C17">
            <v>73.75</v>
          </cell>
          <cell r="D17">
            <v>89.55</v>
          </cell>
          <cell r="E17">
            <v>97.8</v>
          </cell>
          <cell r="F17">
            <v>235</v>
          </cell>
          <cell r="G17">
            <v>87.55</v>
          </cell>
          <cell r="H17">
            <v>88.025</v>
          </cell>
          <cell r="I17">
            <v>85.4</v>
          </cell>
          <cell r="J17">
            <v>27.375</v>
          </cell>
          <cell r="K17">
            <v>31.95</v>
          </cell>
          <cell r="L17">
            <v>32.045</v>
          </cell>
          <cell r="M17">
            <v>31.97</v>
          </cell>
          <cell r="N17">
            <v>29.8</v>
          </cell>
          <cell r="O17">
            <v>32.09</v>
          </cell>
          <cell r="P17">
            <v>32.025</v>
          </cell>
          <cell r="Q17">
            <v>29.45</v>
          </cell>
          <cell r="R17">
            <v>87.45</v>
          </cell>
          <cell r="S17">
            <v>28.125</v>
          </cell>
          <cell r="T17">
            <v>26</v>
          </cell>
          <cell r="U17">
            <v>340</v>
          </cell>
          <cell r="V17">
            <v>400</v>
          </cell>
          <cell r="W17">
            <v>30.375</v>
          </cell>
          <cell r="X17">
            <v>91.425</v>
          </cell>
          <cell r="Y17">
            <v>99.425</v>
          </cell>
        </row>
        <row r="18">
          <cell r="A18">
            <v>37903</v>
          </cell>
          <cell r="B18">
            <v>58</v>
          </cell>
          <cell r="C18">
            <v>72.125</v>
          </cell>
          <cell r="D18">
            <v>89.65</v>
          </cell>
          <cell r="E18">
            <v>98.275</v>
          </cell>
          <cell r="F18">
            <v>235</v>
          </cell>
          <cell r="G18">
            <v>86.65</v>
          </cell>
          <cell r="H18">
            <v>85.525</v>
          </cell>
          <cell r="I18">
            <v>82.525</v>
          </cell>
          <cell r="J18">
            <v>26.25</v>
          </cell>
          <cell r="K18">
            <v>30.935</v>
          </cell>
          <cell r="L18">
            <v>31.01</v>
          </cell>
          <cell r="M18">
            <v>31.01</v>
          </cell>
          <cell r="N18">
            <v>28.835</v>
          </cell>
          <cell r="O18">
            <v>30.36</v>
          </cell>
          <cell r="P18">
            <v>31.06</v>
          </cell>
          <cell r="Q18">
            <v>28.435</v>
          </cell>
          <cell r="R18">
            <v>84.5999999999999</v>
          </cell>
          <cell r="S18">
            <v>26.875</v>
          </cell>
          <cell r="T18">
            <v>24.75</v>
          </cell>
          <cell r="U18">
            <v>365</v>
          </cell>
          <cell r="V18">
            <v>400</v>
          </cell>
          <cell r="W18">
            <v>30.125</v>
          </cell>
          <cell r="X18">
            <v>89.825</v>
          </cell>
          <cell r="Y18">
            <v>97.825</v>
          </cell>
        </row>
        <row r="19">
          <cell r="A19">
            <v>37902</v>
          </cell>
          <cell r="B19">
            <v>56.75</v>
          </cell>
          <cell r="C19">
            <v>68.625</v>
          </cell>
          <cell r="D19">
            <v>83.8499999999999</v>
          </cell>
          <cell r="E19">
            <v>91.7249999999999</v>
          </cell>
          <cell r="F19">
            <v>235</v>
          </cell>
          <cell r="G19">
            <v>81.8499999999999</v>
          </cell>
          <cell r="H19">
            <v>81.325</v>
          </cell>
          <cell r="I19">
            <v>78.5</v>
          </cell>
          <cell r="J19">
            <v>25.75</v>
          </cell>
          <cell r="K19">
            <v>29.68</v>
          </cell>
          <cell r="L19">
            <v>29.77</v>
          </cell>
          <cell r="M19">
            <v>29.81</v>
          </cell>
          <cell r="N19">
            <v>27.63</v>
          </cell>
          <cell r="O19">
            <v>29.18</v>
          </cell>
          <cell r="P19">
            <v>29.855</v>
          </cell>
          <cell r="Q19">
            <v>27.13</v>
          </cell>
          <cell r="R19">
            <v>80.7</v>
          </cell>
          <cell r="S19">
            <v>26.375</v>
          </cell>
          <cell r="T19">
            <v>23.875</v>
          </cell>
          <cell r="U19">
            <v>380</v>
          </cell>
          <cell r="V19">
            <v>400</v>
          </cell>
          <cell r="W19">
            <v>29.375</v>
          </cell>
          <cell r="X19">
            <v>94.375</v>
          </cell>
          <cell r="Y19">
            <v>102.875</v>
          </cell>
        </row>
        <row r="20">
          <cell r="A20">
            <v>37901</v>
          </cell>
          <cell r="B20">
            <v>54.75</v>
          </cell>
          <cell r="C20">
            <v>67.25</v>
          </cell>
          <cell r="D20">
            <v>84.7249999999999</v>
          </cell>
          <cell r="E20">
            <v>91.4749999999999</v>
          </cell>
          <cell r="F20">
            <v>235</v>
          </cell>
          <cell r="G20">
            <v>79.7249999999999</v>
          </cell>
          <cell r="H20">
            <v>82.025</v>
          </cell>
          <cell r="I20">
            <v>79.3</v>
          </cell>
          <cell r="J20">
            <v>25.75</v>
          </cell>
          <cell r="K20">
            <v>30.15</v>
          </cell>
          <cell r="L20">
            <v>30.37</v>
          </cell>
          <cell r="M20">
            <v>30.41</v>
          </cell>
          <cell r="N20">
            <v>28.1</v>
          </cell>
          <cell r="O20">
            <v>29.545</v>
          </cell>
          <cell r="P20">
            <v>30.325</v>
          </cell>
          <cell r="Q20">
            <v>27.6</v>
          </cell>
          <cell r="R20">
            <v>81</v>
          </cell>
          <cell r="S20">
            <v>26.375</v>
          </cell>
          <cell r="T20">
            <v>24.15</v>
          </cell>
          <cell r="U20">
            <v>385</v>
          </cell>
          <cell r="V20">
            <v>400</v>
          </cell>
          <cell r="W20">
            <v>29.375</v>
          </cell>
          <cell r="X20">
            <v>100.225</v>
          </cell>
          <cell r="Y20">
            <v>108.225</v>
          </cell>
        </row>
        <row r="21">
          <cell r="A21">
            <v>37900</v>
          </cell>
          <cell r="B21">
            <v>54.375</v>
          </cell>
          <cell r="C21">
            <v>66.125</v>
          </cell>
          <cell r="D21">
            <v>87.625</v>
          </cell>
          <cell r="E21">
            <v>95.625</v>
          </cell>
          <cell r="F21">
            <v>235</v>
          </cell>
          <cell r="G21">
            <v>82.625</v>
          </cell>
          <cell r="H21">
            <v>81.75</v>
          </cell>
          <cell r="I21">
            <v>78.75</v>
          </cell>
          <cell r="J21">
            <v>25.75</v>
          </cell>
          <cell r="K21">
            <v>30.095</v>
          </cell>
          <cell r="L21">
            <v>30.405</v>
          </cell>
          <cell r="M21">
            <v>30.47</v>
          </cell>
          <cell r="N21">
            <v>28.03</v>
          </cell>
          <cell r="O21">
            <v>29.4</v>
          </cell>
          <cell r="P21">
            <v>30.205</v>
          </cell>
          <cell r="Q21">
            <v>27.43</v>
          </cell>
          <cell r="R21">
            <v>81.075</v>
          </cell>
          <cell r="S21">
            <v>26.375</v>
          </cell>
          <cell r="T21">
            <v>24.55</v>
          </cell>
          <cell r="U21">
            <v>385</v>
          </cell>
          <cell r="V21">
            <v>380</v>
          </cell>
          <cell r="W21">
            <v>29.375</v>
          </cell>
          <cell r="X21">
            <v>106.625</v>
          </cell>
          <cell r="Y21">
            <v>116.125</v>
          </cell>
        </row>
        <row r="22">
          <cell r="A22">
            <v>37897</v>
          </cell>
          <cell r="B22">
            <v>53.25</v>
          </cell>
          <cell r="C22">
            <v>65.125</v>
          </cell>
          <cell r="D22">
            <v>88.3499999999999</v>
          </cell>
          <cell r="E22">
            <v>96.5999999999999</v>
          </cell>
          <cell r="F22">
            <v>240</v>
          </cell>
          <cell r="G22">
            <v>84.3499999999999</v>
          </cell>
          <cell r="H22">
            <v>81.925</v>
          </cell>
          <cell r="I22">
            <v>79.4</v>
          </cell>
          <cell r="J22">
            <v>25.7</v>
          </cell>
          <cell r="K22">
            <v>29.665</v>
          </cell>
          <cell r="L22">
            <v>30.34</v>
          </cell>
          <cell r="M22">
            <v>30.4</v>
          </cell>
          <cell r="N22">
            <v>27.815</v>
          </cell>
          <cell r="O22">
            <v>29.26</v>
          </cell>
          <cell r="P22">
            <v>30.04</v>
          </cell>
          <cell r="Q22">
            <v>27.215</v>
          </cell>
          <cell r="R22">
            <v>81.3499999999999</v>
          </cell>
          <cell r="S22">
            <v>26.375</v>
          </cell>
          <cell r="T22">
            <v>24.55</v>
          </cell>
          <cell r="U22">
            <v>390</v>
          </cell>
          <cell r="V22">
            <v>355</v>
          </cell>
          <cell r="W22">
            <v>28.875</v>
          </cell>
          <cell r="X22">
            <v>109.825</v>
          </cell>
          <cell r="Y22">
            <v>118.325</v>
          </cell>
        </row>
        <row r="23">
          <cell r="A23">
            <v>37896</v>
          </cell>
          <cell r="B23">
            <v>53.125</v>
          </cell>
          <cell r="C23">
            <v>64.25</v>
          </cell>
          <cell r="D23">
            <v>81.8</v>
          </cell>
          <cell r="E23">
            <v>90.55</v>
          </cell>
          <cell r="F23">
            <v>247</v>
          </cell>
          <cell r="G23">
            <v>77.825</v>
          </cell>
          <cell r="H23">
            <v>80.7</v>
          </cell>
          <cell r="I23">
            <v>78.3499999999999</v>
          </cell>
          <cell r="J23">
            <v>24.75</v>
          </cell>
          <cell r="K23">
            <v>29.115</v>
          </cell>
          <cell r="L23">
            <v>29.78</v>
          </cell>
          <cell r="M23">
            <v>29.84</v>
          </cell>
          <cell r="N23">
            <v>27.065</v>
          </cell>
          <cell r="O23">
            <v>28.925</v>
          </cell>
          <cell r="P23">
            <v>29.49</v>
          </cell>
          <cell r="Q23">
            <v>26.465</v>
          </cell>
          <cell r="R23">
            <v>80.2249999999999</v>
          </cell>
          <cell r="S23">
            <v>25.875</v>
          </cell>
          <cell r="T23">
            <v>24.125</v>
          </cell>
          <cell r="U23">
            <v>390</v>
          </cell>
          <cell r="V23">
            <v>355</v>
          </cell>
          <cell r="W23">
            <v>28.375</v>
          </cell>
          <cell r="X23">
            <v>102.35</v>
          </cell>
          <cell r="Y23">
            <v>110.35</v>
          </cell>
        </row>
        <row r="24">
          <cell r="A24">
            <v>37895</v>
          </cell>
          <cell r="B24">
            <v>52.25</v>
          </cell>
          <cell r="C24">
            <v>63</v>
          </cell>
          <cell r="D24">
            <v>79</v>
          </cell>
          <cell r="E24">
            <v>88</v>
          </cell>
          <cell r="F24">
            <v>247</v>
          </cell>
          <cell r="G24">
            <v>73.75</v>
          </cell>
          <cell r="H24">
            <v>79.7</v>
          </cell>
          <cell r="I24">
            <v>77.275</v>
          </cell>
          <cell r="J24">
            <v>24.35</v>
          </cell>
          <cell r="K24">
            <v>28.785</v>
          </cell>
          <cell r="L24">
            <v>29.41</v>
          </cell>
          <cell r="M24">
            <v>29.39</v>
          </cell>
          <cell r="N24">
            <v>26.735</v>
          </cell>
          <cell r="O24">
            <v>28.24</v>
          </cell>
          <cell r="P24">
            <v>29.16</v>
          </cell>
          <cell r="Q24">
            <v>26.135</v>
          </cell>
          <cell r="R24">
            <v>79.05</v>
          </cell>
          <cell r="S24">
            <v>25.625</v>
          </cell>
          <cell r="T24">
            <v>23.6</v>
          </cell>
          <cell r="U24">
            <v>395</v>
          </cell>
          <cell r="V24">
            <v>365</v>
          </cell>
          <cell r="W24">
            <v>27.75</v>
          </cell>
          <cell r="X24">
            <v>105.25</v>
          </cell>
          <cell r="Y24">
            <v>112.25</v>
          </cell>
        </row>
        <row r="25">
          <cell r="A25">
            <v>37894</v>
          </cell>
          <cell r="B25">
            <v>52</v>
          </cell>
          <cell r="C25">
            <v>63</v>
          </cell>
          <cell r="D25">
            <v>78.3499999999999</v>
          </cell>
          <cell r="E25">
            <v>86.775</v>
          </cell>
          <cell r="F25">
            <v>247</v>
          </cell>
          <cell r="G25">
            <v>74.3499999999999</v>
          </cell>
          <cell r="H25">
            <v>78.3</v>
          </cell>
          <cell r="I25">
            <v>75.875</v>
          </cell>
          <cell r="J25">
            <v>24.35</v>
          </cell>
          <cell r="K25">
            <v>28.39</v>
          </cell>
          <cell r="L25">
            <v>29.105</v>
          </cell>
          <cell r="M25">
            <v>29.2</v>
          </cell>
          <cell r="N25">
            <v>26.39</v>
          </cell>
          <cell r="O25">
            <v>28.175</v>
          </cell>
          <cell r="P25">
            <v>28.815</v>
          </cell>
          <cell r="Q25">
            <v>25.79</v>
          </cell>
          <cell r="R25">
            <v>77.7249999999999</v>
          </cell>
          <cell r="S25">
            <v>25.25</v>
          </cell>
          <cell r="T25">
            <v>23.75</v>
          </cell>
          <cell r="U25">
            <v>395</v>
          </cell>
          <cell r="V25">
            <v>365</v>
          </cell>
          <cell r="W25">
            <v>27.75</v>
          </cell>
          <cell r="X25">
            <v>104.175</v>
          </cell>
          <cell r="Y25">
            <v>110.55</v>
          </cell>
        </row>
        <row r="26">
          <cell r="A26">
            <v>37893</v>
          </cell>
          <cell r="B26">
            <v>51.75</v>
          </cell>
          <cell r="C26">
            <v>62.1875</v>
          </cell>
          <cell r="D26">
            <v>75.15</v>
          </cell>
          <cell r="E26">
            <v>83.65</v>
          </cell>
          <cell r="F26">
            <v>247</v>
          </cell>
          <cell r="G26">
            <v>69.15</v>
          </cell>
          <cell r="H26">
            <v>75.5</v>
          </cell>
          <cell r="I26">
            <v>73.15</v>
          </cell>
          <cell r="J26">
            <v>24.05</v>
          </cell>
          <cell r="K26">
            <v>27.66</v>
          </cell>
          <cell r="L26">
            <v>28.35</v>
          </cell>
          <cell r="M26">
            <v>28.4</v>
          </cell>
          <cell r="N26">
            <v>25.66</v>
          </cell>
          <cell r="O26">
            <v>27.495</v>
          </cell>
          <cell r="P26">
            <v>28.085</v>
          </cell>
          <cell r="Q26">
            <v>25.06</v>
          </cell>
          <cell r="R26">
            <v>75.05</v>
          </cell>
          <cell r="S26">
            <v>24.125</v>
          </cell>
          <cell r="T26">
            <v>22.925</v>
          </cell>
          <cell r="U26">
            <v>395</v>
          </cell>
          <cell r="V26">
            <v>365</v>
          </cell>
          <cell r="W26">
            <v>27.75</v>
          </cell>
          <cell r="X26">
            <v>104.45</v>
          </cell>
          <cell r="Y26">
            <v>112.45</v>
          </cell>
        </row>
        <row r="27">
          <cell r="A27">
            <v>37890</v>
          </cell>
          <cell r="B27">
            <v>50.75</v>
          </cell>
          <cell r="C27">
            <v>62</v>
          </cell>
          <cell r="D27">
            <v>76.0999999999999</v>
          </cell>
          <cell r="E27">
            <v>83.8499999999999</v>
          </cell>
          <cell r="F27">
            <v>247</v>
          </cell>
          <cell r="G27">
            <v>70.0999999999999</v>
          </cell>
          <cell r="H27">
            <v>74.4749999999999</v>
          </cell>
          <cell r="I27">
            <v>72.2249999999999</v>
          </cell>
          <cell r="J27">
            <v>24.15</v>
          </cell>
          <cell r="K27">
            <v>27.415</v>
          </cell>
          <cell r="L27">
            <v>28.19</v>
          </cell>
          <cell r="M27">
            <v>28.16</v>
          </cell>
          <cell r="N27">
            <v>25.515</v>
          </cell>
          <cell r="O27">
            <v>27.095</v>
          </cell>
          <cell r="P27">
            <v>27.94</v>
          </cell>
          <cell r="Q27">
            <v>24.915</v>
          </cell>
          <cell r="R27">
            <v>73.9749999999999</v>
          </cell>
          <cell r="S27">
            <v>23.625</v>
          </cell>
          <cell r="T27">
            <v>22.675</v>
          </cell>
          <cell r="U27">
            <v>390</v>
          </cell>
          <cell r="V27">
            <v>355</v>
          </cell>
          <cell r="W27">
            <v>27.875</v>
          </cell>
          <cell r="X27">
            <v>100.9</v>
          </cell>
          <cell r="Y27">
            <v>106.9</v>
          </cell>
        </row>
        <row r="28">
          <cell r="A28">
            <v>37889</v>
          </cell>
          <cell r="B28">
            <v>51.125</v>
          </cell>
          <cell r="C28">
            <v>62</v>
          </cell>
          <cell r="D28">
            <v>75.2</v>
          </cell>
          <cell r="E28">
            <v>82.95</v>
          </cell>
          <cell r="F28">
            <v>247</v>
          </cell>
          <cell r="G28">
            <v>69.2</v>
          </cell>
          <cell r="H28">
            <v>74.125</v>
          </cell>
          <cell r="I28">
            <v>72.125</v>
          </cell>
          <cell r="J28">
            <v>24.325</v>
          </cell>
          <cell r="K28">
            <v>27.735</v>
          </cell>
          <cell r="L28">
            <v>28.13</v>
          </cell>
          <cell r="M28">
            <v>28.29</v>
          </cell>
          <cell r="N28">
            <v>25.835</v>
          </cell>
          <cell r="O28">
            <v>27.265</v>
          </cell>
          <cell r="P28">
            <v>28.26</v>
          </cell>
          <cell r="Q28">
            <v>25.235</v>
          </cell>
          <cell r="R28">
            <v>73.7</v>
          </cell>
          <cell r="S28">
            <v>23.85</v>
          </cell>
          <cell r="T28">
            <v>22.875</v>
          </cell>
          <cell r="U28">
            <v>390</v>
          </cell>
          <cell r="V28">
            <v>355</v>
          </cell>
          <cell r="W28">
            <v>28.125</v>
          </cell>
          <cell r="X28">
            <v>98.4749999999999</v>
          </cell>
          <cell r="Y28">
            <v>104.475</v>
          </cell>
        </row>
        <row r="29">
          <cell r="A29">
            <v>37888</v>
          </cell>
          <cell r="B29">
            <v>51</v>
          </cell>
          <cell r="C29">
            <v>61.5</v>
          </cell>
          <cell r="D29">
            <v>75.4749999999999</v>
          </cell>
          <cell r="E29">
            <v>83.5999999999999</v>
          </cell>
          <cell r="F29">
            <v>245</v>
          </cell>
          <cell r="G29">
            <v>69.4749999999999</v>
          </cell>
          <cell r="H29">
            <v>74.8</v>
          </cell>
          <cell r="I29">
            <v>72.175</v>
          </cell>
          <cell r="J29">
            <v>24.475</v>
          </cell>
          <cell r="K29">
            <v>27.685</v>
          </cell>
          <cell r="L29">
            <v>28.02</v>
          </cell>
          <cell r="M29">
            <v>28.24</v>
          </cell>
          <cell r="N29">
            <v>25.735</v>
          </cell>
          <cell r="O29">
            <v>26.965</v>
          </cell>
          <cell r="P29">
            <v>28.16</v>
          </cell>
          <cell r="Q29">
            <v>25.085</v>
          </cell>
          <cell r="R29">
            <v>73.925</v>
          </cell>
          <cell r="S29">
            <v>24</v>
          </cell>
          <cell r="T29">
            <v>22.775</v>
          </cell>
          <cell r="U29">
            <v>390</v>
          </cell>
          <cell r="V29">
            <v>355</v>
          </cell>
          <cell r="W29">
            <v>28.125</v>
          </cell>
          <cell r="X29">
            <v>95.8</v>
          </cell>
          <cell r="Y29">
            <v>101.3</v>
          </cell>
        </row>
        <row r="30">
          <cell r="A30">
            <v>37887</v>
          </cell>
          <cell r="B30">
            <v>50</v>
          </cell>
          <cell r="C30">
            <v>60.25</v>
          </cell>
          <cell r="D30">
            <v>72.7</v>
          </cell>
          <cell r="E30">
            <v>79.7</v>
          </cell>
          <cell r="F30">
            <v>245</v>
          </cell>
          <cell r="G30">
            <v>66.7</v>
          </cell>
          <cell r="H30">
            <v>71.325</v>
          </cell>
          <cell r="I30">
            <v>68.825</v>
          </cell>
          <cell r="J30">
            <v>24</v>
          </cell>
          <cell r="K30">
            <v>26.635</v>
          </cell>
          <cell r="L30">
            <v>26.94</v>
          </cell>
          <cell r="M30">
            <v>27.13</v>
          </cell>
          <cell r="N30">
            <v>24.685</v>
          </cell>
          <cell r="O30">
            <v>26.08</v>
          </cell>
          <cell r="P30">
            <v>27.11</v>
          </cell>
          <cell r="Q30">
            <v>23.985</v>
          </cell>
          <cell r="R30">
            <v>70.5</v>
          </cell>
          <cell r="S30">
            <v>23.25</v>
          </cell>
          <cell r="T30">
            <v>21.9</v>
          </cell>
          <cell r="U30">
            <v>340</v>
          </cell>
          <cell r="V30">
            <v>305</v>
          </cell>
          <cell r="W30">
            <v>27.625</v>
          </cell>
          <cell r="X30">
            <v>92.825</v>
          </cell>
          <cell r="Y30">
            <v>98.375</v>
          </cell>
        </row>
        <row r="31">
          <cell r="A31">
            <v>37886</v>
          </cell>
          <cell r="B31">
            <v>50.125</v>
          </cell>
          <cell r="C31">
            <v>60.25</v>
          </cell>
          <cell r="D31">
            <v>74.875</v>
          </cell>
          <cell r="E31">
            <v>82.25</v>
          </cell>
          <cell r="F31">
            <v>245</v>
          </cell>
          <cell r="G31">
            <v>68.625</v>
          </cell>
          <cell r="H31">
            <v>70.625</v>
          </cell>
          <cell r="I31">
            <v>67.825</v>
          </cell>
          <cell r="J31">
            <v>23.775</v>
          </cell>
          <cell r="K31">
            <v>26.625</v>
          </cell>
          <cell r="L31">
            <v>26.93</v>
          </cell>
          <cell r="M31">
            <v>26.96</v>
          </cell>
          <cell r="N31">
            <v>24.725</v>
          </cell>
          <cell r="O31">
            <v>25.73</v>
          </cell>
          <cell r="P31">
            <v>27.15</v>
          </cell>
          <cell r="Q31">
            <v>24.125</v>
          </cell>
          <cell r="R31">
            <v>69.25</v>
          </cell>
          <cell r="S31">
            <v>23.5</v>
          </cell>
          <cell r="T31">
            <v>21.5</v>
          </cell>
          <cell r="U31">
            <v>340</v>
          </cell>
          <cell r="V31">
            <v>300</v>
          </cell>
          <cell r="W31">
            <v>27.125</v>
          </cell>
          <cell r="X31">
            <v>93.875</v>
          </cell>
          <cell r="Y31">
            <v>99.425</v>
          </cell>
        </row>
        <row r="32">
          <cell r="A32">
            <v>37883</v>
          </cell>
          <cell r="B32">
            <v>50.5</v>
          </cell>
          <cell r="C32">
            <v>59.75</v>
          </cell>
          <cell r="D32">
            <v>74.575</v>
          </cell>
          <cell r="E32">
            <v>81.45</v>
          </cell>
          <cell r="F32">
            <v>245</v>
          </cell>
          <cell r="G32">
            <v>67.575</v>
          </cell>
          <cell r="H32">
            <v>70.575</v>
          </cell>
          <cell r="I32">
            <v>67.4</v>
          </cell>
          <cell r="J32">
            <v>23.725</v>
          </cell>
          <cell r="K32">
            <v>26.545</v>
          </cell>
          <cell r="L32">
            <v>26.94</v>
          </cell>
          <cell r="M32">
            <v>27.03</v>
          </cell>
          <cell r="N32">
            <v>24.645</v>
          </cell>
          <cell r="O32">
            <v>25.28</v>
          </cell>
          <cell r="P32">
            <v>27.07</v>
          </cell>
          <cell r="Q32">
            <v>24.045</v>
          </cell>
          <cell r="R32">
            <v>69.0999999999999</v>
          </cell>
          <cell r="S32">
            <v>23.5</v>
          </cell>
          <cell r="T32">
            <v>21.125</v>
          </cell>
          <cell r="U32">
            <v>310</v>
          </cell>
          <cell r="V32">
            <v>300</v>
          </cell>
          <cell r="W32">
            <v>27.125</v>
          </cell>
          <cell r="X32">
            <v>97.0999999999999</v>
          </cell>
          <cell r="Y32">
            <v>102.65</v>
          </cell>
        </row>
        <row r="33">
          <cell r="A33">
            <v>37882</v>
          </cell>
          <cell r="B33">
            <v>50.5</v>
          </cell>
          <cell r="C33">
            <v>60.125</v>
          </cell>
          <cell r="D33">
            <v>76.4</v>
          </cell>
          <cell r="E33">
            <v>83.65</v>
          </cell>
          <cell r="F33">
            <v>240</v>
          </cell>
          <cell r="G33">
            <v>69.4</v>
          </cell>
          <cell r="H33">
            <v>70.5999999999999</v>
          </cell>
          <cell r="I33">
            <v>67.9749999999999</v>
          </cell>
          <cell r="J33">
            <v>24.025</v>
          </cell>
          <cell r="K33">
            <v>26.565</v>
          </cell>
          <cell r="L33">
            <v>27.13</v>
          </cell>
          <cell r="M33">
            <v>27.17</v>
          </cell>
          <cell r="N33">
            <v>24.765</v>
          </cell>
          <cell r="O33">
            <v>25.63</v>
          </cell>
          <cell r="P33">
            <v>27.19</v>
          </cell>
          <cell r="Q33">
            <v>24.165</v>
          </cell>
          <cell r="R33">
            <v>69.825</v>
          </cell>
          <cell r="S33">
            <v>23.5</v>
          </cell>
          <cell r="T33">
            <v>21.125</v>
          </cell>
          <cell r="U33">
            <v>310</v>
          </cell>
          <cell r="V33">
            <v>280</v>
          </cell>
          <cell r="W33">
            <v>27.875</v>
          </cell>
          <cell r="X33">
            <v>95.7</v>
          </cell>
          <cell r="Y33">
            <v>102.45</v>
          </cell>
        </row>
        <row r="34">
          <cell r="A34">
            <v>37881</v>
          </cell>
          <cell r="B34">
            <v>51.125</v>
          </cell>
          <cell r="C34">
            <v>60.375</v>
          </cell>
          <cell r="D34">
            <v>76.25</v>
          </cell>
          <cell r="E34">
            <v>83.5</v>
          </cell>
          <cell r="F34">
            <v>240</v>
          </cell>
          <cell r="G34">
            <v>70.25</v>
          </cell>
          <cell r="H34">
            <v>70.7</v>
          </cell>
          <cell r="I34">
            <v>68.3499999999999</v>
          </cell>
          <cell r="J34">
            <v>24.025</v>
          </cell>
          <cell r="K34">
            <v>26.465</v>
          </cell>
          <cell r="L34">
            <v>26.98</v>
          </cell>
          <cell r="M34">
            <v>27.03</v>
          </cell>
          <cell r="N34">
            <v>24.665</v>
          </cell>
          <cell r="O34">
            <v>25.955</v>
          </cell>
          <cell r="P34">
            <v>27.09</v>
          </cell>
          <cell r="Q34">
            <v>24.065</v>
          </cell>
          <cell r="R34">
            <v>70.2</v>
          </cell>
          <cell r="S34">
            <v>23.5</v>
          </cell>
          <cell r="T34">
            <v>21.2</v>
          </cell>
          <cell r="U34">
            <v>300</v>
          </cell>
          <cell r="V34">
            <v>280</v>
          </cell>
          <cell r="W34">
            <v>27.875</v>
          </cell>
          <cell r="X34">
            <v>96.4</v>
          </cell>
          <cell r="Y34">
            <v>102.65</v>
          </cell>
        </row>
        <row r="35">
          <cell r="A35">
            <v>37880</v>
          </cell>
          <cell r="B35">
            <v>52</v>
          </cell>
          <cell r="C35">
            <v>61.25</v>
          </cell>
          <cell r="D35">
            <v>82.95</v>
          </cell>
          <cell r="E35">
            <v>91.45</v>
          </cell>
          <cell r="F35">
            <v>255</v>
          </cell>
          <cell r="G35">
            <v>75.95</v>
          </cell>
          <cell r="H35">
            <v>72.9749999999999</v>
          </cell>
          <cell r="I35">
            <v>70.75</v>
          </cell>
          <cell r="J35">
            <v>24.025</v>
          </cell>
          <cell r="K35">
            <v>27.08</v>
          </cell>
          <cell r="L35">
            <v>27.56</v>
          </cell>
          <cell r="M35">
            <v>27.56</v>
          </cell>
          <cell r="N35">
            <v>25.28</v>
          </cell>
          <cell r="O35">
            <v>26.195</v>
          </cell>
          <cell r="P35">
            <v>27.705</v>
          </cell>
          <cell r="Q35">
            <v>24.68</v>
          </cell>
          <cell r="R35">
            <v>72.5</v>
          </cell>
          <cell r="S35">
            <v>24</v>
          </cell>
          <cell r="T35">
            <v>21.7</v>
          </cell>
          <cell r="U35">
            <v>310</v>
          </cell>
          <cell r="V35">
            <v>285</v>
          </cell>
          <cell r="W35">
            <v>27.875</v>
          </cell>
          <cell r="X35">
            <v>93.9</v>
          </cell>
          <cell r="Y35">
            <v>99.775</v>
          </cell>
        </row>
        <row r="36">
          <cell r="A36">
            <v>37879</v>
          </cell>
          <cell r="B36">
            <v>52.5</v>
          </cell>
          <cell r="C36">
            <v>61.625</v>
          </cell>
          <cell r="D36">
            <v>88.075</v>
          </cell>
          <cell r="E36">
            <v>100.575</v>
          </cell>
          <cell r="F36">
            <v>265</v>
          </cell>
          <cell r="G36">
            <v>80.575</v>
          </cell>
          <cell r="H36">
            <v>74</v>
          </cell>
          <cell r="I36">
            <v>71.825</v>
          </cell>
          <cell r="J36">
            <v>24.325</v>
          </cell>
          <cell r="K36">
            <v>27.565</v>
          </cell>
          <cell r="L36">
            <v>28.1</v>
          </cell>
          <cell r="M36">
            <v>28.14</v>
          </cell>
          <cell r="N36">
            <v>25.765</v>
          </cell>
          <cell r="O36">
            <v>26.68</v>
          </cell>
          <cell r="P36">
            <v>28.19</v>
          </cell>
          <cell r="Q36">
            <v>25.165</v>
          </cell>
          <cell r="R36">
            <v>73.9</v>
          </cell>
          <cell r="S36">
            <v>25</v>
          </cell>
          <cell r="T36">
            <v>22.075</v>
          </cell>
          <cell r="U36">
            <v>310</v>
          </cell>
          <cell r="V36">
            <v>285</v>
          </cell>
          <cell r="W36">
            <v>28.125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PFALU10</v>
          </cell>
          <cell r="V5" t="str">
            <v>DFRT-CAR-US-FO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37638</v>
          </cell>
          <cell r="B8">
            <v>60.125</v>
          </cell>
          <cell r="C8">
            <v>77.5</v>
          </cell>
          <cell r="D8">
            <v>88.7249999999999</v>
          </cell>
          <cell r="E8">
            <v>92.3499999999999</v>
          </cell>
          <cell r="F8">
            <v>240</v>
          </cell>
          <cell r="G8">
            <v>90.7249999999999</v>
          </cell>
          <cell r="H8">
            <v>88.15</v>
          </cell>
          <cell r="I8">
            <v>87.55</v>
          </cell>
          <cell r="J8">
            <v>32.275</v>
          </cell>
          <cell r="K8">
            <v>34.56</v>
          </cell>
          <cell r="L8">
            <v>34.1</v>
          </cell>
          <cell r="M8">
            <v>33.91</v>
          </cell>
          <cell r="N8">
            <v>31.96</v>
          </cell>
          <cell r="O8">
            <v>32.33</v>
          </cell>
          <cell r="P8">
            <v>33.285</v>
          </cell>
          <cell r="Q8">
            <v>31.56</v>
          </cell>
          <cell r="R8">
            <v>87.7</v>
          </cell>
          <cell r="S8">
            <v>32.25</v>
          </cell>
          <cell r="T8">
            <v>31.75</v>
          </cell>
          <cell r="U8">
            <v>105</v>
          </cell>
          <cell r="V8">
            <v>181.5</v>
          </cell>
          <cell r="W8">
            <v>37.5</v>
          </cell>
          <cell r="X8">
            <v>90.15</v>
          </cell>
          <cell r="Y8">
            <v>102.9</v>
          </cell>
        </row>
        <row r="9">
          <cell r="A9">
            <v>37637</v>
          </cell>
          <cell r="B9">
            <v>60.25</v>
          </cell>
          <cell r="C9">
            <v>77.25</v>
          </cell>
          <cell r="D9">
            <v>87.875</v>
          </cell>
          <cell r="E9">
            <v>91.5</v>
          </cell>
          <cell r="F9">
            <v>240</v>
          </cell>
          <cell r="G9">
            <v>89.875</v>
          </cell>
          <cell r="H9">
            <v>88.175</v>
          </cell>
          <cell r="I9">
            <v>87.025</v>
          </cell>
          <cell r="J9">
            <v>32.4</v>
          </cell>
          <cell r="K9">
            <v>33.99</v>
          </cell>
          <cell r="L9">
            <v>33.595</v>
          </cell>
          <cell r="M9">
            <v>33.66</v>
          </cell>
          <cell r="N9">
            <v>31.39</v>
          </cell>
          <cell r="O9">
            <v>31.985</v>
          </cell>
          <cell r="P9">
            <v>32.715</v>
          </cell>
          <cell r="Q9">
            <v>30.99</v>
          </cell>
          <cell r="R9">
            <v>87.4</v>
          </cell>
          <cell r="S9">
            <v>32.35</v>
          </cell>
          <cell r="T9">
            <v>32.25</v>
          </cell>
          <cell r="U9">
            <v>105</v>
          </cell>
          <cell r="V9">
            <v>182</v>
          </cell>
          <cell r="W9">
            <v>37.5</v>
          </cell>
          <cell r="X9">
            <v>91.15</v>
          </cell>
          <cell r="Y9">
            <v>102.15</v>
          </cell>
        </row>
        <row r="10">
          <cell r="A10">
            <v>37636</v>
          </cell>
          <cell r="B10">
            <v>58.625</v>
          </cell>
          <cell r="C10">
            <v>74.5</v>
          </cell>
          <cell r="D10">
            <v>87.45</v>
          </cell>
          <cell r="E10">
            <v>91.2</v>
          </cell>
          <cell r="F10">
            <v>240</v>
          </cell>
          <cell r="G10">
            <v>89.45</v>
          </cell>
          <cell r="H10">
            <v>89.15</v>
          </cell>
          <cell r="I10">
            <v>88.375</v>
          </cell>
          <cell r="J10">
            <v>31.925</v>
          </cell>
          <cell r="K10">
            <v>33.53</v>
          </cell>
          <cell r="L10">
            <v>33.075</v>
          </cell>
          <cell r="M10">
            <v>33.21</v>
          </cell>
          <cell r="N10">
            <v>30.93</v>
          </cell>
          <cell r="O10">
            <v>32.175</v>
          </cell>
          <cell r="P10">
            <v>32.255</v>
          </cell>
          <cell r="Q10">
            <v>30.53</v>
          </cell>
          <cell r="R10">
            <v>88.925</v>
          </cell>
          <cell r="S10">
            <v>32</v>
          </cell>
          <cell r="T10">
            <v>31.6</v>
          </cell>
          <cell r="U10">
            <v>112</v>
          </cell>
          <cell r="V10">
            <v>180</v>
          </cell>
          <cell r="W10">
            <v>36.875</v>
          </cell>
          <cell r="X10">
            <v>90.7249999999999</v>
          </cell>
          <cell r="Y10">
            <v>100.725</v>
          </cell>
        </row>
        <row r="11">
          <cell r="A11">
            <v>37635</v>
          </cell>
          <cell r="B11">
            <v>57.5</v>
          </cell>
          <cell r="C11">
            <v>74</v>
          </cell>
          <cell r="D11">
            <v>86.4</v>
          </cell>
          <cell r="E11">
            <v>90.275</v>
          </cell>
          <cell r="F11">
            <v>240</v>
          </cell>
          <cell r="G11">
            <v>88.4</v>
          </cell>
          <cell r="H11">
            <v>87.8499999999999</v>
          </cell>
          <cell r="I11">
            <v>86.9</v>
          </cell>
          <cell r="J11">
            <v>30.875</v>
          </cell>
          <cell r="K11">
            <v>33.005</v>
          </cell>
          <cell r="L11">
            <v>32.37</v>
          </cell>
          <cell r="M11">
            <v>32.37</v>
          </cell>
          <cell r="N11">
            <v>30.455</v>
          </cell>
          <cell r="O11">
            <v>32.035</v>
          </cell>
          <cell r="P11">
            <v>31.78</v>
          </cell>
          <cell r="Q11">
            <v>30.055</v>
          </cell>
          <cell r="R11">
            <v>87.5</v>
          </cell>
          <cell r="S11">
            <v>31.125</v>
          </cell>
          <cell r="T11">
            <v>31</v>
          </cell>
          <cell r="U11">
            <v>112</v>
          </cell>
          <cell r="V11">
            <v>180</v>
          </cell>
          <cell r="W11">
            <v>36.125</v>
          </cell>
          <cell r="X11">
            <v>87.3499999999999</v>
          </cell>
          <cell r="Y11">
            <v>99.3499999999999</v>
          </cell>
        </row>
        <row r="12">
          <cell r="A12">
            <v>37634</v>
          </cell>
          <cell r="B12">
            <v>56.5</v>
          </cell>
          <cell r="C12">
            <v>71.75</v>
          </cell>
          <cell r="D12">
            <v>87.15</v>
          </cell>
          <cell r="E12">
            <v>91.15</v>
          </cell>
          <cell r="F12">
            <v>240</v>
          </cell>
          <cell r="G12">
            <v>89.15</v>
          </cell>
          <cell r="H12">
            <v>87.05</v>
          </cell>
          <cell r="I12">
            <v>86.2249999999999</v>
          </cell>
          <cell r="J12">
            <v>30.125</v>
          </cell>
          <cell r="K12">
            <v>32.66</v>
          </cell>
          <cell r="L12">
            <v>32.135</v>
          </cell>
          <cell r="M12">
            <v>32.26</v>
          </cell>
          <cell r="N12">
            <v>30.11</v>
          </cell>
          <cell r="O12">
            <v>31.76</v>
          </cell>
          <cell r="P12">
            <v>31.435</v>
          </cell>
          <cell r="Q12">
            <v>29.71</v>
          </cell>
          <cell r="R12">
            <v>86.775</v>
          </cell>
          <cell r="S12">
            <v>30.75</v>
          </cell>
          <cell r="T12">
            <v>30.75</v>
          </cell>
          <cell r="U12">
            <v>110</v>
          </cell>
          <cell r="V12">
            <v>180</v>
          </cell>
          <cell r="W12">
            <v>36.125</v>
          </cell>
          <cell r="X12">
            <v>84.45</v>
          </cell>
          <cell r="Y12">
            <v>93.45</v>
          </cell>
        </row>
        <row r="13">
          <cell r="A13">
            <v>37631</v>
          </cell>
          <cell r="B13">
            <v>55.375</v>
          </cell>
          <cell r="C13">
            <v>71</v>
          </cell>
          <cell r="D13">
            <v>83.55</v>
          </cell>
          <cell r="E13">
            <v>86.3</v>
          </cell>
          <cell r="F13">
            <v>235</v>
          </cell>
          <cell r="G13">
            <v>85.55</v>
          </cell>
          <cell r="H13">
            <v>84.7249999999999</v>
          </cell>
          <cell r="I13">
            <v>84.275</v>
          </cell>
          <cell r="J13">
            <v>29.4</v>
          </cell>
          <cell r="K13">
            <v>32.28</v>
          </cell>
          <cell r="L13">
            <v>31.805</v>
          </cell>
          <cell r="M13">
            <v>31.68</v>
          </cell>
          <cell r="N13">
            <v>29.68</v>
          </cell>
          <cell r="O13">
            <v>30.955</v>
          </cell>
          <cell r="P13">
            <v>31.005</v>
          </cell>
          <cell r="Q13">
            <v>29.28</v>
          </cell>
          <cell r="R13">
            <v>84.625</v>
          </cell>
          <cell r="S13">
            <v>30.25</v>
          </cell>
          <cell r="T13">
            <v>29.75</v>
          </cell>
          <cell r="U13">
            <v>135</v>
          </cell>
          <cell r="V13">
            <v>185</v>
          </cell>
          <cell r="W13">
            <v>35.5</v>
          </cell>
          <cell r="X13">
            <v>83.5999999999999</v>
          </cell>
          <cell r="Y13">
            <v>92.5999999999999</v>
          </cell>
        </row>
        <row r="14">
          <cell r="A14">
            <v>37630</v>
          </cell>
          <cell r="B14">
            <v>55.5</v>
          </cell>
          <cell r="C14">
            <v>71.25</v>
          </cell>
          <cell r="D14">
            <v>85.25</v>
          </cell>
          <cell r="E14">
            <v>87.875</v>
          </cell>
          <cell r="F14">
            <v>235</v>
          </cell>
          <cell r="G14">
            <v>87.25</v>
          </cell>
          <cell r="H14">
            <v>85.15</v>
          </cell>
          <cell r="I14">
            <v>84.7</v>
          </cell>
          <cell r="J14">
            <v>28.9</v>
          </cell>
          <cell r="K14">
            <v>32.715</v>
          </cell>
          <cell r="L14">
            <v>32.09</v>
          </cell>
          <cell r="M14">
            <v>31.99</v>
          </cell>
          <cell r="N14">
            <v>30.115</v>
          </cell>
          <cell r="O14">
            <v>30.745</v>
          </cell>
          <cell r="P14">
            <v>31.44</v>
          </cell>
          <cell r="Q14">
            <v>29.715</v>
          </cell>
          <cell r="R14">
            <v>85.025</v>
          </cell>
          <cell r="S14">
            <v>29.25</v>
          </cell>
          <cell r="T14">
            <v>28.75</v>
          </cell>
          <cell r="U14">
            <v>135</v>
          </cell>
          <cell r="V14">
            <v>182.5</v>
          </cell>
          <cell r="W14">
            <v>35.775</v>
          </cell>
          <cell r="X14">
            <v>82.2249999999999</v>
          </cell>
          <cell r="Y14">
            <v>91.2249999999999</v>
          </cell>
        </row>
        <row r="15">
          <cell r="A15">
            <v>37629</v>
          </cell>
          <cell r="B15">
            <v>54.5</v>
          </cell>
          <cell r="C15">
            <v>68.625</v>
          </cell>
          <cell r="D15">
            <v>79.375</v>
          </cell>
          <cell r="E15">
            <v>81.875</v>
          </cell>
          <cell r="F15">
            <v>235</v>
          </cell>
          <cell r="G15">
            <v>81.375</v>
          </cell>
          <cell r="H15">
            <v>81.15</v>
          </cell>
          <cell r="I15">
            <v>80.425</v>
          </cell>
          <cell r="J15">
            <v>28.1</v>
          </cell>
          <cell r="K15">
            <v>31.515</v>
          </cell>
          <cell r="L15">
            <v>30.71</v>
          </cell>
          <cell r="M15">
            <v>30.56</v>
          </cell>
          <cell r="N15">
            <v>28.865</v>
          </cell>
          <cell r="O15">
            <v>30.23</v>
          </cell>
          <cell r="P15">
            <v>30.19</v>
          </cell>
          <cell r="Q15">
            <v>28.465</v>
          </cell>
          <cell r="R15">
            <v>81.075</v>
          </cell>
          <cell r="S15">
            <v>28.75</v>
          </cell>
          <cell r="T15">
            <v>27.5</v>
          </cell>
          <cell r="U15">
            <v>155</v>
          </cell>
          <cell r="V15">
            <v>182.5</v>
          </cell>
          <cell r="W15">
            <v>34.875</v>
          </cell>
          <cell r="X15">
            <v>84</v>
          </cell>
          <cell r="Y15">
            <v>93</v>
          </cell>
        </row>
        <row r="16">
          <cell r="A16">
            <v>37628</v>
          </cell>
          <cell r="B16">
            <v>55</v>
          </cell>
          <cell r="C16">
            <v>69</v>
          </cell>
          <cell r="D16">
            <v>80.775</v>
          </cell>
          <cell r="E16">
            <v>82.15</v>
          </cell>
          <cell r="F16">
            <v>220</v>
          </cell>
          <cell r="G16">
            <v>82.775</v>
          </cell>
          <cell r="H16">
            <v>84.275</v>
          </cell>
          <cell r="I16">
            <v>82.55</v>
          </cell>
          <cell r="J16">
            <v>28.5</v>
          </cell>
          <cell r="K16">
            <v>31.745</v>
          </cell>
          <cell r="L16">
            <v>31.15</v>
          </cell>
          <cell r="M16">
            <v>31.08</v>
          </cell>
          <cell r="N16">
            <v>29.295</v>
          </cell>
          <cell r="O16">
            <v>29.49</v>
          </cell>
          <cell r="P16">
            <v>30.62</v>
          </cell>
          <cell r="Q16">
            <v>28.895</v>
          </cell>
          <cell r="R16">
            <v>83.375</v>
          </cell>
          <cell r="S16">
            <v>28.75</v>
          </cell>
          <cell r="T16">
            <v>27.5</v>
          </cell>
          <cell r="U16">
            <v>160</v>
          </cell>
          <cell r="V16">
            <v>180</v>
          </cell>
          <cell r="W16">
            <v>35.75</v>
          </cell>
          <cell r="X16">
            <v>93.175</v>
          </cell>
          <cell r="Y16">
            <v>102.175</v>
          </cell>
        </row>
        <row r="17">
          <cell r="A17">
            <v>37627</v>
          </cell>
          <cell r="B17">
            <v>55.875</v>
          </cell>
          <cell r="C17">
            <v>70.5</v>
          </cell>
          <cell r="D17">
            <v>84.95</v>
          </cell>
          <cell r="E17">
            <v>86.325</v>
          </cell>
          <cell r="F17">
            <v>220</v>
          </cell>
          <cell r="G17">
            <v>86.45</v>
          </cell>
          <cell r="H17">
            <v>88.675</v>
          </cell>
          <cell r="I17">
            <v>86.7</v>
          </cell>
          <cell r="J17">
            <v>29.075</v>
          </cell>
          <cell r="K17">
            <v>32.535</v>
          </cell>
          <cell r="L17">
            <v>32.1</v>
          </cell>
          <cell r="M17">
            <v>32.1</v>
          </cell>
          <cell r="N17">
            <v>30.085</v>
          </cell>
          <cell r="O17">
            <v>30.87</v>
          </cell>
          <cell r="P17">
            <v>31.41</v>
          </cell>
          <cell r="Q17">
            <v>29.685</v>
          </cell>
          <cell r="R17">
            <v>87.675</v>
          </cell>
          <cell r="S17">
            <v>29.125</v>
          </cell>
          <cell r="T17">
            <v>29</v>
          </cell>
          <cell r="U17">
            <v>160</v>
          </cell>
          <cell r="V17">
            <v>180</v>
          </cell>
          <cell r="W17">
            <v>36.75</v>
          </cell>
          <cell r="X17">
            <v>91.425</v>
          </cell>
          <cell r="Y17">
            <v>99.425</v>
          </cell>
        </row>
        <row r="18">
          <cell r="A18">
            <v>37624</v>
          </cell>
          <cell r="B18">
            <v>57.25</v>
          </cell>
          <cell r="C18">
            <v>72</v>
          </cell>
          <cell r="D18">
            <v>88.7</v>
          </cell>
          <cell r="E18">
            <v>90.7</v>
          </cell>
          <cell r="F18">
            <v>220</v>
          </cell>
          <cell r="G18">
            <v>89.7</v>
          </cell>
          <cell r="H18">
            <v>92.425</v>
          </cell>
          <cell r="I18">
            <v>89.7</v>
          </cell>
          <cell r="J18">
            <v>29.15</v>
          </cell>
          <cell r="K18">
            <v>33.285</v>
          </cell>
          <cell r="L18">
            <v>33.28</v>
          </cell>
          <cell r="M18">
            <v>33.08</v>
          </cell>
          <cell r="N18">
            <v>30.435</v>
          </cell>
          <cell r="O18">
            <v>31.975</v>
          </cell>
          <cell r="P18">
            <v>32.41</v>
          </cell>
          <cell r="Q18">
            <v>30.385</v>
          </cell>
          <cell r="R18">
            <v>91.0999999999999</v>
          </cell>
          <cell r="S18">
            <v>29.125</v>
          </cell>
          <cell r="T18">
            <v>28.875</v>
          </cell>
          <cell r="U18">
            <v>160</v>
          </cell>
          <cell r="V18">
            <v>180</v>
          </cell>
          <cell r="W18">
            <v>36.875</v>
          </cell>
          <cell r="X18">
            <v>89.825</v>
          </cell>
          <cell r="Y18">
            <v>97.825</v>
          </cell>
        </row>
        <row r="19">
          <cell r="A19">
            <v>37623</v>
          </cell>
          <cell r="B19">
            <v>55.75</v>
          </cell>
          <cell r="C19">
            <v>69.75</v>
          </cell>
          <cell r="D19">
            <v>85.875</v>
          </cell>
          <cell r="E19">
            <v>88.75</v>
          </cell>
          <cell r="F19">
            <v>220</v>
          </cell>
          <cell r="G19">
            <v>86.875</v>
          </cell>
          <cell r="H19">
            <v>89.075</v>
          </cell>
          <cell r="I19">
            <v>86.125</v>
          </cell>
          <cell r="J19">
            <v>28.7</v>
          </cell>
          <cell r="K19">
            <v>32.045</v>
          </cell>
          <cell r="L19">
            <v>32</v>
          </cell>
          <cell r="M19">
            <v>31.85</v>
          </cell>
          <cell r="N19">
            <v>29.245</v>
          </cell>
          <cell r="O19">
            <v>32.48</v>
          </cell>
          <cell r="P19">
            <v>31.22</v>
          </cell>
          <cell r="Q19">
            <v>29.195</v>
          </cell>
          <cell r="R19">
            <v>88.525</v>
          </cell>
          <cell r="S19">
            <v>29.125</v>
          </cell>
          <cell r="T19">
            <v>27.375</v>
          </cell>
          <cell r="U19">
            <v>160</v>
          </cell>
          <cell r="V19">
            <v>180</v>
          </cell>
          <cell r="W19">
            <v>36.75</v>
          </cell>
          <cell r="X19">
            <v>94.375</v>
          </cell>
          <cell r="Y19">
            <v>102.875</v>
          </cell>
        </row>
        <row r="20">
          <cell r="A20">
            <v>37621</v>
          </cell>
          <cell r="B20">
            <v>54.25</v>
          </cell>
          <cell r="C20">
            <v>68.75</v>
          </cell>
          <cell r="D20">
            <v>84.625</v>
          </cell>
          <cell r="E20">
            <v>87.625</v>
          </cell>
          <cell r="F20">
            <v>220</v>
          </cell>
          <cell r="G20">
            <v>85.625</v>
          </cell>
          <cell r="H20">
            <v>88.7249999999999</v>
          </cell>
          <cell r="I20">
            <v>85.075</v>
          </cell>
          <cell r="J20">
            <v>28.2</v>
          </cell>
          <cell r="K20">
            <v>31.395</v>
          </cell>
          <cell r="L20">
            <v>31.25</v>
          </cell>
          <cell r="M20">
            <v>31.2</v>
          </cell>
          <cell r="N20">
            <v>28.595</v>
          </cell>
          <cell r="O20">
            <v>31.07</v>
          </cell>
          <cell r="P20">
            <v>30.57</v>
          </cell>
          <cell r="Q20">
            <v>28.545</v>
          </cell>
          <cell r="R20">
            <v>87.5999999999999</v>
          </cell>
          <cell r="S20">
            <v>29.125</v>
          </cell>
          <cell r="T20">
            <v>26.5</v>
          </cell>
          <cell r="U20">
            <v>155</v>
          </cell>
          <cell r="V20">
            <v>191</v>
          </cell>
          <cell r="W20">
            <v>35</v>
          </cell>
          <cell r="X20">
            <v>100.225</v>
          </cell>
          <cell r="Y20">
            <v>108.225</v>
          </cell>
        </row>
        <row r="21">
          <cell r="A21">
            <v>37620</v>
          </cell>
          <cell r="B21">
            <v>55.25</v>
          </cell>
          <cell r="C21">
            <v>70</v>
          </cell>
          <cell r="D21">
            <v>86.05</v>
          </cell>
          <cell r="E21">
            <v>89.425</v>
          </cell>
          <cell r="F21">
            <v>220</v>
          </cell>
          <cell r="G21">
            <v>87.05</v>
          </cell>
          <cell r="H21">
            <v>88.775</v>
          </cell>
          <cell r="I21">
            <v>85.4749999999999</v>
          </cell>
          <cell r="J21">
            <v>28.3</v>
          </cell>
          <cell r="K21">
            <v>31.345</v>
          </cell>
          <cell r="L21">
            <v>31.3</v>
          </cell>
          <cell r="M21">
            <v>31.37</v>
          </cell>
          <cell r="N21">
            <v>28.545</v>
          </cell>
          <cell r="O21">
            <v>30.375</v>
          </cell>
          <cell r="P21">
            <v>30.52</v>
          </cell>
          <cell r="Q21">
            <v>28.495</v>
          </cell>
          <cell r="R21">
            <v>87.4749999999999</v>
          </cell>
          <cell r="S21">
            <v>29.125</v>
          </cell>
          <cell r="T21">
            <v>26.5</v>
          </cell>
          <cell r="U21">
            <v>155</v>
          </cell>
          <cell r="V21">
            <v>191</v>
          </cell>
          <cell r="W21">
            <v>35</v>
          </cell>
          <cell r="X21">
            <v>106.625</v>
          </cell>
          <cell r="Y21">
            <v>116.125</v>
          </cell>
        </row>
        <row r="22">
          <cell r="A22">
            <v>37617</v>
          </cell>
          <cell r="B22">
            <v>55.75</v>
          </cell>
          <cell r="C22">
            <v>70</v>
          </cell>
          <cell r="D22">
            <v>91.325</v>
          </cell>
          <cell r="E22">
            <v>94.575</v>
          </cell>
          <cell r="F22">
            <v>220</v>
          </cell>
          <cell r="G22">
            <v>92.325</v>
          </cell>
          <cell r="H22">
            <v>92.825</v>
          </cell>
          <cell r="I22">
            <v>89.625</v>
          </cell>
          <cell r="J22">
            <v>29</v>
          </cell>
          <cell r="K22">
            <v>32.695</v>
          </cell>
          <cell r="L22">
            <v>32.62</v>
          </cell>
          <cell r="M22">
            <v>32.72</v>
          </cell>
          <cell r="N22">
            <v>29.895</v>
          </cell>
          <cell r="O22">
            <v>30.37</v>
          </cell>
          <cell r="P22">
            <v>31.87</v>
          </cell>
          <cell r="Q22">
            <v>29.845</v>
          </cell>
          <cell r="R22">
            <v>91.775</v>
          </cell>
          <cell r="S22">
            <v>29.125</v>
          </cell>
          <cell r="T22">
            <v>26.5</v>
          </cell>
          <cell r="U22">
            <v>140</v>
          </cell>
          <cell r="V22">
            <v>191</v>
          </cell>
          <cell r="W22">
            <v>35.125</v>
          </cell>
          <cell r="X22">
            <v>109.825</v>
          </cell>
          <cell r="Y22">
            <v>118.325</v>
          </cell>
        </row>
        <row r="23">
          <cell r="A23">
            <v>37616</v>
          </cell>
          <cell r="B23">
            <v>56.125</v>
          </cell>
          <cell r="C23">
            <v>70.25</v>
          </cell>
          <cell r="D23">
            <v>90.55</v>
          </cell>
          <cell r="E23">
            <v>93.3</v>
          </cell>
          <cell r="F23">
            <v>220</v>
          </cell>
          <cell r="G23">
            <v>90.65</v>
          </cell>
          <cell r="H23">
            <v>92.875</v>
          </cell>
          <cell r="I23">
            <v>88.75</v>
          </cell>
          <cell r="J23">
            <v>29.1</v>
          </cell>
          <cell r="K23">
            <v>32.24</v>
          </cell>
          <cell r="L23">
            <v>32.39</v>
          </cell>
          <cell r="M23">
            <v>32.49</v>
          </cell>
          <cell r="N23">
            <v>29.44</v>
          </cell>
          <cell r="O23">
            <v>31.755</v>
          </cell>
          <cell r="P23">
            <v>31.415</v>
          </cell>
          <cell r="Q23">
            <v>29.39</v>
          </cell>
          <cell r="R23">
            <v>91.5999999999999</v>
          </cell>
          <cell r="S23">
            <v>29.125</v>
          </cell>
          <cell r="T23">
            <v>26.25</v>
          </cell>
          <cell r="U23">
            <v>140</v>
          </cell>
          <cell r="V23">
            <v>191</v>
          </cell>
          <cell r="W23">
            <v>35.125</v>
          </cell>
          <cell r="X23">
            <v>102.35</v>
          </cell>
          <cell r="Y23">
            <v>110.35</v>
          </cell>
        </row>
        <row r="24">
          <cell r="A24">
            <v>37614</v>
          </cell>
          <cell r="B24">
            <v>55.625</v>
          </cell>
          <cell r="C24">
            <v>69.75</v>
          </cell>
          <cell r="D24">
            <v>90.15</v>
          </cell>
          <cell r="E24">
            <v>92.525</v>
          </cell>
          <cell r="F24">
            <v>220</v>
          </cell>
          <cell r="G24">
            <v>90.65</v>
          </cell>
          <cell r="H24">
            <v>91.75</v>
          </cell>
          <cell r="I24">
            <v>88.5</v>
          </cell>
          <cell r="J24">
            <v>29.1</v>
          </cell>
          <cell r="K24">
            <v>32.495</v>
          </cell>
          <cell r="L24">
            <v>32.57</v>
          </cell>
          <cell r="M24">
            <v>31.97</v>
          </cell>
          <cell r="N24">
            <v>30.295</v>
          </cell>
          <cell r="O24">
            <v>31.845</v>
          </cell>
          <cell r="P24">
            <v>32.27</v>
          </cell>
          <cell r="Q24">
            <v>30.245</v>
          </cell>
          <cell r="R24">
            <v>90.825</v>
          </cell>
          <cell r="S24">
            <v>27.875</v>
          </cell>
          <cell r="T24">
            <v>25.625</v>
          </cell>
          <cell r="U24">
            <v>140</v>
          </cell>
          <cell r="V24">
            <v>191</v>
          </cell>
          <cell r="W24">
            <v>34.875</v>
          </cell>
          <cell r="X24">
            <v>105.25</v>
          </cell>
          <cell r="Y24">
            <v>112.25</v>
          </cell>
        </row>
        <row r="25">
          <cell r="A25">
            <v>37613</v>
          </cell>
          <cell r="B25">
            <v>55.625</v>
          </cell>
          <cell r="C25">
            <v>69.75</v>
          </cell>
          <cell r="D25">
            <v>89</v>
          </cell>
          <cell r="E25">
            <v>91.375</v>
          </cell>
          <cell r="F25">
            <v>220</v>
          </cell>
          <cell r="G25">
            <v>89.5</v>
          </cell>
          <cell r="H25">
            <v>90.375</v>
          </cell>
          <cell r="I25">
            <v>87.175</v>
          </cell>
          <cell r="J25">
            <v>29</v>
          </cell>
          <cell r="K25">
            <v>32.1</v>
          </cell>
          <cell r="L25">
            <v>32.225</v>
          </cell>
          <cell r="M25">
            <v>31.75</v>
          </cell>
          <cell r="N25">
            <v>29.4</v>
          </cell>
          <cell r="O25">
            <v>31.545</v>
          </cell>
          <cell r="P25">
            <v>31.875</v>
          </cell>
          <cell r="Q25">
            <v>29.25</v>
          </cell>
          <cell r="R25">
            <v>89.4</v>
          </cell>
          <cell r="S25">
            <v>27.375</v>
          </cell>
          <cell r="T25">
            <v>25.5</v>
          </cell>
          <cell r="U25">
            <v>140</v>
          </cell>
          <cell r="V25">
            <v>191</v>
          </cell>
          <cell r="W25">
            <v>34.875</v>
          </cell>
          <cell r="X25">
            <v>104.175</v>
          </cell>
          <cell r="Y25">
            <v>110.55</v>
          </cell>
        </row>
        <row r="26">
          <cell r="A26">
            <v>37610</v>
          </cell>
          <cell r="B26">
            <v>54.125</v>
          </cell>
          <cell r="C26">
            <v>68.375</v>
          </cell>
          <cell r="D26">
            <v>82.875</v>
          </cell>
          <cell r="E26">
            <v>85</v>
          </cell>
          <cell r="F26">
            <v>220</v>
          </cell>
          <cell r="G26">
            <v>83.875</v>
          </cell>
          <cell r="H26">
            <v>86.8</v>
          </cell>
          <cell r="I26">
            <v>83.45</v>
          </cell>
          <cell r="J26">
            <v>28.225</v>
          </cell>
          <cell r="K26">
            <v>30.925</v>
          </cell>
          <cell r="L26">
            <v>31.05</v>
          </cell>
          <cell r="M26">
            <v>30.3</v>
          </cell>
          <cell r="N26">
            <v>28.225</v>
          </cell>
          <cell r="O26">
            <v>31.66</v>
          </cell>
          <cell r="P26">
            <v>30.7</v>
          </cell>
          <cell r="Q26">
            <v>28.075</v>
          </cell>
          <cell r="R26">
            <v>83.75</v>
          </cell>
          <cell r="S26">
            <v>26.875</v>
          </cell>
          <cell r="T26">
            <v>23.825</v>
          </cell>
          <cell r="U26">
            <v>140</v>
          </cell>
          <cell r="V26">
            <v>191</v>
          </cell>
          <cell r="W26">
            <v>34.5</v>
          </cell>
          <cell r="X26">
            <v>104.45</v>
          </cell>
          <cell r="Y26">
            <v>112.45</v>
          </cell>
        </row>
        <row r="27">
          <cell r="A27">
            <v>37609</v>
          </cell>
          <cell r="B27">
            <v>53.75</v>
          </cell>
          <cell r="C27">
            <v>68.5</v>
          </cell>
          <cell r="D27">
            <v>82.575</v>
          </cell>
          <cell r="E27">
            <v>84.575</v>
          </cell>
          <cell r="F27">
            <v>220</v>
          </cell>
          <cell r="G27">
            <v>83.575</v>
          </cell>
          <cell r="H27">
            <v>85.3499999999999</v>
          </cell>
          <cell r="I27">
            <v>83.25</v>
          </cell>
          <cell r="J27">
            <v>28.325</v>
          </cell>
          <cell r="K27">
            <v>30.415</v>
          </cell>
          <cell r="L27">
            <v>30.26</v>
          </cell>
          <cell r="M27">
            <v>30.56</v>
          </cell>
          <cell r="N27">
            <v>27.465</v>
          </cell>
          <cell r="O27">
            <v>30.42</v>
          </cell>
          <cell r="P27">
            <v>30.19</v>
          </cell>
          <cell r="Q27">
            <v>27.265</v>
          </cell>
          <cell r="R27">
            <v>84.05</v>
          </cell>
          <cell r="S27">
            <v>26.875</v>
          </cell>
          <cell r="T27">
            <v>24.125</v>
          </cell>
          <cell r="U27">
            <v>137</v>
          </cell>
          <cell r="V27">
            <v>191</v>
          </cell>
          <cell r="W27">
            <v>34.125</v>
          </cell>
          <cell r="X27">
            <v>100.9</v>
          </cell>
          <cell r="Y27">
            <v>106.9</v>
          </cell>
        </row>
        <row r="28">
          <cell r="A28">
            <v>37608</v>
          </cell>
          <cell r="B28">
            <v>53.875</v>
          </cell>
          <cell r="C28">
            <v>68</v>
          </cell>
          <cell r="D28">
            <v>81.125</v>
          </cell>
          <cell r="E28">
            <v>83.5</v>
          </cell>
          <cell r="F28">
            <v>220</v>
          </cell>
          <cell r="G28">
            <v>81.625</v>
          </cell>
          <cell r="H28">
            <v>83.45</v>
          </cell>
          <cell r="I28">
            <v>82.15</v>
          </cell>
          <cell r="J28">
            <v>27.8</v>
          </cell>
          <cell r="K28">
            <v>30.53</v>
          </cell>
          <cell r="L28">
            <v>30.435</v>
          </cell>
          <cell r="M28">
            <v>30.44</v>
          </cell>
          <cell r="N28">
            <v>27.68</v>
          </cell>
          <cell r="O28">
            <v>30.16</v>
          </cell>
          <cell r="P28">
            <v>30.405</v>
          </cell>
          <cell r="Q28">
            <v>27.43</v>
          </cell>
          <cell r="R28">
            <v>82.3</v>
          </cell>
          <cell r="S28">
            <v>27</v>
          </cell>
          <cell r="T28">
            <v>23.425</v>
          </cell>
          <cell r="U28">
            <v>132</v>
          </cell>
          <cell r="V28">
            <v>180</v>
          </cell>
          <cell r="W28">
            <v>34.125</v>
          </cell>
          <cell r="X28">
            <v>98.4749999999999</v>
          </cell>
          <cell r="Y28">
            <v>104.475</v>
          </cell>
        </row>
        <row r="29">
          <cell r="A29">
            <v>37607</v>
          </cell>
          <cell r="B29">
            <v>53.625</v>
          </cell>
          <cell r="C29">
            <v>68.125</v>
          </cell>
          <cell r="D29">
            <v>78.65</v>
          </cell>
          <cell r="E29">
            <v>81.2</v>
          </cell>
          <cell r="F29">
            <v>220</v>
          </cell>
          <cell r="G29">
            <v>79.2</v>
          </cell>
          <cell r="H29">
            <v>81.5999999999999</v>
          </cell>
          <cell r="I29">
            <v>80.7</v>
          </cell>
          <cell r="J29">
            <v>27.375</v>
          </cell>
          <cell r="K29">
            <v>30.03</v>
          </cell>
          <cell r="L29">
            <v>30.015</v>
          </cell>
          <cell r="M29">
            <v>30.1</v>
          </cell>
          <cell r="N29">
            <v>27.13</v>
          </cell>
          <cell r="O29">
            <v>29.875</v>
          </cell>
          <cell r="P29">
            <v>29.855</v>
          </cell>
          <cell r="Q29">
            <v>26.78</v>
          </cell>
          <cell r="R29">
            <v>80.8499999999999</v>
          </cell>
          <cell r="S29">
            <v>27</v>
          </cell>
          <cell r="T29">
            <v>22.675</v>
          </cell>
          <cell r="U29">
            <v>132</v>
          </cell>
          <cell r="V29">
            <v>177</v>
          </cell>
          <cell r="W29">
            <v>33.75</v>
          </cell>
          <cell r="X29">
            <v>95.8</v>
          </cell>
          <cell r="Y29">
            <v>101.3</v>
          </cell>
        </row>
        <row r="30">
          <cell r="A30">
            <v>37606</v>
          </cell>
          <cell r="B30">
            <v>54.1875</v>
          </cell>
          <cell r="C30">
            <v>68.25</v>
          </cell>
          <cell r="D30">
            <v>81.875</v>
          </cell>
          <cell r="E30">
            <v>84.875</v>
          </cell>
          <cell r="F30">
            <v>220</v>
          </cell>
          <cell r="G30">
            <v>82.375</v>
          </cell>
          <cell r="H30">
            <v>83.875</v>
          </cell>
          <cell r="I30">
            <v>82.675</v>
          </cell>
          <cell r="J30">
            <v>27.425</v>
          </cell>
          <cell r="K30">
            <v>30.26</v>
          </cell>
          <cell r="L30">
            <v>30.12</v>
          </cell>
          <cell r="M30">
            <v>30.1</v>
          </cell>
          <cell r="N30">
            <v>27.31</v>
          </cell>
          <cell r="O30">
            <v>28.95</v>
          </cell>
          <cell r="P30">
            <v>30.035</v>
          </cell>
          <cell r="Q30">
            <v>26.71</v>
          </cell>
          <cell r="R30">
            <v>83.025</v>
          </cell>
          <cell r="S30">
            <v>27</v>
          </cell>
          <cell r="T30">
            <v>22.125</v>
          </cell>
          <cell r="U30">
            <v>130</v>
          </cell>
          <cell r="V30">
            <v>180</v>
          </cell>
          <cell r="W30">
            <v>33.75</v>
          </cell>
          <cell r="X30">
            <v>92.825</v>
          </cell>
          <cell r="Y30">
            <v>98.375</v>
          </cell>
        </row>
        <row r="31">
          <cell r="A31">
            <v>37603</v>
          </cell>
          <cell r="B31">
            <v>52.125</v>
          </cell>
          <cell r="C31">
            <v>64</v>
          </cell>
          <cell r="D31">
            <v>78.325</v>
          </cell>
          <cell r="E31">
            <v>82.075</v>
          </cell>
          <cell r="F31">
            <v>220</v>
          </cell>
          <cell r="G31">
            <v>78.825</v>
          </cell>
          <cell r="H31">
            <v>79.275</v>
          </cell>
          <cell r="I31">
            <v>78.375</v>
          </cell>
          <cell r="J31">
            <v>26.15</v>
          </cell>
          <cell r="K31">
            <v>28.475</v>
          </cell>
          <cell r="L31">
            <v>28.465</v>
          </cell>
          <cell r="M31">
            <v>28.44</v>
          </cell>
          <cell r="N31">
            <v>25.7</v>
          </cell>
          <cell r="O31">
            <v>29.42</v>
          </cell>
          <cell r="P31">
            <v>28.425</v>
          </cell>
          <cell r="Q31">
            <v>25.1</v>
          </cell>
          <cell r="R31">
            <v>78.875</v>
          </cell>
          <cell r="S31">
            <v>26.375</v>
          </cell>
          <cell r="T31">
            <v>20.825</v>
          </cell>
          <cell r="U31">
            <v>105</v>
          </cell>
          <cell r="V31">
            <v>177</v>
          </cell>
          <cell r="W31">
            <v>32.75</v>
          </cell>
          <cell r="X31">
            <v>93.875</v>
          </cell>
          <cell r="Y31">
            <v>99.425</v>
          </cell>
        </row>
        <row r="32">
          <cell r="A32">
            <v>37602</v>
          </cell>
          <cell r="B32">
            <v>51.75</v>
          </cell>
          <cell r="C32">
            <v>62.5</v>
          </cell>
          <cell r="D32">
            <v>74.7</v>
          </cell>
          <cell r="E32">
            <v>78.825</v>
          </cell>
          <cell r="F32">
            <v>220</v>
          </cell>
          <cell r="G32">
            <v>74.7</v>
          </cell>
          <cell r="H32">
            <v>76.4</v>
          </cell>
          <cell r="I32">
            <v>75.7</v>
          </cell>
          <cell r="J32">
            <v>25.8</v>
          </cell>
          <cell r="K32">
            <v>27.635</v>
          </cell>
          <cell r="L32">
            <v>28</v>
          </cell>
          <cell r="M32">
            <v>28.01</v>
          </cell>
          <cell r="N32">
            <v>25.11</v>
          </cell>
          <cell r="O32">
            <v>27.885</v>
          </cell>
          <cell r="P32">
            <v>27.935</v>
          </cell>
          <cell r="Q32">
            <v>24.51</v>
          </cell>
          <cell r="R32">
            <v>75.775</v>
          </cell>
          <cell r="S32">
            <v>26</v>
          </cell>
          <cell r="T32">
            <v>19.975</v>
          </cell>
          <cell r="U32">
            <v>102</v>
          </cell>
          <cell r="V32">
            <v>177</v>
          </cell>
          <cell r="W32">
            <v>32.125</v>
          </cell>
          <cell r="X32">
            <v>97.0999999999999</v>
          </cell>
          <cell r="Y32">
            <v>102.65</v>
          </cell>
        </row>
        <row r="33">
          <cell r="A33">
            <v>37601</v>
          </cell>
          <cell r="B33">
            <v>49.875</v>
          </cell>
          <cell r="C33">
            <v>60.25</v>
          </cell>
          <cell r="D33">
            <v>71.4749999999999</v>
          </cell>
          <cell r="E33">
            <v>75.5999999999999</v>
          </cell>
          <cell r="F33">
            <v>220</v>
          </cell>
          <cell r="G33">
            <v>72.4749999999999</v>
          </cell>
          <cell r="H33">
            <v>74.0999999999999</v>
          </cell>
          <cell r="I33">
            <v>73.4749999999999</v>
          </cell>
          <cell r="J33">
            <v>24.8</v>
          </cell>
          <cell r="K33">
            <v>27.205</v>
          </cell>
          <cell r="L33">
            <v>27.5</v>
          </cell>
          <cell r="M33">
            <v>27.4</v>
          </cell>
          <cell r="N33">
            <v>24.68</v>
          </cell>
          <cell r="O33">
            <v>27.6</v>
          </cell>
          <cell r="P33">
            <v>27.505</v>
          </cell>
          <cell r="Q33">
            <v>24.08</v>
          </cell>
          <cell r="R33">
            <v>73.8</v>
          </cell>
          <cell r="S33">
            <v>24.625</v>
          </cell>
          <cell r="T33">
            <v>19.375</v>
          </cell>
          <cell r="U33">
            <v>105</v>
          </cell>
          <cell r="V33">
            <v>177</v>
          </cell>
          <cell r="W33">
            <v>31.375</v>
          </cell>
          <cell r="X33">
            <v>95.7</v>
          </cell>
          <cell r="Y33">
            <v>102.45</v>
          </cell>
        </row>
        <row r="34">
          <cell r="A34">
            <v>37600</v>
          </cell>
          <cell r="B34">
            <v>49.75</v>
          </cell>
          <cell r="C34">
            <v>60.375</v>
          </cell>
          <cell r="D34">
            <v>73.7249999999999</v>
          </cell>
          <cell r="E34">
            <v>78.5999999999999</v>
          </cell>
          <cell r="F34">
            <v>220</v>
          </cell>
          <cell r="G34">
            <v>75.2249999999999</v>
          </cell>
          <cell r="H34">
            <v>73.9</v>
          </cell>
          <cell r="I34">
            <v>73.45</v>
          </cell>
          <cell r="J34">
            <v>24.625</v>
          </cell>
          <cell r="K34">
            <v>27.305</v>
          </cell>
          <cell r="L34">
            <v>27.64</v>
          </cell>
          <cell r="M34">
            <v>27.74</v>
          </cell>
          <cell r="N34">
            <v>24.805</v>
          </cell>
          <cell r="O34">
            <v>26.98</v>
          </cell>
          <cell r="P34">
            <v>27.63</v>
          </cell>
          <cell r="Q34">
            <v>24.205</v>
          </cell>
          <cell r="R34">
            <v>73.65</v>
          </cell>
          <cell r="S34">
            <v>24.375</v>
          </cell>
          <cell r="T34">
            <v>19.625</v>
          </cell>
          <cell r="U34">
            <v>130</v>
          </cell>
          <cell r="V34">
            <v>177</v>
          </cell>
          <cell r="W34">
            <v>31.125</v>
          </cell>
          <cell r="X34">
            <v>96.4</v>
          </cell>
          <cell r="Y34">
            <v>102.65</v>
          </cell>
        </row>
        <row r="35">
          <cell r="A35">
            <v>37599</v>
          </cell>
          <cell r="B35">
            <v>49.375</v>
          </cell>
          <cell r="C35">
            <v>59.125</v>
          </cell>
          <cell r="D35">
            <v>70.9</v>
          </cell>
          <cell r="E35">
            <v>75.525</v>
          </cell>
          <cell r="F35">
            <v>220</v>
          </cell>
          <cell r="G35">
            <v>68.9</v>
          </cell>
          <cell r="H35">
            <v>72.8</v>
          </cell>
          <cell r="I35">
            <v>72.3</v>
          </cell>
          <cell r="J35">
            <v>24.5</v>
          </cell>
          <cell r="K35">
            <v>26.885</v>
          </cell>
          <cell r="L35">
            <v>27.27</v>
          </cell>
          <cell r="M35">
            <v>27.2</v>
          </cell>
          <cell r="N35">
            <v>24.385</v>
          </cell>
          <cell r="O35">
            <v>27.015</v>
          </cell>
          <cell r="P35">
            <v>27.21</v>
          </cell>
          <cell r="Q35">
            <v>23.785</v>
          </cell>
          <cell r="R35">
            <v>72.125</v>
          </cell>
          <cell r="S35">
            <v>24.125</v>
          </cell>
          <cell r="T35">
            <v>19.4</v>
          </cell>
          <cell r="U35">
            <v>140</v>
          </cell>
          <cell r="V35">
            <v>177.5</v>
          </cell>
          <cell r="W35">
            <v>30.5</v>
          </cell>
          <cell r="X35">
            <v>93.9</v>
          </cell>
          <cell r="Y35">
            <v>99.775</v>
          </cell>
        </row>
        <row r="36">
          <cell r="A36">
            <v>37596</v>
          </cell>
          <cell r="B36">
            <v>49.1875</v>
          </cell>
          <cell r="C36">
            <v>58.625</v>
          </cell>
          <cell r="D36">
            <v>68.525</v>
          </cell>
          <cell r="E36">
            <v>73.4</v>
          </cell>
          <cell r="F36">
            <v>220</v>
          </cell>
          <cell r="G36">
            <v>66.525</v>
          </cell>
          <cell r="H36">
            <v>72.3</v>
          </cell>
          <cell r="I36">
            <v>71.45</v>
          </cell>
          <cell r="J36">
            <v>24.5</v>
          </cell>
          <cell r="K36">
            <v>26.505</v>
          </cell>
          <cell r="L36">
            <v>26.96</v>
          </cell>
          <cell r="M36">
            <v>26.93</v>
          </cell>
          <cell r="N36">
            <v>24.005</v>
          </cell>
          <cell r="O36">
            <v>26.505</v>
          </cell>
          <cell r="P36">
            <v>26.88</v>
          </cell>
          <cell r="Q36">
            <v>23.405</v>
          </cell>
          <cell r="R36">
            <v>71.9</v>
          </cell>
          <cell r="S36">
            <v>23.875</v>
          </cell>
          <cell r="T36">
            <v>19.475</v>
          </cell>
          <cell r="U36">
            <v>140</v>
          </cell>
          <cell r="V36">
            <v>177.5</v>
          </cell>
          <cell r="W36">
            <v>30.5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zoomScale="50" zoomScaleNormal="50" zoomScaleSheetLayoutView="50" zoomScalePageLayoutView="0" workbookViewId="0" topLeftCell="A1">
      <selection activeCell="B28" sqref="B28"/>
    </sheetView>
  </sheetViews>
  <sheetFormatPr defaultColWidth="11.421875" defaultRowHeight="12.75"/>
  <cols>
    <col min="1" max="1" width="59.421875" style="65" customWidth="1"/>
    <col min="2" max="2" width="17.8515625" style="65" customWidth="1"/>
    <col min="3" max="3" width="23.28125" style="65" customWidth="1"/>
    <col min="4" max="5" width="17.28125" style="65" bestFit="1" customWidth="1"/>
    <col min="6" max="6" width="17.7109375" style="65" customWidth="1"/>
    <col min="7" max="7" width="29.28125" style="65" bestFit="1" customWidth="1"/>
    <col min="8" max="8" width="17.57421875" style="65" bestFit="1" customWidth="1"/>
    <col min="9" max="9" width="24.28125" style="65" bestFit="1" customWidth="1"/>
    <col min="10" max="10" width="17.00390625" style="65" bestFit="1" customWidth="1"/>
    <col min="11" max="11" width="16.00390625" style="65" bestFit="1" customWidth="1"/>
    <col min="12" max="12" width="16.421875" style="63" customWidth="1"/>
    <col min="13" max="13" width="12.421875" style="62" customWidth="1"/>
    <col min="14" max="26" width="11.421875" style="62" customWidth="1"/>
    <col min="27" max="16384" width="11.421875" style="63" customWidth="1"/>
  </cols>
  <sheetData>
    <row r="1" spans="1:12" ht="40.5" customHeight="1">
      <c r="A1" s="2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40.5" customHeight="1" thickBo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ht="40.5" customHeight="1">
      <c r="A3" s="10" t="s">
        <v>1</v>
      </c>
      <c r="B3" s="11" t="s">
        <v>33</v>
      </c>
      <c r="C3" s="11" t="s">
        <v>26</v>
      </c>
      <c r="D3" s="11" t="s">
        <v>2</v>
      </c>
      <c r="E3" s="11" t="s">
        <v>3</v>
      </c>
      <c r="F3" s="12" t="s">
        <v>4</v>
      </c>
      <c r="G3" s="11" t="s">
        <v>34</v>
      </c>
      <c r="H3" s="12" t="s">
        <v>5</v>
      </c>
      <c r="I3" s="13" t="s">
        <v>39</v>
      </c>
      <c r="J3" s="79" t="s">
        <v>36</v>
      </c>
      <c r="K3" s="80"/>
      <c r="L3" s="14" t="s">
        <v>6</v>
      </c>
    </row>
    <row r="4" spans="1:12" ht="40.5" customHeight="1">
      <c r="A4" s="15"/>
      <c r="B4" s="16">
        <v>38353</v>
      </c>
      <c r="C4" s="16">
        <f aca="true" t="shared" si="0" ref="C4:I4">+B4</f>
        <v>38353</v>
      </c>
      <c r="D4" s="16">
        <f t="shared" si="0"/>
        <v>38353</v>
      </c>
      <c r="E4" s="16">
        <f t="shared" si="0"/>
        <v>38353</v>
      </c>
      <c r="F4" s="16">
        <f t="shared" si="0"/>
        <v>38353</v>
      </c>
      <c r="G4" s="16">
        <f t="shared" si="0"/>
        <v>38353</v>
      </c>
      <c r="H4" s="16">
        <f t="shared" si="0"/>
        <v>38353</v>
      </c>
      <c r="I4" s="16">
        <f t="shared" si="0"/>
        <v>38353</v>
      </c>
      <c r="J4" s="16">
        <f>+H4</f>
        <v>38353</v>
      </c>
      <c r="K4" s="16">
        <f>+J4</f>
        <v>38353</v>
      </c>
      <c r="L4" s="17">
        <f>+K4</f>
        <v>38353</v>
      </c>
    </row>
    <row r="5" spans="1:12" ht="40.5" customHeight="1">
      <c r="A5" s="15"/>
      <c r="B5" s="18"/>
      <c r="C5" s="19"/>
      <c r="D5" s="20" t="s">
        <v>7</v>
      </c>
      <c r="E5" s="20"/>
      <c r="F5" s="20" t="s">
        <v>7</v>
      </c>
      <c r="G5" s="21" t="s">
        <v>7</v>
      </c>
      <c r="H5" s="21" t="s">
        <v>7</v>
      </c>
      <c r="I5" s="21" t="s">
        <v>8</v>
      </c>
      <c r="J5" s="21" t="s">
        <v>8</v>
      </c>
      <c r="K5" s="22" t="s">
        <v>27</v>
      </c>
      <c r="L5" s="23" t="s">
        <v>28</v>
      </c>
    </row>
    <row r="6" spans="1:12" ht="40.5" customHeight="1">
      <c r="A6" s="24" t="s">
        <v>9</v>
      </c>
      <c r="B6" s="25">
        <v>2426.82</v>
      </c>
      <c r="C6" s="25">
        <v>3339.19</v>
      </c>
      <c r="D6" s="25">
        <v>2010.63</v>
      </c>
      <c r="E6" s="25">
        <f>+D6</f>
        <v>2010.63</v>
      </c>
      <c r="F6" s="25">
        <v>4305.31</v>
      </c>
      <c r="G6" s="25">
        <f>C6</f>
        <v>3339.19</v>
      </c>
      <c r="H6" s="25">
        <v>5027.09</v>
      </c>
      <c r="I6" s="25">
        <f>+J12</f>
        <v>1728.0868</v>
      </c>
      <c r="J6" s="25">
        <v>1489.73</v>
      </c>
      <c r="K6" s="25">
        <f>+J6*1.016</f>
        <v>1513.56568</v>
      </c>
      <c r="L6" s="26">
        <v>1406.52</v>
      </c>
    </row>
    <row r="7" spans="1:12" ht="40.5" customHeight="1">
      <c r="A7" s="24" t="s">
        <v>35</v>
      </c>
      <c r="B7" s="27">
        <v>3.5</v>
      </c>
      <c r="C7" s="27">
        <v>3.5</v>
      </c>
      <c r="D7" s="27">
        <v>3.5</v>
      </c>
      <c r="E7" s="27">
        <f>+D7</f>
        <v>3.5</v>
      </c>
      <c r="F7" s="28"/>
      <c r="G7" s="28"/>
      <c r="H7" s="29"/>
      <c r="I7" s="29"/>
      <c r="J7" s="29"/>
      <c r="K7" s="29"/>
      <c r="L7" s="30"/>
    </row>
    <row r="8" spans="1:12" ht="40.5" customHeight="1">
      <c r="A8" s="24" t="s">
        <v>10</v>
      </c>
      <c r="B8" s="31" t="s">
        <v>11</v>
      </c>
      <c r="C8" s="32" t="s">
        <v>11</v>
      </c>
      <c r="D8" s="31" t="s">
        <v>11</v>
      </c>
      <c r="E8" s="32" t="s">
        <v>11</v>
      </c>
      <c r="F8" s="33" t="s">
        <v>11</v>
      </c>
      <c r="G8" s="32" t="s">
        <v>11</v>
      </c>
      <c r="H8" s="34"/>
      <c r="I8" s="34"/>
      <c r="J8" s="34"/>
      <c r="K8" s="34"/>
      <c r="L8" s="26">
        <v>113.34</v>
      </c>
    </row>
    <row r="9" spans="1:12" ht="40.5" customHeight="1">
      <c r="A9" s="24" t="s">
        <v>12</v>
      </c>
      <c r="B9" s="34"/>
      <c r="C9" s="35" t="s">
        <v>7</v>
      </c>
      <c r="D9" s="34" t="s">
        <v>7</v>
      </c>
      <c r="E9" s="35"/>
      <c r="F9" s="36" t="s">
        <v>7</v>
      </c>
      <c r="G9" s="37" t="s">
        <v>7</v>
      </c>
      <c r="H9" s="36" t="s">
        <v>7</v>
      </c>
      <c r="I9" s="36" t="s">
        <v>7</v>
      </c>
      <c r="J9" s="38"/>
      <c r="K9" s="36" t="s">
        <v>7</v>
      </c>
      <c r="L9" s="26">
        <v>110.3</v>
      </c>
    </row>
    <row r="10" spans="1:12" ht="40.5" customHeight="1">
      <c r="A10" s="24" t="s">
        <v>13</v>
      </c>
      <c r="B10" s="25">
        <v>594.18</v>
      </c>
      <c r="C10" s="25">
        <v>683.31</v>
      </c>
      <c r="D10" s="25">
        <v>393.81</v>
      </c>
      <c r="E10" s="25">
        <v>393.81</v>
      </c>
      <c r="F10" s="36" t="s">
        <v>7</v>
      </c>
      <c r="G10" s="37"/>
      <c r="H10" s="36"/>
      <c r="I10" s="36" t="s">
        <v>7</v>
      </c>
      <c r="J10" s="36" t="s">
        <v>7</v>
      </c>
      <c r="K10" s="36" t="s">
        <v>7</v>
      </c>
      <c r="L10" s="39" t="s">
        <v>7</v>
      </c>
    </row>
    <row r="11" spans="1:12" ht="40.5" customHeight="1">
      <c r="A11" s="24" t="s">
        <v>14</v>
      </c>
      <c r="B11" s="25">
        <f aca="true" t="shared" si="1" ref="B11:H11">+B6*0.16</f>
        <v>388.29120000000006</v>
      </c>
      <c r="C11" s="25">
        <f t="shared" si="1"/>
        <v>534.2704</v>
      </c>
      <c r="D11" s="25">
        <f t="shared" si="1"/>
        <v>321.7008</v>
      </c>
      <c r="E11" s="25">
        <f t="shared" si="1"/>
        <v>321.7008</v>
      </c>
      <c r="F11" s="25">
        <f t="shared" si="1"/>
        <v>688.8496000000001</v>
      </c>
      <c r="G11" s="25">
        <f t="shared" si="1"/>
        <v>534.2704</v>
      </c>
      <c r="H11" s="25">
        <f t="shared" si="1"/>
        <v>804.3344000000001</v>
      </c>
      <c r="I11" s="25">
        <f>+I6*0.1</f>
        <v>172.80868</v>
      </c>
      <c r="J11" s="25">
        <f>+J6*0.16</f>
        <v>238.35680000000002</v>
      </c>
      <c r="K11" s="25">
        <f>+K6*0.16</f>
        <v>242.1705088</v>
      </c>
      <c r="L11" s="39"/>
    </row>
    <row r="12" spans="1:12" ht="40.5" customHeight="1">
      <c r="A12" s="24" t="s">
        <v>15</v>
      </c>
      <c r="B12" s="40" t="s">
        <v>16</v>
      </c>
      <c r="C12" s="41" t="s">
        <v>16</v>
      </c>
      <c r="D12" s="40" t="s">
        <v>16</v>
      </c>
      <c r="E12" s="41" t="s">
        <v>16</v>
      </c>
      <c r="F12" s="42" t="s">
        <v>16</v>
      </c>
      <c r="G12" s="41" t="s">
        <v>16</v>
      </c>
      <c r="H12" s="25">
        <f>SUM(H6:H11)</f>
        <v>5831.4244</v>
      </c>
      <c r="I12" s="25">
        <f>SUM(I6:I11)</f>
        <v>1900.8954800000001</v>
      </c>
      <c r="J12" s="25">
        <f>SUM(J6:J11)</f>
        <v>1728.0868</v>
      </c>
      <c r="K12" s="25">
        <f>SUM(K6:K11)</f>
        <v>1755.7361888</v>
      </c>
      <c r="L12" s="26">
        <f>SUM(L6:L11)</f>
        <v>1630.1599999999999</v>
      </c>
    </row>
    <row r="13" spans="1:12" ht="40.5" customHeight="1">
      <c r="A13" s="24" t="s">
        <v>17</v>
      </c>
      <c r="B13" s="43">
        <f>2418.3*0.085</f>
        <v>205.55550000000002</v>
      </c>
      <c r="C13" s="25"/>
      <c r="D13" s="25">
        <v>185</v>
      </c>
      <c r="E13" s="25">
        <f>+D13</f>
        <v>185</v>
      </c>
      <c r="F13" s="34"/>
      <c r="G13" s="35" t="s">
        <v>7</v>
      </c>
      <c r="H13" s="34"/>
      <c r="I13" s="36"/>
      <c r="J13" s="36" t="s">
        <v>7</v>
      </c>
      <c r="K13" s="36" t="s">
        <v>7</v>
      </c>
      <c r="L13" s="44"/>
    </row>
    <row r="14" spans="1:12" ht="40.5" customHeight="1">
      <c r="A14" s="24" t="s">
        <v>18</v>
      </c>
      <c r="B14" s="45" t="s">
        <v>16</v>
      </c>
      <c r="C14" s="46" t="s">
        <v>20</v>
      </c>
      <c r="D14" s="45" t="s">
        <v>16</v>
      </c>
      <c r="E14" s="46" t="s">
        <v>16</v>
      </c>
      <c r="F14" s="47"/>
      <c r="G14" s="47"/>
      <c r="H14" s="47"/>
      <c r="I14" s="47"/>
      <c r="J14" s="47"/>
      <c r="K14" s="47"/>
      <c r="L14" s="44"/>
    </row>
    <row r="15" spans="1:12" ht="40.5" customHeight="1">
      <c r="A15" s="24" t="s">
        <v>19</v>
      </c>
      <c r="B15" s="43">
        <f>2418.3*0.125</f>
        <v>302.2875</v>
      </c>
      <c r="C15" s="25"/>
      <c r="D15" s="25">
        <v>272.06</v>
      </c>
      <c r="E15" s="46" t="s">
        <v>29</v>
      </c>
      <c r="F15" s="34" t="s">
        <v>7</v>
      </c>
      <c r="G15" s="34" t="s">
        <v>7</v>
      </c>
      <c r="H15" s="34"/>
      <c r="I15" s="36" t="s">
        <v>7</v>
      </c>
      <c r="J15" s="36" t="s">
        <v>7</v>
      </c>
      <c r="K15" s="36" t="s">
        <v>7</v>
      </c>
      <c r="L15" s="44" t="s">
        <v>7</v>
      </c>
    </row>
    <row r="16" spans="1:12" ht="40.5" customHeight="1">
      <c r="A16" s="24" t="s">
        <v>21</v>
      </c>
      <c r="B16" s="25">
        <v>15.47</v>
      </c>
      <c r="C16" s="25"/>
      <c r="D16" s="25"/>
      <c r="E16" s="48"/>
      <c r="F16" s="49" t="s">
        <v>7</v>
      </c>
      <c r="G16" s="49" t="s">
        <v>7</v>
      </c>
      <c r="H16" s="49" t="s">
        <v>7</v>
      </c>
      <c r="I16" s="50" t="s">
        <v>7</v>
      </c>
      <c r="J16" s="50"/>
      <c r="K16" s="50" t="s">
        <v>7</v>
      </c>
      <c r="L16" s="51" t="s">
        <v>7</v>
      </c>
    </row>
    <row r="17" spans="1:12" ht="40.5" customHeight="1">
      <c r="A17" s="24" t="s">
        <v>22</v>
      </c>
      <c r="B17" s="43">
        <f>2418.3*0.005</f>
        <v>12.091500000000002</v>
      </c>
      <c r="C17" s="25"/>
      <c r="D17" s="25">
        <v>13.22</v>
      </c>
      <c r="E17" s="48" t="s">
        <v>29</v>
      </c>
      <c r="F17" s="49"/>
      <c r="G17" s="49" t="s">
        <v>7</v>
      </c>
      <c r="H17" s="49" t="s">
        <v>7</v>
      </c>
      <c r="I17" s="50" t="s">
        <v>7</v>
      </c>
      <c r="J17" s="50" t="s">
        <v>7</v>
      </c>
      <c r="K17" s="50" t="s">
        <v>7</v>
      </c>
      <c r="L17" s="51" t="s">
        <v>7</v>
      </c>
    </row>
    <row r="18" spans="1:12" ht="40.5" customHeight="1">
      <c r="A18" s="24" t="s">
        <v>23</v>
      </c>
      <c r="B18" s="25">
        <f>3776.92*0.25</f>
        <v>944.23</v>
      </c>
      <c r="C18" s="52">
        <f>5192.4*0.25</f>
        <v>1298.1</v>
      </c>
      <c r="D18" s="25">
        <f>3070.92*0.06</f>
        <v>184.2552</v>
      </c>
      <c r="E18" s="25">
        <f>+D18</f>
        <v>184.2552</v>
      </c>
      <c r="F18" s="53"/>
      <c r="G18" s="49" t="s">
        <v>7</v>
      </c>
      <c r="H18" s="49" t="s">
        <v>7</v>
      </c>
      <c r="I18" s="50" t="s">
        <v>7</v>
      </c>
      <c r="J18" s="50" t="s">
        <v>7</v>
      </c>
      <c r="K18" s="50" t="s">
        <v>7</v>
      </c>
      <c r="L18" s="51" t="s">
        <v>7</v>
      </c>
    </row>
    <row r="19" spans="1:12" ht="40.5" customHeight="1" thickBot="1">
      <c r="A19" s="54" t="s">
        <v>24</v>
      </c>
      <c r="B19" s="55" t="s">
        <v>16</v>
      </c>
      <c r="C19" s="56" t="s">
        <v>16</v>
      </c>
      <c r="D19" s="55" t="s">
        <v>16</v>
      </c>
      <c r="E19" s="57" t="s">
        <v>29</v>
      </c>
      <c r="F19" s="58"/>
      <c r="G19" s="59" t="s">
        <v>7</v>
      </c>
      <c r="H19" s="59" t="s">
        <v>7</v>
      </c>
      <c r="I19" s="60" t="s">
        <v>7</v>
      </c>
      <c r="J19" s="60" t="s">
        <v>7</v>
      </c>
      <c r="K19" s="60" t="s">
        <v>7</v>
      </c>
      <c r="L19" s="61" t="s">
        <v>7</v>
      </c>
    </row>
    <row r="20" spans="1:26" s="67" customFormat="1" ht="18" customHeight="1">
      <c r="A20" s="81" t="s">
        <v>37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s="67" customFormat="1" ht="18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s="67" customFormat="1" ht="18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s="67" customFormat="1" ht="18" customHeight="1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s="67" customFormat="1" ht="18" customHeight="1">
      <c r="A24" s="1" t="s">
        <v>32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40.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40.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ht="40.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ht="40.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40.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ht="40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</row>
    <row r="31" spans="1:26" ht="40.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40.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1:26" ht="40.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40.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spans="1:26" ht="40.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spans="1:26" ht="40.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1:26" ht="40.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spans="1:26" ht="40.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 ht="40.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spans="1:26" ht="40.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spans="1:26" ht="40.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26" ht="40.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spans="1:26" ht="40.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spans="1:26" ht="18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spans="1:26" ht="18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spans="1:26" ht="18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spans="1:26" ht="18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18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11" s="62" customFormat="1" ht="18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s="62" customFormat="1" ht="18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1" s="62" customFormat="1" ht="18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s="62" customFormat="1" ht="18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s="62" customFormat="1" ht="18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</row>
    <row r="54" spans="1:11" s="62" customFormat="1" ht="18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</row>
    <row r="55" spans="1:11" s="62" customFormat="1" ht="18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1" s="62" customFormat="1" ht="18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</row>
    <row r="57" spans="1:11" s="62" customFormat="1" ht="18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</row>
    <row r="58" spans="1:11" s="62" customFormat="1" ht="18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</row>
    <row r="59" spans="1:11" s="62" customFormat="1" ht="18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</row>
    <row r="60" spans="1:11" s="62" customFormat="1" ht="18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1" s="62" customFormat="1" ht="18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</row>
    <row r="62" spans="1:11" s="62" customFormat="1" ht="18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spans="1:11" s="62" customFormat="1" ht="18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</row>
    <row r="64" spans="1:11" s="62" customFormat="1" ht="18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</row>
    <row r="65" spans="1:11" s="62" customFormat="1" ht="18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</row>
    <row r="66" spans="1:11" s="62" customFormat="1" ht="18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</row>
    <row r="67" spans="1:11" s="62" customFormat="1" ht="18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</row>
    <row r="68" spans="1:11" s="62" customFormat="1" ht="18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</row>
    <row r="69" spans="1:11" s="62" customFormat="1" ht="18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</row>
    <row r="70" spans="1:11" s="62" customFormat="1" ht="18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</row>
    <row r="71" spans="1:11" s="62" customFormat="1" ht="18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</row>
    <row r="72" spans="1:11" s="62" customFormat="1" ht="18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</row>
    <row r="73" spans="1:11" s="62" customFormat="1" ht="18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</row>
    <row r="74" spans="1:11" s="62" customFormat="1" ht="18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</row>
    <row r="75" spans="1:11" s="62" customFormat="1" ht="18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</row>
    <row r="76" spans="1:11" s="62" customFormat="1" ht="18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</row>
    <row r="77" spans="1:11" s="62" customFormat="1" ht="18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</row>
    <row r="78" spans="1:11" s="62" customFormat="1" ht="18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</row>
    <row r="79" spans="1:11" s="62" customFormat="1" ht="18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</row>
    <row r="80" spans="1:11" s="62" customFormat="1" ht="18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</row>
    <row r="81" spans="1:11" s="62" customFormat="1" ht="18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</row>
    <row r="82" spans="1:11" s="62" customFormat="1" ht="18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</row>
  </sheetData>
  <sheetProtection password="DFD7" sheet="1" objects="1" scenarios="1"/>
  <mergeCells count="6">
    <mergeCell ref="A23:L23"/>
    <mergeCell ref="A24:L24"/>
    <mergeCell ref="J3:K3"/>
    <mergeCell ref="A20:L20"/>
    <mergeCell ref="A21:L21"/>
    <mergeCell ref="A22:L22"/>
  </mergeCells>
  <printOptions horizontalCentered="1" verticalCentered="1"/>
  <pageMargins left="0.5905511811023623" right="0.5905511811023623" top="0.7874015748031497" bottom="0.7874015748031497" header="0" footer="0"/>
  <pageSetup fitToHeight="5" horizontalDpi="300" verticalDpi="300" orientation="landscape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9"/>
  <sheetViews>
    <sheetView zoomScale="60" zoomScaleNormal="60" zoomScaleSheetLayoutView="50" zoomScalePageLayoutView="0" workbookViewId="0" topLeftCell="A1">
      <selection activeCell="E28" sqref="E28"/>
    </sheetView>
  </sheetViews>
  <sheetFormatPr defaultColWidth="9.8515625" defaultRowHeight="12.75"/>
  <cols>
    <col min="1" max="1" width="35.8515625" style="65" customWidth="1"/>
    <col min="2" max="2" width="17.8515625" style="65" customWidth="1"/>
    <col min="3" max="3" width="16.140625" style="65" customWidth="1"/>
    <col min="4" max="5" width="16.140625" style="65" bestFit="1" customWidth="1"/>
    <col min="6" max="6" width="16.28125" style="65" bestFit="1" customWidth="1"/>
    <col min="7" max="8" width="16.140625" style="65" bestFit="1" customWidth="1"/>
    <col min="9" max="9" width="16.140625" style="65" customWidth="1"/>
    <col min="10" max="12" width="16.140625" style="65" bestFit="1" customWidth="1"/>
    <col min="13" max="13" width="12.28125" style="62" bestFit="1" customWidth="1"/>
    <col min="14" max="96" width="9.8515625" style="62" customWidth="1"/>
    <col min="97" max="16384" width="9.8515625" style="63" customWidth="1"/>
  </cols>
  <sheetData>
    <row r="1" spans="1:12" ht="18.75" thickBot="1">
      <c r="A1" s="70"/>
      <c r="B1" s="64"/>
      <c r="C1" s="64"/>
      <c r="D1" s="71"/>
      <c r="E1" s="64"/>
      <c r="F1" s="64"/>
      <c r="G1" s="64"/>
      <c r="H1" s="64"/>
      <c r="I1" s="64"/>
      <c r="J1" s="64"/>
      <c r="K1" s="64"/>
      <c r="L1" s="64"/>
    </row>
    <row r="2" spans="1:12" ht="24" customHeight="1">
      <c r="A2" s="2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8.7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36" customHeight="1">
      <c r="A4" s="10" t="s">
        <v>1</v>
      </c>
      <c r="B4" s="11" t="s">
        <v>33</v>
      </c>
      <c r="C4" s="11" t="s">
        <v>26</v>
      </c>
      <c r="D4" s="11" t="s">
        <v>2</v>
      </c>
      <c r="E4" s="11" t="s">
        <v>3</v>
      </c>
      <c r="F4" s="12" t="s">
        <v>4</v>
      </c>
      <c r="G4" s="11" t="s">
        <v>34</v>
      </c>
      <c r="H4" s="12" t="s">
        <v>5</v>
      </c>
      <c r="I4" s="13" t="s">
        <v>39</v>
      </c>
      <c r="J4" s="79" t="s">
        <v>36</v>
      </c>
      <c r="K4" s="80"/>
      <c r="L4" s="14" t="s">
        <v>6</v>
      </c>
    </row>
    <row r="5" spans="1:12" ht="25.5" customHeight="1">
      <c r="A5" s="15"/>
      <c r="B5" s="16">
        <v>38626</v>
      </c>
      <c r="C5" s="16">
        <f aca="true" t="shared" si="0" ref="C5:I5">+B5</f>
        <v>38626</v>
      </c>
      <c r="D5" s="16">
        <f t="shared" si="0"/>
        <v>38626</v>
      </c>
      <c r="E5" s="16">
        <f t="shared" si="0"/>
        <v>38626</v>
      </c>
      <c r="F5" s="16">
        <f t="shared" si="0"/>
        <v>38626</v>
      </c>
      <c r="G5" s="16">
        <f t="shared" si="0"/>
        <v>38626</v>
      </c>
      <c r="H5" s="16">
        <f t="shared" si="0"/>
        <v>38626</v>
      </c>
      <c r="I5" s="16">
        <f t="shared" si="0"/>
        <v>38626</v>
      </c>
      <c r="J5" s="16">
        <f>+H5</f>
        <v>38626</v>
      </c>
      <c r="K5" s="16">
        <f>+J5</f>
        <v>38626</v>
      </c>
      <c r="L5" s="17">
        <f>+K5</f>
        <v>38626</v>
      </c>
    </row>
    <row r="6" spans="1:12" ht="25.5" customHeight="1">
      <c r="A6" s="15"/>
      <c r="B6" s="18"/>
      <c r="C6" s="19"/>
      <c r="D6" s="20" t="s">
        <v>7</v>
      </c>
      <c r="E6" s="20"/>
      <c r="F6" s="20" t="s">
        <v>7</v>
      </c>
      <c r="G6" s="21" t="s">
        <v>7</v>
      </c>
      <c r="H6" s="21" t="s">
        <v>7</v>
      </c>
      <c r="I6" s="21" t="s">
        <v>8</v>
      </c>
      <c r="J6" s="21" t="s">
        <v>8</v>
      </c>
      <c r="K6" s="22" t="s">
        <v>27</v>
      </c>
      <c r="L6" s="23" t="s">
        <v>28</v>
      </c>
    </row>
    <row r="7" spans="1:13" ht="33" customHeight="1">
      <c r="A7" s="24" t="s">
        <v>9</v>
      </c>
      <c r="B7" s="28">
        <v>2646.23</v>
      </c>
      <c r="C7" s="25">
        <v>3789.19</v>
      </c>
      <c r="D7" s="28">
        <v>2224.28</v>
      </c>
      <c r="E7" s="28">
        <f>+D7</f>
        <v>2224.28</v>
      </c>
      <c r="F7" s="28">
        <v>5749.13</v>
      </c>
      <c r="G7" s="28">
        <f>C7</f>
        <v>3789.19</v>
      </c>
      <c r="H7" s="28">
        <v>6792.75</v>
      </c>
      <c r="I7" s="25">
        <f>+J13</f>
        <v>2843.6008</v>
      </c>
      <c r="J7" s="25">
        <v>2451.38</v>
      </c>
      <c r="K7" s="25">
        <f>+J7*1.01</f>
        <v>2475.8938000000003</v>
      </c>
      <c r="L7" s="26">
        <v>1472.95</v>
      </c>
      <c r="M7" s="72"/>
    </row>
    <row r="8" spans="1:13" ht="33" customHeight="1">
      <c r="A8" s="24" t="s">
        <v>35</v>
      </c>
      <c r="B8" s="28">
        <v>3.5</v>
      </c>
      <c r="C8" s="27">
        <v>3.5</v>
      </c>
      <c r="D8" s="27">
        <v>3.5</v>
      </c>
      <c r="E8" s="27">
        <f>+D8</f>
        <v>3.5</v>
      </c>
      <c r="F8" s="28"/>
      <c r="G8" s="28"/>
      <c r="H8" s="29"/>
      <c r="I8" s="29"/>
      <c r="J8" s="29"/>
      <c r="K8" s="29"/>
      <c r="L8" s="30"/>
      <c r="M8" s="72"/>
    </row>
    <row r="9" spans="1:13" ht="33" customHeight="1">
      <c r="A9" s="24" t="s">
        <v>10</v>
      </c>
      <c r="B9" s="31" t="s">
        <v>11</v>
      </c>
      <c r="C9" s="32" t="s">
        <v>11</v>
      </c>
      <c r="D9" s="31" t="s">
        <v>11</v>
      </c>
      <c r="E9" s="32" t="s">
        <v>11</v>
      </c>
      <c r="F9" s="33" t="s">
        <v>11</v>
      </c>
      <c r="G9" s="32" t="s">
        <v>11</v>
      </c>
      <c r="H9" s="34"/>
      <c r="I9" s="34"/>
      <c r="J9" s="34"/>
      <c r="K9" s="34"/>
      <c r="L9" s="26">
        <v>119.53</v>
      </c>
      <c r="M9" s="72"/>
    </row>
    <row r="10" spans="1:13" ht="33" customHeight="1">
      <c r="A10" s="24" t="s">
        <v>12</v>
      </c>
      <c r="B10" s="73"/>
      <c r="C10" s="35" t="s">
        <v>7</v>
      </c>
      <c r="D10" s="34" t="s">
        <v>7</v>
      </c>
      <c r="E10" s="35"/>
      <c r="F10" s="36" t="s">
        <v>7</v>
      </c>
      <c r="G10" s="37" t="s">
        <v>7</v>
      </c>
      <c r="H10" s="36" t="s">
        <v>7</v>
      </c>
      <c r="I10" s="36" t="s">
        <v>7</v>
      </c>
      <c r="J10" s="38"/>
      <c r="K10" s="36" t="s">
        <v>7</v>
      </c>
      <c r="L10" s="26">
        <v>116.09</v>
      </c>
      <c r="M10" s="72"/>
    </row>
    <row r="11" spans="1:12" ht="33" customHeight="1">
      <c r="A11" s="24" t="s">
        <v>13</v>
      </c>
      <c r="B11" s="52">
        <f>594.18*1.05</f>
        <v>623.889</v>
      </c>
      <c r="C11" s="25">
        <f>683.31*1.05</f>
        <v>717.4755</v>
      </c>
      <c r="D11" s="25">
        <f>393.81*1.05</f>
        <v>413.50050000000005</v>
      </c>
      <c r="E11" s="25">
        <f>393.81*1.05</f>
        <v>413.50050000000005</v>
      </c>
      <c r="F11" s="36" t="s">
        <v>7</v>
      </c>
      <c r="G11" s="37"/>
      <c r="H11" s="36"/>
      <c r="I11" s="36" t="s">
        <v>7</v>
      </c>
      <c r="J11" s="36" t="s">
        <v>7</v>
      </c>
      <c r="K11" s="36" t="s">
        <v>7</v>
      </c>
      <c r="L11" s="39" t="s">
        <v>7</v>
      </c>
    </row>
    <row r="12" spans="1:12" ht="33" customHeight="1">
      <c r="A12" s="24" t="s">
        <v>14</v>
      </c>
      <c r="B12" s="52">
        <f aca="true" t="shared" si="1" ref="B12:H12">+B7*0.16</f>
        <v>423.3968</v>
      </c>
      <c r="C12" s="25">
        <f t="shared" si="1"/>
        <v>606.2704</v>
      </c>
      <c r="D12" s="25">
        <f t="shared" si="1"/>
        <v>355.88480000000004</v>
      </c>
      <c r="E12" s="25">
        <f t="shared" si="1"/>
        <v>355.88480000000004</v>
      </c>
      <c r="F12" s="25">
        <f t="shared" si="1"/>
        <v>919.8608</v>
      </c>
      <c r="G12" s="25">
        <f t="shared" si="1"/>
        <v>606.2704</v>
      </c>
      <c r="H12" s="25">
        <f t="shared" si="1"/>
        <v>1086.84</v>
      </c>
      <c r="I12" s="25">
        <f>+I7*0.1</f>
        <v>284.36008000000004</v>
      </c>
      <c r="J12" s="25">
        <f>+J7*0.16</f>
        <v>392.22080000000005</v>
      </c>
      <c r="K12" s="25">
        <f>+K7*0.16</f>
        <v>396.14300800000007</v>
      </c>
      <c r="L12" s="39"/>
    </row>
    <row r="13" spans="1:12" ht="33" customHeight="1">
      <c r="A13" s="24" t="s">
        <v>15</v>
      </c>
      <c r="B13" s="40" t="s">
        <v>16</v>
      </c>
      <c r="C13" s="41" t="s">
        <v>16</v>
      </c>
      <c r="D13" s="40" t="s">
        <v>16</v>
      </c>
      <c r="E13" s="41" t="s">
        <v>16</v>
      </c>
      <c r="F13" s="42" t="s">
        <v>16</v>
      </c>
      <c r="G13" s="41" t="s">
        <v>16</v>
      </c>
      <c r="H13" s="25">
        <f>SUM(H7:H12)</f>
        <v>7879.59</v>
      </c>
      <c r="I13" s="25">
        <f>SUM(I7:I12)</f>
        <v>3127.96088</v>
      </c>
      <c r="J13" s="25">
        <f>SUM(J7:J12)</f>
        <v>2843.6008</v>
      </c>
      <c r="K13" s="25">
        <f>SUM(K7:K12)</f>
        <v>2872.0368080000003</v>
      </c>
      <c r="L13" s="26">
        <f>SUM(L7:L12)</f>
        <v>1708.57</v>
      </c>
    </row>
    <row r="14" spans="1:12" ht="33" customHeight="1">
      <c r="A14" s="24" t="s">
        <v>17</v>
      </c>
      <c r="B14" s="43">
        <f>B28*0.085</f>
        <v>195.19910000000002</v>
      </c>
      <c r="C14" s="25"/>
      <c r="D14" s="43">
        <f>B28*0.08</f>
        <v>183.7168</v>
      </c>
      <c r="E14" s="43">
        <f>+D14</f>
        <v>183.7168</v>
      </c>
      <c r="F14" s="34"/>
      <c r="G14" s="35" t="s">
        <v>7</v>
      </c>
      <c r="H14" s="34"/>
      <c r="I14" s="36"/>
      <c r="J14" s="36" t="s">
        <v>7</v>
      </c>
      <c r="K14" s="36" t="s">
        <v>7</v>
      </c>
      <c r="L14" s="44"/>
    </row>
    <row r="15" spans="1:12" ht="33" customHeight="1">
      <c r="A15" s="24" t="s">
        <v>18</v>
      </c>
      <c r="B15" s="45" t="s">
        <v>16</v>
      </c>
      <c r="C15" s="46" t="s">
        <v>20</v>
      </c>
      <c r="D15" s="45" t="s">
        <v>16</v>
      </c>
      <c r="E15" s="46" t="s">
        <v>16</v>
      </c>
      <c r="F15" s="47"/>
      <c r="G15" s="47"/>
      <c r="H15" s="47"/>
      <c r="I15" s="47"/>
      <c r="J15" s="47"/>
      <c r="K15" s="47"/>
      <c r="L15" s="44"/>
    </row>
    <row r="16" spans="1:12" ht="33" customHeight="1">
      <c r="A16" s="24" t="s">
        <v>19</v>
      </c>
      <c r="B16" s="43">
        <f>B28*0.125</f>
        <v>287.0575</v>
      </c>
      <c r="C16" s="25"/>
      <c r="D16" s="43">
        <f>B28*0.12</f>
        <v>275.5752</v>
      </c>
      <c r="E16" s="46" t="s">
        <v>29</v>
      </c>
      <c r="F16" s="34" t="s">
        <v>7</v>
      </c>
      <c r="G16" s="34" t="s">
        <v>7</v>
      </c>
      <c r="H16" s="34"/>
      <c r="I16" s="36" t="s">
        <v>7</v>
      </c>
      <c r="J16" s="36" t="s">
        <v>7</v>
      </c>
      <c r="K16" s="36" t="s">
        <v>7</v>
      </c>
      <c r="L16" s="44" t="s">
        <v>7</v>
      </c>
    </row>
    <row r="17" spans="1:12" ht="33" customHeight="1">
      <c r="A17" s="24" t="s">
        <v>21</v>
      </c>
      <c r="B17" s="28">
        <v>16.61</v>
      </c>
      <c r="C17" s="25"/>
      <c r="D17" s="25"/>
      <c r="E17" s="48"/>
      <c r="F17" s="49" t="s">
        <v>7</v>
      </c>
      <c r="G17" s="49" t="s">
        <v>7</v>
      </c>
      <c r="H17" s="49" t="s">
        <v>7</v>
      </c>
      <c r="I17" s="50" t="s">
        <v>7</v>
      </c>
      <c r="J17" s="50"/>
      <c r="K17" s="50" t="s">
        <v>7</v>
      </c>
      <c r="L17" s="51" t="s">
        <v>7</v>
      </c>
    </row>
    <row r="18" spans="1:12" ht="33" customHeight="1">
      <c r="A18" s="24" t="s">
        <v>22</v>
      </c>
      <c r="B18" s="43">
        <f>B28*0.005</f>
        <v>11.4823</v>
      </c>
      <c r="C18" s="25"/>
      <c r="D18" s="43">
        <f>B28*0.005</f>
        <v>11.4823</v>
      </c>
      <c r="E18" s="48" t="s">
        <v>29</v>
      </c>
      <c r="F18" s="49"/>
      <c r="G18" s="49" t="s">
        <v>7</v>
      </c>
      <c r="H18" s="49" t="s">
        <v>7</v>
      </c>
      <c r="I18" s="50" t="s">
        <v>7</v>
      </c>
      <c r="J18" s="50" t="s">
        <v>7</v>
      </c>
      <c r="K18" s="50" t="s">
        <v>7</v>
      </c>
      <c r="L18" s="51" t="s">
        <v>7</v>
      </c>
    </row>
    <row r="19" spans="1:12" ht="33" customHeight="1">
      <c r="A19" s="24" t="s">
        <v>23</v>
      </c>
      <c r="B19" s="25">
        <f>4194.81*0.25</f>
        <v>1048.7025</v>
      </c>
      <c r="C19" s="25">
        <f>5646*0.25</f>
        <v>1411.5</v>
      </c>
      <c r="D19" s="25">
        <f>3472.47*0.06</f>
        <v>208.3482</v>
      </c>
      <c r="E19" s="25">
        <f>+D19</f>
        <v>208.3482</v>
      </c>
      <c r="F19" s="53"/>
      <c r="G19" s="49" t="s">
        <v>7</v>
      </c>
      <c r="H19" s="49" t="s">
        <v>7</v>
      </c>
      <c r="I19" s="50" t="s">
        <v>7</v>
      </c>
      <c r="J19" s="50" t="s">
        <v>7</v>
      </c>
      <c r="K19" s="50" t="s">
        <v>7</v>
      </c>
      <c r="L19" s="51" t="s">
        <v>7</v>
      </c>
    </row>
    <row r="20" spans="1:12" ht="33" customHeight="1" thickBot="1">
      <c r="A20" s="54" t="s">
        <v>24</v>
      </c>
      <c r="B20" s="75" t="s">
        <v>16</v>
      </c>
      <c r="C20" s="56" t="s">
        <v>16</v>
      </c>
      <c r="D20" s="55" t="s">
        <v>16</v>
      </c>
      <c r="E20" s="57" t="s">
        <v>29</v>
      </c>
      <c r="F20" s="58"/>
      <c r="G20" s="59" t="s">
        <v>7</v>
      </c>
      <c r="H20" s="59" t="s">
        <v>7</v>
      </c>
      <c r="I20" s="60" t="s">
        <v>7</v>
      </c>
      <c r="J20" s="60" t="s">
        <v>7</v>
      </c>
      <c r="K20" s="60" t="s">
        <v>7</v>
      </c>
      <c r="L20" s="61" t="s">
        <v>7</v>
      </c>
    </row>
    <row r="21" spans="1:12" ht="39.75" customHeight="1">
      <c r="A21" s="84" t="s">
        <v>46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16.5" customHeight="1">
      <c r="A22" s="82" t="s">
        <v>30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6.5" customHeight="1">
      <c r="A23" s="82" t="s">
        <v>25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9.5" customHeight="1">
      <c r="A24" s="82" t="s">
        <v>31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21.75" customHeight="1">
      <c r="A25" s="82" t="s">
        <v>32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8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8">
      <c r="A27" s="76"/>
      <c r="B27" s="76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8">
      <c r="A28" s="76" t="s">
        <v>51</v>
      </c>
      <c r="B28" s="76">
        <v>2296.46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8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8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8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18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8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ht="18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8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8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ht="18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ht="18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8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ht="18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8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8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18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ht="18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8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ht="18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8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8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18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18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8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ht="18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18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8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 ht="18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 ht="18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18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12" ht="18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ht="18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</sheetData>
  <sheetProtection password="CDF6" sheet="1" objects="1" scenarios="1"/>
  <mergeCells count="6">
    <mergeCell ref="A24:L24"/>
    <mergeCell ref="A25:L25"/>
    <mergeCell ref="J4:K4"/>
    <mergeCell ref="A21:L21"/>
    <mergeCell ref="A22:L22"/>
    <mergeCell ref="A23:L23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9"/>
  <sheetViews>
    <sheetView zoomScale="60" zoomScaleNormal="60" zoomScaleSheetLayoutView="50" zoomScalePageLayoutView="0" workbookViewId="0" topLeftCell="A1">
      <selection activeCell="B12" sqref="B12"/>
    </sheetView>
  </sheetViews>
  <sheetFormatPr defaultColWidth="9.8515625" defaultRowHeight="12.75"/>
  <cols>
    <col min="1" max="1" width="35.8515625" style="65" customWidth="1"/>
    <col min="2" max="2" width="17.8515625" style="65" customWidth="1"/>
    <col min="3" max="3" width="16.140625" style="65" customWidth="1"/>
    <col min="4" max="5" width="16.140625" style="65" bestFit="1" customWidth="1"/>
    <col min="6" max="6" width="16.28125" style="65" bestFit="1" customWidth="1"/>
    <col min="7" max="8" width="16.140625" style="65" bestFit="1" customWidth="1"/>
    <col min="9" max="9" width="16.140625" style="65" customWidth="1"/>
    <col min="10" max="12" width="16.140625" style="65" bestFit="1" customWidth="1"/>
    <col min="13" max="13" width="12.28125" style="62" bestFit="1" customWidth="1"/>
    <col min="14" max="96" width="9.8515625" style="62" customWidth="1"/>
    <col min="97" max="16384" width="9.8515625" style="63" customWidth="1"/>
  </cols>
  <sheetData>
    <row r="1" spans="1:12" ht="18.75" thickBot="1">
      <c r="A1" s="70"/>
      <c r="B1" s="64"/>
      <c r="C1" s="64"/>
      <c r="D1" s="71"/>
      <c r="E1" s="64"/>
      <c r="F1" s="64"/>
      <c r="G1" s="64"/>
      <c r="H1" s="64"/>
      <c r="I1" s="64"/>
      <c r="J1" s="64"/>
      <c r="K1" s="64"/>
      <c r="L1" s="64"/>
    </row>
    <row r="2" spans="1:12" ht="24" customHeight="1">
      <c r="A2" s="2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8.7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36" customHeight="1">
      <c r="A4" s="10" t="s">
        <v>1</v>
      </c>
      <c r="B4" s="11" t="s">
        <v>33</v>
      </c>
      <c r="C4" s="11" t="s">
        <v>26</v>
      </c>
      <c r="D4" s="11" t="s">
        <v>2</v>
      </c>
      <c r="E4" s="11" t="s">
        <v>3</v>
      </c>
      <c r="F4" s="12" t="s">
        <v>4</v>
      </c>
      <c r="G4" s="11" t="s">
        <v>34</v>
      </c>
      <c r="H4" s="12" t="s">
        <v>5</v>
      </c>
      <c r="I4" s="13" t="s">
        <v>39</v>
      </c>
      <c r="J4" s="79" t="s">
        <v>36</v>
      </c>
      <c r="K4" s="80"/>
      <c r="L4" s="14" t="s">
        <v>6</v>
      </c>
    </row>
    <row r="5" spans="1:12" ht="25.5" customHeight="1">
      <c r="A5" s="15"/>
      <c r="B5" s="16">
        <v>38657</v>
      </c>
      <c r="C5" s="16">
        <f aca="true" t="shared" si="0" ref="C5:I5">+B5</f>
        <v>38657</v>
      </c>
      <c r="D5" s="16">
        <f t="shared" si="0"/>
        <v>38657</v>
      </c>
      <c r="E5" s="16">
        <f t="shared" si="0"/>
        <v>38657</v>
      </c>
      <c r="F5" s="16">
        <f t="shared" si="0"/>
        <v>38657</v>
      </c>
      <c r="G5" s="16">
        <f t="shared" si="0"/>
        <v>38657</v>
      </c>
      <c r="H5" s="16">
        <f t="shared" si="0"/>
        <v>38657</v>
      </c>
      <c r="I5" s="16">
        <f t="shared" si="0"/>
        <v>38657</v>
      </c>
      <c r="J5" s="16">
        <f>+H5</f>
        <v>38657</v>
      </c>
      <c r="K5" s="16">
        <f>+J5</f>
        <v>38657</v>
      </c>
      <c r="L5" s="17">
        <f>+K5</f>
        <v>38657</v>
      </c>
    </row>
    <row r="6" spans="1:12" ht="25.5" customHeight="1">
      <c r="A6" s="15"/>
      <c r="B6" s="18"/>
      <c r="C6" s="19"/>
      <c r="D6" s="20" t="s">
        <v>7</v>
      </c>
      <c r="E6" s="20"/>
      <c r="F6" s="20" t="s">
        <v>7</v>
      </c>
      <c r="G6" s="21" t="s">
        <v>7</v>
      </c>
      <c r="H6" s="21" t="s">
        <v>7</v>
      </c>
      <c r="I6" s="21" t="s">
        <v>8</v>
      </c>
      <c r="J6" s="21" t="s">
        <v>8</v>
      </c>
      <c r="K6" s="22" t="s">
        <v>27</v>
      </c>
      <c r="L6" s="23" t="s">
        <v>28</v>
      </c>
    </row>
    <row r="7" spans="1:13" ht="33" customHeight="1">
      <c r="A7" s="24" t="s">
        <v>9</v>
      </c>
      <c r="B7" s="28">
        <v>2723.34</v>
      </c>
      <c r="C7" s="25">
        <v>3889.19</v>
      </c>
      <c r="D7" s="28">
        <v>2309.35</v>
      </c>
      <c r="E7" s="28">
        <f>+D7</f>
        <v>2309.35</v>
      </c>
      <c r="F7" s="28">
        <v>6904.1</v>
      </c>
      <c r="G7" s="28">
        <f>C7</f>
        <v>3889.19</v>
      </c>
      <c r="H7" s="28">
        <v>6792.75</v>
      </c>
      <c r="I7" s="25">
        <f>+J13</f>
        <v>2937.6072</v>
      </c>
      <c r="J7" s="25">
        <v>2532.42</v>
      </c>
      <c r="K7" s="25">
        <f>+J7*1.01</f>
        <v>2557.7442</v>
      </c>
      <c r="L7" s="26">
        <v>1472.95</v>
      </c>
      <c r="M7" s="72"/>
    </row>
    <row r="8" spans="1:13" ht="33" customHeight="1">
      <c r="A8" s="24" t="s">
        <v>35</v>
      </c>
      <c r="B8" s="28">
        <v>5.1</v>
      </c>
      <c r="C8" s="27">
        <f>+B8</f>
        <v>5.1</v>
      </c>
      <c r="D8" s="27">
        <v>3.5</v>
      </c>
      <c r="E8" s="27">
        <f>+D8</f>
        <v>3.5</v>
      </c>
      <c r="F8" s="28"/>
      <c r="G8" s="28"/>
      <c r="H8" s="29"/>
      <c r="I8" s="29"/>
      <c r="J8" s="29"/>
      <c r="K8" s="29"/>
      <c r="L8" s="30"/>
      <c r="M8" s="72"/>
    </row>
    <row r="9" spans="1:13" ht="33" customHeight="1">
      <c r="A9" s="24" t="s">
        <v>10</v>
      </c>
      <c r="B9" s="31" t="s">
        <v>11</v>
      </c>
      <c r="C9" s="32" t="s">
        <v>11</v>
      </c>
      <c r="D9" s="31" t="s">
        <v>11</v>
      </c>
      <c r="E9" s="32" t="s">
        <v>11</v>
      </c>
      <c r="F9" s="33" t="s">
        <v>11</v>
      </c>
      <c r="G9" s="32" t="s">
        <v>11</v>
      </c>
      <c r="H9" s="34"/>
      <c r="I9" s="34"/>
      <c r="J9" s="34"/>
      <c r="K9" s="34"/>
      <c r="L9" s="26">
        <v>119.53</v>
      </c>
      <c r="M9" s="72"/>
    </row>
    <row r="10" spans="1:13" ht="33" customHeight="1">
      <c r="A10" s="24" t="s">
        <v>12</v>
      </c>
      <c r="B10" s="73"/>
      <c r="C10" s="35" t="s">
        <v>7</v>
      </c>
      <c r="D10" s="34" t="s">
        <v>7</v>
      </c>
      <c r="E10" s="35"/>
      <c r="F10" s="36" t="s">
        <v>7</v>
      </c>
      <c r="G10" s="37" t="s">
        <v>7</v>
      </c>
      <c r="H10" s="36" t="s">
        <v>7</v>
      </c>
      <c r="I10" s="36" t="s">
        <v>7</v>
      </c>
      <c r="J10" s="38"/>
      <c r="K10" s="36" t="s">
        <v>7</v>
      </c>
      <c r="L10" s="26">
        <v>116.09</v>
      </c>
      <c r="M10" s="72"/>
    </row>
    <row r="11" spans="1:12" ht="33" customHeight="1">
      <c r="A11" s="24" t="s">
        <v>13</v>
      </c>
      <c r="B11" s="52">
        <f>594.18*1.05</f>
        <v>623.889</v>
      </c>
      <c r="C11" s="25">
        <f>683.31*1.05</f>
        <v>717.4755</v>
      </c>
      <c r="D11" s="25">
        <f>393.81*1.05</f>
        <v>413.50050000000005</v>
      </c>
      <c r="E11" s="25">
        <f>393.81*1.05</f>
        <v>413.50050000000005</v>
      </c>
      <c r="F11" s="36" t="s">
        <v>7</v>
      </c>
      <c r="G11" s="37"/>
      <c r="H11" s="36"/>
      <c r="I11" s="36" t="s">
        <v>7</v>
      </c>
      <c r="J11" s="36" t="s">
        <v>7</v>
      </c>
      <c r="K11" s="36" t="s">
        <v>7</v>
      </c>
      <c r="L11" s="39" t="s">
        <v>7</v>
      </c>
    </row>
    <row r="12" spans="1:12" ht="33" customHeight="1">
      <c r="A12" s="24" t="s">
        <v>14</v>
      </c>
      <c r="B12" s="52">
        <f aca="true" t="shared" si="1" ref="B12:H12">+B7*0.16</f>
        <v>435.73440000000005</v>
      </c>
      <c r="C12" s="25">
        <f t="shared" si="1"/>
        <v>622.2704</v>
      </c>
      <c r="D12" s="25">
        <f t="shared" si="1"/>
        <v>369.496</v>
      </c>
      <c r="E12" s="25">
        <f t="shared" si="1"/>
        <v>369.496</v>
      </c>
      <c r="F12" s="25">
        <f t="shared" si="1"/>
        <v>1104.6560000000002</v>
      </c>
      <c r="G12" s="25">
        <f t="shared" si="1"/>
        <v>622.2704</v>
      </c>
      <c r="H12" s="25">
        <f t="shared" si="1"/>
        <v>1086.84</v>
      </c>
      <c r="I12" s="25">
        <f>+I7*0.1</f>
        <v>293.76072</v>
      </c>
      <c r="J12" s="25">
        <f>+J7*0.16</f>
        <v>405.1872</v>
      </c>
      <c r="K12" s="25">
        <f>+K7*0.16</f>
        <v>409.239072</v>
      </c>
      <c r="L12" s="39"/>
    </row>
    <row r="13" spans="1:12" ht="33" customHeight="1">
      <c r="A13" s="24" t="s">
        <v>15</v>
      </c>
      <c r="B13" s="40" t="s">
        <v>16</v>
      </c>
      <c r="C13" s="41" t="s">
        <v>16</v>
      </c>
      <c r="D13" s="40" t="s">
        <v>16</v>
      </c>
      <c r="E13" s="41" t="s">
        <v>16</v>
      </c>
      <c r="F13" s="42" t="s">
        <v>16</v>
      </c>
      <c r="G13" s="41" t="s">
        <v>16</v>
      </c>
      <c r="H13" s="25">
        <f>SUM(H7:H12)</f>
        <v>7879.59</v>
      </c>
      <c r="I13" s="25">
        <f>SUM(I7:I12)</f>
        <v>3231.3679199999997</v>
      </c>
      <c r="J13" s="25">
        <f>SUM(J7:J12)</f>
        <v>2937.6072</v>
      </c>
      <c r="K13" s="25">
        <f>SUM(K7:K12)</f>
        <v>2966.983272</v>
      </c>
      <c r="L13" s="26">
        <f>SUM(L7:L12)</f>
        <v>1708.57</v>
      </c>
    </row>
    <row r="14" spans="1:12" ht="33" customHeight="1">
      <c r="A14" s="24" t="s">
        <v>17</v>
      </c>
      <c r="B14" s="43">
        <f>B28*0.085</f>
        <v>194.96705000000003</v>
      </c>
      <c r="C14" s="25"/>
      <c r="D14" s="43">
        <f>B28*0.08</f>
        <v>183.4984</v>
      </c>
      <c r="E14" s="43">
        <f>+D14</f>
        <v>183.4984</v>
      </c>
      <c r="F14" s="34"/>
      <c r="G14" s="35" t="s">
        <v>7</v>
      </c>
      <c r="H14" s="34"/>
      <c r="I14" s="36"/>
      <c r="J14" s="36" t="s">
        <v>7</v>
      </c>
      <c r="K14" s="36" t="s">
        <v>7</v>
      </c>
      <c r="L14" s="44"/>
    </row>
    <row r="15" spans="1:12" ht="33" customHeight="1">
      <c r="A15" s="24" t="s">
        <v>18</v>
      </c>
      <c r="B15" s="45" t="s">
        <v>16</v>
      </c>
      <c r="C15" s="46" t="s">
        <v>20</v>
      </c>
      <c r="D15" s="45" t="s">
        <v>16</v>
      </c>
      <c r="E15" s="46" t="s">
        <v>16</v>
      </c>
      <c r="F15" s="47"/>
      <c r="G15" s="47"/>
      <c r="H15" s="47"/>
      <c r="I15" s="47"/>
      <c r="J15" s="47"/>
      <c r="K15" s="47"/>
      <c r="L15" s="44"/>
    </row>
    <row r="16" spans="1:12" ht="33" customHeight="1">
      <c r="A16" s="24" t="s">
        <v>19</v>
      </c>
      <c r="B16" s="43">
        <f>B28*0.125</f>
        <v>286.71625</v>
      </c>
      <c r="C16" s="25"/>
      <c r="D16" s="43">
        <f>B28*0.12</f>
        <v>275.2476</v>
      </c>
      <c r="E16" s="46" t="s">
        <v>29</v>
      </c>
      <c r="F16" s="34" t="s">
        <v>7</v>
      </c>
      <c r="G16" s="34" t="s">
        <v>7</v>
      </c>
      <c r="H16" s="34"/>
      <c r="I16" s="36" t="s">
        <v>7</v>
      </c>
      <c r="J16" s="36" t="s">
        <v>7</v>
      </c>
      <c r="K16" s="36" t="s">
        <v>7</v>
      </c>
      <c r="L16" s="44" t="s">
        <v>7</v>
      </c>
    </row>
    <row r="17" spans="1:12" ht="33" customHeight="1">
      <c r="A17" s="24" t="s">
        <v>21</v>
      </c>
      <c r="B17" s="28">
        <v>16.97</v>
      </c>
      <c r="C17" s="25"/>
      <c r="D17" s="25"/>
      <c r="E17" s="48"/>
      <c r="F17" s="49" t="s">
        <v>7</v>
      </c>
      <c r="G17" s="49" t="s">
        <v>7</v>
      </c>
      <c r="H17" s="49" t="s">
        <v>7</v>
      </c>
      <c r="I17" s="50" t="s">
        <v>7</v>
      </c>
      <c r="J17" s="50"/>
      <c r="K17" s="50" t="s">
        <v>7</v>
      </c>
      <c r="L17" s="51" t="s">
        <v>7</v>
      </c>
    </row>
    <row r="18" spans="1:12" ht="33" customHeight="1">
      <c r="A18" s="24" t="s">
        <v>22</v>
      </c>
      <c r="B18" s="43">
        <f>B28*0.005</f>
        <v>11.46865</v>
      </c>
      <c r="C18" s="25"/>
      <c r="D18" s="43">
        <f>B28*0.005</f>
        <v>11.46865</v>
      </c>
      <c r="E18" s="48" t="s">
        <v>29</v>
      </c>
      <c r="F18" s="49"/>
      <c r="G18" s="49" t="s">
        <v>7</v>
      </c>
      <c r="H18" s="49" t="s">
        <v>7</v>
      </c>
      <c r="I18" s="50" t="s">
        <v>7</v>
      </c>
      <c r="J18" s="50" t="s">
        <v>7</v>
      </c>
      <c r="K18" s="50" t="s">
        <v>7</v>
      </c>
      <c r="L18" s="51" t="s">
        <v>7</v>
      </c>
    </row>
    <row r="19" spans="1:12" ht="33" customHeight="1">
      <c r="A19" s="24" t="s">
        <v>23</v>
      </c>
      <c r="B19" s="25">
        <f>4233.83*0.25</f>
        <v>1058.4575</v>
      </c>
      <c r="C19" s="25">
        <f>5702.1*0.25</f>
        <v>1425.525</v>
      </c>
      <c r="D19" s="25">
        <f>3514.98*0.06</f>
        <v>210.8988</v>
      </c>
      <c r="E19" s="25">
        <f>+D19</f>
        <v>210.8988</v>
      </c>
      <c r="F19" s="53"/>
      <c r="G19" s="49" t="s">
        <v>7</v>
      </c>
      <c r="H19" s="49" t="s">
        <v>7</v>
      </c>
      <c r="I19" s="50" t="s">
        <v>7</v>
      </c>
      <c r="J19" s="50" t="s">
        <v>7</v>
      </c>
      <c r="K19" s="50" t="s">
        <v>7</v>
      </c>
      <c r="L19" s="51" t="s">
        <v>7</v>
      </c>
    </row>
    <row r="20" spans="1:12" ht="33" customHeight="1" thickBot="1">
      <c r="A20" s="54" t="s">
        <v>24</v>
      </c>
      <c r="B20" s="75" t="s">
        <v>16</v>
      </c>
      <c r="C20" s="56" t="s">
        <v>16</v>
      </c>
      <c r="D20" s="55" t="s">
        <v>16</v>
      </c>
      <c r="E20" s="57" t="s">
        <v>29</v>
      </c>
      <c r="F20" s="58"/>
      <c r="G20" s="59" t="s">
        <v>7</v>
      </c>
      <c r="H20" s="59" t="s">
        <v>7</v>
      </c>
      <c r="I20" s="60" t="s">
        <v>7</v>
      </c>
      <c r="J20" s="60" t="s">
        <v>7</v>
      </c>
      <c r="K20" s="60" t="s">
        <v>7</v>
      </c>
      <c r="L20" s="61" t="s">
        <v>7</v>
      </c>
    </row>
    <row r="21" spans="1:12" ht="39.75" customHeight="1">
      <c r="A21" s="84" t="s">
        <v>46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16.5" customHeight="1">
      <c r="A22" s="82" t="s">
        <v>30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6.5" customHeight="1">
      <c r="A23" s="82" t="s">
        <v>25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9.5" customHeight="1">
      <c r="A24" s="82" t="s">
        <v>31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21.75" customHeight="1">
      <c r="A25" s="82" t="s">
        <v>32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8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8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8">
      <c r="A28" s="76" t="s">
        <v>51</v>
      </c>
      <c r="B28" s="76">
        <v>2293.73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8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8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8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18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8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ht="18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8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8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ht="18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ht="18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8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ht="18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8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8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18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ht="18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8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ht="18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8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8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18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18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8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ht="18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18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8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 ht="18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 ht="18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18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12" ht="18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ht="18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</sheetData>
  <sheetProtection password="CDF6" sheet="1" objects="1" scenarios="1"/>
  <mergeCells count="6">
    <mergeCell ref="A24:L24"/>
    <mergeCell ref="A25:L25"/>
    <mergeCell ref="J4:K4"/>
    <mergeCell ref="A21:L21"/>
    <mergeCell ref="A22:L22"/>
    <mergeCell ref="A23:L23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60" zoomScaleNormal="60" zoomScaleSheetLayoutView="50" zoomScalePageLayoutView="0" workbookViewId="0" topLeftCell="A1">
      <selection activeCell="M20" sqref="M20"/>
    </sheetView>
  </sheetViews>
  <sheetFormatPr defaultColWidth="9.8515625" defaultRowHeight="12.75"/>
  <cols>
    <col min="1" max="1" width="35.8515625" style="65" customWidth="1"/>
    <col min="2" max="2" width="17.8515625" style="65" customWidth="1"/>
    <col min="3" max="3" width="16.140625" style="65" customWidth="1"/>
    <col min="4" max="5" width="16.140625" style="65" bestFit="1" customWidth="1"/>
    <col min="6" max="6" width="16.28125" style="65" bestFit="1" customWidth="1"/>
    <col min="7" max="8" width="16.140625" style="65" bestFit="1" customWidth="1"/>
    <col min="9" max="9" width="16.140625" style="65" customWidth="1"/>
    <col min="10" max="12" width="16.140625" style="65" bestFit="1" customWidth="1"/>
    <col min="13" max="13" width="12.28125" style="62" bestFit="1" customWidth="1"/>
    <col min="14" max="96" width="9.8515625" style="62" customWidth="1"/>
    <col min="97" max="16384" width="9.8515625" style="63" customWidth="1"/>
  </cols>
  <sheetData>
    <row r="1" spans="1:12" ht="18.75" thickBot="1">
      <c r="A1" s="70"/>
      <c r="B1" s="64"/>
      <c r="C1" s="64"/>
      <c r="D1" s="71"/>
      <c r="E1" s="64"/>
      <c r="F1" s="64"/>
      <c r="G1" s="64"/>
      <c r="H1" s="64"/>
      <c r="I1" s="64"/>
      <c r="J1" s="64"/>
      <c r="K1" s="64"/>
      <c r="L1" s="64"/>
    </row>
    <row r="2" spans="1:12" ht="24" customHeight="1">
      <c r="A2" s="2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8.7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36" customHeight="1">
      <c r="A4" s="10" t="s">
        <v>1</v>
      </c>
      <c r="B4" s="11" t="s">
        <v>33</v>
      </c>
      <c r="C4" s="11" t="s">
        <v>26</v>
      </c>
      <c r="D4" s="11" t="s">
        <v>2</v>
      </c>
      <c r="E4" s="11" t="s">
        <v>3</v>
      </c>
      <c r="F4" s="12" t="s">
        <v>4</v>
      </c>
      <c r="G4" s="11" t="s">
        <v>34</v>
      </c>
      <c r="H4" s="12" t="s">
        <v>5</v>
      </c>
      <c r="I4" s="13" t="s">
        <v>39</v>
      </c>
      <c r="J4" s="79" t="s">
        <v>36</v>
      </c>
      <c r="K4" s="80"/>
      <c r="L4" s="14" t="s">
        <v>6</v>
      </c>
    </row>
    <row r="5" spans="1:12" ht="25.5" customHeight="1">
      <c r="A5" s="15"/>
      <c r="B5" s="16">
        <v>38687</v>
      </c>
      <c r="C5" s="16">
        <f aca="true" t="shared" si="0" ref="C5:I5">+B5</f>
        <v>38687</v>
      </c>
      <c r="D5" s="16">
        <f t="shared" si="0"/>
        <v>38687</v>
      </c>
      <c r="E5" s="16">
        <f t="shared" si="0"/>
        <v>38687</v>
      </c>
      <c r="F5" s="16">
        <f t="shared" si="0"/>
        <v>38687</v>
      </c>
      <c r="G5" s="16">
        <f t="shared" si="0"/>
        <v>38687</v>
      </c>
      <c r="H5" s="16">
        <f t="shared" si="0"/>
        <v>38687</v>
      </c>
      <c r="I5" s="16">
        <f t="shared" si="0"/>
        <v>38687</v>
      </c>
      <c r="J5" s="16">
        <f>+H5</f>
        <v>38687</v>
      </c>
      <c r="K5" s="16">
        <f>+J5</f>
        <v>38687</v>
      </c>
      <c r="L5" s="17">
        <f>+K5</f>
        <v>38687</v>
      </c>
    </row>
    <row r="6" spans="1:12" ht="25.5" customHeight="1">
      <c r="A6" s="15"/>
      <c r="B6" s="18"/>
      <c r="C6" s="19"/>
      <c r="D6" s="20" t="s">
        <v>7</v>
      </c>
      <c r="E6" s="20"/>
      <c r="F6" s="20" t="s">
        <v>7</v>
      </c>
      <c r="G6" s="21" t="s">
        <v>7</v>
      </c>
      <c r="H6" s="21" t="s">
        <v>7</v>
      </c>
      <c r="I6" s="21" t="s">
        <v>8</v>
      </c>
      <c r="J6" s="21" t="s">
        <v>8</v>
      </c>
      <c r="K6" s="22" t="s">
        <v>27</v>
      </c>
      <c r="L6" s="23" t="s">
        <v>28</v>
      </c>
    </row>
    <row r="7" spans="1:13" ht="33" customHeight="1">
      <c r="A7" s="24" t="s">
        <v>9</v>
      </c>
      <c r="B7" s="28">
        <v>2736.04</v>
      </c>
      <c r="C7" s="52">
        <v>3889.19</v>
      </c>
      <c r="D7" s="28">
        <v>2352.38</v>
      </c>
      <c r="E7" s="28">
        <f>+D7</f>
        <v>2352.38</v>
      </c>
      <c r="F7" s="28">
        <v>6213.69</v>
      </c>
      <c r="G7" s="28">
        <f>C7</f>
        <v>3889.19</v>
      </c>
      <c r="H7" s="28">
        <v>5094.56</v>
      </c>
      <c r="I7" s="25">
        <f>+J13</f>
        <v>2662.2464</v>
      </c>
      <c r="J7" s="25">
        <v>2295.04</v>
      </c>
      <c r="K7" s="25">
        <f>+J7*1.01</f>
        <v>2317.9904</v>
      </c>
      <c r="L7" s="26">
        <v>1472.95</v>
      </c>
      <c r="M7" s="72"/>
    </row>
    <row r="8" spans="1:13" ht="33" customHeight="1">
      <c r="A8" s="24" t="s">
        <v>35</v>
      </c>
      <c r="B8" s="28">
        <v>5.1</v>
      </c>
      <c r="C8" s="27">
        <f>+B8</f>
        <v>5.1</v>
      </c>
      <c r="D8" s="27">
        <v>3.5</v>
      </c>
      <c r="E8" s="27">
        <f>+D8</f>
        <v>3.5</v>
      </c>
      <c r="F8" s="28"/>
      <c r="G8" s="28"/>
      <c r="H8" s="29"/>
      <c r="I8" s="29"/>
      <c r="J8" s="29"/>
      <c r="K8" s="29"/>
      <c r="L8" s="30"/>
      <c r="M8" s="72"/>
    </row>
    <row r="9" spans="1:13" ht="33" customHeight="1">
      <c r="A9" s="24" t="s">
        <v>10</v>
      </c>
      <c r="B9" s="31" t="s">
        <v>11</v>
      </c>
      <c r="C9" s="32" t="s">
        <v>11</v>
      </c>
      <c r="D9" s="31" t="s">
        <v>11</v>
      </c>
      <c r="E9" s="32" t="s">
        <v>11</v>
      </c>
      <c r="F9" s="33" t="s">
        <v>11</v>
      </c>
      <c r="G9" s="32" t="s">
        <v>11</v>
      </c>
      <c r="H9" s="34"/>
      <c r="I9" s="34"/>
      <c r="J9" s="34"/>
      <c r="K9" s="34"/>
      <c r="L9" s="26">
        <v>119.53</v>
      </c>
      <c r="M9" s="72"/>
    </row>
    <row r="10" spans="1:13" ht="33" customHeight="1">
      <c r="A10" s="24" t="s">
        <v>12</v>
      </c>
      <c r="B10" s="73"/>
      <c r="C10" s="35" t="s">
        <v>7</v>
      </c>
      <c r="D10" s="34" t="s">
        <v>7</v>
      </c>
      <c r="E10" s="35"/>
      <c r="F10" s="36" t="s">
        <v>7</v>
      </c>
      <c r="G10" s="37" t="s">
        <v>7</v>
      </c>
      <c r="H10" s="36" t="s">
        <v>7</v>
      </c>
      <c r="I10" s="36" t="s">
        <v>7</v>
      </c>
      <c r="J10" s="38"/>
      <c r="K10" s="36" t="s">
        <v>7</v>
      </c>
      <c r="L10" s="26">
        <v>116.09</v>
      </c>
      <c r="M10" s="72"/>
    </row>
    <row r="11" spans="1:12" ht="33" customHeight="1">
      <c r="A11" s="24" t="s">
        <v>13</v>
      </c>
      <c r="B11" s="52">
        <f>594.18*1.05</f>
        <v>623.889</v>
      </c>
      <c r="C11" s="25">
        <f>683.31*1.05</f>
        <v>717.4755</v>
      </c>
      <c r="D11" s="25">
        <f>393.81*1.05</f>
        <v>413.50050000000005</v>
      </c>
      <c r="E11" s="25">
        <f>393.81*1.05</f>
        <v>413.50050000000005</v>
      </c>
      <c r="F11" s="36" t="s">
        <v>7</v>
      </c>
      <c r="G11" s="37"/>
      <c r="H11" s="36"/>
      <c r="I11" s="36" t="s">
        <v>7</v>
      </c>
      <c r="J11" s="36" t="s">
        <v>7</v>
      </c>
      <c r="K11" s="36" t="s">
        <v>7</v>
      </c>
      <c r="L11" s="39" t="s">
        <v>7</v>
      </c>
    </row>
    <row r="12" spans="1:12" ht="33" customHeight="1">
      <c r="A12" s="24" t="s">
        <v>14</v>
      </c>
      <c r="B12" s="52">
        <f aca="true" t="shared" si="1" ref="B12:H12">+B7*0.16</f>
        <v>437.7664</v>
      </c>
      <c r="C12" s="25">
        <f t="shared" si="1"/>
        <v>622.2704</v>
      </c>
      <c r="D12" s="25">
        <f t="shared" si="1"/>
        <v>376.3808</v>
      </c>
      <c r="E12" s="25">
        <f t="shared" si="1"/>
        <v>376.3808</v>
      </c>
      <c r="F12" s="25">
        <f t="shared" si="1"/>
        <v>994.1904</v>
      </c>
      <c r="G12" s="25">
        <f t="shared" si="1"/>
        <v>622.2704</v>
      </c>
      <c r="H12" s="25">
        <f t="shared" si="1"/>
        <v>815.1296000000001</v>
      </c>
      <c r="I12" s="25">
        <f>+I7*0.1</f>
        <v>266.22464</v>
      </c>
      <c r="J12" s="25">
        <f>+J7*0.16</f>
        <v>367.2064</v>
      </c>
      <c r="K12" s="25">
        <f>+K7*0.16</f>
        <v>370.878464</v>
      </c>
      <c r="L12" s="39"/>
    </row>
    <row r="13" spans="1:12" ht="33" customHeight="1">
      <c r="A13" s="24" t="s">
        <v>15</v>
      </c>
      <c r="B13" s="40" t="s">
        <v>16</v>
      </c>
      <c r="C13" s="41" t="s">
        <v>16</v>
      </c>
      <c r="D13" s="40" t="s">
        <v>16</v>
      </c>
      <c r="E13" s="41" t="s">
        <v>16</v>
      </c>
      <c r="F13" s="42" t="s">
        <v>16</v>
      </c>
      <c r="G13" s="41" t="s">
        <v>16</v>
      </c>
      <c r="H13" s="25">
        <f>SUM(H7:H12)</f>
        <v>5909.689600000001</v>
      </c>
      <c r="I13" s="25">
        <f>SUM(I7:I12)</f>
        <v>2928.47104</v>
      </c>
      <c r="J13" s="25">
        <f>SUM(J7:J12)</f>
        <v>2662.2464</v>
      </c>
      <c r="K13" s="25">
        <f>SUM(K7:K12)</f>
        <v>2688.868864</v>
      </c>
      <c r="L13" s="26">
        <f>SUM(L7:L12)</f>
        <v>1708.57</v>
      </c>
    </row>
    <row r="14" spans="1:12" ht="33" customHeight="1">
      <c r="A14" s="24" t="s">
        <v>17</v>
      </c>
      <c r="B14" s="43">
        <f>B28*0.085</f>
        <v>193.86375</v>
      </c>
      <c r="C14" s="25"/>
      <c r="D14" s="43">
        <f>B28*0.08</f>
        <v>182.46</v>
      </c>
      <c r="E14" s="43">
        <f>+D14</f>
        <v>182.46</v>
      </c>
      <c r="F14" s="34"/>
      <c r="G14" s="35" t="s">
        <v>7</v>
      </c>
      <c r="H14" s="34"/>
      <c r="I14" s="36"/>
      <c r="J14" s="36" t="s">
        <v>7</v>
      </c>
      <c r="K14" s="36" t="s">
        <v>7</v>
      </c>
      <c r="L14" s="44"/>
    </row>
    <row r="15" spans="1:12" ht="33" customHeight="1">
      <c r="A15" s="24" t="s">
        <v>18</v>
      </c>
      <c r="B15" s="45" t="s">
        <v>16</v>
      </c>
      <c r="C15" s="46" t="s">
        <v>20</v>
      </c>
      <c r="D15" s="45" t="s">
        <v>16</v>
      </c>
      <c r="E15" s="46" t="s">
        <v>16</v>
      </c>
      <c r="F15" s="47"/>
      <c r="G15" s="47"/>
      <c r="H15" s="47"/>
      <c r="I15" s="47"/>
      <c r="J15" s="47"/>
      <c r="K15" s="47"/>
      <c r="L15" s="44"/>
    </row>
    <row r="16" spans="1:12" ht="33" customHeight="1">
      <c r="A16" s="24" t="s">
        <v>19</v>
      </c>
      <c r="B16" s="43">
        <f>B28*0.125</f>
        <v>285.09375</v>
      </c>
      <c r="C16" s="25"/>
      <c r="D16" s="43">
        <f>B28*0.12</f>
        <v>273.69</v>
      </c>
      <c r="E16" s="77">
        <f>+D16</f>
        <v>273.69</v>
      </c>
      <c r="F16" s="34" t="s">
        <v>7</v>
      </c>
      <c r="G16" s="34" t="s">
        <v>7</v>
      </c>
      <c r="H16" s="34"/>
      <c r="I16" s="36" t="s">
        <v>7</v>
      </c>
      <c r="J16" s="36" t="s">
        <v>7</v>
      </c>
      <c r="K16" s="36" t="s">
        <v>7</v>
      </c>
      <c r="L16" s="44" t="s">
        <v>7</v>
      </c>
    </row>
    <row r="17" spans="1:12" ht="33" customHeight="1">
      <c r="A17" s="24" t="s">
        <v>21</v>
      </c>
      <c r="B17" s="28">
        <v>17.03</v>
      </c>
      <c r="C17" s="25"/>
      <c r="D17" s="25"/>
      <c r="E17" s="78"/>
      <c r="F17" s="49" t="s">
        <v>7</v>
      </c>
      <c r="G17" s="49" t="s">
        <v>7</v>
      </c>
      <c r="H17" s="49" t="s">
        <v>7</v>
      </c>
      <c r="I17" s="50" t="s">
        <v>7</v>
      </c>
      <c r="J17" s="50"/>
      <c r="K17" s="50" t="s">
        <v>7</v>
      </c>
      <c r="L17" s="51" t="s">
        <v>7</v>
      </c>
    </row>
    <row r="18" spans="1:12" ht="33" customHeight="1">
      <c r="A18" s="24" t="s">
        <v>22</v>
      </c>
      <c r="B18" s="43">
        <f>B28*0.005</f>
        <v>11.40375</v>
      </c>
      <c r="C18" s="25"/>
      <c r="D18" s="43">
        <f>B28*0.005</f>
        <v>11.40375</v>
      </c>
      <c r="E18" s="78">
        <f>+D18</f>
        <v>11.40375</v>
      </c>
      <c r="F18" s="49"/>
      <c r="G18" s="49" t="s">
        <v>7</v>
      </c>
      <c r="H18" s="49" t="s">
        <v>7</v>
      </c>
      <c r="I18" s="50" t="s">
        <v>7</v>
      </c>
      <c r="J18" s="50" t="s">
        <v>7</v>
      </c>
      <c r="K18" s="50" t="s">
        <v>7</v>
      </c>
      <c r="L18" s="51" t="s">
        <v>7</v>
      </c>
    </row>
    <row r="19" spans="1:12" ht="33" customHeight="1">
      <c r="A19" s="24" t="s">
        <v>23</v>
      </c>
      <c r="B19" s="25">
        <f>4281.88*0.25</f>
        <v>1070.47</v>
      </c>
      <c r="C19" s="25">
        <f>5748.11*0.25</f>
        <v>1437.0275</v>
      </c>
      <c r="D19" s="25">
        <f>3568.24*0.06</f>
        <v>214.09439999999998</v>
      </c>
      <c r="E19" s="25">
        <f>+D19</f>
        <v>214.09439999999998</v>
      </c>
      <c r="F19" s="53"/>
      <c r="G19" s="49" t="s">
        <v>7</v>
      </c>
      <c r="H19" s="49" t="s">
        <v>7</v>
      </c>
      <c r="I19" s="50" t="s">
        <v>7</v>
      </c>
      <c r="J19" s="50" t="s">
        <v>7</v>
      </c>
      <c r="K19" s="50" t="s">
        <v>7</v>
      </c>
      <c r="L19" s="51" t="s">
        <v>7</v>
      </c>
    </row>
    <row r="20" spans="1:12" ht="33" customHeight="1" thickBot="1">
      <c r="A20" s="54" t="s">
        <v>24</v>
      </c>
      <c r="B20" s="75" t="s">
        <v>16</v>
      </c>
      <c r="C20" s="56" t="s">
        <v>16</v>
      </c>
      <c r="D20" s="55" t="s">
        <v>16</v>
      </c>
      <c r="E20" s="57" t="s">
        <v>29</v>
      </c>
      <c r="F20" s="58"/>
      <c r="G20" s="59" t="s">
        <v>7</v>
      </c>
      <c r="H20" s="59" t="s">
        <v>7</v>
      </c>
      <c r="I20" s="60" t="s">
        <v>7</v>
      </c>
      <c r="J20" s="60" t="s">
        <v>7</v>
      </c>
      <c r="K20" s="60" t="s">
        <v>7</v>
      </c>
      <c r="L20" s="61" t="s">
        <v>7</v>
      </c>
    </row>
    <row r="21" spans="1:12" ht="39.75" customHeight="1">
      <c r="A21" s="84" t="s">
        <v>46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16.5" customHeight="1">
      <c r="A22" s="82" t="s">
        <v>30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6.5" customHeight="1">
      <c r="A23" s="82" t="s">
        <v>25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9.5" customHeight="1">
      <c r="A24" s="82" t="s">
        <v>31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21.75" customHeight="1">
      <c r="A25" s="82" t="s">
        <v>32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8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8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8">
      <c r="A28" s="76" t="s">
        <v>51</v>
      </c>
      <c r="B28" s="76">
        <v>2280.75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8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8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8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18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8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ht="18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8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8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ht="18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ht="18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8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ht="18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8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8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18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ht="18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8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ht="18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8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8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18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18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8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ht="18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18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8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 ht="18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 ht="18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18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12" ht="18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ht="18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</sheetData>
  <sheetProtection password="CDF6" sheet="1" objects="1" scenarios="1"/>
  <mergeCells count="6">
    <mergeCell ref="A24:L24"/>
    <mergeCell ref="A25:L25"/>
    <mergeCell ref="J4:K4"/>
    <mergeCell ref="A21:L21"/>
    <mergeCell ref="A22:L22"/>
    <mergeCell ref="A23:L23"/>
  </mergeCells>
  <printOptions horizontalCentered="1" verticalCentered="1"/>
  <pageMargins left="0.7368503937007874" right="0.1968503937007874" top="0.1968503937007874" bottom="0.1968503937007874" header="0" footer="0"/>
  <pageSetup fitToHeight="5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zoomScale="50" zoomScaleNormal="50" zoomScalePageLayoutView="0" workbookViewId="0" topLeftCell="A1">
      <selection activeCell="A35" sqref="A35"/>
    </sheetView>
  </sheetViews>
  <sheetFormatPr defaultColWidth="11.421875" defaultRowHeight="12.75"/>
  <cols>
    <col min="1" max="1" width="58.7109375" style="6" customWidth="1"/>
    <col min="2" max="2" width="30.57421875" style="6" bestFit="1" customWidth="1"/>
    <col min="3" max="3" width="24.28125" style="6" bestFit="1" customWidth="1"/>
    <col min="4" max="5" width="17.28125" style="6" bestFit="1" customWidth="1"/>
    <col min="6" max="6" width="18.28125" style="6" bestFit="1" customWidth="1"/>
    <col min="7" max="7" width="29.28125" style="6" bestFit="1" customWidth="1"/>
    <col min="8" max="8" width="17.28125" style="6" bestFit="1" customWidth="1"/>
    <col min="9" max="9" width="24.28125" style="6" bestFit="1" customWidth="1"/>
    <col min="10" max="10" width="17.00390625" style="6" bestFit="1" customWidth="1"/>
    <col min="11" max="11" width="16.00390625" style="6" bestFit="1" customWidth="1"/>
    <col min="12" max="12" width="17.00390625" style="6" bestFit="1" customWidth="1"/>
    <col min="13" max="29" width="11.421875" style="5" customWidth="1"/>
    <col min="30" max="16384" width="11.421875" style="6" customWidth="1"/>
  </cols>
  <sheetData>
    <row r="1" spans="1:12" ht="40.5" customHeight="1">
      <c r="A1" s="2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40.5" customHeight="1" thickBo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2" ht="40.5" customHeight="1">
      <c r="A3" s="10" t="s">
        <v>1</v>
      </c>
      <c r="B3" s="11" t="s">
        <v>33</v>
      </c>
      <c r="C3" s="11" t="s">
        <v>26</v>
      </c>
      <c r="D3" s="11" t="s">
        <v>2</v>
      </c>
      <c r="E3" s="11" t="s">
        <v>3</v>
      </c>
      <c r="F3" s="12" t="s">
        <v>4</v>
      </c>
      <c r="G3" s="11" t="s">
        <v>34</v>
      </c>
      <c r="H3" s="12" t="s">
        <v>5</v>
      </c>
      <c r="I3" s="13" t="s">
        <v>39</v>
      </c>
      <c r="J3" s="79" t="s">
        <v>36</v>
      </c>
      <c r="K3" s="80"/>
      <c r="L3" s="14" t="s">
        <v>6</v>
      </c>
    </row>
    <row r="4" spans="1:12" ht="40.5" customHeight="1">
      <c r="A4" s="15"/>
      <c r="B4" s="16">
        <v>38384</v>
      </c>
      <c r="C4" s="16">
        <v>38384</v>
      </c>
      <c r="D4" s="16">
        <v>38384</v>
      </c>
      <c r="E4" s="16">
        <v>38384</v>
      </c>
      <c r="F4" s="16">
        <v>38384</v>
      </c>
      <c r="G4" s="16">
        <v>38384</v>
      </c>
      <c r="H4" s="16">
        <v>38384</v>
      </c>
      <c r="I4" s="16">
        <v>38384</v>
      </c>
      <c r="J4" s="16">
        <v>38384</v>
      </c>
      <c r="K4" s="16">
        <v>38384</v>
      </c>
      <c r="L4" s="17">
        <v>38384</v>
      </c>
    </row>
    <row r="5" spans="1:12" ht="40.5" customHeight="1">
      <c r="A5" s="15"/>
      <c r="B5" s="18"/>
      <c r="C5" s="19"/>
      <c r="D5" s="20" t="s">
        <v>7</v>
      </c>
      <c r="E5" s="20"/>
      <c r="F5" s="20" t="s">
        <v>7</v>
      </c>
      <c r="G5" s="21" t="s">
        <v>7</v>
      </c>
      <c r="H5" s="21" t="s">
        <v>7</v>
      </c>
      <c r="I5" s="21" t="s">
        <v>8</v>
      </c>
      <c r="J5" s="21" t="s">
        <v>8</v>
      </c>
      <c r="K5" s="22" t="s">
        <v>27</v>
      </c>
      <c r="L5" s="23" t="s">
        <v>28</v>
      </c>
    </row>
    <row r="6" spans="1:12" ht="40.5" customHeight="1">
      <c r="A6" s="24" t="s">
        <v>9</v>
      </c>
      <c r="B6" s="25">
        <v>2525.04</v>
      </c>
      <c r="C6" s="25">
        <v>3339.19</v>
      </c>
      <c r="D6" s="25">
        <v>2077.27</v>
      </c>
      <c r="E6" s="25">
        <v>2077.27</v>
      </c>
      <c r="F6" s="25">
        <v>4305.31</v>
      </c>
      <c r="G6" s="25">
        <v>3339.19</v>
      </c>
      <c r="H6" s="25">
        <v>5027.09</v>
      </c>
      <c r="I6" s="25">
        <v>1728.0868</v>
      </c>
      <c r="J6" s="25">
        <v>1489.73</v>
      </c>
      <c r="K6" s="25">
        <v>1513.56568</v>
      </c>
      <c r="L6" s="26">
        <v>1406.52</v>
      </c>
    </row>
    <row r="7" spans="1:12" ht="40.5" customHeight="1">
      <c r="A7" s="24" t="s">
        <v>35</v>
      </c>
      <c r="B7" s="27">
        <v>3.5</v>
      </c>
      <c r="C7" s="27">
        <v>3.5</v>
      </c>
      <c r="D7" s="27">
        <v>3.5</v>
      </c>
      <c r="E7" s="27">
        <v>3.5</v>
      </c>
      <c r="F7" s="28"/>
      <c r="G7" s="28"/>
      <c r="H7" s="29"/>
      <c r="I7" s="29"/>
      <c r="J7" s="29"/>
      <c r="K7" s="29"/>
      <c r="L7" s="30"/>
    </row>
    <row r="8" spans="1:12" ht="40.5" customHeight="1">
      <c r="A8" s="24" t="s">
        <v>10</v>
      </c>
      <c r="B8" s="31" t="s">
        <v>11</v>
      </c>
      <c r="C8" s="32" t="s">
        <v>11</v>
      </c>
      <c r="D8" s="31" t="s">
        <v>11</v>
      </c>
      <c r="E8" s="32" t="s">
        <v>11</v>
      </c>
      <c r="F8" s="33" t="s">
        <v>11</v>
      </c>
      <c r="G8" s="32" t="s">
        <v>11</v>
      </c>
      <c r="H8" s="34"/>
      <c r="I8" s="34"/>
      <c r="J8" s="34"/>
      <c r="K8" s="34"/>
      <c r="L8" s="26">
        <v>113.34</v>
      </c>
    </row>
    <row r="9" spans="1:12" ht="40.5" customHeight="1">
      <c r="A9" s="24" t="s">
        <v>12</v>
      </c>
      <c r="B9" s="34"/>
      <c r="C9" s="35" t="s">
        <v>7</v>
      </c>
      <c r="D9" s="34" t="s">
        <v>7</v>
      </c>
      <c r="E9" s="35"/>
      <c r="F9" s="36" t="s">
        <v>7</v>
      </c>
      <c r="G9" s="37" t="s">
        <v>7</v>
      </c>
      <c r="H9" s="36" t="s">
        <v>7</v>
      </c>
      <c r="I9" s="36" t="s">
        <v>7</v>
      </c>
      <c r="J9" s="38"/>
      <c r="K9" s="36" t="s">
        <v>7</v>
      </c>
      <c r="L9" s="26">
        <v>110.3</v>
      </c>
    </row>
    <row r="10" spans="1:12" ht="40.5" customHeight="1">
      <c r="A10" s="24" t="s">
        <v>13</v>
      </c>
      <c r="B10" s="25">
        <v>594.18</v>
      </c>
      <c r="C10" s="25">
        <v>683.31</v>
      </c>
      <c r="D10" s="25">
        <v>393.81</v>
      </c>
      <c r="E10" s="25">
        <v>393.81</v>
      </c>
      <c r="F10" s="36" t="s">
        <v>7</v>
      </c>
      <c r="G10" s="37"/>
      <c r="H10" s="36"/>
      <c r="I10" s="36" t="s">
        <v>7</v>
      </c>
      <c r="J10" s="36" t="s">
        <v>7</v>
      </c>
      <c r="K10" s="36" t="s">
        <v>7</v>
      </c>
      <c r="L10" s="39" t="s">
        <v>7</v>
      </c>
    </row>
    <row r="11" spans="1:12" ht="40.5" customHeight="1">
      <c r="A11" s="24" t="s">
        <v>14</v>
      </c>
      <c r="B11" s="25">
        <v>404.0064</v>
      </c>
      <c r="C11" s="25">
        <v>534.2704</v>
      </c>
      <c r="D11" s="25">
        <v>332.3632</v>
      </c>
      <c r="E11" s="25">
        <v>332.3632</v>
      </c>
      <c r="F11" s="25">
        <v>688.8496000000001</v>
      </c>
      <c r="G11" s="25">
        <v>534.2704</v>
      </c>
      <c r="H11" s="25">
        <v>804.3344000000001</v>
      </c>
      <c r="I11" s="25">
        <v>172.80868</v>
      </c>
      <c r="J11" s="25">
        <v>238.35680000000002</v>
      </c>
      <c r="K11" s="25">
        <v>242.1705088</v>
      </c>
      <c r="L11" s="39"/>
    </row>
    <row r="12" spans="1:12" ht="40.5" customHeight="1">
      <c r="A12" s="24" t="s">
        <v>15</v>
      </c>
      <c r="B12" s="40" t="s">
        <v>16</v>
      </c>
      <c r="C12" s="41" t="s">
        <v>16</v>
      </c>
      <c r="D12" s="40" t="s">
        <v>16</v>
      </c>
      <c r="E12" s="41" t="s">
        <v>16</v>
      </c>
      <c r="F12" s="42" t="s">
        <v>16</v>
      </c>
      <c r="G12" s="41" t="s">
        <v>16</v>
      </c>
      <c r="H12" s="25">
        <v>5831.4244</v>
      </c>
      <c r="I12" s="25">
        <v>1900.8954800000001</v>
      </c>
      <c r="J12" s="25">
        <v>1728.0868</v>
      </c>
      <c r="K12" s="25">
        <v>1755.7361888</v>
      </c>
      <c r="L12" s="26">
        <v>1630.16</v>
      </c>
    </row>
    <row r="13" spans="1:12" ht="40.5" customHeight="1">
      <c r="A13" s="24" t="s">
        <v>17</v>
      </c>
      <c r="B13" s="43">
        <v>200.88220000000004</v>
      </c>
      <c r="C13" s="25"/>
      <c r="D13" s="25">
        <v>180.79</v>
      </c>
      <c r="E13" s="25">
        <v>180.79</v>
      </c>
      <c r="F13" s="34"/>
      <c r="G13" s="35" t="s">
        <v>7</v>
      </c>
      <c r="H13" s="34"/>
      <c r="I13" s="36"/>
      <c r="J13" s="36" t="s">
        <v>7</v>
      </c>
      <c r="K13" s="36" t="s">
        <v>7</v>
      </c>
      <c r="L13" s="44"/>
    </row>
    <row r="14" spans="1:12" ht="40.5" customHeight="1">
      <c r="A14" s="24" t="s">
        <v>18</v>
      </c>
      <c r="B14" s="45" t="s">
        <v>16</v>
      </c>
      <c r="C14" s="46" t="s">
        <v>20</v>
      </c>
      <c r="D14" s="45" t="s">
        <v>16</v>
      </c>
      <c r="E14" s="46" t="s">
        <v>16</v>
      </c>
      <c r="F14" s="47"/>
      <c r="G14" s="47"/>
      <c r="H14" s="47"/>
      <c r="I14" s="47"/>
      <c r="J14" s="47"/>
      <c r="K14" s="47"/>
      <c r="L14" s="44"/>
    </row>
    <row r="15" spans="1:12" ht="40.5" customHeight="1">
      <c r="A15" s="24" t="s">
        <v>19</v>
      </c>
      <c r="B15" s="43">
        <v>295.415</v>
      </c>
      <c r="C15" s="25"/>
      <c r="D15" s="25">
        <v>265.88</v>
      </c>
      <c r="E15" s="46" t="s">
        <v>29</v>
      </c>
      <c r="F15" s="34" t="s">
        <v>7</v>
      </c>
      <c r="G15" s="34" t="s">
        <v>7</v>
      </c>
      <c r="H15" s="34"/>
      <c r="I15" s="36" t="s">
        <v>7</v>
      </c>
      <c r="J15" s="36" t="s">
        <v>7</v>
      </c>
      <c r="K15" s="36" t="s">
        <v>7</v>
      </c>
      <c r="L15" s="44" t="s">
        <v>7</v>
      </c>
    </row>
    <row r="16" spans="1:12" ht="40.5" customHeight="1">
      <c r="A16" s="24" t="s">
        <v>21</v>
      </c>
      <c r="B16" s="25">
        <v>15.95</v>
      </c>
      <c r="C16" s="25"/>
      <c r="D16" s="25"/>
      <c r="E16" s="48"/>
      <c r="F16" s="49" t="s">
        <v>7</v>
      </c>
      <c r="G16" s="49" t="s">
        <v>7</v>
      </c>
      <c r="H16" s="49" t="s">
        <v>7</v>
      </c>
      <c r="I16" s="50" t="s">
        <v>7</v>
      </c>
      <c r="J16" s="50"/>
      <c r="K16" s="50" t="s">
        <v>7</v>
      </c>
      <c r="L16" s="51" t="s">
        <v>7</v>
      </c>
    </row>
    <row r="17" spans="1:12" ht="40.5" customHeight="1">
      <c r="A17" s="24" t="s">
        <v>22</v>
      </c>
      <c r="B17" s="43">
        <v>11.816600000000001</v>
      </c>
      <c r="C17" s="25"/>
      <c r="D17" s="25">
        <v>13.22</v>
      </c>
      <c r="E17" s="48" t="s">
        <v>29</v>
      </c>
      <c r="F17" s="49"/>
      <c r="G17" s="49" t="s">
        <v>7</v>
      </c>
      <c r="H17" s="49" t="s">
        <v>7</v>
      </c>
      <c r="I17" s="50" t="s">
        <v>7</v>
      </c>
      <c r="J17" s="50" t="s">
        <v>7</v>
      </c>
      <c r="K17" s="50" t="s">
        <v>7</v>
      </c>
      <c r="L17" s="51" t="s">
        <v>7</v>
      </c>
    </row>
    <row r="18" spans="1:12" ht="40.5" customHeight="1">
      <c r="A18" s="24" t="s">
        <v>23</v>
      </c>
      <c r="B18" s="25">
        <v>956.7675</v>
      </c>
      <c r="C18" s="52">
        <v>1313.3425</v>
      </c>
      <c r="D18" s="25">
        <v>187.0368</v>
      </c>
      <c r="E18" s="25">
        <v>187.0368</v>
      </c>
      <c r="F18" s="53"/>
      <c r="G18" s="49" t="s">
        <v>7</v>
      </c>
      <c r="H18" s="49" t="s">
        <v>7</v>
      </c>
      <c r="I18" s="50" t="s">
        <v>7</v>
      </c>
      <c r="J18" s="50" t="s">
        <v>7</v>
      </c>
      <c r="K18" s="50" t="s">
        <v>7</v>
      </c>
      <c r="L18" s="51" t="s">
        <v>7</v>
      </c>
    </row>
    <row r="19" spans="1:12" ht="40.5" customHeight="1" thickBot="1">
      <c r="A19" s="54" t="s">
        <v>24</v>
      </c>
      <c r="B19" s="55" t="s">
        <v>16</v>
      </c>
      <c r="C19" s="56" t="s">
        <v>16</v>
      </c>
      <c r="D19" s="55" t="s">
        <v>16</v>
      </c>
      <c r="E19" s="57" t="s">
        <v>29</v>
      </c>
      <c r="F19" s="58"/>
      <c r="G19" s="59" t="s">
        <v>7</v>
      </c>
      <c r="H19" s="59" t="s">
        <v>7</v>
      </c>
      <c r="I19" s="60" t="s">
        <v>7</v>
      </c>
      <c r="J19" s="60" t="s">
        <v>7</v>
      </c>
      <c r="K19" s="60" t="s">
        <v>7</v>
      </c>
      <c r="L19" s="61" t="s">
        <v>7</v>
      </c>
    </row>
    <row r="20" spans="1:29" s="69" customFormat="1" ht="19.5" customHeight="1">
      <c r="A20" s="81" t="s">
        <v>37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</row>
    <row r="21" spans="1:29" s="69" customFormat="1" ht="19.5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</row>
    <row r="22" spans="1:29" s="69" customFormat="1" ht="19.5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</row>
    <row r="23" spans="1:29" s="69" customFormat="1" ht="19.5" customHeight="1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</row>
    <row r="24" spans="1:29" s="69" customFormat="1" ht="19.5" customHeight="1">
      <c r="A24" s="1" t="s">
        <v>32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</row>
    <row r="25" spans="1:12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</sheetData>
  <sheetProtection password="DFD7" sheet="1" objects="1" scenarios="1"/>
  <mergeCells count="6">
    <mergeCell ref="A24:L24"/>
    <mergeCell ref="J3:K3"/>
    <mergeCell ref="A20:L20"/>
    <mergeCell ref="A21:L21"/>
    <mergeCell ref="A22:L22"/>
    <mergeCell ref="A23:L2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="60" zoomScaleNormal="60" zoomScaleSheetLayoutView="50" zoomScalePageLayoutView="0" workbookViewId="0" topLeftCell="A1">
      <selection activeCell="B7" sqref="B7"/>
    </sheetView>
  </sheetViews>
  <sheetFormatPr defaultColWidth="9.8515625" defaultRowHeight="12.75"/>
  <cols>
    <col min="1" max="1" width="35.8515625" style="65" customWidth="1"/>
    <col min="2" max="2" width="17.8515625" style="65" customWidth="1"/>
    <col min="3" max="3" width="16.140625" style="65" customWidth="1"/>
    <col min="4" max="5" width="16.140625" style="65" bestFit="1" customWidth="1"/>
    <col min="6" max="6" width="16.28125" style="65" bestFit="1" customWidth="1"/>
    <col min="7" max="8" width="16.140625" style="65" bestFit="1" customWidth="1"/>
    <col min="9" max="9" width="16.140625" style="65" customWidth="1"/>
    <col min="10" max="12" width="16.140625" style="65" bestFit="1" customWidth="1"/>
    <col min="13" max="13" width="12.28125" style="62" bestFit="1" customWidth="1"/>
    <col min="14" max="96" width="9.8515625" style="62" customWidth="1"/>
    <col min="97" max="16384" width="9.8515625" style="63" customWidth="1"/>
  </cols>
  <sheetData>
    <row r="1" spans="1:12" ht="18.75" thickBot="1">
      <c r="A1" s="70"/>
      <c r="B1" s="64"/>
      <c r="C1" s="64"/>
      <c r="D1" s="71"/>
      <c r="E1" s="64"/>
      <c r="F1" s="64"/>
      <c r="G1" s="64"/>
      <c r="H1" s="64"/>
      <c r="I1" s="64"/>
      <c r="J1" s="64"/>
      <c r="K1" s="64"/>
      <c r="L1" s="64"/>
    </row>
    <row r="2" spans="1:12" ht="24" customHeight="1">
      <c r="A2" s="2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8.7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36" customHeight="1">
      <c r="A4" s="10" t="s">
        <v>1</v>
      </c>
      <c r="B4" s="11" t="s">
        <v>33</v>
      </c>
      <c r="C4" s="11" t="s">
        <v>26</v>
      </c>
      <c r="D4" s="11" t="s">
        <v>2</v>
      </c>
      <c r="E4" s="11" t="s">
        <v>3</v>
      </c>
      <c r="F4" s="12" t="s">
        <v>4</v>
      </c>
      <c r="G4" s="11" t="s">
        <v>34</v>
      </c>
      <c r="H4" s="12" t="s">
        <v>5</v>
      </c>
      <c r="I4" s="13" t="s">
        <v>39</v>
      </c>
      <c r="J4" s="79" t="s">
        <v>36</v>
      </c>
      <c r="K4" s="80"/>
      <c r="L4" s="14" t="s">
        <v>6</v>
      </c>
    </row>
    <row r="5" spans="1:12" ht="25.5" customHeight="1">
      <c r="A5" s="15"/>
      <c r="B5" s="16">
        <v>38412</v>
      </c>
      <c r="C5" s="16">
        <f aca="true" t="shared" si="0" ref="C5:I5">+B5</f>
        <v>38412</v>
      </c>
      <c r="D5" s="16">
        <f t="shared" si="0"/>
        <v>38412</v>
      </c>
      <c r="E5" s="16">
        <f t="shared" si="0"/>
        <v>38412</v>
      </c>
      <c r="F5" s="16">
        <f t="shared" si="0"/>
        <v>38412</v>
      </c>
      <c r="G5" s="16">
        <f t="shared" si="0"/>
        <v>38412</v>
      </c>
      <c r="H5" s="16">
        <f t="shared" si="0"/>
        <v>38412</v>
      </c>
      <c r="I5" s="16">
        <f t="shared" si="0"/>
        <v>38412</v>
      </c>
      <c r="J5" s="16">
        <f>+H5</f>
        <v>38412</v>
      </c>
      <c r="K5" s="16">
        <f>+J5</f>
        <v>38412</v>
      </c>
      <c r="L5" s="17">
        <f>+K5</f>
        <v>38412</v>
      </c>
    </row>
    <row r="6" spans="1:12" ht="25.5" customHeight="1">
      <c r="A6" s="15"/>
      <c r="B6" s="18"/>
      <c r="C6" s="19"/>
      <c r="D6" s="20" t="s">
        <v>7</v>
      </c>
      <c r="E6" s="20"/>
      <c r="F6" s="20" t="s">
        <v>7</v>
      </c>
      <c r="G6" s="21" t="s">
        <v>7</v>
      </c>
      <c r="H6" s="21" t="s">
        <v>7</v>
      </c>
      <c r="I6" s="21" t="s">
        <v>8</v>
      </c>
      <c r="J6" s="21" t="s">
        <v>8</v>
      </c>
      <c r="K6" s="22" t="s">
        <v>27</v>
      </c>
      <c r="L6" s="23" t="s">
        <v>28</v>
      </c>
    </row>
    <row r="7" spans="1:13" ht="33" customHeight="1">
      <c r="A7" s="24" t="s">
        <v>9</v>
      </c>
      <c r="B7" s="25">
        <v>2525.04</v>
      </c>
      <c r="C7" s="25">
        <v>3339.19</v>
      </c>
      <c r="D7" s="25">
        <v>2078.57</v>
      </c>
      <c r="E7" s="25">
        <f>+D7</f>
        <v>2078.57</v>
      </c>
      <c r="F7" s="25">
        <v>4305.31</v>
      </c>
      <c r="G7" s="25">
        <f>C7</f>
        <v>3339.19</v>
      </c>
      <c r="H7" s="25">
        <v>5027.09</v>
      </c>
      <c r="I7" s="25">
        <f>+J13</f>
        <v>1728.0868</v>
      </c>
      <c r="J7" s="25">
        <v>1489.73</v>
      </c>
      <c r="K7" s="25">
        <f>+J7*1.016</f>
        <v>1513.56568</v>
      </c>
      <c r="L7" s="26">
        <v>1472.95</v>
      </c>
      <c r="M7" s="72"/>
    </row>
    <row r="8" spans="1:13" ht="33" customHeight="1">
      <c r="A8" s="24" t="s">
        <v>35</v>
      </c>
      <c r="B8" s="27">
        <v>3.5</v>
      </c>
      <c r="C8" s="27">
        <v>3.5</v>
      </c>
      <c r="D8" s="27">
        <v>3.5</v>
      </c>
      <c r="E8" s="27">
        <f>+D8</f>
        <v>3.5</v>
      </c>
      <c r="F8" s="28"/>
      <c r="G8" s="28"/>
      <c r="H8" s="29"/>
      <c r="I8" s="29"/>
      <c r="J8" s="29"/>
      <c r="K8" s="29"/>
      <c r="L8" s="30"/>
      <c r="M8" s="72"/>
    </row>
    <row r="9" spans="1:13" ht="33" customHeight="1">
      <c r="A9" s="24" t="s">
        <v>10</v>
      </c>
      <c r="B9" s="31" t="s">
        <v>11</v>
      </c>
      <c r="C9" s="32" t="s">
        <v>11</v>
      </c>
      <c r="D9" s="31" t="s">
        <v>11</v>
      </c>
      <c r="E9" s="32" t="s">
        <v>11</v>
      </c>
      <c r="F9" s="33" t="s">
        <v>11</v>
      </c>
      <c r="G9" s="32" t="s">
        <v>11</v>
      </c>
      <c r="H9" s="34"/>
      <c r="I9" s="34"/>
      <c r="J9" s="34"/>
      <c r="K9" s="34"/>
      <c r="L9" s="26">
        <v>119.53</v>
      </c>
      <c r="M9" s="72"/>
    </row>
    <row r="10" spans="1:13" ht="33" customHeight="1">
      <c r="A10" s="24" t="s">
        <v>12</v>
      </c>
      <c r="B10" s="34"/>
      <c r="C10" s="35" t="s">
        <v>7</v>
      </c>
      <c r="D10" s="34" t="s">
        <v>7</v>
      </c>
      <c r="E10" s="35"/>
      <c r="F10" s="36" t="s">
        <v>7</v>
      </c>
      <c r="G10" s="37" t="s">
        <v>7</v>
      </c>
      <c r="H10" s="36" t="s">
        <v>7</v>
      </c>
      <c r="I10" s="36" t="s">
        <v>7</v>
      </c>
      <c r="J10" s="38"/>
      <c r="K10" s="36" t="s">
        <v>7</v>
      </c>
      <c r="L10" s="26">
        <v>110.3</v>
      </c>
      <c r="M10" s="72"/>
    </row>
    <row r="11" spans="1:12" ht="33" customHeight="1">
      <c r="A11" s="24" t="s">
        <v>13</v>
      </c>
      <c r="B11" s="25">
        <f>594.18*1.05</f>
        <v>623.889</v>
      </c>
      <c r="C11" s="25">
        <f>683.31*1.05</f>
        <v>717.4755</v>
      </c>
      <c r="D11" s="25">
        <f>393.81*1.05</f>
        <v>413.50050000000005</v>
      </c>
      <c r="E11" s="25">
        <f>393.81*1.05</f>
        <v>413.50050000000005</v>
      </c>
      <c r="F11" s="36" t="s">
        <v>7</v>
      </c>
      <c r="G11" s="37"/>
      <c r="H11" s="36"/>
      <c r="I11" s="36" t="s">
        <v>7</v>
      </c>
      <c r="J11" s="36" t="s">
        <v>7</v>
      </c>
      <c r="K11" s="36" t="s">
        <v>7</v>
      </c>
      <c r="L11" s="39" t="s">
        <v>7</v>
      </c>
    </row>
    <row r="12" spans="1:12" ht="33" customHeight="1">
      <c r="A12" s="24" t="s">
        <v>14</v>
      </c>
      <c r="B12" s="25">
        <f aca="true" t="shared" si="1" ref="B12:H12">+B7*0.16</f>
        <v>404.0064</v>
      </c>
      <c r="C12" s="25">
        <f t="shared" si="1"/>
        <v>534.2704</v>
      </c>
      <c r="D12" s="25">
        <f t="shared" si="1"/>
        <v>332.57120000000003</v>
      </c>
      <c r="E12" s="25">
        <f t="shared" si="1"/>
        <v>332.57120000000003</v>
      </c>
      <c r="F12" s="25">
        <f t="shared" si="1"/>
        <v>688.8496000000001</v>
      </c>
      <c r="G12" s="25">
        <f t="shared" si="1"/>
        <v>534.2704</v>
      </c>
      <c r="H12" s="25">
        <f t="shared" si="1"/>
        <v>804.3344000000001</v>
      </c>
      <c r="I12" s="25">
        <f>+I7*0.1</f>
        <v>172.80868</v>
      </c>
      <c r="J12" s="25">
        <f>+J7*0.16</f>
        <v>238.35680000000002</v>
      </c>
      <c r="K12" s="25">
        <f>+K7*0.16</f>
        <v>242.1705088</v>
      </c>
      <c r="L12" s="39"/>
    </row>
    <row r="13" spans="1:12" ht="33" customHeight="1">
      <c r="A13" s="24" t="s">
        <v>15</v>
      </c>
      <c r="B13" s="40" t="s">
        <v>16</v>
      </c>
      <c r="C13" s="41" t="s">
        <v>16</v>
      </c>
      <c r="D13" s="40" t="s">
        <v>16</v>
      </c>
      <c r="E13" s="41" t="s">
        <v>16</v>
      </c>
      <c r="F13" s="42" t="s">
        <v>16</v>
      </c>
      <c r="G13" s="41" t="s">
        <v>16</v>
      </c>
      <c r="H13" s="25">
        <f>SUM(H7:H12)</f>
        <v>5831.4244</v>
      </c>
      <c r="I13" s="25">
        <f>SUM(I7:I12)</f>
        <v>1900.8954800000001</v>
      </c>
      <c r="J13" s="25">
        <f>SUM(J7:J12)</f>
        <v>1728.0868</v>
      </c>
      <c r="K13" s="25">
        <f>SUM(K7:K12)</f>
        <v>1755.7361888</v>
      </c>
      <c r="L13" s="26">
        <f>SUM(L7:L12)</f>
        <v>1702.78</v>
      </c>
    </row>
    <row r="14" spans="1:12" ht="33" customHeight="1">
      <c r="A14" s="24" t="s">
        <v>17</v>
      </c>
      <c r="B14" s="43">
        <f>2341.53*0.085</f>
        <v>199.03005000000005</v>
      </c>
      <c r="C14" s="25"/>
      <c r="D14" s="25">
        <v>179.13</v>
      </c>
      <c r="E14" s="25">
        <f>+D14</f>
        <v>179.13</v>
      </c>
      <c r="F14" s="34"/>
      <c r="G14" s="35" t="s">
        <v>7</v>
      </c>
      <c r="H14" s="34"/>
      <c r="I14" s="36"/>
      <c r="J14" s="36" t="s">
        <v>7</v>
      </c>
      <c r="K14" s="36" t="s">
        <v>7</v>
      </c>
      <c r="L14" s="44"/>
    </row>
    <row r="15" spans="1:12" ht="33" customHeight="1">
      <c r="A15" s="24" t="s">
        <v>18</v>
      </c>
      <c r="B15" s="45" t="s">
        <v>16</v>
      </c>
      <c r="C15" s="46" t="s">
        <v>20</v>
      </c>
      <c r="D15" s="45" t="s">
        <v>16</v>
      </c>
      <c r="E15" s="46" t="s">
        <v>16</v>
      </c>
      <c r="F15" s="47"/>
      <c r="G15" s="47"/>
      <c r="H15" s="47"/>
      <c r="I15" s="47"/>
      <c r="J15" s="47"/>
      <c r="K15" s="47"/>
      <c r="L15" s="44"/>
    </row>
    <row r="16" spans="1:12" ht="33" customHeight="1">
      <c r="A16" s="24" t="s">
        <v>19</v>
      </c>
      <c r="B16" s="43">
        <f>2341.53*0.125</f>
        <v>292.69125</v>
      </c>
      <c r="C16" s="25"/>
      <c r="D16" s="25">
        <v>263.42</v>
      </c>
      <c r="E16" s="46" t="s">
        <v>29</v>
      </c>
      <c r="F16" s="34" t="s">
        <v>7</v>
      </c>
      <c r="G16" s="34" t="s">
        <v>7</v>
      </c>
      <c r="H16" s="34"/>
      <c r="I16" s="36" t="s">
        <v>7</v>
      </c>
      <c r="J16" s="36" t="s">
        <v>7</v>
      </c>
      <c r="K16" s="36" t="s">
        <v>7</v>
      </c>
      <c r="L16" s="44" t="s">
        <v>7</v>
      </c>
    </row>
    <row r="17" spans="1:12" ht="33" customHeight="1">
      <c r="A17" s="24" t="s">
        <v>21</v>
      </c>
      <c r="B17" s="52">
        <v>16.06</v>
      </c>
      <c r="C17" s="25"/>
      <c r="D17" s="25"/>
      <c r="E17" s="48"/>
      <c r="F17" s="49" t="s">
        <v>7</v>
      </c>
      <c r="G17" s="49" t="s">
        <v>7</v>
      </c>
      <c r="H17" s="49" t="s">
        <v>7</v>
      </c>
      <c r="I17" s="50" t="s">
        <v>7</v>
      </c>
      <c r="J17" s="50"/>
      <c r="K17" s="50" t="s">
        <v>7</v>
      </c>
      <c r="L17" s="51" t="s">
        <v>7</v>
      </c>
    </row>
    <row r="18" spans="1:12" ht="33" customHeight="1">
      <c r="A18" s="24" t="s">
        <v>22</v>
      </c>
      <c r="B18" s="43">
        <f>2341.53*0.005</f>
        <v>11.707650000000001</v>
      </c>
      <c r="C18" s="25"/>
      <c r="D18" s="25">
        <v>13.22</v>
      </c>
      <c r="E18" s="48" t="s">
        <v>29</v>
      </c>
      <c r="F18" s="49"/>
      <c r="G18" s="49" t="s">
        <v>7</v>
      </c>
      <c r="H18" s="49" t="s">
        <v>7</v>
      </c>
      <c r="I18" s="50" t="s">
        <v>7</v>
      </c>
      <c r="J18" s="50" t="s">
        <v>7</v>
      </c>
      <c r="K18" s="50" t="s">
        <v>7</v>
      </c>
      <c r="L18" s="51" t="s">
        <v>7</v>
      </c>
    </row>
    <row r="19" spans="1:12" ht="33" customHeight="1">
      <c r="A19" s="24" t="s">
        <v>23</v>
      </c>
      <c r="B19" s="52">
        <f>3881.92*0.25</f>
        <v>970.48</v>
      </c>
      <c r="C19" s="52">
        <f>5313.65*0.25</f>
        <v>1328.4125</v>
      </c>
      <c r="D19" s="52">
        <f>3167.05*0.06</f>
        <v>190.023</v>
      </c>
      <c r="E19" s="52">
        <f>+D19</f>
        <v>190.023</v>
      </c>
      <c r="F19" s="53"/>
      <c r="G19" s="49" t="s">
        <v>7</v>
      </c>
      <c r="H19" s="49" t="s">
        <v>7</v>
      </c>
      <c r="I19" s="50" t="s">
        <v>7</v>
      </c>
      <c r="J19" s="50" t="s">
        <v>7</v>
      </c>
      <c r="K19" s="50" t="s">
        <v>7</v>
      </c>
      <c r="L19" s="51" t="s">
        <v>7</v>
      </c>
    </row>
    <row r="20" spans="1:12" ht="33" customHeight="1" thickBot="1">
      <c r="A20" s="54" t="s">
        <v>24</v>
      </c>
      <c r="B20" s="55" t="s">
        <v>16</v>
      </c>
      <c r="C20" s="56" t="s">
        <v>16</v>
      </c>
      <c r="D20" s="55" t="s">
        <v>16</v>
      </c>
      <c r="E20" s="57" t="s">
        <v>29</v>
      </c>
      <c r="F20" s="58"/>
      <c r="G20" s="59" t="s">
        <v>7</v>
      </c>
      <c r="H20" s="59" t="s">
        <v>7</v>
      </c>
      <c r="I20" s="60" t="s">
        <v>7</v>
      </c>
      <c r="J20" s="60" t="s">
        <v>7</v>
      </c>
      <c r="K20" s="60" t="s">
        <v>7</v>
      </c>
      <c r="L20" s="61" t="s">
        <v>7</v>
      </c>
    </row>
    <row r="21" spans="1:12" ht="23.25" customHeight="1">
      <c r="A21" s="83" t="s">
        <v>42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16.5" customHeight="1">
      <c r="A22" s="82" t="s">
        <v>30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6.5" customHeight="1">
      <c r="A23" s="82" t="s">
        <v>25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9.5" customHeight="1">
      <c r="A24" s="82" t="s">
        <v>31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21.75" customHeight="1">
      <c r="A25" s="82" t="s">
        <v>32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8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8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8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8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8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8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18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8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ht="18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8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8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ht="18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ht="18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8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ht="18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8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8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18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ht="18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8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ht="18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8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8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18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18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8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ht="18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18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8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 ht="18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 ht="18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18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12" ht="18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ht="18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</sheetData>
  <sheetProtection password="DFD7" sheet="1" objects="1" scenarios="1"/>
  <mergeCells count="6">
    <mergeCell ref="A24:L24"/>
    <mergeCell ref="A25:L25"/>
    <mergeCell ref="J4:K4"/>
    <mergeCell ref="A21:L21"/>
    <mergeCell ref="A22:L22"/>
    <mergeCell ref="A23:L23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zoomScale="60" zoomScaleNormal="60" zoomScaleSheetLayoutView="50" zoomScalePageLayoutView="0" workbookViewId="0" topLeftCell="A1">
      <selection activeCell="M22" sqref="M22"/>
    </sheetView>
  </sheetViews>
  <sheetFormatPr defaultColWidth="9.8515625" defaultRowHeight="12.75"/>
  <cols>
    <col min="1" max="1" width="35.8515625" style="65" customWidth="1"/>
    <col min="2" max="2" width="17.8515625" style="65" customWidth="1"/>
    <col min="3" max="3" width="16.140625" style="65" customWidth="1"/>
    <col min="4" max="5" width="16.140625" style="65" bestFit="1" customWidth="1"/>
    <col min="6" max="6" width="16.28125" style="65" bestFit="1" customWidth="1"/>
    <col min="7" max="8" width="16.140625" style="65" bestFit="1" customWidth="1"/>
    <col min="9" max="9" width="16.140625" style="65" customWidth="1"/>
    <col min="10" max="12" width="16.140625" style="65" bestFit="1" customWidth="1"/>
    <col min="13" max="13" width="12.28125" style="62" bestFit="1" customWidth="1"/>
    <col min="14" max="96" width="9.8515625" style="62" customWidth="1"/>
    <col min="97" max="16384" width="9.8515625" style="63" customWidth="1"/>
  </cols>
  <sheetData>
    <row r="1" spans="1:12" ht="18.75" thickBot="1">
      <c r="A1" s="70"/>
      <c r="B1" s="64"/>
      <c r="C1" s="64"/>
      <c r="D1" s="71"/>
      <c r="E1" s="64"/>
      <c r="F1" s="64"/>
      <c r="G1" s="64"/>
      <c r="H1" s="64"/>
      <c r="I1" s="64"/>
      <c r="J1" s="64"/>
      <c r="K1" s="64"/>
      <c r="L1" s="64"/>
    </row>
    <row r="2" spans="1:12" ht="24" customHeight="1">
      <c r="A2" s="2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8.7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36" customHeight="1">
      <c r="A4" s="10" t="s">
        <v>1</v>
      </c>
      <c r="B4" s="11" t="s">
        <v>33</v>
      </c>
      <c r="C4" s="11" t="s">
        <v>26</v>
      </c>
      <c r="D4" s="11" t="s">
        <v>2</v>
      </c>
      <c r="E4" s="11" t="s">
        <v>3</v>
      </c>
      <c r="F4" s="12" t="s">
        <v>4</v>
      </c>
      <c r="G4" s="11" t="s">
        <v>34</v>
      </c>
      <c r="H4" s="12" t="s">
        <v>5</v>
      </c>
      <c r="I4" s="13" t="s">
        <v>39</v>
      </c>
      <c r="J4" s="79" t="s">
        <v>36</v>
      </c>
      <c r="K4" s="80"/>
      <c r="L4" s="14" t="s">
        <v>6</v>
      </c>
    </row>
    <row r="5" spans="1:12" ht="25.5" customHeight="1">
      <c r="A5" s="15"/>
      <c r="B5" s="16">
        <v>38443</v>
      </c>
      <c r="C5" s="16">
        <f aca="true" t="shared" si="0" ref="C5:I5">+B5</f>
        <v>38443</v>
      </c>
      <c r="D5" s="16">
        <f t="shared" si="0"/>
        <v>38443</v>
      </c>
      <c r="E5" s="16">
        <f t="shared" si="0"/>
        <v>38443</v>
      </c>
      <c r="F5" s="16">
        <f t="shared" si="0"/>
        <v>38443</v>
      </c>
      <c r="G5" s="16">
        <f t="shared" si="0"/>
        <v>38443</v>
      </c>
      <c r="H5" s="16">
        <f t="shared" si="0"/>
        <v>38443</v>
      </c>
      <c r="I5" s="16">
        <f t="shared" si="0"/>
        <v>38443</v>
      </c>
      <c r="J5" s="16">
        <f>+H5</f>
        <v>38443</v>
      </c>
      <c r="K5" s="16">
        <f>+J5</f>
        <v>38443</v>
      </c>
      <c r="L5" s="17">
        <f>+K5</f>
        <v>38443</v>
      </c>
    </row>
    <row r="6" spans="1:12" ht="25.5" customHeight="1">
      <c r="A6" s="15"/>
      <c r="B6" s="18"/>
      <c r="C6" s="19"/>
      <c r="D6" s="20" t="s">
        <v>7</v>
      </c>
      <c r="E6" s="20"/>
      <c r="F6" s="20" t="s">
        <v>7</v>
      </c>
      <c r="G6" s="21" t="s">
        <v>7</v>
      </c>
      <c r="H6" s="21" t="s">
        <v>7</v>
      </c>
      <c r="I6" s="21" t="s">
        <v>8</v>
      </c>
      <c r="J6" s="21" t="s">
        <v>8</v>
      </c>
      <c r="K6" s="22" t="s">
        <v>27</v>
      </c>
      <c r="L6" s="23" t="s">
        <v>28</v>
      </c>
    </row>
    <row r="7" spans="1:13" ht="33" customHeight="1">
      <c r="A7" s="24" t="s">
        <v>9</v>
      </c>
      <c r="B7" s="25">
        <v>2546.02</v>
      </c>
      <c r="C7" s="25">
        <v>3339.19</v>
      </c>
      <c r="D7" s="25">
        <v>2104.01</v>
      </c>
      <c r="E7" s="25">
        <f>+D7</f>
        <v>2104.01</v>
      </c>
      <c r="F7" s="25">
        <v>4305.31</v>
      </c>
      <c r="G7" s="25">
        <f>C7</f>
        <v>3339.19</v>
      </c>
      <c r="H7" s="25">
        <v>5027.09</v>
      </c>
      <c r="I7" s="25">
        <f>+J13</f>
        <v>1878.0632</v>
      </c>
      <c r="J7" s="25">
        <v>1619.02</v>
      </c>
      <c r="K7" s="25">
        <f>+J7*1.01</f>
        <v>1635.2102</v>
      </c>
      <c r="L7" s="26">
        <v>1472.95</v>
      </c>
      <c r="M7" s="72"/>
    </row>
    <row r="8" spans="1:13" ht="33" customHeight="1">
      <c r="A8" s="24" t="s">
        <v>35</v>
      </c>
      <c r="B8" s="27">
        <v>3.5</v>
      </c>
      <c r="C8" s="27">
        <v>3.5</v>
      </c>
      <c r="D8" s="27">
        <v>3.5</v>
      </c>
      <c r="E8" s="27">
        <f>+D8</f>
        <v>3.5</v>
      </c>
      <c r="F8" s="28"/>
      <c r="G8" s="28"/>
      <c r="H8" s="29"/>
      <c r="I8" s="29"/>
      <c r="J8" s="29"/>
      <c r="K8" s="29"/>
      <c r="L8" s="30"/>
      <c r="M8" s="72"/>
    </row>
    <row r="9" spans="1:13" ht="33" customHeight="1">
      <c r="A9" s="24" t="s">
        <v>10</v>
      </c>
      <c r="B9" s="31" t="s">
        <v>11</v>
      </c>
      <c r="C9" s="32" t="s">
        <v>11</v>
      </c>
      <c r="D9" s="31" t="s">
        <v>11</v>
      </c>
      <c r="E9" s="32" t="s">
        <v>11</v>
      </c>
      <c r="F9" s="33" t="s">
        <v>11</v>
      </c>
      <c r="G9" s="32" t="s">
        <v>11</v>
      </c>
      <c r="H9" s="34"/>
      <c r="I9" s="34"/>
      <c r="J9" s="34"/>
      <c r="K9" s="34"/>
      <c r="L9" s="26">
        <v>119.53</v>
      </c>
      <c r="M9" s="72"/>
    </row>
    <row r="10" spans="1:13" ht="33" customHeight="1">
      <c r="A10" s="24" t="s">
        <v>12</v>
      </c>
      <c r="B10" s="34"/>
      <c r="C10" s="35" t="s">
        <v>7</v>
      </c>
      <c r="D10" s="34" t="s">
        <v>7</v>
      </c>
      <c r="E10" s="35"/>
      <c r="F10" s="36" t="s">
        <v>7</v>
      </c>
      <c r="G10" s="37" t="s">
        <v>7</v>
      </c>
      <c r="H10" s="36" t="s">
        <v>7</v>
      </c>
      <c r="I10" s="36" t="s">
        <v>7</v>
      </c>
      <c r="J10" s="38"/>
      <c r="K10" s="36" t="s">
        <v>7</v>
      </c>
      <c r="L10" s="26">
        <v>116.09</v>
      </c>
      <c r="M10" s="72"/>
    </row>
    <row r="11" spans="1:12" ht="33" customHeight="1">
      <c r="A11" s="24" t="s">
        <v>13</v>
      </c>
      <c r="B11" s="25">
        <f>594.18*1.05</f>
        <v>623.889</v>
      </c>
      <c r="C11" s="25">
        <f>683.31*1.05</f>
        <v>717.4755</v>
      </c>
      <c r="D11" s="25">
        <f>393.81*1.05</f>
        <v>413.50050000000005</v>
      </c>
      <c r="E11" s="25">
        <f>393.81*1.05</f>
        <v>413.50050000000005</v>
      </c>
      <c r="F11" s="36" t="s">
        <v>7</v>
      </c>
      <c r="G11" s="37"/>
      <c r="H11" s="36"/>
      <c r="I11" s="36" t="s">
        <v>7</v>
      </c>
      <c r="J11" s="36" t="s">
        <v>7</v>
      </c>
      <c r="K11" s="36" t="s">
        <v>7</v>
      </c>
      <c r="L11" s="39" t="s">
        <v>7</v>
      </c>
    </row>
    <row r="12" spans="1:12" ht="33" customHeight="1">
      <c r="A12" s="24" t="s">
        <v>14</v>
      </c>
      <c r="B12" s="25">
        <f aca="true" t="shared" si="1" ref="B12:H12">+B7*0.16</f>
        <v>407.3632</v>
      </c>
      <c r="C12" s="25">
        <f t="shared" si="1"/>
        <v>534.2704</v>
      </c>
      <c r="D12" s="25">
        <f t="shared" si="1"/>
        <v>336.64160000000004</v>
      </c>
      <c r="E12" s="25">
        <f t="shared" si="1"/>
        <v>336.64160000000004</v>
      </c>
      <c r="F12" s="25">
        <f t="shared" si="1"/>
        <v>688.8496000000001</v>
      </c>
      <c r="G12" s="25">
        <f t="shared" si="1"/>
        <v>534.2704</v>
      </c>
      <c r="H12" s="25">
        <f t="shared" si="1"/>
        <v>804.3344000000001</v>
      </c>
      <c r="I12" s="25">
        <f>+I7*0.1</f>
        <v>187.80632000000003</v>
      </c>
      <c r="J12" s="25">
        <f>+J7*0.16</f>
        <v>259.0432</v>
      </c>
      <c r="K12" s="25">
        <f>+K7*0.16</f>
        <v>261.633632</v>
      </c>
      <c r="L12" s="39"/>
    </row>
    <row r="13" spans="1:12" ht="33" customHeight="1">
      <c r="A13" s="24" t="s">
        <v>15</v>
      </c>
      <c r="B13" s="40" t="s">
        <v>16</v>
      </c>
      <c r="C13" s="41" t="s">
        <v>16</v>
      </c>
      <c r="D13" s="40" t="s">
        <v>16</v>
      </c>
      <c r="E13" s="41" t="s">
        <v>16</v>
      </c>
      <c r="F13" s="42" t="s">
        <v>16</v>
      </c>
      <c r="G13" s="41" t="s">
        <v>16</v>
      </c>
      <c r="H13" s="25">
        <f>SUM(H7:H12)</f>
        <v>5831.4244</v>
      </c>
      <c r="I13" s="25">
        <f>SUM(I7:I12)</f>
        <v>2065.86952</v>
      </c>
      <c r="J13" s="25">
        <f>SUM(J7:J12)</f>
        <v>1878.0632</v>
      </c>
      <c r="K13" s="25">
        <f>SUM(K7:K12)</f>
        <v>1896.843832</v>
      </c>
      <c r="L13" s="26">
        <f>SUM(L7:L12)</f>
        <v>1708.57</v>
      </c>
    </row>
    <row r="14" spans="1:12" ht="33" customHeight="1">
      <c r="A14" s="24" t="s">
        <v>17</v>
      </c>
      <c r="B14" s="43">
        <f>2349.88*0.085</f>
        <v>199.73980000000003</v>
      </c>
      <c r="C14" s="25"/>
      <c r="D14" s="25">
        <v>179.77</v>
      </c>
      <c r="E14" s="25">
        <f>+D14</f>
        <v>179.77</v>
      </c>
      <c r="F14" s="34"/>
      <c r="G14" s="35" t="s">
        <v>7</v>
      </c>
      <c r="H14" s="34"/>
      <c r="I14" s="36"/>
      <c r="J14" s="36" t="s">
        <v>7</v>
      </c>
      <c r="K14" s="36" t="s">
        <v>7</v>
      </c>
      <c r="L14" s="44"/>
    </row>
    <row r="15" spans="1:12" ht="33" customHeight="1">
      <c r="A15" s="24" t="s">
        <v>18</v>
      </c>
      <c r="B15" s="45" t="s">
        <v>16</v>
      </c>
      <c r="C15" s="46" t="s">
        <v>20</v>
      </c>
      <c r="D15" s="45" t="s">
        <v>16</v>
      </c>
      <c r="E15" s="46" t="s">
        <v>16</v>
      </c>
      <c r="F15" s="47"/>
      <c r="G15" s="47"/>
      <c r="H15" s="47"/>
      <c r="I15" s="47"/>
      <c r="J15" s="47"/>
      <c r="K15" s="47"/>
      <c r="L15" s="44"/>
    </row>
    <row r="16" spans="1:12" ht="33" customHeight="1">
      <c r="A16" s="24" t="s">
        <v>19</v>
      </c>
      <c r="B16" s="43">
        <f>2349.88*0.125</f>
        <v>293.735</v>
      </c>
      <c r="C16" s="25"/>
      <c r="D16" s="25">
        <v>264.37</v>
      </c>
      <c r="E16" s="46" t="s">
        <v>29</v>
      </c>
      <c r="F16" s="34" t="s">
        <v>7</v>
      </c>
      <c r="G16" s="34" t="s">
        <v>7</v>
      </c>
      <c r="H16" s="34"/>
      <c r="I16" s="36" t="s">
        <v>7</v>
      </c>
      <c r="J16" s="36" t="s">
        <v>7</v>
      </c>
      <c r="K16" s="36" t="s">
        <v>7</v>
      </c>
      <c r="L16" s="44" t="s">
        <v>7</v>
      </c>
    </row>
    <row r="17" spans="1:12" ht="33" customHeight="1">
      <c r="A17" s="24" t="s">
        <v>21</v>
      </c>
      <c r="B17" s="52">
        <v>16.16</v>
      </c>
      <c r="C17" s="25"/>
      <c r="D17" s="25"/>
      <c r="E17" s="48"/>
      <c r="F17" s="49" t="s">
        <v>7</v>
      </c>
      <c r="G17" s="49" t="s">
        <v>7</v>
      </c>
      <c r="H17" s="49" t="s">
        <v>7</v>
      </c>
      <c r="I17" s="50" t="s">
        <v>7</v>
      </c>
      <c r="J17" s="50"/>
      <c r="K17" s="50" t="s">
        <v>7</v>
      </c>
      <c r="L17" s="51" t="s">
        <v>7</v>
      </c>
    </row>
    <row r="18" spans="1:12" ht="33" customHeight="1">
      <c r="A18" s="24" t="s">
        <v>22</v>
      </c>
      <c r="B18" s="43">
        <f>2349.88*0.005</f>
        <v>11.749400000000001</v>
      </c>
      <c r="C18" s="25"/>
      <c r="D18" s="25">
        <v>13.22</v>
      </c>
      <c r="E18" s="48" t="s">
        <v>29</v>
      </c>
      <c r="F18" s="49"/>
      <c r="G18" s="49" t="s">
        <v>7</v>
      </c>
      <c r="H18" s="49" t="s">
        <v>7</v>
      </c>
      <c r="I18" s="50" t="s">
        <v>7</v>
      </c>
      <c r="J18" s="50" t="s">
        <v>7</v>
      </c>
      <c r="K18" s="50" t="s">
        <v>7</v>
      </c>
      <c r="L18" s="51" t="s">
        <v>7</v>
      </c>
    </row>
    <row r="19" spans="1:12" ht="33" customHeight="1">
      <c r="A19" s="24" t="s">
        <v>23</v>
      </c>
      <c r="B19" s="52">
        <f>3933.07*0.25</f>
        <v>983.2675</v>
      </c>
      <c r="C19" s="52">
        <f>5367.52*0.25</f>
        <v>1341.88</v>
      </c>
      <c r="D19" s="52">
        <f>3214.13*0.06</f>
        <v>192.8478</v>
      </c>
      <c r="E19" s="52">
        <f>+D19</f>
        <v>192.8478</v>
      </c>
      <c r="F19" s="53"/>
      <c r="G19" s="49" t="s">
        <v>7</v>
      </c>
      <c r="H19" s="49" t="s">
        <v>7</v>
      </c>
      <c r="I19" s="50" t="s">
        <v>7</v>
      </c>
      <c r="J19" s="50" t="s">
        <v>7</v>
      </c>
      <c r="K19" s="50" t="s">
        <v>7</v>
      </c>
      <c r="L19" s="51" t="s">
        <v>7</v>
      </c>
    </row>
    <row r="20" spans="1:12" ht="33" customHeight="1" thickBot="1">
      <c r="A20" s="54" t="s">
        <v>24</v>
      </c>
      <c r="B20" s="55" t="s">
        <v>16</v>
      </c>
      <c r="C20" s="56" t="s">
        <v>16</v>
      </c>
      <c r="D20" s="55" t="s">
        <v>16</v>
      </c>
      <c r="E20" s="57" t="s">
        <v>29</v>
      </c>
      <c r="F20" s="58"/>
      <c r="G20" s="59" t="s">
        <v>7</v>
      </c>
      <c r="H20" s="59" t="s">
        <v>7</v>
      </c>
      <c r="I20" s="60" t="s">
        <v>7</v>
      </c>
      <c r="J20" s="60" t="s">
        <v>7</v>
      </c>
      <c r="K20" s="60" t="s">
        <v>7</v>
      </c>
      <c r="L20" s="61" t="s">
        <v>7</v>
      </c>
    </row>
    <row r="21" spans="1:12" ht="23.25" customHeight="1">
      <c r="A21" s="83" t="s">
        <v>42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16.5" customHeight="1">
      <c r="A22" s="82" t="s">
        <v>30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6.5" customHeight="1">
      <c r="A23" s="82" t="s">
        <v>25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9.5" customHeight="1">
      <c r="A24" s="82" t="s">
        <v>31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21.75" customHeight="1">
      <c r="A25" s="82" t="s">
        <v>32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8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8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8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8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8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8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18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8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ht="18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8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8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ht="18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ht="18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8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ht="18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8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8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18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ht="18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8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ht="18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8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8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18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18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8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ht="18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18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8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 ht="18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 ht="18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18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12" ht="18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ht="18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</sheetData>
  <sheetProtection password="CC36" sheet="1" objects="1" scenarios="1"/>
  <mergeCells count="6">
    <mergeCell ref="A24:L24"/>
    <mergeCell ref="A25:L25"/>
    <mergeCell ref="J4:K4"/>
    <mergeCell ref="A21:L21"/>
    <mergeCell ref="A22:L22"/>
    <mergeCell ref="A23:L23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="60" zoomScaleNormal="60" zoomScaleSheetLayoutView="50" zoomScalePageLayoutView="0" workbookViewId="0" topLeftCell="A1">
      <selection activeCell="D6" sqref="D6"/>
    </sheetView>
  </sheetViews>
  <sheetFormatPr defaultColWidth="9.8515625" defaultRowHeight="12.75"/>
  <cols>
    <col min="1" max="1" width="35.8515625" style="65" customWidth="1"/>
    <col min="2" max="2" width="17.8515625" style="65" customWidth="1"/>
    <col min="3" max="3" width="16.140625" style="65" customWidth="1"/>
    <col min="4" max="5" width="16.140625" style="65" bestFit="1" customWidth="1"/>
    <col min="6" max="6" width="16.28125" style="65" bestFit="1" customWidth="1"/>
    <col min="7" max="8" width="16.140625" style="65" bestFit="1" customWidth="1"/>
    <col min="9" max="9" width="16.140625" style="65" customWidth="1"/>
    <col min="10" max="12" width="16.140625" style="65" bestFit="1" customWidth="1"/>
    <col min="13" max="13" width="12.28125" style="62" bestFit="1" customWidth="1"/>
    <col min="14" max="96" width="9.8515625" style="62" customWidth="1"/>
    <col min="97" max="16384" width="9.8515625" style="63" customWidth="1"/>
  </cols>
  <sheetData>
    <row r="1" spans="1:12" ht="18.75" thickBot="1">
      <c r="A1" s="70"/>
      <c r="B1" s="64"/>
      <c r="C1" s="64"/>
      <c r="D1" s="71"/>
      <c r="E1" s="64"/>
      <c r="F1" s="64"/>
      <c r="G1" s="64"/>
      <c r="H1" s="64"/>
      <c r="I1" s="64"/>
      <c r="J1" s="64"/>
      <c r="K1" s="64"/>
      <c r="L1" s="64"/>
    </row>
    <row r="2" spans="1:12" ht="24" customHeight="1">
      <c r="A2" s="2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8.7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36" customHeight="1">
      <c r="A4" s="10" t="s">
        <v>1</v>
      </c>
      <c r="B4" s="11" t="s">
        <v>33</v>
      </c>
      <c r="C4" s="11" t="s">
        <v>26</v>
      </c>
      <c r="D4" s="11" t="s">
        <v>2</v>
      </c>
      <c r="E4" s="11" t="s">
        <v>3</v>
      </c>
      <c r="F4" s="12" t="s">
        <v>4</v>
      </c>
      <c r="G4" s="11" t="s">
        <v>34</v>
      </c>
      <c r="H4" s="12" t="s">
        <v>5</v>
      </c>
      <c r="I4" s="13" t="s">
        <v>39</v>
      </c>
      <c r="J4" s="79" t="s">
        <v>36</v>
      </c>
      <c r="K4" s="80"/>
      <c r="L4" s="14" t="s">
        <v>6</v>
      </c>
    </row>
    <row r="5" spans="1:12" ht="25.5" customHeight="1">
      <c r="A5" s="15"/>
      <c r="B5" s="16">
        <v>38473</v>
      </c>
      <c r="C5" s="16">
        <f aca="true" t="shared" si="0" ref="C5:I5">+B5</f>
        <v>38473</v>
      </c>
      <c r="D5" s="16">
        <f t="shared" si="0"/>
        <v>38473</v>
      </c>
      <c r="E5" s="16">
        <f t="shared" si="0"/>
        <v>38473</v>
      </c>
      <c r="F5" s="16">
        <f t="shared" si="0"/>
        <v>38473</v>
      </c>
      <c r="G5" s="16">
        <f t="shared" si="0"/>
        <v>38473</v>
      </c>
      <c r="H5" s="16">
        <f t="shared" si="0"/>
        <v>38473</v>
      </c>
      <c r="I5" s="16">
        <f t="shared" si="0"/>
        <v>38473</v>
      </c>
      <c r="J5" s="16">
        <f>+H5</f>
        <v>38473</v>
      </c>
      <c r="K5" s="16">
        <f>+J5</f>
        <v>38473</v>
      </c>
      <c r="L5" s="17">
        <f>+K5</f>
        <v>38473</v>
      </c>
    </row>
    <row r="6" spans="1:12" ht="25.5" customHeight="1">
      <c r="A6" s="15"/>
      <c r="B6" s="18"/>
      <c r="C6" s="19"/>
      <c r="D6" s="20" t="s">
        <v>7</v>
      </c>
      <c r="E6" s="20"/>
      <c r="F6" s="20" t="s">
        <v>7</v>
      </c>
      <c r="G6" s="21" t="s">
        <v>7</v>
      </c>
      <c r="H6" s="21" t="s">
        <v>7</v>
      </c>
      <c r="I6" s="21" t="s">
        <v>8</v>
      </c>
      <c r="J6" s="21" t="s">
        <v>8</v>
      </c>
      <c r="K6" s="22" t="s">
        <v>27</v>
      </c>
      <c r="L6" s="23" t="s">
        <v>28</v>
      </c>
    </row>
    <row r="7" spans="1:13" ht="33" customHeight="1">
      <c r="A7" s="24" t="s">
        <v>9</v>
      </c>
      <c r="B7" s="52">
        <v>2560.99</v>
      </c>
      <c r="C7" s="52">
        <v>3439.19</v>
      </c>
      <c r="D7" s="52">
        <v>2124.89</v>
      </c>
      <c r="E7" s="52">
        <f>+D7</f>
        <v>2124.89</v>
      </c>
      <c r="F7" s="25">
        <v>4486.17</v>
      </c>
      <c r="G7" s="25">
        <f>C7</f>
        <v>3439.19</v>
      </c>
      <c r="H7" s="25">
        <v>5306.49</v>
      </c>
      <c r="I7" s="25">
        <f>+J13</f>
        <v>1973.3572000000001</v>
      </c>
      <c r="J7" s="25">
        <v>1701.17</v>
      </c>
      <c r="K7" s="25">
        <f>+J7*1.01</f>
        <v>1718.1817</v>
      </c>
      <c r="L7" s="26">
        <v>1472.95</v>
      </c>
      <c r="M7" s="72"/>
    </row>
    <row r="8" spans="1:13" ht="33" customHeight="1">
      <c r="A8" s="24" t="s">
        <v>35</v>
      </c>
      <c r="B8" s="28">
        <v>3.5</v>
      </c>
      <c r="C8" s="27">
        <v>3.5</v>
      </c>
      <c r="D8" s="27">
        <v>3.5</v>
      </c>
      <c r="E8" s="27">
        <f>+D8</f>
        <v>3.5</v>
      </c>
      <c r="F8" s="28"/>
      <c r="G8" s="28"/>
      <c r="H8" s="29"/>
      <c r="I8" s="29"/>
      <c r="J8" s="29"/>
      <c r="K8" s="29"/>
      <c r="L8" s="30"/>
      <c r="M8" s="72"/>
    </row>
    <row r="9" spans="1:13" ht="33" customHeight="1">
      <c r="A9" s="24" t="s">
        <v>10</v>
      </c>
      <c r="B9" s="31" t="s">
        <v>11</v>
      </c>
      <c r="C9" s="32" t="s">
        <v>11</v>
      </c>
      <c r="D9" s="31" t="s">
        <v>11</v>
      </c>
      <c r="E9" s="32" t="s">
        <v>11</v>
      </c>
      <c r="F9" s="33" t="s">
        <v>11</v>
      </c>
      <c r="G9" s="32" t="s">
        <v>11</v>
      </c>
      <c r="H9" s="34"/>
      <c r="I9" s="34"/>
      <c r="J9" s="34"/>
      <c r="K9" s="34"/>
      <c r="L9" s="26">
        <v>119.53</v>
      </c>
      <c r="M9" s="72"/>
    </row>
    <row r="10" spans="1:13" ht="33" customHeight="1">
      <c r="A10" s="24" t="s">
        <v>12</v>
      </c>
      <c r="B10" s="73"/>
      <c r="C10" s="35" t="s">
        <v>7</v>
      </c>
      <c r="D10" s="34" t="s">
        <v>7</v>
      </c>
      <c r="E10" s="35"/>
      <c r="F10" s="36" t="s">
        <v>7</v>
      </c>
      <c r="G10" s="37" t="s">
        <v>7</v>
      </c>
      <c r="H10" s="36" t="s">
        <v>7</v>
      </c>
      <c r="I10" s="36" t="s">
        <v>7</v>
      </c>
      <c r="J10" s="38"/>
      <c r="K10" s="36" t="s">
        <v>7</v>
      </c>
      <c r="L10" s="26">
        <v>116.09</v>
      </c>
      <c r="M10" s="72"/>
    </row>
    <row r="11" spans="1:12" ht="33" customHeight="1">
      <c r="A11" s="24" t="s">
        <v>13</v>
      </c>
      <c r="B11" s="52">
        <f>594.18*1.05</f>
        <v>623.889</v>
      </c>
      <c r="C11" s="25">
        <f>683.31*1.05</f>
        <v>717.4755</v>
      </c>
      <c r="D11" s="25">
        <f>393.81*1.05</f>
        <v>413.50050000000005</v>
      </c>
      <c r="E11" s="25">
        <f>393.81*1.05</f>
        <v>413.50050000000005</v>
      </c>
      <c r="F11" s="36" t="s">
        <v>7</v>
      </c>
      <c r="G11" s="37"/>
      <c r="H11" s="36"/>
      <c r="I11" s="36" t="s">
        <v>7</v>
      </c>
      <c r="J11" s="36" t="s">
        <v>7</v>
      </c>
      <c r="K11" s="36" t="s">
        <v>7</v>
      </c>
      <c r="L11" s="39" t="s">
        <v>7</v>
      </c>
    </row>
    <row r="12" spans="1:12" ht="33" customHeight="1">
      <c r="A12" s="24" t="s">
        <v>14</v>
      </c>
      <c r="B12" s="52">
        <f aca="true" t="shared" si="1" ref="B12:H12">+B7*0.16</f>
        <v>409.7584</v>
      </c>
      <c r="C12" s="25">
        <f t="shared" si="1"/>
        <v>550.2704</v>
      </c>
      <c r="D12" s="25">
        <f t="shared" si="1"/>
        <v>339.9824</v>
      </c>
      <c r="E12" s="25">
        <f t="shared" si="1"/>
        <v>339.9824</v>
      </c>
      <c r="F12" s="25">
        <f t="shared" si="1"/>
        <v>717.7872</v>
      </c>
      <c r="G12" s="25">
        <f t="shared" si="1"/>
        <v>550.2704</v>
      </c>
      <c r="H12" s="25">
        <f t="shared" si="1"/>
        <v>849.0384</v>
      </c>
      <c r="I12" s="25">
        <f>+I7*0.1</f>
        <v>197.33572000000004</v>
      </c>
      <c r="J12" s="25">
        <f>+J7*0.16</f>
        <v>272.1872</v>
      </c>
      <c r="K12" s="25">
        <f>+K7*0.16</f>
        <v>274.90907200000004</v>
      </c>
      <c r="L12" s="39"/>
    </row>
    <row r="13" spans="1:12" ht="33" customHeight="1">
      <c r="A13" s="24" t="s">
        <v>15</v>
      </c>
      <c r="B13" s="40" t="s">
        <v>16</v>
      </c>
      <c r="C13" s="41" t="s">
        <v>16</v>
      </c>
      <c r="D13" s="40" t="s">
        <v>16</v>
      </c>
      <c r="E13" s="41" t="s">
        <v>16</v>
      </c>
      <c r="F13" s="42" t="s">
        <v>16</v>
      </c>
      <c r="G13" s="41" t="s">
        <v>16</v>
      </c>
      <c r="H13" s="25">
        <f>SUM(H7:H12)</f>
        <v>6155.5284</v>
      </c>
      <c r="I13" s="25">
        <f>SUM(I7:I12)</f>
        <v>2170.6929200000004</v>
      </c>
      <c r="J13" s="25">
        <f>SUM(J7:J12)</f>
        <v>1973.3572000000001</v>
      </c>
      <c r="K13" s="25">
        <f>SUM(K7:K12)</f>
        <v>1993.090772</v>
      </c>
      <c r="L13" s="26">
        <f>SUM(L7:L12)</f>
        <v>1708.57</v>
      </c>
    </row>
    <row r="14" spans="1:12" ht="33" customHeight="1">
      <c r="A14" s="24" t="s">
        <v>17</v>
      </c>
      <c r="B14" s="74">
        <f>2352.51*0.085</f>
        <v>199.96335000000002</v>
      </c>
      <c r="C14" s="25"/>
      <c r="D14" s="25">
        <v>179.96</v>
      </c>
      <c r="E14" s="25">
        <f>+D14</f>
        <v>179.96</v>
      </c>
      <c r="F14" s="34"/>
      <c r="G14" s="35" t="s">
        <v>7</v>
      </c>
      <c r="H14" s="34"/>
      <c r="I14" s="36"/>
      <c r="J14" s="36" t="s">
        <v>7</v>
      </c>
      <c r="K14" s="36" t="s">
        <v>7</v>
      </c>
      <c r="L14" s="44"/>
    </row>
    <row r="15" spans="1:12" ht="33" customHeight="1">
      <c r="A15" s="24" t="s">
        <v>18</v>
      </c>
      <c r="B15" s="45" t="s">
        <v>16</v>
      </c>
      <c r="C15" s="46" t="s">
        <v>20</v>
      </c>
      <c r="D15" s="45" t="s">
        <v>16</v>
      </c>
      <c r="E15" s="46" t="s">
        <v>16</v>
      </c>
      <c r="F15" s="47"/>
      <c r="G15" s="47"/>
      <c r="H15" s="47"/>
      <c r="I15" s="47"/>
      <c r="J15" s="47"/>
      <c r="K15" s="47"/>
      <c r="L15" s="44"/>
    </row>
    <row r="16" spans="1:12" ht="33" customHeight="1">
      <c r="A16" s="24" t="s">
        <v>19</v>
      </c>
      <c r="B16" s="74">
        <f>2352.51*0.125</f>
        <v>294.06375</v>
      </c>
      <c r="C16" s="25"/>
      <c r="D16" s="25">
        <v>264.65</v>
      </c>
      <c r="E16" s="46" t="s">
        <v>29</v>
      </c>
      <c r="F16" s="34" t="s">
        <v>7</v>
      </c>
      <c r="G16" s="34" t="s">
        <v>7</v>
      </c>
      <c r="H16" s="34"/>
      <c r="I16" s="36" t="s">
        <v>7</v>
      </c>
      <c r="J16" s="36" t="s">
        <v>7</v>
      </c>
      <c r="K16" s="36" t="s">
        <v>7</v>
      </c>
      <c r="L16" s="44" t="s">
        <v>7</v>
      </c>
    </row>
    <row r="17" spans="1:12" ht="33" customHeight="1">
      <c r="A17" s="24" t="s">
        <v>21</v>
      </c>
      <c r="B17" s="52">
        <v>16.24</v>
      </c>
      <c r="C17" s="25"/>
      <c r="D17" s="25"/>
      <c r="E17" s="48"/>
      <c r="F17" s="49" t="s">
        <v>7</v>
      </c>
      <c r="G17" s="49" t="s">
        <v>7</v>
      </c>
      <c r="H17" s="49" t="s">
        <v>7</v>
      </c>
      <c r="I17" s="50" t="s">
        <v>7</v>
      </c>
      <c r="J17" s="50"/>
      <c r="K17" s="50" t="s">
        <v>7</v>
      </c>
      <c r="L17" s="51" t="s">
        <v>7</v>
      </c>
    </row>
    <row r="18" spans="1:12" ht="33" customHeight="1">
      <c r="A18" s="24" t="s">
        <v>22</v>
      </c>
      <c r="B18" s="74">
        <f>2352.51*0.005</f>
        <v>11.762550000000001</v>
      </c>
      <c r="C18" s="25"/>
      <c r="D18" s="25">
        <v>13.22</v>
      </c>
      <c r="E18" s="48" t="s">
        <v>29</v>
      </c>
      <c r="F18" s="49"/>
      <c r="G18" s="49" t="s">
        <v>7</v>
      </c>
      <c r="H18" s="49" t="s">
        <v>7</v>
      </c>
      <c r="I18" s="50" t="s">
        <v>7</v>
      </c>
      <c r="J18" s="50" t="s">
        <v>7</v>
      </c>
      <c r="K18" s="50" t="s">
        <v>7</v>
      </c>
      <c r="L18" s="51" t="s">
        <v>7</v>
      </c>
    </row>
    <row r="19" spans="1:12" ht="33" customHeight="1">
      <c r="A19" s="24" t="s">
        <v>23</v>
      </c>
      <c r="B19" s="52">
        <f>3981.86*0.25</f>
        <v>995.465</v>
      </c>
      <c r="C19" s="52">
        <f>5421.21*0.25</f>
        <v>1355.3025</v>
      </c>
      <c r="D19" s="52">
        <f>3260.62*0.06</f>
        <v>195.63719999999998</v>
      </c>
      <c r="E19" s="52">
        <f>+D19</f>
        <v>195.63719999999998</v>
      </c>
      <c r="F19" s="53"/>
      <c r="G19" s="49" t="s">
        <v>7</v>
      </c>
      <c r="H19" s="49" t="s">
        <v>7</v>
      </c>
      <c r="I19" s="50" t="s">
        <v>7</v>
      </c>
      <c r="J19" s="50" t="s">
        <v>7</v>
      </c>
      <c r="K19" s="50" t="s">
        <v>7</v>
      </c>
      <c r="L19" s="51" t="s">
        <v>7</v>
      </c>
    </row>
    <row r="20" spans="1:12" ht="33" customHeight="1" thickBot="1">
      <c r="A20" s="54" t="s">
        <v>24</v>
      </c>
      <c r="B20" s="55" t="s">
        <v>16</v>
      </c>
      <c r="C20" s="56" t="s">
        <v>16</v>
      </c>
      <c r="D20" s="55" t="s">
        <v>16</v>
      </c>
      <c r="E20" s="57" t="s">
        <v>29</v>
      </c>
      <c r="F20" s="58"/>
      <c r="G20" s="59" t="s">
        <v>7</v>
      </c>
      <c r="H20" s="59" t="s">
        <v>7</v>
      </c>
      <c r="I20" s="60" t="s">
        <v>7</v>
      </c>
      <c r="J20" s="60" t="s">
        <v>7</v>
      </c>
      <c r="K20" s="60" t="s">
        <v>7</v>
      </c>
      <c r="L20" s="61" t="s">
        <v>7</v>
      </c>
    </row>
    <row r="21" spans="1:12" ht="23.25" customHeight="1">
      <c r="A21" s="83" t="s">
        <v>42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16.5" customHeight="1">
      <c r="A22" s="82" t="s">
        <v>30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6.5" customHeight="1">
      <c r="A23" s="82" t="s">
        <v>25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9.5" customHeight="1">
      <c r="A24" s="82" t="s">
        <v>31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21.75" customHeight="1">
      <c r="A25" s="82" t="s">
        <v>32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8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8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8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8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8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8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18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8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ht="18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8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8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ht="18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ht="18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8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ht="18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8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8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18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ht="18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8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ht="18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8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8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18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18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8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ht="18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18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8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 ht="18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 ht="18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18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12" ht="18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ht="18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</sheetData>
  <sheetProtection password="CDF6" sheet="1" objects="1" scenarios="1"/>
  <mergeCells count="6">
    <mergeCell ref="A24:L24"/>
    <mergeCell ref="A25:L25"/>
    <mergeCell ref="J4:K4"/>
    <mergeCell ref="A21:L21"/>
    <mergeCell ref="A22:L22"/>
    <mergeCell ref="A23:L23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zoomScale="60" zoomScaleNormal="60" zoomScaleSheetLayoutView="50" zoomScalePageLayoutView="0" workbookViewId="0" topLeftCell="A1">
      <selection activeCell="A24" sqref="A24:L24"/>
    </sheetView>
  </sheetViews>
  <sheetFormatPr defaultColWidth="9.8515625" defaultRowHeight="12.75"/>
  <cols>
    <col min="1" max="1" width="35.8515625" style="65" customWidth="1"/>
    <col min="2" max="2" width="17.8515625" style="65" customWidth="1"/>
    <col min="3" max="3" width="16.140625" style="65" customWidth="1"/>
    <col min="4" max="5" width="16.140625" style="65" bestFit="1" customWidth="1"/>
    <col min="6" max="6" width="16.28125" style="65" bestFit="1" customWidth="1"/>
    <col min="7" max="8" width="16.140625" style="65" bestFit="1" customWidth="1"/>
    <col min="9" max="9" width="16.140625" style="65" customWidth="1"/>
    <col min="10" max="12" width="16.140625" style="65" bestFit="1" customWidth="1"/>
    <col min="13" max="13" width="12.28125" style="62" bestFit="1" customWidth="1"/>
    <col min="14" max="96" width="9.8515625" style="62" customWidth="1"/>
    <col min="97" max="16384" width="9.8515625" style="63" customWidth="1"/>
  </cols>
  <sheetData>
    <row r="1" spans="1:12" ht="18.75" thickBot="1">
      <c r="A1" s="70"/>
      <c r="B1" s="64"/>
      <c r="C1" s="64"/>
      <c r="D1" s="71"/>
      <c r="E1" s="64"/>
      <c r="F1" s="64"/>
      <c r="G1" s="64"/>
      <c r="H1" s="64"/>
      <c r="I1" s="64"/>
      <c r="J1" s="64"/>
      <c r="K1" s="64"/>
      <c r="L1" s="64"/>
    </row>
    <row r="2" spans="1:12" ht="24" customHeight="1">
      <c r="A2" s="2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8.7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36" customHeight="1">
      <c r="A4" s="10" t="s">
        <v>1</v>
      </c>
      <c r="B4" s="11" t="s">
        <v>33</v>
      </c>
      <c r="C4" s="11" t="s">
        <v>26</v>
      </c>
      <c r="D4" s="11" t="s">
        <v>2</v>
      </c>
      <c r="E4" s="11" t="s">
        <v>3</v>
      </c>
      <c r="F4" s="12" t="s">
        <v>4</v>
      </c>
      <c r="G4" s="11" t="s">
        <v>34</v>
      </c>
      <c r="H4" s="12" t="s">
        <v>5</v>
      </c>
      <c r="I4" s="13" t="s">
        <v>39</v>
      </c>
      <c r="J4" s="79" t="s">
        <v>36</v>
      </c>
      <c r="K4" s="80"/>
      <c r="L4" s="14" t="s">
        <v>6</v>
      </c>
    </row>
    <row r="5" spans="1:12" ht="25.5" customHeight="1">
      <c r="A5" s="15"/>
      <c r="B5" s="16">
        <v>38504</v>
      </c>
      <c r="C5" s="16">
        <f aca="true" t="shared" si="0" ref="C5:I5">+B5</f>
        <v>38504</v>
      </c>
      <c r="D5" s="16">
        <f t="shared" si="0"/>
        <v>38504</v>
      </c>
      <c r="E5" s="16">
        <f t="shared" si="0"/>
        <v>38504</v>
      </c>
      <c r="F5" s="16">
        <f t="shared" si="0"/>
        <v>38504</v>
      </c>
      <c r="G5" s="16">
        <f t="shared" si="0"/>
        <v>38504</v>
      </c>
      <c r="H5" s="16">
        <f t="shared" si="0"/>
        <v>38504</v>
      </c>
      <c r="I5" s="16">
        <f t="shared" si="0"/>
        <v>38504</v>
      </c>
      <c r="J5" s="16">
        <f>+H5</f>
        <v>38504</v>
      </c>
      <c r="K5" s="16">
        <f>+J5</f>
        <v>38504</v>
      </c>
      <c r="L5" s="17">
        <f>+K5</f>
        <v>38504</v>
      </c>
    </row>
    <row r="6" spans="1:12" ht="25.5" customHeight="1">
      <c r="A6" s="15"/>
      <c r="B6" s="18"/>
      <c r="C6" s="19"/>
      <c r="D6" s="20" t="s">
        <v>7</v>
      </c>
      <c r="E6" s="20"/>
      <c r="F6" s="20" t="s">
        <v>7</v>
      </c>
      <c r="G6" s="21" t="s">
        <v>7</v>
      </c>
      <c r="H6" s="21" t="s">
        <v>7</v>
      </c>
      <c r="I6" s="21" t="s">
        <v>8</v>
      </c>
      <c r="J6" s="21" t="s">
        <v>8</v>
      </c>
      <c r="K6" s="22" t="s">
        <v>27</v>
      </c>
      <c r="L6" s="23" t="s">
        <v>28</v>
      </c>
    </row>
    <row r="7" spans="1:13" ht="33" customHeight="1">
      <c r="A7" s="24" t="s">
        <v>9</v>
      </c>
      <c r="B7" s="52">
        <v>2561.59</v>
      </c>
      <c r="C7" s="52">
        <v>3439.19</v>
      </c>
      <c r="D7" s="52">
        <v>2134.21</v>
      </c>
      <c r="E7" s="52">
        <f>+D7</f>
        <v>2134.21</v>
      </c>
      <c r="F7" s="25">
        <v>4486.17</v>
      </c>
      <c r="G7" s="25">
        <f>C7</f>
        <v>3439.19</v>
      </c>
      <c r="H7" s="25">
        <v>5306.49</v>
      </c>
      <c r="I7" s="25">
        <f>+J13</f>
        <v>1973.3572000000001</v>
      </c>
      <c r="J7" s="25">
        <v>1701.17</v>
      </c>
      <c r="K7" s="25">
        <f>+J7*1.01</f>
        <v>1718.1817</v>
      </c>
      <c r="L7" s="26">
        <v>1472.95</v>
      </c>
      <c r="M7" s="72"/>
    </row>
    <row r="8" spans="1:13" ht="33" customHeight="1">
      <c r="A8" s="24" t="s">
        <v>35</v>
      </c>
      <c r="B8" s="28">
        <v>3.5</v>
      </c>
      <c r="C8" s="27">
        <v>3.5</v>
      </c>
      <c r="D8" s="27">
        <v>3.5</v>
      </c>
      <c r="E8" s="27">
        <f>+D8</f>
        <v>3.5</v>
      </c>
      <c r="F8" s="28"/>
      <c r="G8" s="28"/>
      <c r="H8" s="29"/>
      <c r="I8" s="29"/>
      <c r="J8" s="29"/>
      <c r="K8" s="29"/>
      <c r="L8" s="30"/>
      <c r="M8" s="72"/>
    </row>
    <row r="9" spans="1:13" ht="33" customHeight="1">
      <c r="A9" s="24" t="s">
        <v>10</v>
      </c>
      <c r="B9" s="31" t="s">
        <v>11</v>
      </c>
      <c r="C9" s="32" t="s">
        <v>11</v>
      </c>
      <c r="D9" s="31" t="s">
        <v>11</v>
      </c>
      <c r="E9" s="32" t="s">
        <v>11</v>
      </c>
      <c r="F9" s="33" t="s">
        <v>11</v>
      </c>
      <c r="G9" s="32" t="s">
        <v>11</v>
      </c>
      <c r="H9" s="34"/>
      <c r="I9" s="34"/>
      <c r="J9" s="34"/>
      <c r="K9" s="34"/>
      <c r="L9" s="26">
        <v>119.53</v>
      </c>
      <c r="M9" s="72"/>
    </row>
    <row r="10" spans="1:13" ht="33" customHeight="1">
      <c r="A10" s="24" t="s">
        <v>12</v>
      </c>
      <c r="B10" s="73"/>
      <c r="C10" s="35" t="s">
        <v>7</v>
      </c>
      <c r="D10" s="34" t="s">
        <v>7</v>
      </c>
      <c r="E10" s="35"/>
      <c r="F10" s="36" t="s">
        <v>7</v>
      </c>
      <c r="G10" s="37" t="s">
        <v>7</v>
      </c>
      <c r="H10" s="36" t="s">
        <v>7</v>
      </c>
      <c r="I10" s="36" t="s">
        <v>7</v>
      </c>
      <c r="J10" s="38"/>
      <c r="K10" s="36" t="s">
        <v>7</v>
      </c>
      <c r="L10" s="26">
        <v>116.09</v>
      </c>
      <c r="M10" s="72"/>
    </row>
    <row r="11" spans="1:12" ht="33" customHeight="1">
      <c r="A11" s="24" t="s">
        <v>13</v>
      </c>
      <c r="B11" s="52">
        <f>594.18*1.05</f>
        <v>623.889</v>
      </c>
      <c r="C11" s="25">
        <f>683.31*1.05</f>
        <v>717.4755</v>
      </c>
      <c r="D11" s="25">
        <f>393.81*1.05</f>
        <v>413.50050000000005</v>
      </c>
      <c r="E11" s="25">
        <f>393.81*1.05</f>
        <v>413.50050000000005</v>
      </c>
      <c r="F11" s="36" t="s">
        <v>7</v>
      </c>
      <c r="G11" s="37"/>
      <c r="H11" s="36"/>
      <c r="I11" s="36" t="s">
        <v>7</v>
      </c>
      <c r="J11" s="36" t="s">
        <v>7</v>
      </c>
      <c r="K11" s="36" t="s">
        <v>7</v>
      </c>
      <c r="L11" s="39" t="s">
        <v>7</v>
      </c>
    </row>
    <row r="12" spans="1:12" ht="33" customHeight="1">
      <c r="A12" s="24" t="s">
        <v>14</v>
      </c>
      <c r="B12" s="52">
        <f aca="true" t="shared" si="1" ref="B12:H12">+B7*0.16</f>
        <v>409.85440000000006</v>
      </c>
      <c r="C12" s="25">
        <f t="shared" si="1"/>
        <v>550.2704</v>
      </c>
      <c r="D12" s="25">
        <f t="shared" si="1"/>
        <v>341.47360000000003</v>
      </c>
      <c r="E12" s="25">
        <f t="shared" si="1"/>
        <v>341.47360000000003</v>
      </c>
      <c r="F12" s="25">
        <f t="shared" si="1"/>
        <v>717.7872</v>
      </c>
      <c r="G12" s="25">
        <f t="shared" si="1"/>
        <v>550.2704</v>
      </c>
      <c r="H12" s="25">
        <f t="shared" si="1"/>
        <v>849.0384</v>
      </c>
      <c r="I12" s="25">
        <f>+I7*0.1</f>
        <v>197.33572000000004</v>
      </c>
      <c r="J12" s="25">
        <f>+J7*0.16</f>
        <v>272.1872</v>
      </c>
      <c r="K12" s="25">
        <f>+K7*0.16</f>
        <v>274.90907200000004</v>
      </c>
      <c r="L12" s="39"/>
    </row>
    <row r="13" spans="1:12" ht="33" customHeight="1">
      <c r="A13" s="24" t="s">
        <v>15</v>
      </c>
      <c r="B13" s="40" t="s">
        <v>16</v>
      </c>
      <c r="C13" s="41" t="s">
        <v>16</v>
      </c>
      <c r="D13" s="40" t="s">
        <v>16</v>
      </c>
      <c r="E13" s="41" t="s">
        <v>16</v>
      </c>
      <c r="F13" s="42" t="s">
        <v>16</v>
      </c>
      <c r="G13" s="41" t="s">
        <v>16</v>
      </c>
      <c r="H13" s="25">
        <f>SUM(H7:H12)</f>
        <v>6155.5284</v>
      </c>
      <c r="I13" s="25">
        <f>SUM(I7:I12)</f>
        <v>2170.6929200000004</v>
      </c>
      <c r="J13" s="25">
        <f>SUM(J7:J12)</f>
        <v>1973.3572000000001</v>
      </c>
      <c r="K13" s="25">
        <f>SUM(K7:K12)</f>
        <v>1993.090772</v>
      </c>
      <c r="L13" s="26">
        <f>SUM(L7:L12)</f>
        <v>1708.57</v>
      </c>
    </row>
    <row r="14" spans="1:12" ht="33" customHeight="1">
      <c r="A14" s="24" t="s">
        <v>17</v>
      </c>
      <c r="B14" s="74">
        <f>2341.14*0.085</f>
        <v>198.9969</v>
      </c>
      <c r="C14" s="25"/>
      <c r="D14" s="25">
        <v>179.1</v>
      </c>
      <c r="E14" s="25">
        <f>+D14</f>
        <v>179.1</v>
      </c>
      <c r="F14" s="34"/>
      <c r="G14" s="35" t="s">
        <v>7</v>
      </c>
      <c r="H14" s="34"/>
      <c r="I14" s="36"/>
      <c r="J14" s="36" t="s">
        <v>7</v>
      </c>
      <c r="K14" s="36" t="s">
        <v>7</v>
      </c>
      <c r="L14" s="44"/>
    </row>
    <row r="15" spans="1:12" ht="33" customHeight="1">
      <c r="A15" s="24" t="s">
        <v>18</v>
      </c>
      <c r="B15" s="45" t="s">
        <v>16</v>
      </c>
      <c r="C15" s="46" t="s">
        <v>20</v>
      </c>
      <c r="D15" s="45" t="s">
        <v>16</v>
      </c>
      <c r="E15" s="46" t="s">
        <v>16</v>
      </c>
      <c r="F15" s="47"/>
      <c r="G15" s="47"/>
      <c r="H15" s="47"/>
      <c r="I15" s="47"/>
      <c r="J15" s="47"/>
      <c r="K15" s="47"/>
      <c r="L15" s="44"/>
    </row>
    <row r="16" spans="1:12" ht="33" customHeight="1">
      <c r="A16" s="24" t="s">
        <v>19</v>
      </c>
      <c r="B16" s="74">
        <f>2341.14*0.125</f>
        <v>292.6425</v>
      </c>
      <c r="C16" s="25"/>
      <c r="D16" s="25">
        <v>263.38</v>
      </c>
      <c r="E16" s="46" t="s">
        <v>29</v>
      </c>
      <c r="F16" s="34" t="s">
        <v>7</v>
      </c>
      <c r="G16" s="34" t="s">
        <v>7</v>
      </c>
      <c r="H16" s="34"/>
      <c r="I16" s="36" t="s">
        <v>7</v>
      </c>
      <c r="J16" s="36" t="s">
        <v>7</v>
      </c>
      <c r="K16" s="36" t="s">
        <v>7</v>
      </c>
      <c r="L16" s="44" t="s">
        <v>7</v>
      </c>
    </row>
    <row r="17" spans="1:12" ht="33" customHeight="1">
      <c r="A17" s="24" t="s">
        <v>21</v>
      </c>
      <c r="B17" s="52">
        <v>16.23</v>
      </c>
      <c r="C17" s="25"/>
      <c r="D17" s="25"/>
      <c r="E17" s="48"/>
      <c r="F17" s="49" t="s">
        <v>7</v>
      </c>
      <c r="G17" s="49" t="s">
        <v>7</v>
      </c>
      <c r="H17" s="49" t="s">
        <v>7</v>
      </c>
      <c r="I17" s="50" t="s">
        <v>7</v>
      </c>
      <c r="J17" s="50"/>
      <c r="K17" s="50" t="s">
        <v>7</v>
      </c>
      <c r="L17" s="51" t="s">
        <v>7</v>
      </c>
    </row>
    <row r="18" spans="1:12" ht="33" customHeight="1">
      <c r="A18" s="24" t="s">
        <v>22</v>
      </c>
      <c r="B18" s="74">
        <f>2341.14*0.005</f>
        <v>11.7057</v>
      </c>
      <c r="C18" s="25"/>
      <c r="D18" s="25">
        <v>13.22</v>
      </c>
      <c r="E18" s="48" t="s">
        <v>29</v>
      </c>
      <c r="F18" s="49"/>
      <c r="G18" s="49" t="s">
        <v>7</v>
      </c>
      <c r="H18" s="49" t="s">
        <v>7</v>
      </c>
      <c r="I18" s="50" t="s">
        <v>7</v>
      </c>
      <c r="J18" s="50" t="s">
        <v>7</v>
      </c>
      <c r="K18" s="50" t="s">
        <v>7</v>
      </c>
      <c r="L18" s="51" t="s">
        <v>7</v>
      </c>
    </row>
    <row r="19" spans="1:12" ht="33" customHeight="1">
      <c r="A19" s="24" t="s">
        <v>23</v>
      </c>
      <c r="B19" s="52">
        <f>4028.98*0.25</f>
        <v>1007.245</v>
      </c>
      <c r="C19" s="52">
        <f>5474.03*0.25</f>
        <v>1368.5075</v>
      </c>
      <c r="D19" s="52">
        <f>3303.62*0.06</f>
        <v>198.2172</v>
      </c>
      <c r="E19" s="52">
        <f>+D19</f>
        <v>198.2172</v>
      </c>
      <c r="F19" s="53"/>
      <c r="G19" s="49" t="s">
        <v>7</v>
      </c>
      <c r="H19" s="49" t="s">
        <v>7</v>
      </c>
      <c r="I19" s="50" t="s">
        <v>7</v>
      </c>
      <c r="J19" s="50" t="s">
        <v>7</v>
      </c>
      <c r="K19" s="50" t="s">
        <v>7</v>
      </c>
      <c r="L19" s="51" t="s">
        <v>7</v>
      </c>
    </row>
    <row r="20" spans="1:12" ht="33" customHeight="1" thickBot="1">
      <c r="A20" s="54" t="s">
        <v>24</v>
      </c>
      <c r="B20" s="55" t="s">
        <v>16</v>
      </c>
      <c r="C20" s="56" t="s">
        <v>16</v>
      </c>
      <c r="D20" s="55" t="s">
        <v>16</v>
      </c>
      <c r="E20" s="57" t="s">
        <v>29</v>
      </c>
      <c r="F20" s="58"/>
      <c r="G20" s="59" t="s">
        <v>7</v>
      </c>
      <c r="H20" s="59" t="s">
        <v>7</v>
      </c>
      <c r="I20" s="60" t="s">
        <v>7</v>
      </c>
      <c r="J20" s="60" t="s">
        <v>7</v>
      </c>
      <c r="K20" s="60" t="s">
        <v>7</v>
      </c>
      <c r="L20" s="61" t="s">
        <v>7</v>
      </c>
    </row>
    <row r="21" spans="1:12" ht="23.25" customHeight="1">
      <c r="A21" s="83" t="s">
        <v>42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16.5" customHeight="1">
      <c r="A22" s="82" t="s">
        <v>30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6.5" customHeight="1">
      <c r="A23" s="82" t="s">
        <v>25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9.5" customHeight="1">
      <c r="A24" s="82" t="s">
        <v>31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21.75" customHeight="1">
      <c r="A25" s="82" t="s">
        <v>32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8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8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8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8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8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8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18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8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ht="18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8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8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ht="18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ht="18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8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ht="18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8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8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18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ht="18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8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ht="18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8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8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18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18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8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ht="18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18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8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 ht="18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 ht="18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18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12" ht="18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ht="18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</sheetData>
  <sheetProtection password="CDF6" sheet="1" objects="1" scenarios="1"/>
  <mergeCells count="6">
    <mergeCell ref="A24:L24"/>
    <mergeCell ref="A25:L25"/>
    <mergeCell ref="J4:K4"/>
    <mergeCell ref="A21:L21"/>
    <mergeCell ref="A22:L22"/>
    <mergeCell ref="A23:L23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zoomScale="60" zoomScaleNormal="60" zoomScaleSheetLayoutView="50" zoomScalePageLayoutView="0" workbookViewId="0" topLeftCell="A1">
      <selection activeCell="E16" sqref="E16"/>
    </sheetView>
  </sheetViews>
  <sheetFormatPr defaultColWidth="9.8515625" defaultRowHeight="12.75"/>
  <cols>
    <col min="1" max="1" width="35.8515625" style="65" customWidth="1"/>
    <col min="2" max="2" width="17.8515625" style="65" customWidth="1"/>
    <col min="3" max="3" width="16.140625" style="65" customWidth="1"/>
    <col min="4" max="5" width="16.140625" style="65" bestFit="1" customWidth="1"/>
    <col min="6" max="6" width="16.28125" style="65" bestFit="1" customWidth="1"/>
    <col min="7" max="8" width="16.140625" style="65" bestFit="1" customWidth="1"/>
    <col min="9" max="9" width="16.140625" style="65" customWidth="1"/>
    <col min="10" max="12" width="16.140625" style="65" bestFit="1" customWidth="1"/>
    <col min="13" max="13" width="12.28125" style="62" bestFit="1" customWidth="1"/>
    <col min="14" max="96" width="9.8515625" style="62" customWidth="1"/>
    <col min="97" max="16384" width="9.8515625" style="63" customWidth="1"/>
  </cols>
  <sheetData>
    <row r="1" spans="1:12" ht="18.75" thickBot="1">
      <c r="A1" s="70"/>
      <c r="B1" s="64"/>
      <c r="C1" s="64"/>
      <c r="D1" s="71"/>
      <c r="E1" s="64"/>
      <c r="F1" s="64"/>
      <c r="G1" s="64"/>
      <c r="H1" s="64"/>
      <c r="I1" s="64"/>
      <c r="J1" s="64"/>
      <c r="K1" s="64"/>
      <c r="L1" s="64"/>
    </row>
    <row r="2" spans="1:12" ht="24" customHeight="1">
      <c r="A2" s="2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8.7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36" customHeight="1">
      <c r="A4" s="10" t="s">
        <v>1</v>
      </c>
      <c r="B4" s="11" t="s">
        <v>33</v>
      </c>
      <c r="C4" s="11" t="s">
        <v>26</v>
      </c>
      <c r="D4" s="11" t="s">
        <v>2</v>
      </c>
      <c r="E4" s="11" t="s">
        <v>3</v>
      </c>
      <c r="F4" s="12" t="s">
        <v>4</v>
      </c>
      <c r="G4" s="11" t="s">
        <v>34</v>
      </c>
      <c r="H4" s="12" t="s">
        <v>5</v>
      </c>
      <c r="I4" s="13" t="s">
        <v>39</v>
      </c>
      <c r="J4" s="79" t="s">
        <v>36</v>
      </c>
      <c r="K4" s="80"/>
      <c r="L4" s="14" t="s">
        <v>6</v>
      </c>
    </row>
    <row r="5" spans="1:12" ht="25.5" customHeight="1">
      <c r="A5" s="15"/>
      <c r="B5" s="16">
        <v>38534</v>
      </c>
      <c r="C5" s="16">
        <f aca="true" t="shared" si="0" ref="C5:I5">+B5</f>
        <v>38534</v>
      </c>
      <c r="D5" s="16">
        <f t="shared" si="0"/>
        <v>38534</v>
      </c>
      <c r="E5" s="16">
        <f t="shared" si="0"/>
        <v>38534</v>
      </c>
      <c r="F5" s="16">
        <f t="shared" si="0"/>
        <v>38534</v>
      </c>
      <c r="G5" s="16">
        <f t="shared" si="0"/>
        <v>38534</v>
      </c>
      <c r="H5" s="16">
        <f t="shared" si="0"/>
        <v>38534</v>
      </c>
      <c r="I5" s="16">
        <f t="shared" si="0"/>
        <v>38534</v>
      </c>
      <c r="J5" s="16">
        <f>+H5</f>
        <v>38534</v>
      </c>
      <c r="K5" s="16">
        <f>+J5</f>
        <v>38534</v>
      </c>
      <c r="L5" s="17">
        <f>+K5</f>
        <v>38534</v>
      </c>
    </row>
    <row r="6" spans="1:12" ht="25.5" customHeight="1">
      <c r="A6" s="15"/>
      <c r="B6" s="18"/>
      <c r="C6" s="19"/>
      <c r="D6" s="20" t="s">
        <v>7</v>
      </c>
      <c r="E6" s="20"/>
      <c r="F6" s="20" t="s">
        <v>7</v>
      </c>
      <c r="G6" s="21" t="s">
        <v>7</v>
      </c>
      <c r="H6" s="21" t="s">
        <v>7</v>
      </c>
      <c r="I6" s="21" t="s">
        <v>8</v>
      </c>
      <c r="J6" s="21" t="s">
        <v>8</v>
      </c>
      <c r="K6" s="22" t="s">
        <v>27</v>
      </c>
      <c r="L6" s="23" t="s">
        <v>28</v>
      </c>
    </row>
    <row r="7" spans="1:13" ht="33" customHeight="1">
      <c r="A7" s="24" t="s">
        <v>9</v>
      </c>
      <c r="B7" s="52">
        <v>2580.47</v>
      </c>
      <c r="C7" s="52">
        <v>3439.19</v>
      </c>
      <c r="D7" s="52">
        <v>2139.06</v>
      </c>
      <c r="E7" s="52">
        <f>+D7</f>
        <v>2139.06</v>
      </c>
      <c r="F7" s="25">
        <v>4626.17</v>
      </c>
      <c r="G7" s="25">
        <f>C7</f>
        <v>3439.19</v>
      </c>
      <c r="H7" s="25">
        <v>5306.49</v>
      </c>
      <c r="I7" s="25">
        <f>+J13</f>
        <v>2106.4672</v>
      </c>
      <c r="J7" s="25">
        <v>1815.92</v>
      </c>
      <c r="K7" s="25">
        <f>+J7*1.01</f>
        <v>1834.0792000000001</v>
      </c>
      <c r="L7" s="26">
        <v>1472.95</v>
      </c>
      <c r="M7" s="72"/>
    </row>
    <row r="8" spans="1:13" ht="33" customHeight="1">
      <c r="A8" s="24" t="s">
        <v>35</v>
      </c>
      <c r="B8" s="28">
        <v>3.5</v>
      </c>
      <c r="C8" s="27">
        <v>3.5</v>
      </c>
      <c r="D8" s="27">
        <v>3.5</v>
      </c>
      <c r="E8" s="27">
        <f>+D8</f>
        <v>3.5</v>
      </c>
      <c r="F8" s="28"/>
      <c r="G8" s="28"/>
      <c r="H8" s="29"/>
      <c r="I8" s="29"/>
      <c r="J8" s="29"/>
      <c r="K8" s="29"/>
      <c r="L8" s="30"/>
      <c r="M8" s="72"/>
    </row>
    <row r="9" spans="1:13" ht="33" customHeight="1">
      <c r="A9" s="24" t="s">
        <v>10</v>
      </c>
      <c r="B9" s="31" t="s">
        <v>11</v>
      </c>
      <c r="C9" s="32" t="s">
        <v>11</v>
      </c>
      <c r="D9" s="31" t="s">
        <v>11</v>
      </c>
      <c r="E9" s="32" t="s">
        <v>11</v>
      </c>
      <c r="F9" s="33" t="s">
        <v>11</v>
      </c>
      <c r="G9" s="32" t="s">
        <v>11</v>
      </c>
      <c r="H9" s="34"/>
      <c r="I9" s="34"/>
      <c r="J9" s="34"/>
      <c r="K9" s="34"/>
      <c r="L9" s="26">
        <v>119.53</v>
      </c>
      <c r="M9" s="72"/>
    </row>
    <row r="10" spans="1:13" ht="33" customHeight="1">
      <c r="A10" s="24" t="s">
        <v>12</v>
      </c>
      <c r="B10" s="73"/>
      <c r="C10" s="35" t="s">
        <v>7</v>
      </c>
      <c r="D10" s="34" t="s">
        <v>7</v>
      </c>
      <c r="E10" s="35"/>
      <c r="F10" s="36" t="s">
        <v>7</v>
      </c>
      <c r="G10" s="37" t="s">
        <v>7</v>
      </c>
      <c r="H10" s="36" t="s">
        <v>7</v>
      </c>
      <c r="I10" s="36" t="s">
        <v>7</v>
      </c>
      <c r="J10" s="38"/>
      <c r="K10" s="36" t="s">
        <v>7</v>
      </c>
      <c r="L10" s="26">
        <v>116.09</v>
      </c>
      <c r="M10" s="72"/>
    </row>
    <row r="11" spans="1:12" ht="33" customHeight="1">
      <c r="A11" s="24" t="s">
        <v>13</v>
      </c>
      <c r="B11" s="52">
        <f>594.18*1.05</f>
        <v>623.889</v>
      </c>
      <c r="C11" s="25">
        <f>683.31*1.05</f>
        <v>717.4755</v>
      </c>
      <c r="D11" s="25">
        <f>393.81*1.05</f>
        <v>413.50050000000005</v>
      </c>
      <c r="E11" s="25">
        <f>393.81*1.05</f>
        <v>413.50050000000005</v>
      </c>
      <c r="F11" s="36" t="s">
        <v>7</v>
      </c>
      <c r="G11" s="37"/>
      <c r="H11" s="36"/>
      <c r="I11" s="36" t="s">
        <v>7</v>
      </c>
      <c r="J11" s="36" t="s">
        <v>7</v>
      </c>
      <c r="K11" s="36" t="s">
        <v>7</v>
      </c>
      <c r="L11" s="39" t="s">
        <v>7</v>
      </c>
    </row>
    <row r="12" spans="1:12" ht="33" customHeight="1">
      <c r="A12" s="24" t="s">
        <v>14</v>
      </c>
      <c r="B12" s="52">
        <f aca="true" t="shared" si="1" ref="B12:H12">+B7*0.16</f>
        <v>412.87519999999995</v>
      </c>
      <c r="C12" s="25">
        <f t="shared" si="1"/>
        <v>550.2704</v>
      </c>
      <c r="D12" s="25">
        <f t="shared" si="1"/>
        <v>342.2496</v>
      </c>
      <c r="E12" s="25">
        <f t="shared" si="1"/>
        <v>342.2496</v>
      </c>
      <c r="F12" s="25">
        <f t="shared" si="1"/>
        <v>740.1872000000001</v>
      </c>
      <c r="G12" s="25">
        <f t="shared" si="1"/>
        <v>550.2704</v>
      </c>
      <c r="H12" s="25">
        <f t="shared" si="1"/>
        <v>849.0384</v>
      </c>
      <c r="I12" s="25">
        <f>+I7*0.1</f>
        <v>210.64672000000002</v>
      </c>
      <c r="J12" s="25">
        <f>+J7*0.16</f>
        <v>290.54720000000003</v>
      </c>
      <c r="K12" s="25">
        <f>+K7*0.16</f>
        <v>293.452672</v>
      </c>
      <c r="L12" s="39"/>
    </row>
    <row r="13" spans="1:12" ht="33" customHeight="1">
      <c r="A13" s="24" t="s">
        <v>15</v>
      </c>
      <c r="B13" s="40" t="s">
        <v>16</v>
      </c>
      <c r="C13" s="41" t="s">
        <v>16</v>
      </c>
      <c r="D13" s="40" t="s">
        <v>16</v>
      </c>
      <c r="E13" s="41" t="s">
        <v>16</v>
      </c>
      <c r="F13" s="42" t="s">
        <v>16</v>
      </c>
      <c r="G13" s="41" t="s">
        <v>16</v>
      </c>
      <c r="H13" s="25">
        <f>SUM(H7:H12)</f>
        <v>6155.5284</v>
      </c>
      <c r="I13" s="25">
        <f>SUM(I7:I12)</f>
        <v>2317.1139200000002</v>
      </c>
      <c r="J13" s="25">
        <f>SUM(J7:J12)</f>
        <v>2106.4672</v>
      </c>
      <c r="K13" s="25">
        <f>SUM(K7:K12)</f>
        <v>2127.531872</v>
      </c>
      <c r="L13" s="26">
        <f>SUM(L7:L12)</f>
        <v>1708.57</v>
      </c>
    </row>
    <row r="14" spans="1:12" ht="33" customHeight="1">
      <c r="A14" s="24" t="s">
        <v>17</v>
      </c>
      <c r="B14" s="74">
        <f>2332.79*0.085</f>
        <v>198.28715000000003</v>
      </c>
      <c r="C14" s="25"/>
      <c r="D14" s="74">
        <f>2332.79*0.08</f>
        <v>186.6232</v>
      </c>
      <c r="E14" s="43">
        <f>+D14</f>
        <v>186.6232</v>
      </c>
      <c r="F14" s="34"/>
      <c r="G14" s="35" t="s">
        <v>7</v>
      </c>
      <c r="H14" s="34"/>
      <c r="I14" s="36"/>
      <c r="J14" s="36" t="s">
        <v>7</v>
      </c>
      <c r="K14" s="36" t="s">
        <v>7</v>
      </c>
      <c r="L14" s="44"/>
    </row>
    <row r="15" spans="1:12" ht="33" customHeight="1">
      <c r="A15" s="24" t="s">
        <v>18</v>
      </c>
      <c r="B15" s="45" t="s">
        <v>16</v>
      </c>
      <c r="C15" s="46" t="s">
        <v>20</v>
      </c>
      <c r="D15" s="45" t="s">
        <v>16</v>
      </c>
      <c r="E15" s="46" t="s">
        <v>16</v>
      </c>
      <c r="F15" s="47"/>
      <c r="G15" s="47"/>
      <c r="H15" s="47"/>
      <c r="I15" s="47"/>
      <c r="J15" s="47"/>
      <c r="K15" s="47"/>
      <c r="L15" s="44"/>
    </row>
    <row r="16" spans="1:12" ht="33" customHeight="1">
      <c r="A16" s="24" t="s">
        <v>19</v>
      </c>
      <c r="B16" s="74">
        <f>2332.79*0.125</f>
        <v>291.59875</v>
      </c>
      <c r="C16" s="25"/>
      <c r="D16" s="74">
        <f>2332.79*0.12</f>
        <v>279.9348</v>
      </c>
      <c r="E16" s="46" t="s">
        <v>29</v>
      </c>
      <c r="F16" s="34" t="s">
        <v>7</v>
      </c>
      <c r="G16" s="34" t="s">
        <v>7</v>
      </c>
      <c r="H16" s="34"/>
      <c r="I16" s="36" t="s">
        <v>7</v>
      </c>
      <c r="J16" s="36" t="s">
        <v>7</v>
      </c>
      <c r="K16" s="36" t="s">
        <v>7</v>
      </c>
      <c r="L16" s="44" t="s">
        <v>7</v>
      </c>
    </row>
    <row r="17" spans="1:12" ht="33" customHeight="1">
      <c r="A17" s="24" t="s">
        <v>21</v>
      </c>
      <c r="B17" s="52">
        <v>16.32</v>
      </c>
      <c r="C17" s="25"/>
      <c r="D17" s="25"/>
      <c r="E17" s="48"/>
      <c r="F17" s="49" t="s">
        <v>7</v>
      </c>
      <c r="G17" s="49" t="s">
        <v>7</v>
      </c>
      <c r="H17" s="49" t="s">
        <v>7</v>
      </c>
      <c r="I17" s="50" t="s">
        <v>7</v>
      </c>
      <c r="J17" s="50"/>
      <c r="K17" s="50" t="s">
        <v>7</v>
      </c>
      <c r="L17" s="51" t="s">
        <v>7</v>
      </c>
    </row>
    <row r="18" spans="1:12" ht="33" customHeight="1">
      <c r="A18" s="24" t="s">
        <v>22</v>
      </c>
      <c r="B18" s="74">
        <f>2332.79*0.005</f>
        <v>11.66395</v>
      </c>
      <c r="C18" s="25"/>
      <c r="D18" s="74">
        <f>2332.79*0.005</f>
        <v>11.66395</v>
      </c>
      <c r="E18" s="48" t="s">
        <v>29</v>
      </c>
      <c r="F18" s="49"/>
      <c r="G18" s="49" t="s">
        <v>7</v>
      </c>
      <c r="H18" s="49" t="s">
        <v>7</v>
      </c>
      <c r="I18" s="50" t="s">
        <v>7</v>
      </c>
      <c r="J18" s="50" t="s">
        <v>7</v>
      </c>
      <c r="K18" s="50" t="s">
        <v>7</v>
      </c>
      <c r="L18" s="51" t="s">
        <v>7</v>
      </c>
    </row>
    <row r="19" spans="1:12" ht="33" customHeight="1">
      <c r="A19" s="24" t="s">
        <v>23</v>
      </c>
      <c r="B19" s="52">
        <f>4069.02*0.25</f>
        <v>1017.255</v>
      </c>
      <c r="C19" s="52">
        <f>5515.2*0.25</f>
        <v>1378.8</v>
      </c>
      <c r="D19" s="52">
        <f>3340.91*0.06</f>
        <v>200.45459999999997</v>
      </c>
      <c r="E19" s="52">
        <f>+D19</f>
        <v>200.45459999999997</v>
      </c>
      <c r="F19" s="53"/>
      <c r="G19" s="49" t="s">
        <v>7</v>
      </c>
      <c r="H19" s="49" t="s">
        <v>7</v>
      </c>
      <c r="I19" s="50" t="s">
        <v>7</v>
      </c>
      <c r="J19" s="50" t="s">
        <v>7</v>
      </c>
      <c r="K19" s="50" t="s">
        <v>7</v>
      </c>
      <c r="L19" s="51" t="s">
        <v>7</v>
      </c>
    </row>
    <row r="20" spans="1:12" ht="33" customHeight="1" thickBot="1">
      <c r="A20" s="54" t="s">
        <v>24</v>
      </c>
      <c r="B20" s="55" t="s">
        <v>16</v>
      </c>
      <c r="C20" s="56" t="s">
        <v>16</v>
      </c>
      <c r="D20" s="55" t="s">
        <v>16</v>
      </c>
      <c r="E20" s="57" t="s">
        <v>29</v>
      </c>
      <c r="F20" s="58"/>
      <c r="G20" s="59" t="s">
        <v>7</v>
      </c>
      <c r="H20" s="59" t="s">
        <v>7</v>
      </c>
      <c r="I20" s="60" t="s">
        <v>7</v>
      </c>
      <c r="J20" s="60" t="s">
        <v>7</v>
      </c>
      <c r="K20" s="60" t="s">
        <v>7</v>
      </c>
      <c r="L20" s="61" t="s">
        <v>7</v>
      </c>
    </row>
    <row r="21" spans="1:12" ht="39.75" customHeight="1">
      <c r="A21" s="84" t="s">
        <v>46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16.5" customHeight="1">
      <c r="A22" s="82" t="s">
        <v>30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6.5" customHeight="1">
      <c r="A23" s="82" t="s">
        <v>25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9.5" customHeight="1">
      <c r="A24" s="82" t="s">
        <v>31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21.75" customHeight="1">
      <c r="A25" s="82" t="s">
        <v>32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8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8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8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8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8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8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18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8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ht="18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8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8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ht="18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ht="18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8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ht="18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8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8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18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ht="18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8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ht="18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8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8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18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18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8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ht="18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18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8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 ht="18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 ht="18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18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12" ht="18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ht="18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</sheetData>
  <sheetProtection password="CC36" sheet="1" objects="1" scenarios="1"/>
  <mergeCells count="6">
    <mergeCell ref="A24:L24"/>
    <mergeCell ref="A25:L25"/>
    <mergeCell ref="J4:K4"/>
    <mergeCell ref="A21:L21"/>
    <mergeCell ref="A22:L22"/>
    <mergeCell ref="A23:L23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9"/>
  <sheetViews>
    <sheetView zoomScale="60" zoomScaleNormal="60" zoomScaleSheetLayoutView="50" zoomScalePageLayoutView="0" workbookViewId="0" topLeftCell="A1">
      <selection activeCell="E16" sqref="E16"/>
    </sheetView>
  </sheetViews>
  <sheetFormatPr defaultColWidth="9.8515625" defaultRowHeight="12.75"/>
  <cols>
    <col min="1" max="1" width="35.8515625" style="65" customWidth="1"/>
    <col min="2" max="2" width="17.8515625" style="65" customWidth="1"/>
    <col min="3" max="3" width="16.140625" style="65" customWidth="1"/>
    <col min="4" max="5" width="16.140625" style="65" bestFit="1" customWidth="1"/>
    <col min="6" max="6" width="16.28125" style="65" bestFit="1" customWidth="1"/>
    <col min="7" max="8" width="16.140625" style="65" bestFit="1" customWidth="1"/>
    <col min="9" max="9" width="16.140625" style="65" customWidth="1"/>
    <col min="10" max="12" width="16.140625" style="65" bestFit="1" customWidth="1"/>
    <col min="13" max="13" width="12.28125" style="62" bestFit="1" customWidth="1"/>
    <col min="14" max="96" width="9.8515625" style="62" customWidth="1"/>
    <col min="97" max="16384" width="9.8515625" style="63" customWidth="1"/>
  </cols>
  <sheetData>
    <row r="1" spans="1:12" ht="18.75" thickBot="1">
      <c r="A1" s="70"/>
      <c r="B1" s="64"/>
      <c r="C1" s="64"/>
      <c r="D1" s="71"/>
      <c r="E1" s="64"/>
      <c r="F1" s="64"/>
      <c r="G1" s="64"/>
      <c r="H1" s="64"/>
      <c r="I1" s="64"/>
      <c r="J1" s="64"/>
      <c r="K1" s="64"/>
      <c r="L1" s="64"/>
    </row>
    <row r="2" spans="1:12" ht="24" customHeight="1">
      <c r="A2" s="2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8.7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36" customHeight="1">
      <c r="A4" s="10" t="s">
        <v>1</v>
      </c>
      <c r="B4" s="11" t="s">
        <v>33</v>
      </c>
      <c r="C4" s="11" t="s">
        <v>26</v>
      </c>
      <c r="D4" s="11" t="s">
        <v>2</v>
      </c>
      <c r="E4" s="11" t="s">
        <v>3</v>
      </c>
      <c r="F4" s="12" t="s">
        <v>4</v>
      </c>
      <c r="G4" s="11" t="s">
        <v>34</v>
      </c>
      <c r="H4" s="12" t="s">
        <v>5</v>
      </c>
      <c r="I4" s="13" t="s">
        <v>39</v>
      </c>
      <c r="J4" s="79" t="s">
        <v>36</v>
      </c>
      <c r="K4" s="80"/>
      <c r="L4" s="14" t="s">
        <v>6</v>
      </c>
    </row>
    <row r="5" spans="1:12" ht="25.5" customHeight="1">
      <c r="A5" s="15"/>
      <c r="B5" s="16">
        <v>38565</v>
      </c>
      <c r="C5" s="16">
        <f aca="true" t="shared" si="0" ref="C5:I5">+B5</f>
        <v>38565</v>
      </c>
      <c r="D5" s="16">
        <f t="shared" si="0"/>
        <v>38565</v>
      </c>
      <c r="E5" s="16">
        <f t="shared" si="0"/>
        <v>38565</v>
      </c>
      <c r="F5" s="16">
        <f t="shared" si="0"/>
        <v>38565</v>
      </c>
      <c r="G5" s="16">
        <f t="shared" si="0"/>
        <v>38565</v>
      </c>
      <c r="H5" s="16">
        <f t="shared" si="0"/>
        <v>38565</v>
      </c>
      <c r="I5" s="16">
        <f t="shared" si="0"/>
        <v>38565</v>
      </c>
      <c r="J5" s="16">
        <f>+H5</f>
        <v>38565</v>
      </c>
      <c r="K5" s="16">
        <f>+J5</f>
        <v>38565</v>
      </c>
      <c r="L5" s="17">
        <f>+K5</f>
        <v>38565</v>
      </c>
    </row>
    <row r="6" spans="1:12" ht="25.5" customHeight="1">
      <c r="A6" s="15"/>
      <c r="B6" s="18"/>
      <c r="C6" s="19"/>
      <c r="D6" s="20" t="s">
        <v>7</v>
      </c>
      <c r="E6" s="20"/>
      <c r="F6" s="20" t="s">
        <v>7</v>
      </c>
      <c r="G6" s="21" t="s">
        <v>7</v>
      </c>
      <c r="H6" s="21" t="s">
        <v>7</v>
      </c>
      <c r="I6" s="21" t="s">
        <v>8</v>
      </c>
      <c r="J6" s="21" t="s">
        <v>8</v>
      </c>
      <c r="K6" s="22" t="s">
        <v>27</v>
      </c>
      <c r="L6" s="23" t="s">
        <v>28</v>
      </c>
    </row>
    <row r="7" spans="1:13" ht="33" customHeight="1">
      <c r="A7" s="24" t="s">
        <v>9</v>
      </c>
      <c r="B7" s="52">
        <v>2601.35</v>
      </c>
      <c r="C7" s="52">
        <v>3489.19</v>
      </c>
      <c r="D7" s="52">
        <v>2163.67</v>
      </c>
      <c r="E7" s="52">
        <f>+D7</f>
        <v>2163.67</v>
      </c>
      <c r="F7" s="25">
        <v>4637.28</v>
      </c>
      <c r="G7" s="25">
        <f>C7</f>
        <v>3489.19</v>
      </c>
      <c r="H7" s="25">
        <v>5306.49</v>
      </c>
      <c r="I7" s="25">
        <f>+J13</f>
        <v>2264.4476</v>
      </c>
      <c r="J7" s="25">
        <v>1952.11</v>
      </c>
      <c r="K7" s="25">
        <f>+J7*1.01</f>
        <v>1971.6310999999998</v>
      </c>
      <c r="L7" s="26">
        <v>1472.95</v>
      </c>
      <c r="M7" s="72"/>
    </row>
    <row r="8" spans="1:13" ht="33" customHeight="1">
      <c r="A8" s="24" t="s">
        <v>35</v>
      </c>
      <c r="B8" s="28">
        <v>3.5</v>
      </c>
      <c r="C8" s="27">
        <v>3.5</v>
      </c>
      <c r="D8" s="27">
        <v>3.5</v>
      </c>
      <c r="E8" s="27">
        <f>+D8</f>
        <v>3.5</v>
      </c>
      <c r="F8" s="28"/>
      <c r="G8" s="28"/>
      <c r="H8" s="29"/>
      <c r="I8" s="29"/>
      <c r="J8" s="29"/>
      <c r="K8" s="29"/>
      <c r="L8" s="30"/>
      <c r="M8" s="72"/>
    </row>
    <row r="9" spans="1:13" ht="33" customHeight="1">
      <c r="A9" s="24" t="s">
        <v>10</v>
      </c>
      <c r="B9" s="31" t="s">
        <v>11</v>
      </c>
      <c r="C9" s="32" t="s">
        <v>11</v>
      </c>
      <c r="D9" s="31" t="s">
        <v>11</v>
      </c>
      <c r="E9" s="32" t="s">
        <v>11</v>
      </c>
      <c r="F9" s="33" t="s">
        <v>11</v>
      </c>
      <c r="G9" s="32" t="s">
        <v>11</v>
      </c>
      <c r="H9" s="34"/>
      <c r="I9" s="34"/>
      <c r="J9" s="34"/>
      <c r="K9" s="34"/>
      <c r="L9" s="26">
        <v>119.53</v>
      </c>
      <c r="M9" s="72"/>
    </row>
    <row r="10" spans="1:13" ht="33" customHeight="1">
      <c r="A10" s="24" t="s">
        <v>12</v>
      </c>
      <c r="B10" s="73"/>
      <c r="C10" s="35" t="s">
        <v>7</v>
      </c>
      <c r="D10" s="34" t="s">
        <v>7</v>
      </c>
      <c r="E10" s="35"/>
      <c r="F10" s="36" t="s">
        <v>7</v>
      </c>
      <c r="G10" s="37" t="s">
        <v>7</v>
      </c>
      <c r="H10" s="36" t="s">
        <v>7</v>
      </c>
      <c r="I10" s="36" t="s">
        <v>7</v>
      </c>
      <c r="J10" s="38"/>
      <c r="K10" s="36" t="s">
        <v>7</v>
      </c>
      <c r="L10" s="26">
        <v>116.09</v>
      </c>
      <c r="M10" s="72"/>
    </row>
    <row r="11" spans="1:12" ht="33" customHeight="1">
      <c r="A11" s="24" t="s">
        <v>13</v>
      </c>
      <c r="B11" s="52">
        <f>594.18*1.05</f>
        <v>623.889</v>
      </c>
      <c r="C11" s="25">
        <f>683.31*1.05</f>
        <v>717.4755</v>
      </c>
      <c r="D11" s="25">
        <f>393.81*1.05</f>
        <v>413.50050000000005</v>
      </c>
      <c r="E11" s="25">
        <f>393.81*1.05</f>
        <v>413.50050000000005</v>
      </c>
      <c r="F11" s="36" t="s">
        <v>7</v>
      </c>
      <c r="G11" s="37"/>
      <c r="H11" s="36"/>
      <c r="I11" s="36" t="s">
        <v>7</v>
      </c>
      <c r="J11" s="36" t="s">
        <v>7</v>
      </c>
      <c r="K11" s="36" t="s">
        <v>7</v>
      </c>
      <c r="L11" s="39" t="s">
        <v>7</v>
      </c>
    </row>
    <row r="12" spans="1:12" ht="33" customHeight="1">
      <c r="A12" s="24" t="s">
        <v>14</v>
      </c>
      <c r="B12" s="52">
        <f aca="true" t="shared" si="1" ref="B12:H12">+B7*0.16</f>
        <v>416.216</v>
      </c>
      <c r="C12" s="25">
        <f t="shared" si="1"/>
        <v>558.2704</v>
      </c>
      <c r="D12" s="25">
        <f t="shared" si="1"/>
        <v>346.1872</v>
      </c>
      <c r="E12" s="25">
        <f t="shared" si="1"/>
        <v>346.1872</v>
      </c>
      <c r="F12" s="25">
        <f t="shared" si="1"/>
        <v>741.9648</v>
      </c>
      <c r="G12" s="25">
        <f t="shared" si="1"/>
        <v>558.2704</v>
      </c>
      <c r="H12" s="25">
        <f t="shared" si="1"/>
        <v>849.0384</v>
      </c>
      <c r="I12" s="25">
        <f>+I7*0.1</f>
        <v>226.44476</v>
      </c>
      <c r="J12" s="25">
        <f>+J7*0.16</f>
        <v>312.3376</v>
      </c>
      <c r="K12" s="25">
        <f>+K7*0.16</f>
        <v>315.46097599999996</v>
      </c>
      <c r="L12" s="39"/>
    </row>
    <row r="13" spans="1:12" ht="33" customHeight="1">
      <c r="A13" s="24" t="s">
        <v>15</v>
      </c>
      <c r="B13" s="40" t="s">
        <v>16</v>
      </c>
      <c r="C13" s="41" t="s">
        <v>16</v>
      </c>
      <c r="D13" s="40" t="s">
        <v>16</v>
      </c>
      <c r="E13" s="41" t="s">
        <v>16</v>
      </c>
      <c r="F13" s="42" t="s">
        <v>16</v>
      </c>
      <c r="G13" s="41" t="s">
        <v>16</v>
      </c>
      <c r="H13" s="25">
        <f>SUM(H7:H12)</f>
        <v>6155.5284</v>
      </c>
      <c r="I13" s="25">
        <f>SUM(I7:I12)</f>
        <v>2490.89236</v>
      </c>
      <c r="J13" s="25">
        <f>SUM(J7:J12)</f>
        <v>2264.4476</v>
      </c>
      <c r="K13" s="25">
        <f>SUM(K7:K12)</f>
        <v>2287.092076</v>
      </c>
      <c r="L13" s="26">
        <f>SUM(L7:L12)</f>
        <v>1708.57</v>
      </c>
    </row>
    <row r="14" spans="1:12" ht="33" customHeight="1">
      <c r="A14" s="24" t="s">
        <v>17</v>
      </c>
      <c r="B14" s="74">
        <f>2325.27*0.085</f>
        <v>197.64795</v>
      </c>
      <c r="C14" s="25"/>
      <c r="D14" s="74">
        <f>2325.27*0.08</f>
        <v>186.0216</v>
      </c>
      <c r="E14" s="43">
        <f>+D14</f>
        <v>186.0216</v>
      </c>
      <c r="F14" s="34"/>
      <c r="G14" s="35" t="s">
        <v>7</v>
      </c>
      <c r="H14" s="34"/>
      <c r="I14" s="36"/>
      <c r="J14" s="36" t="s">
        <v>7</v>
      </c>
      <c r="K14" s="36" t="s">
        <v>7</v>
      </c>
      <c r="L14" s="44"/>
    </row>
    <row r="15" spans="1:12" ht="33" customHeight="1">
      <c r="A15" s="24" t="s">
        <v>18</v>
      </c>
      <c r="B15" s="45" t="s">
        <v>16</v>
      </c>
      <c r="C15" s="46" t="s">
        <v>20</v>
      </c>
      <c r="D15" s="45" t="s">
        <v>16</v>
      </c>
      <c r="E15" s="46" t="s">
        <v>16</v>
      </c>
      <c r="F15" s="47"/>
      <c r="G15" s="47"/>
      <c r="H15" s="47"/>
      <c r="I15" s="47"/>
      <c r="J15" s="47"/>
      <c r="K15" s="47"/>
      <c r="L15" s="44"/>
    </row>
    <row r="16" spans="1:12" ht="33" customHeight="1">
      <c r="A16" s="24" t="s">
        <v>19</v>
      </c>
      <c r="B16" s="74">
        <f>2325.27*0.125</f>
        <v>290.65875</v>
      </c>
      <c r="C16" s="25"/>
      <c r="D16" s="74">
        <f>2325.27*0.12</f>
        <v>279.0324</v>
      </c>
      <c r="E16" s="46" t="s">
        <v>29</v>
      </c>
      <c r="F16" s="34" t="s">
        <v>7</v>
      </c>
      <c r="G16" s="34" t="s">
        <v>7</v>
      </c>
      <c r="H16" s="34"/>
      <c r="I16" s="36" t="s">
        <v>7</v>
      </c>
      <c r="J16" s="36" t="s">
        <v>7</v>
      </c>
      <c r="K16" s="36" t="s">
        <v>7</v>
      </c>
      <c r="L16" s="44" t="s">
        <v>7</v>
      </c>
    </row>
    <row r="17" spans="1:12" ht="33" customHeight="1">
      <c r="A17" s="24" t="s">
        <v>21</v>
      </c>
      <c r="B17" s="52">
        <v>16.41</v>
      </c>
      <c r="C17" s="25"/>
      <c r="D17" s="25"/>
      <c r="E17" s="48"/>
      <c r="F17" s="49" t="s">
        <v>7</v>
      </c>
      <c r="G17" s="49" t="s">
        <v>7</v>
      </c>
      <c r="H17" s="49" t="s">
        <v>7</v>
      </c>
      <c r="I17" s="50" t="s">
        <v>7</v>
      </c>
      <c r="J17" s="50"/>
      <c r="K17" s="50" t="s">
        <v>7</v>
      </c>
      <c r="L17" s="51" t="s">
        <v>7</v>
      </c>
    </row>
    <row r="18" spans="1:12" ht="33" customHeight="1">
      <c r="A18" s="24" t="s">
        <v>22</v>
      </c>
      <c r="B18" s="74">
        <f>2325.27*0.005</f>
        <v>11.62635</v>
      </c>
      <c r="C18" s="25"/>
      <c r="D18" s="74">
        <f>2325.27*0.005</f>
        <v>11.62635</v>
      </c>
      <c r="E18" s="48" t="s">
        <v>29</v>
      </c>
      <c r="F18" s="49"/>
      <c r="G18" s="49" t="s">
        <v>7</v>
      </c>
      <c r="H18" s="49" t="s">
        <v>7</v>
      </c>
      <c r="I18" s="50" t="s">
        <v>7</v>
      </c>
      <c r="J18" s="50" t="s">
        <v>7</v>
      </c>
      <c r="K18" s="50" t="s">
        <v>7</v>
      </c>
      <c r="L18" s="51" t="s">
        <v>7</v>
      </c>
    </row>
    <row r="19" spans="1:12" ht="33" customHeight="1">
      <c r="A19" s="24" t="s">
        <v>23</v>
      </c>
      <c r="B19" s="52">
        <f>4109.68*0.25</f>
        <v>1027.42</v>
      </c>
      <c r="C19" s="52">
        <f>5554.83*0.25</f>
        <v>1388.7075</v>
      </c>
      <c r="D19" s="52">
        <f>3383.47*0.06</f>
        <v>203.0082</v>
      </c>
      <c r="E19" s="52">
        <f>+D19</f>
        <v>203.0082</v>
      </c>
      <c r="F19" s="53"/>
      <c r="G19" s="49" t="s">
        <v>7</v>
      </c>
      <c r="H19" s="49" t="s">
        <v>7</v>
      </c>
      <c r="I19" s="50" t="s">
        <v>7</v>
      </c>
      <c r="J19" s="50" t="s">
        <v>7</v>
      </c>
      <c r="K19" s="50" t="s">
        <v>7</v>
      </c>
      <c r="L19" s="51" t="s">
        <v>7</v>
      </c>
    </row>
    <row r="20" spans="1:12" ht="33" customHeight="1" thickBot="1">
      <c r="A20" s="54" t="s">
        <v>24</v>
      </c>
      <c r="B20" s="55" t="s">
        <v>16</v>
      </c>
      <c r="C20" s="56" t="s">
        <v>16</v>
      </c>
      <c r="D20" s="55" t="s">
        <v>16</v>
      </c>
      <c r="E20" s="57" t="s">
        <v>29</v>
      </c>
      <c r="F20" s="58"/>
      <c r="G20" s="59" t="s">
        <v>7</v>
      </c>
      <c r="H20" s="59" t="s">
        <v>7</v>
      </c>
      <c r="I20" s="60" t="s">
        <v>7</v>
      </c>
      <c r="J20" s="60" t="s">
        <v>7</v>
      </c>
      <c r="K20" s="60" t="s">
        <v>7</v>
      </c>
      <c r="L20" s="61" t="s">
        <v>7</v>
      </c>
    </row>
    <row r="21" spans="1:12" ht="39.75" customHeight="1">
      <c r="A21" s="84" t="s">
        <v>46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16.5" customHeight="1">
      <c r="A22" s="82" t="s">
        <v>30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6.5" customHeight="1">
      <c r="A23" s="82" t="s">
        <v>25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9.5" customHeight="1">
      <c r="A24" s="82" t="s">
        <v>31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21.75" customHeight="1">
      <c r="A25" s="82" t="s">
        <v>32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8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8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8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8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8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8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18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8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ht="18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8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8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ht="18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ht="18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8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ht="18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8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8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18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ht="18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8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ht="18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8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8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18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18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8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ht="18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18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8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 ht="18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 ht="18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18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12" ht="18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ht="18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</sheetData>
  <sheetProtection password="CDF6" sheet="1" objects="1" scenarios="1"/>
  <mergeCells count="6">
    <mergeCell ref="A24:L24"/>
    <mergeCell ref="A25:L25"/>
    <mergeCell ref="J4:K4"/>
    <mergeCell ref="A21:L21"/>
    <mergeCell ref="A22:L22"/>
    <mergeCell ref="A23:L23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9"/>
  <sheetViews>
    <sheetView zoomScale="60" zoomScaleNormal="60" zoomScaleSheetLayoutView="50" zoomScalePageLayoutView="0" workbookViewId="0" topLeftCell="A1">
      <selection activeCell="E12" sqref="E12"/>
    </sheetView>
  </sheetViews>
  <sheetFormatPr defaultColWidth="9.8515625" defaultRowHeight="12.75"/>
  <cols>
    <col min="1" max="1" width="35.8515625" style="65" customWidth="1"/>
    <col min="2" max="2" width="17.8515625" style="65" customWidth="1"/>
    <col min="3" max="3" width="16.140625" style="65" customWidth="1"/>
    <col min="4" max="5" width="16.140625" style="65" bestFit="1" customWidth="1"/>
    <col min="6" max="6" width="16.28125" style="65" bestFit="1" customWidth="1"/>
    <col min="7" max="8" width="16.140625" style="65" bestFit="1" customWidth="1"/>
    <col min="9" max="9" width="16.140625" style="65" customWidth="1"/>
    <col min="10" max="12" width="16.140625" style="65" bestFit="1" customWidth="1"/>
    <col min="13" max="13" width="12.28125" style="62" bestFit="1" customWidth="1"/>
    <col min="14" max="96" width="9.8515625" style="62" customWidth="1"/>
    <col min="97" max="16384" width="9.8515625" style="63" customWidth="1"/>
  </cols>
  <sheetData>
    <row r="1" spans="1:12" ht="18.75" thickBot="1">
      <c r="A1" s="70"/>
      <c r="B1" s="64"/>
      <c r="C1" s="64"/>
      <c r="D1" s="71"/>
      <c r="E1" s="64"/>
      <c r="F1" s="64"/>
      <c r="G1" s="64"/>
      <c r="H1" s="64"/>
      <c r="I1" s="64"/>
      <c r="J1" s="64"/>
      <c r="K1" s="64"/>
      <c r="L1" s="64"/>
    </row>
    <row r="2" spans="1:12" ht="24" customHeight="1">
      <c r="A2" s="2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8.75" thickBo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ht="36" customHeight="1">
      <c r="A4" s="10" t="s">
        <v>1</v>
      </c>
      <c r="B4" s="11" t="s">
        <v>33</v>
      </c>
      <c r="C4" s="11" t="s">
        <v>26</v>
      </c>
      <c r="D4" s="11" t="s">
        <v>2</v>
      </c>
      <c r="E4" s="11" t="s">
        <v>3</v>
      </c>
      <c r="F4" s="12" t="s">
        <v>4</v>
      </c>
      <c r="G4" s="11" t="s">
        <v>34</v>
      </c>
      <c r="H4" s="12" t="s">
        <v>5</v>
      </c>
      <c r="I4" s="13" t="s">
        <v>39</v>
      </c>
      <c r="J4" s="79" t="s">
        <v>36</v>
      </c>
      <c r="K4" s="80"/>
      <c r="L4" s="14" t="s">
        <v>6</v>
      </c>
    </row>
    <row r="5" spans="1:12" ht="25.5" customHeight="1">
      <c r="A5" s="15"/>
      <c r="B5" s="16">
        <v>38596</v>
      </c>
      <c r="C5" s="16">
        <f aca="true" t="shared" si="0" ref="C5:I5">+B5</f>
        <v>38596</v>
      </c>
      <c r="D5" s="16">
        <f t="shared" si="0"/>
        <v>38596</v>
      </c>
      <c r="E5" s="16">
        <f t="shared" si="0"/>
        <v>38596</v>
      </c>
      <c r="F5" s="16">
        <f t="shared" si="0"/>
        <v>38596</v>
      </c>
      <c r="G5" s="16">
        <f t="shared" si="0"/>
        <v>38596</v>
      </c>
      <c r="H5" s="16">
        <f t="shared" si="0"/>
        <v>38596</v>
      </c>
      <c r="I5" s="16">
        <f t="shared" si="0"/>
        <v>38596</v>
      </c>
      <c r="J5" s="16">
        <f>+H5</f>
        <v>38596</v>
      </c>
      <c r="K5" s="16">
        <f>+J5</f>
        <v>38596</v>
      </c>
      <c r="L5" s="17">
        <f>+K5</f>
        <v>38596</v>
      </c>
    </row>
    <row r="6" spans="1:12" ht="25.5" customHeight="1">
      <c r="A6" s="15"/>
      <c r="B6" s="18"/>
      <c r="C6" s="19"/>
      <c r="D6" s="20" t="s">
        <v>7</v>
      </c>
      <c r="E6" s="20"/>
      <c r="F6" s="20" t="s">
        <v>7</v>
      </c>
      <c r="G6" s="21" t="s">
        <v>7</v>
      </c>
      <c r="H6" s="21" t="s">
        <v>7</v>
      </c>
      <c r="I6" s="21" t="s">
        <v>8</v>
      </c>
      <c r="J6" s="21" t="s">
        <v>8</v>
      </c>
      <c r="K6" s="22" t="s">
        <v>27</v>
      </c>
      <c r="L6" s="23" t="s">
        <v>28</v>
      </c>
    </row>
    <row r="7" spans="1:13" ht="33" customHeight="1">
      <c r="A7" s="24" t="s">
        <v>9</v>
      </c>
      <c r="B7" s="52">
        <v>2635.7</v>
      </c>
      <c r="C7" s="52">
        <v>3689.19</v>
      </c>
      <c r="D7" s="52">
        <v>2207.17</v>
      </c>
      <c r="E7" s="52">
        <f>+D7</f>
        <v>2207.17</v>
      </c>
      <c r="F7" s="25">
        <v>5017.44</v>
      </c>
      <c r="G7" s="25">
        <f>C7</f>
        <v>3689.19</v>
      </c>
      <c r="H7" s="25">
        <v>5915.43</v>
      </c>
      <c r="I7" s="25">
        <f>+J13</f>
        <v>2445.6048</v>
      </c>
      <c r="J7" s="25">
        <v>2108.28</v>
      </c>
      <c r="K7" s="25">
        <f>+J7*1.01</f>
        <v>2129.3628000000003</v>
      </c>
      <c r="L7" s="26">
        <v>1472.95</v>
      </c>
      <c r="M7" s="72"/>
    </row>
    <row r="8" spans="1:13" ht="33" customHeight="1">
      <c r="A8" s="24" t="s">
        <v>35</v>
      </c>
      <c r="B8" s="28">
        <v>3.5</v>
      </c>
      <c r="C8" s="27">
        <v>3.5</v>
      </c>
      <c r="D8" s="27">
        <v>3.5</v>
      </c>
      <c r="E8" s="27">
        <f>+D8</f>
        <v>3.5</v>
      </c>
      <c r="F8" s="28"/>
      <c r="G8" s="28"/>
      <c r="H8" s="29"/>
      <c r="I8" s="29"/>
      <c r="J8" s="29"/>
      <c r="K8" s="29"/>
      <c r="L8" s="30"/>
      <c r="M8" s="72"/>
    </row>
    <row r="9" spans="1:13" ht="33" customHeight="1">
      <c r="A9" s="24" t="s">
        <v>10</v>
      </c>
      <c r="B9" s="31" t="s">
        <v>11</v>
      </c>
      <c r="C9" s="32" t="s">
        <v>11</v>
      </c>
      <c r="D9" s="31" t="s">
        <v>11</v>
      </c>
      <c r="E9" s="32" t="s">
        <v>11</v>
      </c>
      <c r="F9" s="33" t="s">
        <v>11</v>
      </c>
      <c r="G9" s="32" t="s">
        <v>11</v>
      </c>
      <c r="H9" s="34"/>
      <c r="I9" s="34"/>
      <c r="J9" s="34"/>
      <c r="K9" s="34"/>
      <c r="L9" s="26">
        <v>119.53</v>
      </c>
      <c r="M9" s="72"/>
    </row>
    <row r="10" spans="1:13" ht="33" customHeight="1">
      <c r="A10" s="24" t="s">
        <v>12</v>
      </c>
      <c r="B10" s="73"/>
      <c r="C10" s="35" t="s">
        <v>7</v>
      </c>
      <c r="D10" s="34" t="s">
        <v>7</v>
      </c>
      <c r="E10" s="35"/>
      <c r="F10" s="36" t="s">
        <v>7</v>
      </c>
      <c r="G10" s="37" t="s">
        <v>7</v>
      </c>
      <c r="H10" s="36" t="s">
        <v>7</v>
      </c>
      <c r="I10" s="36" t="s">
        <v>7</v>
      </c>
      <c r="J10" s="38"/>
      <c r="K10" s="36" t="s">
        <v>7</v>
      </c>
      <c r="L10" s="26">
        <v>116.09</v>
      </c>
      <c r="M10" s="72"/>
    </row>
    <row r="11" spans="1:12" ht="33" customHeight="1">
      <c r="A11" s="24" t="s">
        <v>13</v>
      </c>
      <c r="B11" s="52">
        <f>594.18*1.05</f>
        <v>623.889</v>
      </c>
      <c r="C11" s="25">
        <f>683.31*1.05</f>
        <v>717.4755</v>
      </c>
      <c r="D11" s="25">
        <f>393.81*1.05</f>
        <v>413.50050000000005</v>
      </c>
      <c r="E11" s="25">
        <f>393.81*1.05</f>
        <v>413.50050000000005</v>
      </c>
      <c r="F11" s="36" t="s">
        <v>7</v>
      </c>
      <c r="G11" s="37"/>
      <c r="H11" s="36"/>
      <c r="I11" s="36" t="s">
        <v>7</v>
      </c>
      <c r="J11" s="36" t="s">
        <v>7</v>
      </c>
      <c r="K11" s="36" t="s">
        <v>7</v>
      </c>
      <c r="L11" s="39" t="s">
        <v>7</v>
      </c>
    </row>
    <row r="12" spans="1:12" ht="33" customHeight="1">
      <c r="A12" s="24" t="s">
        <v>14</v>
      </c>
      <c r="B12" s="52">
        <f aca="true" t="shared" si="1" ref="B12:H12">+B7*0.16</f>
        <v>421.712</v>
      </c>
      <c r="C12" s="25">
        <f t="shared" si="1"/>
        <v>590.2704</v>
      </c>
      <c r="D12" s="25">
        <f t="shared" si="1"/>
        <v>353.1472</v>
      </c>
      <c r="E12" s="25">
        <f t="shared" si="1"/>
        <v>353.1472</v>
      </c>
      <c r="F12" s="25">
        <f t="shared" si="1"/>
        <v>802.7904</v>
      </c>
      <c r="G12" s="25">
        <f t="shared" si="1"/>
        <v>590.2704</v>
      </c>
      <c r="H12" s="25">
        <f t="shared" si="1"/>
        <v>946.4688000000001</v>
      </c>
      <c r="I12" s="25">
        <f>+I7*0.1</f>
        <v>244.56048</v>
      </c>
      <c r="J12" s="25">
        <f>+J7*0.16</f>
        <v>337.32480000000004</v>
      </c>
      <c r="K12" s="25">
        <f>+K7*0.16</f>
        <v>340.6980480000001</v>
      </c>
      <c r="L12" s="39"/>
    </row>
    <row r="13" spans="1:12" ht="33" customHeight="1">
      <c r="A13" s="24" t="s">
        <v>15</v>
      </c>
      <c r="B13" s="40" t="s">
        <v>16</v>
      </c>
      <c r="C13" s="41" t="s">
        <v>16</v>
      </c>
      <c r="D13" s="40" t="s">
        <v>16</v>
      </c>
      <c r="E13" s="41" t="s">
        <v>16</v>
      </c>
      <c r="F13" s="42" t="s">
        <v>16</v>
      </c>
      <c r="G13" s="41" t="s">
        <v>16</v>
      </c>
      <c r="H13" s="25">
        <f>SUM(H7:H12)</f>
        <v>6861.898800000001</v>
      </c>
      <c r="I13" s="25">
        <f>SUM(I7:I12)</f>
        <v>2690.16528</v>
      </c>
      <c r="J13" s="25">
        <f>SUM(J7:J12)</f>
        <v>2445.6048</v>
      </c>
      <c r="K13" s="25">
        <f>SUM(K7:K12)</f>
        <v>2470.0608480000005</v>
      </c>
      <c r="L13" s="26">
        <f>SUM(L7:L12)</f>
        <v>1708.57</v>
      </c>
    </row>
    <row r="14" spans="1:12" ht="33" customHeight="1">
      <c r="A14" s="24" t="s">
        <v>17</v>
      </c>
      <c r="B14" s="74">
        <f>2306.97*0.085</f>
        <v>196.09244999999999</v>
      </c>
      <c r="C14" s="25"/>
      <c r="D14" s="74">
        <f>2306.97*0.08</f>
        <v>184.55759999999998</v>
      </c>
      <c r="E14" s="43">
        <f>+D14</f>
        <v>184.55759999999998</v>
      </c>
      <c r="F14" s="34"/>
      <c r="G14" s="35" t="s">
        <v>7</v>
      </c>
      <c r="H14" s="34"/>
      <c r="I14" s="36"/>
      <c r="J14" s="36" t="s">
        <v>7</v>
      </c>
      <c r="K14" s="36" t="s">
        <v>7</v>
      </c>
      <c r="L14" s="44"/>
    </row>
    <row r="15" spans="1:12" ht="33" customHeight="1">
      <c r="A15" s="24" t="s">
        <v>18</v>
      </c>
      <c r="B15" s="45" t="s">
        <v>16</v>
      </c>
      <c r="C15" s="46" t="s">
        <v>20</v>
      </c>
      <c r="D15" s="45" t="s">
        <v>16</v>
      </c>
      <c r="E15" s="46" t="s">
        <v>16</v>
      </c>
      <c r="F15" s="47"/>
      <c r="G15" s="47"/>
      <c r="H15" s="47"/>
      <c r="I15" s="47"/>
      <c r="J15" s="47"/>
      <c r="K15" s="47"/>
      <c r="L15" s="44"/>
    </row>
    <row r="16" spans="1:12" ht="33" customHeight="1">
      <c r="A16" s="24" t="s">
        <v>19</v>
      </c>
      <c r="B16" s="74">
        <f>2306.97*0.125</f>
        <v>288.37125</v>
      </c>
      <c r="C16" s="25"/>
      <c r="D16" s="74">
        <f>2306.97*0.12</f>
        <v>276.83639999999997</v>
      </c>
      <c r="E16" s="46" t="s">
        <v>29</v>
      </c>
      <c r="F16" s="34" t="s">
        <v>7</v>
      </c>
      <c r="G16" s="34" t="s">
        <v>7</v>
      </c>
      <c r="H16" s="34"/>
      <c r="I16" s="36" t="s">
        <v>7</v>
      </c>
      <c r="J16" s="36" t="s">
        <v>7</v>
      </c>
      <c r="K16" s="36" t="s">
        <v>7</v>
      </c>
      <c r="L16" s="44" t="s">
        <v>7</v>
      </c>
    </row>
    <row r="17" spans="1:12" ht="33" customHeight="1">
      <c r="A17" s="24" t="s">
        <v>21</v>
      </c>
      <c r="B17" s="52">
        <v>16.57</v>
      </c>
      <c r="C17" s="25"/>
      <c r="D17" s="25"/>
      <c r="E17" s="48"/>
      <c r="F17" s="49" t="s">
        <v>7</v>
      </c>
      <c r="G17" s="49" t="s">
        <v>7</v>
      </c>
      <c r="H17" s="49" t="s">
        <v>7</v>
      </c>
      <c r="I17" s="50" t="s">
        <v>7</v>
      </c>
      <c r="J17" s="50"/>
      <c r="K17" s="50" t="s">
        <v>7</v>
      </c>
      <c r="L17" s="51" t="s">
        <v>7</v>
      </c>
    </row>
    <row r="18" spans="1:12" ht="33" customHeight="1">
      <c r="A18" s="24" t="s">
        <v>22</v>
      </c>
      <c r="B18" s="74">
        <f>2306.97*0.005</f>
        <v>11.534849999999999</v>
      </c>
      <c r="C18" s="25"/>
      <c r="D18" s="74">
        <f>2306.97*0.005</f>
        <v>11.534849999999999</v>
      </c>
      <c r="E18" s="48" t="s">
        <v>29</v>
      </c>
      <c r="F18" s="49"/>
      <c r="G18" s="49" t="s">
        <v>7</v>
      </c>
      <c r="H18" s="49" t="s">
        <v>7</v>
      </c>
      <c r="I18" s="50" t="s">
        <v>7</v>
      </c>
      <c r="J18" s="50" t="s">
        <v>7</v>
      </c>
      <c r="K18" s="50" t="s">
        <v>7</v>
      </c>
      <c r="L18" s="51" t="s">
        <v>7</v>
      </c>
    </row>
    <row r="19" spans="1:12" ht="33" customHeight="1">
      <c r="A19" s="24" t="s">
        <v>23</v>
      </c>
      <c r="B19" s="52">
        <f>4152.54*0.25</f>
        <v>1038.135</v>
      </c>
      <c r="C19" s="52">
        <f>5596.47*0.25</f>
        <v>1399.1175</v>
      </c>
      <c r="D19" s="52">
        <f>3427.96*0.06</f>
        <v>205.67759999999998</v>
      </c>
      <c r="E19" s="52">
        <f>+D19</f>
        <v>205.67759999999998</v>
      </c>
      <c r="F19" s="53"/>
      <c r="G19" s="49" t="s">
        <v>7</v>
      </c>
      <c r="H19" s="49" t="s">
        <v>7</v>
      </c>
      <c r="I19" s="50" t="s">
        <v>7</v>
      </c>
      <c r="J19" s="50" t="s">
        <v>7</v>
      </c>
      <c r="K19" s="50" t="s">
        <v>7</v>
      </c>
      <c r="L19" s="51" t="s">
        <v>7</v>
      </c>
    </row>
    <row r="20" spans="1:12" ht="33" customHeight="1" thickBot="1">
      <c r="A20" s="54" t="s">
        <v>24</v>
      </c>
      <c r="B20" s="75" t="s">
        <v>16</v>
      </c>
      <c r="C20" s="56" t="s">
        <v>16</v>
      </c>
      <c r="D20" s="55" t="s">
        <v>16</v>
      </c>
      <c r="E20" s="57" t="s">
        <v>29</v>
      </c>
      <c r="F20" s="58"/>
      <c r="G20" s="59" t="s">
        <v>7</v>
      </c>
      <c r="H20" s="59" t="s">
        <v>7</v>
      </c>
      <c r="I20" s="60" t="s">
        <v>7</v>
      </c>
      <c r="J20" s="60" t="s">
        <v>7</v>
      </c>
      <c r="K20" s="60" t="s">
        <v>7</v>
      </c>
      <c r="L20" s="61" t="s">
        <v>7</v>
      </c>
    </row>
    <row r="21" spans="1:12" ht="39.75" customHeight="1">
      <c r="A21" s="84" t="s">
        <v>46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16.5" customHeight="1">
      <c r="A22" s="82" t="s">
        <v>30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ht="16.5" customHeight="1">
      <c r="A23" s="82" t="s">
        <v>25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19.5" customHeight="1">
      <c r="A24" s="82" t="s">
        <v>31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ht="21.75" customHeight="1">
      <c r="A25" s="82" t="s">
        <v>32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18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8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ht="18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8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8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8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ht="18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8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ht="18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8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8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1:12" ht="18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ht="18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8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 ht="18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8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8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18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ht="18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8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1:12" ht="18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ht="18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1:12" ht="18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18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18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8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ht="18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18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8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 ht="18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 ht="18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18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1:12" ht="18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1:12" ht="18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</sheetData>
  <sheetProtection password="CC36" sheet="1" objects="1" scenarios="1"/>
  <mergeCells count="6">
    <mergeCell ref="A24:L24"/>
    <mergeCell ref="A25:L25"/>
    <mergeCell ref="J4:K4"/>
    <mergeCell ref="A21:L21"/>
    <mergeCell ref="A22:L22"/>
    <mergeCell ref="A23:L23"/>
  </mergeCells>
  <printOptions horizontalCentered="1" verticalCentered="1"/>
  <pageMargins left="0.1968503937007874" right="0.1968503937007874" top="0.1968503937007874" bottom="0.1968503937007874" header="0" footer="0"/>
  <pageSetup fitToHeight="5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e0992615</dc:creator>
  <cp:keywords/>
  <dc:description/>
  <cp:lastModifiedBy>everis</cp:lastModifiedBy>
  <cp:lastPrinted>2005-01-31T22:15:54Z</cp:lastPrinted>
  <dcterms:created xsi:type="dcterms:W3CDTF">2003-04-09T13:52:41Z</dcterms:created>
  <dcterms:modified xsi:type="dcterms:W3CDTF">2020-03-06T16:31:14Z</dcterms:modified>
  <cp:category/>
  <cp:version/>
  <cp:contentType/>
  <cp:contentStatus/>
</cp:coreProperties>
</file>