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defaultThemeVersion="124226"/>
  <mc:AlternateContent xmlns:mc="http://schemas.openxmlformats.org/markup-compatibility/2006">
    <mc:Choice Requires="x15">
      <x15ac:absPath xmlns:x15ac="http://schemas.microsoft.com/office/spreadsheetml/2010/11/ac" url="X:\COMBUSTIBLES\2022\01 2022 Enero\Precios 05 Enero 2022 - GCINI\"/>
    </mc:Choice>
  </mc:AlternateContent>
  <xr:revisionPtr revIDLastSave="0" documentId="13_ncr:1_{997344AB-CE4E-4CCA-8065-DB639FBDC932}" xr6:coauthVersionLast="47" xr6:coauthVersionMax="47" xr10:uidLastSave="{00000000-0000-0000-0000-000000000000}"/>
  <workbookProtection workbookAlgorithmName="SHA-512" workbookHashValue="pj+SV13ya6s0g8mhaCkZnvEpO5h6DHID9CAdco/SbLdWOutAPwaeso1s35gJNsJFF0+Qh01T5+SFBntKo2T3qA==" workbookSaltValue="RlATrC8KrklBDI+STzzjpA==" workbookSpinCount="100000" lockStructure="1"/>
  <bookViews>
    <workbookView xWindow="-110" yWindow="-110" windowWidth="19420" windowHeight="10420" tabRatio="900" firstSheet="5" activeTab="11"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DIESEL MARINO B3" sheetId="127" state="hidden"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7">#REF!</definedName>
    <definedName name="\A" localSheetId="4">#REF!</definedName>
    <definedName name="\A" localSheetId="9">#REF!</definedName>
    <definedName name="\A" localSheetId="10">#REF!</definedName>
    <definedName name="\A" localSheetId="5">#REF!</definedName>
    <definedName name="\A">#REF!</definedName>
    <definedName name="\L" localSheetId="7">#REF!</definedName>
    <definedName name="\L" localSheetId="4">#REF!</definedName>
    <definedName name="\L" localSheetId="9">#REF!</definedName>
    <definedName name="\L" localSheetId="10">#REF!</definedName>
    <definedName name="\L" localSheetId="5">#REF!</definedName>
    <definedName name="\L">#REF!</definedName>
    <definedName name="\P" localSheetId="7">#REF!</definedName>
    <definedName name="\P" localSheetId="4">#REF!</definedName>
    <definedName name="\P" localSheetId="9">#REF!</definedName>
    <definedName name="\P" localSheetId="10">#REF!</definedName>
    <definedName name="\P" localSheetId="5">#REF!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10">#REF!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10">#REF!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10">'DIESEL MARINO B3'!$C$25:$H$44</definedName>
    <definedName name="_xlnm.Print_Area" localSheetId="5">'GASOLINA CORRIENTE OXIGENADA'!$A$2:$D$25</definedName>
    <definedName name="_xlnm.Print_Area" localSheetId="11">GCINI!$A$1:$H$18</definedName>
    <definedName name="_xlnm.Print_Area" localSheetId="8">'SAN-ANDRES + GENERACION'!$B$1:$F$32</definedName>
    <definedName name="_xlnm.Print_Area" localSheetId="2">'TARIFAS DE TRANSPORTE'!$A$1:$C$34</definedName>
    <definedName name="base" localSheetId="9">#REF!</definedName>
    <definedName name="base" localSheetId="10">#REF!</definedName>
    <definedName name="base">#REF!</definedName>
    <definedName name="base_VaR" localSheetId="9">#REF!</definedName>
    <definedName name="base_VaR" localSheetId="10">#REF!</definedName>
    <definedName name="base_VaR">#REF!</definedName>
    <definedName name="CONTADO" localSheetId="9">#REF!</definedName>
    <definedName name="CONTADO" localSheetId="10">#REF!</definedName>
    <definedName name="CONTADO">#REF!</definedName>
    <definedName name="CREDITO" localSheetId="9">#REF!</definedName>
    <definedName name="CREDITO" localSheetId="10">#REF!</definedName>
    <definedName name="CREDITO">#REF!</definedName>
    <definedName name="DAT" localSheetId="7">#REF!</definedName>
    <definedName name="DAT" localSheetId="4">#REF!</definedName>
    <definedName name="DAT" localSheetId="9">#REF!</definedName>
    <definedName name="DAT" localSheetId="10">#REF!</definedName>
    <definedName name="DAT" localSheetId="5">#REF!</definedName>
    <definedName name="DAT">#REF!</definedName>
    <definedName name="E_03" localSheetId="9">#REF!</definedName>
    <definedName name="E_03" localSheetId="10">#REF!</definedName>
    <definedName name="E_03">#REF!</definedName>
    <definedName name="ERR" localSheetId="7">[1]TARIF2002!#REF!</definedName>
    <definedName name="ERR" localSheetId="9">[2]TARIF2002!#REF!</definedName>
    <definedName name="ERR" localSheetId="10">[2]TARIF2002!#REF!</definedName>
    <definedName name="ERR" localSheetId="5">[1]TARIF2002!#REF!</definedName>
    <definedName name="ERR">[2]TARIF2002!#REF!</definedName>
    <definedName name="ERROR" localSheetId="7">#REF!</definedName>
    <definedName name="ERROR" localSheetId="9">#REF!</definedName>
    <definedName name="ERROR" localSheetId="10">#REF!</definedName>
    <definedName name="ERROR" localSheetId="5">#REF!</definedName>
    <definedName name="ERROR">#REF!</definedName>
    <definedName name="ERROR1" localSheetId="7">#REF!</definedName>
    <definedName name="ERROR1" localSheetId="9">#REF!</definedName>
    <definedName name="ERROR1" localSheetId="10">#REF!</definedName>
    <definedName name="ERROR1" localSheetId="5">#REF!</definedName>
    <definedName name="ERROR1">#REF!</definedName>
    <definedName name="ERROR2" localSheetId="7">#REF!</definedName>
    <definedName name="ERROR2" localSheetId="9">#REF!</definedName>
    <definedName name="ERROR2" localSheetId="10">#REF!</definedName>
    <definedName name="ERROR2" localSheetId="5">#REF!</definedName>
    <definedName name="ERROR2">#REF!</definedName>
    <definedName name="ERROR3" localSheetId="7">[1]TARIF2002!#REF!</definedName>
    <definedName name="ERROR3" localSheetId="9">[2]TARIF2002!#REF!</definedName>
    <definedName name="ERROR3" localSheetId="10">[2]TARIF2002!#REF!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10">[2]TARIF2002!#REF!</definedName>
    <definedName name="ERROR5" localSheetId="5">[1]TARIF2002!#REF!</definedName>
    <definedName name="ERROR5">[2]TARIF2002!#REF!</definedName>
    <definedName name="j" localSheetId="7">#REF!</definedName>
    <definedName name="j" localSheetId="9">#REF!</definedName>
    <definedName name="j" localSheetId="10">#REF!</definedName>
    <definedName name="j" localSheetId="5">#REF!</definedName>
    <definedName name="j">#REF!</definedName>
    <definedName name="JA" localSheetId="9">#REF!</definedName>
    <definedName name="JA" localSheetId="10">#REF!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10">#REF!</definedName>
    <definedName name="MES" localSheetId="5">#REF!</definedName>
    <definedName name="MES">#REF!</definedName>
    <definedName name="Q" localSheetId="7">[5]TARIF2002!#REF!</definedName>
    <definedName name="Q" localSheetId="9">[6]TARIF2002!#REF!</definedName>
    <definedName name="Q" localSheetId="10">[6]TARIF2002!#REF!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10">[2]TARIF2002!#REF!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10">[2]TARIF2002!#REF!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10">[2]TARIF2002!#REF!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10">[2]TARIF2002!#REF!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10">[2]TARIF2002!#REF!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10">[2]TARIF2002!#REF!</definedName>
    <definedName name="QN_QI" localSheetId="5">[7]TARIF2002!#REF!</definedName>
    <definedName name="QN_QI">[2]TARIF2002!#REF!</definedName>
    <definedName name="QNS" localSheetId="7">[5]TARIF2002!#REF!</definedName>
    <definedName name="QNS" localSheetId="9">[6]TARIF2002!#REF!</definedName>
    <definedName name="QNS" localSheetId="10">[6]TARIF2002!#REF!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10">#REF!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10">#REF!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10">#REF!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10">[2]TARIF2002!#REF!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10">[2]TARIF2002!#REF!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10">#REF!</definedName>
    <definedName name="TITU" localSheetId="5">#REF!</definedName>
    <definedName name="TITU">#REF!</definedName>
    <definedName name="TOT" localSheetId="7">#REF!</definedName>
    <definedName name="TOT" localSheetId="4">#REF!</definedName>
    <definedName name="TOT" localSheetId="9">#REF!</definedName>
    <definedName name="TOT" localSheetId="10">#REF!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 i="95" l="1"/>
  <c r="E10" i="95"/>
  <c r="E54" i="121" l="1"/>
  <c r="H12" i="4"/>
  <c r="H10" i="4"/>
  <c r="H8" i="4"/>
  <c r="H9" i="95" l="1"/>
  <c r="H8" i="95"/>
  <c r="E8" i="95"/>
  <c r="I4" i="95"/>
  <c r="H7" i="4"/>
  <c r="S106" i="122"/>
  <c r="B8" i="1" s="1"/>
  <c r="F9" i="46"/>
  <c r="R106" i="122"/>
  <c r="F53" i="127"/>
  <c r="E56" i="127"/>
  <c r="E54" i="127"/>
  <c r="D56" i="127"/>
  <c r="D54" i="127"/>
  <c r="G38" i="127"/>
  <c r="G37" i="127"/>
  <c r="G33" i="127"/>
  <c r="G31" i="127"/>
  <c r="G34" i="127"/>
  <c r="E58" i="127"/>
  <c r="F58" i="127" s="1"/>
  <c r="E57" i="127"/>
  <c r="F57" i="127" s="1"/>
  <c r="D55" i="127"/>
  <c r="E55" i="127" s="1"/>
  <c r="F55" i="127" s="1"/>
  <c r="D40" i="127"/>
  <c r="D62" i="127" s="1"/>
  <c r="E38" i="127"/>
  <c r="F38" i="127" s="1"/>
  <c r="E37" i="127"/>
  <c r="F37" i="127" s="1"/>
  <c r="H34" i="127"/>
  <c r="D31" i="127"/>
  <c r="D30" i="127"/>
  <c r="E30" i="127" s="1"/>
  <c r="F29" i="127"/>
  <c r="E29" i="127"/>
  <c r="D29" i="127"/>
  <c r="D13" i="127"/>
  <c r="G11" i="127"/>
  <c r="H10" i="127"/>
  <c r="D10" i="127"/>
  <c r="D34" i="127" s="1"/>
  <c r="F9" i="127"/>
  <c r="G9" i="127" s="1"/>
  <c r="E9" i="127"/>
  <c r="H9" i="127" s="1"/>
  <c r="D9" i="127"/>
  <c r="D33" i="127" s="1"/>
  <c r="C9" i="127"/>
  <c r="C33" i="127" s="1"/>
  <c r="C56" i="127" s="1"/>
  <c r="E8" i="127"/>
  <c r="F8" i="127" s="1"/>
  <c r="G8" i="127" s="1"/>
  <c r="H8" i="127" s="1"/>
  <c r="D8" i="127"/>
  <c r="C8" i="127"/>
  <c r="C32" i="127" s="1"/>
  <c r="C55" i="127" s="1"/>
  <c r="E7" i="127"/>
  <c r="H7" i="127" s="1"/>
  <c r="D7" i="127"/>
  <c r="C7" i="127"/>
  <c r="C31" i="127" s="1"/>
  <c r="C54" i="127" s="1"/>
  <c r="D6" i="127"/>
  <c r="E6" i="127" s="1"/>
  <c r="D75" i="127" s="1"/>
  <c r="C4" i="127"/>
  <c r="C28" i="127" s="1"/>
  <c r="C51" i="127" s="1"/>
  <c r="G18" i="4"/>
  <c r="G17" i="4"/>
  <c r="G16" i="4"/>
  <c r="G14" i="4"/>
  <c r="G12" i="4"/>
  <c r="G9" i="4"/>
  <c r="F9" i="4"/>
  <c r="F9" i="95"/>
  <c r="R51" i="122"/>
  <c r="R53" i="122"/>
  <c r="R52" i="122"/>
  <c r="R43" i="122"/>
  <c r="R42" i="122"/>
  <c r="R41" i="122"/>
  <c r="R40" i="122"/>
  <c r="R39" i="122"/>
  <c r="R38" i="122"/>
  <c r="E8" i="4"/>
  <c r="D13" i="116"/>
  <c r="D11" i="116"/>
  <c r="G8" i="4" l="1"/>
  <c r="F54" i="127"/>
  <c r="D12" i="127"/>
  <c r="E10" i="127"/>
  <c r="F10" i="127" s="1"/>
  <c r="E33" i="127"/>
  <c r="F56" i="127" s="1"/>
  <c r="F33" i="127"/>
  <c r="H33" i="127" s="1"/>
  <c r="E34" i="127"/>
  <c r="F34" i="127" s="1"/>
  <c r="D36" i="127"/>
  <c r="D39" i="127" s="1"/>
  <c r="H37" i="127"/>
  <c r="H38" i="127"/>
  <c r="E75" i="127"/>
  <c r="F75" i="127" s="1"/>
  <c r="L75" i="127" s="1"/>
  <c r="O75" i="127"/>
  <c r="D73" i="127"/>
  <c r="E76" i="127"/>
  <c r="F6" i="127"/>
  <c r="G6" i="127" s="1"/>
  <c r="E74" i="127" s="1"/>
  <c r="E12" i="127"/>
  <c r="F30" i="127"/>
  <c r="F7" i="127"/>
  <c r="G7" i="127" s="1"/>
  <c r="E31" i="127"/>
  <c r="F31" i="127" s="1"/>
  <c r="D77" i="127"/>
  <c r="F53" i="121"/>
  <c r="E76" i="121" s="1"/>
  <c r="E77" i="127" l="1"/>
  <c r="G30" i="127"/>
  <c r="G36" i="127" s="1"/>
  <c r="G39" i="127" s="1"/>
  <c r="F60" i="127"/>
  <c r="F61" i="127" s="1"/>
  <c r="H31" i="127"/>
  <c r="E36" i="127"/>
  <c r="E39" i="127" s="1"/>
  <c r="F77" i="127"/>
  <c r="L77" i="127" s="1"/>
  <c r="H30" i="127"/>
  <c r="H36" i="127" s="1"/>
  <c r="H39" i="127" s="1"/>
  <c r="F36" i="127"/>
  <c r="F39" i="127" s="1"/>
  <c r="G12" i="127"/>
  <c r="F12" i="127"/>
  <c r="H6" i="127"/>
  <c r="E73" i="127"/>
  <c r="F73" i="127" s="1"/>
  <c r="L73" i="127" s="1"/>
  <c r="E11" i="95"/>
  <c r="O13" i="95"/>
  <c r="O11" i="95"/>
  <c r="E9" i="95"/>
  <c r="E13" i="46"/>
  <c r="E11" i="46"/>
  <c r="E9" i="46"/>
  <c r="H12" i="127" l="1"/>
  <c r="A2" i="1"/>
  <c r="C7" i="46"/>
  <c r="F8" i="46" s="1"/>
  <c r="H7" i="116"/>
  <c r="Q13" i="95"/>
  <c r="H23" i="95"/>
  <c r="H13" i="95"/>
  <c r="H14" i="4" s="1"/>
  <c r="H17" i="95"/>
  <c r="H16" i="95"/>
  <c r="H15" i="95"/>
  <c r="H12" i="95"/>
  <c r="H11" i="95"/>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7" i="70"/>
  <c r="I9" i="70" s="1"/>
  <c r="E8" i="70" l="1"/>
  <c r="J7" i="70"/>
  <c r="J9" i="70" s="1"/>
  <c r="H8" i="70" l="1"/>
  <c r="H9" i="70" s="1"/>
  <c r="E9" i="70"/>
  <c r="G9" i="95" l="1"/>
  <c r="E13" i="1" l="1"/>
  <c r="C13" i="1"/>
  <c r="D13" i="1" s="1"/>
  <c r="B13" i="1"/>
  <c r="C27" i="106" l="1"/>
  <c r="Q43" i="122"/>
  <c r="C33" i="106" s="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s="1"/>
  <c r="I13" i="70" l="1"/>
  <c r="D7" i="1"/>
  <c r="D54" i="121" l="1"/>
  <c r="K77" i="114"/>
  <c r="K30" i="114"/>
  <c r="J11" i="4"/>
  <c r="K57" i="114" s="1"/>
  <c r="K31" i="114"/>
  <c r="B6" i="95" l="1"/>
  <c r="D6" i="1" l="1"/>
  <c r="A2" i="116" l="1"/>
  <c r="E13" i="116"/>
  <c r="F13" i="116" s="1"/>
  <c r="E7" i="116"/>
  <c r="F7" i="116" s="1"/>
  <c r="C13" i="116"/>
  <c r="C7" i="116"/>
  <c r="D7" i="116" s="1"/>
  <c r="B7" i="116"/>
  <c r="D8" i="4" l="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D12" i="4"/>
  <c r="C12" i="4"/>
  <c r="D11" i="4"/>
  <c r="C11" i="4"/>
  <c r="C10" i="4"/>
  <c r="E9" i="4"/>
  <c r="D9" i="4"/>
  <c r="G16" i="95"/>
  <c r="F16" i="95"/>
  <c r="D15" i="95"/>
  <c r="G15" i="95" s="1"/>
  <c r="A13" i="95"/>
  <c r="C12" i="95"/>
  <c r="D12" i="95" s="1"/>
  <c r="E12" i="95" s="1"/>
  <c r="A12" i="95"/>
  <c r="A11" i="95"/>
  <c r="K195" i="114"/>
  <c r="C7" i="95"/>
  <c r="F8" i="95" s="1"/>
  <c r="A2" i="95"/>
  <c r="K122" i="114"/>
  <c r="D22" i="46"/>
  <c r="D24" i="46" s="1"/>
  <c r="C17" i="46"/>
  <c r="D17" i="46" s="1"/>
  <c r="E17" i="46" s="1"/>
  <c r="C14" i="46"/>
  <c r="D14" i="46" s="1"/>
  <c r="E14" i="46" s="1"/>
  <c r="A13" i="46"/>
  <c r="C12" i="46"/>
  <c r="D12" i="46" s="1"/>
  <c r="E12" i="46" s="1"/>
  <c r="A12" i="46"/>
  <c r="C11" i="46"/>
  <c r="A11" i="46"/>
  <c r="A2" i="46"/>
  <c r="E20" i="1"/>
  <c r="E18" i="1"/>
  <c r="E15" i="1"/>
  <c r="C11" i="116"/>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12" i="4" l="1"/>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J12" i="4"/>
  <c r="J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H10" i="95" s="1"/>
  <c r="F14" i="70"/>
  <c r="H14" i="70" s="1"/>
  <c r="J14" i="70" s="1"/>
  <c r="F12" i="95"/>
  <c r="G12" i="95"/>
  <c r="F13" i="95"/>
  <c r="I11" i="70"/>
  <c r="D62" i="121" l="1"/>
  <c r="H16" i="70"/>
  <c r="G16" i="70"/>
  <c r="D17" i="95"/>
  <c r="F17" i="95" s="1"/>
  <c r="G17" i="95"/>
  <c r="D12" i="121"/>
  <c r="F14" i="4"/>
  <c r="K14" i="114"/>
  <c r="K40" i="114"/>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D74" i="127" l="1"/>
  <c r="F74" i="127" s="1"/>
  <c r="L74" i="127" s="1"/>
  <c r="D53" i="127"/>
  <c r="F6" i="1"/>
  <c r="G6" i="1" s="1"/>
  <c r="H6" i="1"/>
  <c r="I6" i="1" s="1"/>
  <c r="D36" i="121"/>
  <c r="D39" i="121" s="1"/>
  <c r="E12" i="121"/>
  <c r="D74" i="121"/>
  <c r="F74" i="121" s="1"/>
  <c r="L74" i="121" s="1"/>
  <c r="D53" i="121"/>
  <c r="D76" i="121" s="1"/>
  <c r="K54" i="114"/>
  <c r="K46" i="114"/>
  <c r="K38" i="114"/>
  <c r="C11" i="95"/>
  <c r="I31" i="106"/>
  <c r="E121" i="114"/>
  <c r="E113" i="114"/>
  <c r="E112" i="114"/>
  <c r="G14" i="95"/>
  <c r="D14" i="95"/>
  <c r="K48" i="114"/>
  <c r="K51" i="114"/>
  <c r="E7" i="4"/>
  <c r="E6" i="95"/>
  <c r="G6" i="95"/>
  <c r="F6" i="95"/>
  <c r="C6" i="95"/>
  <c r="F18" i="70"/>
  <c r="H18" i="70" s="1"/>
  <c r="I18" i="70"/>
  <c r="K188" i="114"/>
  <c r="K42" i="114"/>
  <c r="K80" i="114"/>
  <c r="K192" i="114"/>
  <c r="D76" i="127" l="1"/>
  <c r="D60" i="127"/>
  <c r="D61" i="127" s="1"/>
  <c r="E53" i="127"/>
  <c r="E60" i="127" s="1"/>
  <c r="E61" i="127" s="1"/>
  <c r="E14" i="95"/>
  <c r="H14" i="95"/>
  <c r="F7" i="4"/>
  <c r="G7" i="4"/>
  <c r="D6" i="95"/>
  <c r="H6" i="95"/>
  <c r="E36" i="121"/>
  <c r="E39" i="121" s="1"/>
  <c r="I11" i="121"/>
  <c r="F12" i="121"/>
  <c r="O76" i="121"/>
  <c r="E53" i="121"/>
  <c r="D60" i="121"/>
  <c r="D61" i="121" s="1"/>
  <c r="F11" i="95"/>
  <c r="K16" i="114"/>
  <c r="E10" i="70"/>
  <c r="G10" i="70" s="1"/>
  <c r="H10" i="70"/>
  <c r="F14" i="95"/>
  <c r="O76" i="127" l="1"/>
  <c r="F76" i="127"/>
  <c r="L76" i="127" s="1"/>
  <c r="K19" i="114"/>
  <c r="F36" i="121"/>
  <c r="F39" i="121" s="1"/>
  <c r="E60" i="121"/>
  <c r="E61" i="121" s="1"/>
  <c r="G36" i="121"/>
  <c r="G39" i="121" s="1"/>
  <c r="I12" i="121"/>
  <c r="F76" i="121"/>
  <c r="E13" i="70"/>
  <c r="C13" i="70"/>
  <c r="H13" i="70"/>
  <c r="C10" i="70"/>
  <c r="F10" i="4"/>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A9BEFB8E-A2EE-4A62-97A8-F2ABE544C8CD}">
      <text>
        <r>
          <rPr>
            <b/>
            <sz val="9"/>
            <color indexed="81"/>
            <rFont val="Tahoma"/>
            <family val="2"/>
          </rPr>
          <t>b2 Nacional</t>
        </r>
      </text>
    </comment>
    <comment ref="E75" authorId="1" shapeId="0" xr:uid="{A21F5AAC-167E-4287-AB85-2E20748A7BBF}">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<sst xmlns="http://schemas.openxmlformats.org/spreadsheetml/2006/main" count="1530" uniqueCount="717">
  <si>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</si>
  <si>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</si>
  <si>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</si>
  <si>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</si>
  <si>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</si>
  <si>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</si>
  <si>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</si>
  <si>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</si>
  <si>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</si>
  <si>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</si>
  <si>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</si>
  <si>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</si>
  <si>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</si>
  <si>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</si>
  <si>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</si>
  <si>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</si>
  <si>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</si>
  <si>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</si>
  <si>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</si>
  <si>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</si>
  <si>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</si>
  <si>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</si>
  <si>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</si>
  <si>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</si>
  <si>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</si>
  <si>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</si>
  <si>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</si>
  <si>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</si>
  <si>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</si>
  <si>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</si>
  <si>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</si>
  <si>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</si>
  <si>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</si>
  <si>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</si>
  <si>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</si>
  <si>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</si>
  <si>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</si>
  <si>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</si>
  <si>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</si>
  <si>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</si>
  <si>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</si>
  <si>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</si>
  <si>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</si>
  <si>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</si>
  <si>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</si>
  <si>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</si>
  <si>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</si>
  <si>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</si>
  <si>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</si>
  <si>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</si>
  <si>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</si>
  <si>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</si>
  <si>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</si>
  <si>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</si>
  <si>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</si>
  <si>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</si>
  <si>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</si>
  <si>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</si>
  <si>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</si>
  <si>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</si>
  <si>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</si>
  <si>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</si>
  <si>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</si>
  <si>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</si>
  <si>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</si>
  <si>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</si>
  <si>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</si>
  <si>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</si>
  <si>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</si>
  <si>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</si>
  <si>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</si>
  <si>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</si>
  <si>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</si>
  <si>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</si>
  <si>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</si>
  <si>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</si>
  <si>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</si>
  <si>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</si>
  <si>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</si>
  <si>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</si>
  <si>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</si>
  <si>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</si>
  <si>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</si>
  <si>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</si>
  <si>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</si>
  <si>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</si>
  <si>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</si>
  <si>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</si>
  <si>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</si>
  <si>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</si>
  <si>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</si>
  <si>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</si>
  <si>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</si>
  <si>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</si>
  <si>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</si>
  <si>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</si>
  <si>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</si>
  <si>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</si>
  <si>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</si>
  <si>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</si>
  <si>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</si>
  <si>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</si>
  <si>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</si>
  <si>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</si>
  <si>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</si>
  <si>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</si>
  <si>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</si>
  <si>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</si>
  <si>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</si>
  <si>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</si>
  <si>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</si>
  <si>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</si>
  <si>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</si>
  <si>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</si>
  <si>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</si>
  <si>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</si>
  <si>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</si>
  <si>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</si>
  <si>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</si>
  <si>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</si>
  <si>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</si>
  <si>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</si>
  <si>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</si>
  <si>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</si>
  <si>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</si>
  <si>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</si>
  <si>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</si>
  <si>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</si>
  <si>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</si>
  <si>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</si>
  <si>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</si>
  <si>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</si>
  <si>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</si>
  <si>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</si>
  <si>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</si>
  <si>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</si>
  <si>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</si>
  <si>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</si>
  <si>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</si>
  <si>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</si>
  <si>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</si>
  <si>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</si>
  <si>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</si>
  <si>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</si>
  <si>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</si>
  <si>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</si>
  <si>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</si>
  <si>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</si>
  <si>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</si>
  <si>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</si>
  <si>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</si>
  <si>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</si>
  <si>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</si>
  <si>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</si>
  <si>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</si>
  <si>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</si>
  <si>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</si>
  <si>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</si>
  <si>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</si>
  <si>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</si>
  <si>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</si>
  <si>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</si>
  <si>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</si>
  <si>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</si>
  <si>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</si>
  <si>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</si>
  <si>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</si>
  <si>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</si>
  <si>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</si>
  <si>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</si>
  <si>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</si>
  <si>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</si>
  <si>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</si>
  <si>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</si>
  <si>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</si>
  <si>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</si>
  <si>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</si>
  <si>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</si>
  <si>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</si>
  <si>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</si>
  <si>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</si>
  <si>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</si>
  <si>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</si>
  <si>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</si>
  <si>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</si>
  <si>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</si>
  <si>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</si>
  <si>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</si>
  <si>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</si>
  <si>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</si>
  <si>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</si>
  <si>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</si>
  <si>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</si>
  <si>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</si>
  <si>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</si>
  <si>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</si>
  <si>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</si>
  <si>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</si>
  <si>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</si>
  <si>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</si>
  <si>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</si>
  <si>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</si>
  <si>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</si>
  <si>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</si>
  <si>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</si>
  <si>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</si>
  <si>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</si>
  <si>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</si>
  <si>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</si>
  <si>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</si>
  <si>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</si>
  <si>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</si>
  <si>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</si>
  <si>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</si>
  <si>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</si>
  <si>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</si>
  <si>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</si>
  <si>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</si>
  <si>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</si>
  <si>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</si>
  <si>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</si>
  <si>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</si>
  <si>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</si>
  <si>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</si>
  <si>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</si>
  <si>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</si>
  <si>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</si>
  <si>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</si>
  <si>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</si>
  <si>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</si>
  <si>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</si>
  <si>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</si>
  <si>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</si>
  <si>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</si>
  <si>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</si>
  <si>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</si>
  <si>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</si>
  <si>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</si>
  <si>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</si>
  <si>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</si>
  <si>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</si>
  <si>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</si>
  <si>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</si>
  <si>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</si>
  <si>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</si>
  <si>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</si>
  <si>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</si>
  <si>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</si>
  <si>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</si>
  <si>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</si>
  <si>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</si>
  <si>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</si>
  <si>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</si>
  <si>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</si>
  <si>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</si>
  <si>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</si>
  <si>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</si>
  <si>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</si>
  <si>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</si>
  <si>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</si>
  <si>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</si>
  <si>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</si>
  <si>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</si>
  <si>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</si>
  <si>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</si>
  <si>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</si>
  <si>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</si>
  <si>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</si>
  <si>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</si>
  <si>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</si>
  <si>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</si>
  <si>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</si>
  <si>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</si>
  <si>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</si>
  <si>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</si>
  <si>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</si>
  <si>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</si>
  <si>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</si>
  <si>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</si>
  <si>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</si>
  <si>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</si>
  <si>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</si>
  <si>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</si>
  <si>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</si>
  <si>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</si>
  <si>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</si>
  <si>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</si>
  <si>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</si>
  <si>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</si>
  <si>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</si>
  <si>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</si>
  <si>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</si>
  <si>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</si>
  <si>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</si>
  <si>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</si>
  <si>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</si>
  <si>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</si>
  <si>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</si>
  <si>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</si>
  <si>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</si>
  <si>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</si>
  <si>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</si>
  <si>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</si>
  <si>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</si>
  <si>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</si>
  <si>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</si>
  <si>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</si>
  <si>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</si>
  <si>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</si>
  <si>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</si>
  <si>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</si>
  <si>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</si>
  <si>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</si>
  <si>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</si>
  <si>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</si>
  <si>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</si>
  <si>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</si>
  <si>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</si>
  <si>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</si>
  <si>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</si>
  <si>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</si>
  <si>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</si>
  <si>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</si>
  <si>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</si>
  <si>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</si>
  <si>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</si>
  <si>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</si>
  <si>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</si>
  <si>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</si>
  <si>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</si>
  <si>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</si>
  <si>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</si>
  <si>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</si>
  <si>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</si>
  <si>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</si>
  <si>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</si>
  <si>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</si>
  <si>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</si>
  <si>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</si>
  <si>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</si>
  <si>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</si>
  <si>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</si>
  <si>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</si>
  <si>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</si>
  <si>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</si>
  <si>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</si>
  <si>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</si>
  <si>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</si>
  <si>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</si>
  <si>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</si>
  <si>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</si>
  <si>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</si>
  <si>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</si>
  <si>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</si>
  <si>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</si>
  <si>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</si>
  <si>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</si>
  <si>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</si>
  <si>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</si>
  <si>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</si>
  <si>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</si>
  <si>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</si>
  <si>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</si>
  <si>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</si>
  <si>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</si>
  <si>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</si>
  <si>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</si>
  <si>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</si>
  <si>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</si>
  <si>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</si>
  <si>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</si>
  <si>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</si>
  <si>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</si>
  <si>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</si>
  <si>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</si>
  <si>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</si>
  <si>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</si>
  <si>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</si>
  <si>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</si>
  <si>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</si>
  <si>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</si>
  <si>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</si>
  <si>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</si>
  <si>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</si>
  <si>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</si>
  <si>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</si>
  <si>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</si>
  <si>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</si>
  <si>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</si>
  <si>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</si>
  <si>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</si>
  <si>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</si>
  <si>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</si>
  <si>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</si>
  <si>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</si>
  <si>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</si>
  <si>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</si>
  <si>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</si>
  <si>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</si>
  <si>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</si>
  <si>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</si>
  <si>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</si>
  <si>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</si>
  <si>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</si>
  <si>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</si>
  <si>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</si>
  <si>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</si>
  <si>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</si>
  <si>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</si>
  <si>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</si>
  <si>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</si>
  <si>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</si>
  <si>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</si>
  <si>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</si>
  <si>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</si>
  <si>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</si>
  <si>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</si>
  <si>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</si>
  <si>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</si>
  <si>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</si>
  <si>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</si>
  <si>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</si>
  <si>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</si>
  <si>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</si>
  <si>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</si>
  <si>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</si>
  <si>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</si>
  <si>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</si>
  <si>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</si>
  <si>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</si>
  <si>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</si>
  <si>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</si>
  <si>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</si>
  <si>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</si>
  <si>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</si>
  <si>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</si>
  <si>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</si>
  <si>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</si>
  <si>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</si>
  <si>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</si>
  <si>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</si>
  <si>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</si>
  <si>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</si>
  <si>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</si>
  <si>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</si>
  <si>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</si>
  <si>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</si>
  <si>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</si>
  <si>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</si>
  <si>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</si>
  <si>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</si>
  <si>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</si>
  <si>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</si>
  <si>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</si>
  <si>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</si>
  <si>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</si>
  <si>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</si>
  <si>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</si>
  <si>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</si>
  <si>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</si>
  <si>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</si>
  <si>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</si>
  <si>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</si>
  <si>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</si>
  <si>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</si>
  <si>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</si>
  <si>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</si>
  <si>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</si>
  <si>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</si>
  <si>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</si>
  <si>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</si>
  <si>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</si>
  <si>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</si>
  <si>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</si>
  <si>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</si>
  <si>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</si>
  <si>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</si>
  <si>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</si>
  <si>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</si>
  <si>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</si>
  <si>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</si>
  <si>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</si>
  <si>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</si>
  <si>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</si>
  <si>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</si>
  <si>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</si>
  <si>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</si>
  <si>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</si>
  <si>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</si>
  <si>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</si>
  <si>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</si>
  <si>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</si>
  <si>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</si>
  <si>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</si>
  <si>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</si>
  <si>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</si>
  <si>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</si>
  <si>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</si>
  <si>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</si>
  <si>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</si>
  <si>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</si>
  <si>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</si>
  <si>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</si>
  <si>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</si>
  <si>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</si>
  <si>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</si>
  <si>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</si>
  <si>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</si>
  <si>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</si>
  <si>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</si>
  <si>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</si>
  <si>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</si>
  <si>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</si>
  <si>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</si>
  <si>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</si>
  <si>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</si>
  <si>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</si>
  <si>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</si>
  <si>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</si>
  <si>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</si>
  <si>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</si>
  <si>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</si>
  <si>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</si>
  <si>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</si>
  <si>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</si>
  <si>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</si>
  <si>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</si>
  <si>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</si>
  <si>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</si>
  <si>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</si>
  <si>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</si>
  <si>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</si>
  <si>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</si>
  <si>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</si>
  <si>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</si>
  <si>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</si>
  <si>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</si>
  <si>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</si>
  <si>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</si>
  <si>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</si>
  <si>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</si>
  <si>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</si>
  <si>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</si>
  <si>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</si>
  <si>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</si>
  <si>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</si>
  <si>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</si>
  <si>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</si>
  <si>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</si>
  <si>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</si>
  <si>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</si>
  <si>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</si>
  <si>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</si>
  <si>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</si>
  <si>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</si>
  <si>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</si>
  <si>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</si>
  <si>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</si>
  <si>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</si>
  <si>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</si>
  <si>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</si>
  <si>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</si>
  <si>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</si>
  <si>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</si>
  <si>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</si>
  <si>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</si>
  <si>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</si>
  <si>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</si>
  <si>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</si>
  <si>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</si>
  <si>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</si>
  <si>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</si>
  <si>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</si>
  <si>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</si>
  <si>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</si>
  <si>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</si>
  <si>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</si>
  <si>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</si>
  <si>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</si>
  <si>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</si>
  <si>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</si>
  <si>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</si>
  <si>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</si>
  <si>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</si>
  <si>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</si>
  <si>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</si>
  <si>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</si>
  <si>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</si>
  <si>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</si>
  <si>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</si>
  <si>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</si>
  <si>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</si>
  <si>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</si>
  <si>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</si>
  <si>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</si>
  <si>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</si>
  <si>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</si>
  <si>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</si>
  <si>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</si>
  <si>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</si>
  <si>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</si>
  <si>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</si>
  <si>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</si>
  <si>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</si>
  <si>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</si>
  <si>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</si>
  <si>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</si>
  <si>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</si>
  <si>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</si>
  <si>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</si>
  <si>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</si>
  <si>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</si>
  <si>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</si>
  <si>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</si>
  <si>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</si>
  <si>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</si>
  <si>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</si>
  <si>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</si>
  <si>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</si>
  <si>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</si>
  <si>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</si>
  <si>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</si>
  <si>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</si>
  <si>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</si>
  <si>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</si>
  <si>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</si>
  <si>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</si>
  <si>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</si>
  <si>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</si>
  <si>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</si>
  <si>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</si>
  <si>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</si>
  <si>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</si>
  <si>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</si>
  <si>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</si>
  <si>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</si>
  <si>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</si>
  <si>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</si>
  <si>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Actualizada</t>
  </si>
  <si>
    <t>RESOLUCION 40420 de 2020</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</si>
  <si>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</si>
  <si>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</si>
  <si>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</si>
  <si>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</si>
  <si>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</si>
  <si>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</si>
  <si>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</si>
  <si>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</si>
  <si>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</si>
  <si>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</si>
  <si>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</si>
  <si>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</si>
  <si>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</si>
  <si>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</si>
  <si>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</si>
  <si>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</si>
  <si>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</si>
  <si>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</si>
  <si>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</si>
  <si>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</si>
  <si>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</si>
  <si>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</si>
  <si>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</si>
  <si>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</si>
  <si>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</si>
  <si>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</si>
  <si>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</si>
  <si>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</si>
  <si>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</si>
  <si>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</si>
  <si>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</si>
  <si>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</si>
  <si>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</si>
  <si>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</si>
  <si>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</si>
  <si>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</si>
  <si>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</si>
  <si>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</si>
  <si>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</si>
  <si>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</si>
  <si>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</si>
  <si>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</si>
  <si>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</si>
  <si>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</si>
  <si>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</si>
  <si>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</si>
  <si>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</si>
  <si>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</si>
  <si>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</si>
  <si>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</si>
  <si>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</si>
  <si>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</si>
  <si>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</si>
  <si>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</si>
  <si>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</si>
  <si>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QUE SE VENDE EL B2</t>
  </si>
  <si>
    <t>OK OK OK</t>
  </si>
  <si>
    <t>IP B10</t>
  </si>
  <si>
    <t>ACPM Base para Mezcla al 10% (2)</t>
  </si>
  <si>
    <t>Gasolina Extra Nacional/importado</t>
  </si>
  <si>
    <t>*</t>
  </si>
  <si>
    <t>Biodiesel B3</t>
  </si>
  <si>
    <t>B3</t>
  </si>
  <si>
    <t>B3  (con cupo y descuento)</t>
  </si>
  <si>
    <t>DIESEL MARINO DM3 CON CUPO CON DESCUENTO****</t>
  </si>
  <si>
    <t xml:space="preserve">DIESEL MARINO 3    </t>
  </si>
  <si>
    <t>DIESEL MARINO DM3 CON CUPO</t>
  </si>
  <si>
    <t xml:space="preserve">DIESEL MARINO DM3 CON CUPO Y DESCUENTO </t>
  </si>
  <si>
    <t>Calcular</t>
  </si>
  <si>
    <t>B3 PARA B10 NACIONAL</t>
  </si>
  <si>
    <t>B3 SIN DESTINO A MEZCLA (B/VENTURA)</t>
  </si>
  <si>
    <t>https://www.banrep.gov.co/es/junta-directiva-del-banco-republica-mantiene-meta-inflacion-3-para-2022</t>
  </si>
  <si>
    <t>A PARTIR DE ENERO 6%</t>
  </si>
  <si>
    <t>OJO</t>
  </si>
  <si>
    <t>01 DE ENERO 2022</t>
  </si>
  <si>
    <t>Biodiesel B11</t>
  </si>
  <si>
    <t>B11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</si>
</sst>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s>
  <fills count="4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2" fillId="0" borderId="0"/>
    <xf numFmtId="0" fontId="23" fillId="0" borderId="0"/>
    <xf numFmtId="0" fontId="22" fillId="0" borderId="0"/>
    <xf numFmtId="0" fontId="23" fillId="0" borderId="0"/>
    <xf numFmtId="0" fontId="24" fillId="0" borderId="0">
      <protection locked="0"/>
    </xf>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43" fontId="21" fillId="0" borderId="0" applyFont="0" applyFill="0" applyBorder="0" applyAlignment="0" applyProtection="0"/>
    <xf numFmtId="0" fontId="21" fillId="0" borderId="0" applyFont="0" applyFill="0" applyBorder="0" applyAlignment="0" applyProtection="0"/>
    <xf numFmtId="0" fontId="24" fillId="0" borderId="0">
      <protection locked="0"/>
    </xf>
    <xf numFmtId="37" fontId="26" fillId="0" borderId="0"/>
    <xf numFmtId="0" fontId="21" fillId="0" borderId="0"/>
    <xf numFmtId="0" fontId="21" fillId="0" borderId="0"/>
    <xf numFmtId="0" fontId="40" fillId="0" borderId="0"/>
    <xf numFmtId="166" fontId="31" fillId="0" borderId="0"/>
    <xf numFmtId="9" fontId="21" fillId="0" borderId="0" applyFont="0" applyFill="0" applyBorder="0" applyAlignment="0" applyProtection="0"/>
    <xf numFmtId="9" fontId="21" fillId="0" borderId="0" applyFont="0" applyFill="0" applyBorder="0" applyAlignment="0" applyProtection="0"/>
    <xf numFmtId="166" fontId="28" fillId="0" borderId="0">
      <alignment horizontal="left"/>
    </xf>
    <xf numFmtId="38" fontId="27" fillId="0" borderId="0"/>
    <xf numFmtId="0" fontId="24" fillId="0" borderId="1">
      <protection locked="0"/>
    </xf>
    <xf numFmtId="0" fontId="20"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7" fillId="0" borderId="0" applyFont="0" applyFill="0" applyBorder="0" applyAlignment="0" applyProtection="0"/>
  </cellStyleXfs>
  <cellXfs count="900">
    <xf numFmtId="0" fontId="0" fillId="0" borderId="0" xfId="0"/>
    <xf numFmtId="0" fontId="53" fillId="2" borderId="0" xfId="0" applyFont="1" applyFill="1" applyAlignment="1" applyProtection="1">
      <alignment vertical="center"/>
      <protection hidden="1"/>
    </xf>
    <xf numFmtId="0" fontId="32" fillId="2" borderId="0" xfId="0" applyFont="1" applyFill="1" applyAlignment="1" applyProtection="1">
      <alignment vertical="center"/>
      <protection hidden="1"/>
    </xf>
    <xf numFmtId="164" fontId="32" fillId="2" borderId="0" xfId="0" applyNumberFormat="1" applyFont="1" applyFill="1" applyAlignment="1" applyProtection="1">
      <alignment vertical="center"/>
      <protection hidden="1"/>
    </xf>
    <xf numFmtId="2" fontId="32" fillId="2" borderId="0" xfId="0" applyNumberFormat="1" applyFont="1" applyFill="1" applyAlignment="1" applyProtection="1">
      <alignment vertical="center"/>
      <protection hidden="1"/>
    </xf>
    <xf numFmtId="0" fontId="32" fillId="0" borderId="0" xfId="0" applyFont="1" applyBorder="1" applyAlignment="1" applyProtection="1">
      <alignment vertical="center"/>
      <protection hidden="1"/>
    </xf>
    <xf numFmtId="0" fontId="32" fillId="12" borderId="0" xfId="0" applyFont="1" applyFill="1" applyBorder="1" applyAlignment="1" applyProtection="1">
      <alignment vertical="center"/>
      <protection hidden="1"/>
    </xf>
    <xf numFmtId="0" fontId="33"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2" fillId="0" borderId="0" xfId="0" applyFont="1" applyAlignment="1" applyProtection="1">
      <alignment vertical="center"/>
      <protection hidden="1"/>
    </xf>
    <xf numFmtId="0" fontId="33" fillId="0" borderId="0" xfId="0" applyFont="1" applyBorder="1" applyAlignment="1" applyProtection="1">
      <alignment horizontal="left" vertical="center" wrapText="1"/>
      <protection hidden="1"/>
    </xf>
    <xf numFmtId="43" fontId="33" fillId="2" borderId="0" xfId="17" applyFont="1" applyFill="1" applyBorder="1" applyAlignment="1" applyProtection="1">
      <alignment vertical="center" wrapText="1"/>
      <protection hidden="1"/>
    </xf>
    <xf numFmtId="0" fontId="32" fillId="12" borderId="0" xfId="0" applyFont="1" applyFill="1" applyAlignment="1" applyProtection="1">
      <alignment vertical="center"/>
      <protection hidden="1"/>
    </xf>
    <xf numFmtId="0" fontId="29"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3" fillId="2" borderId="0" xfId="0" applyFont="1" applyFill="1" applyBorder="1" applyAlignment="1" applyProtection="1">
      <alignment horizontal="left" vertical="center" wrapText="1"/>
      <protection hidden="1"/>
    </xf>
    <xf numFmtId="43" fontId="33" fillId="2" borderId="0" xfId="17" applyNumberFormat="1" applyFont="1" applyFill="1" applyBorder="1" applyAlignment="1" applyProtection="1">
      <alignment vertical="center" wrapText="1"/>
      <protection hidden="1"/>
    </xf>
    <xf numFmtId="43" fontId="33"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3" fillId="0" borderId="0" xfId="0" applyFont="1" applyAlignment="1" applyProtection="1">
      <alignment horizontal="center" vertical="center"/>
      <protection hidden="1"/>
    </xf>
    <xf numFmtId="4" fontId="32" fillId="2" borderId="0" xfId="0" applyNumberFormat="1" applyFont="1" applyFill="1" applyBorder="1" applyAlignment="1" applyProtection="1">
      <alignment horizontal="right"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4" fontId="32" fillId="2" borderId="0" xfId="0" applyNumberFormat="1" applyFont="1" applyFill="1" applyAlignment="1" applyProtection="1">
      <alignment vertical="center"/>
      <protection hidden="1"/>
    </xf>
    <xf numFmtId="0" fontId="51" fillId="2" borderId="0" xfId="0" applyFont="1" applyFill="1" applyAlignment="1" applyProtection="1">
      <alignment horizontal="fill" vertical="center" wrapText="1"/>
      <protection hidden="1"/>
    </xf>
    <xf numFmtId="0" fontId="32"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39" fillId="0" borderId="0" xfId="0" quotePrefix="1" applyFont="1" applyFill="1" applyAlignment="1" applyProtection="1">
      <alignment horizontal="left" vertical="center"/>
      <protection hidden="1"/>
    </xf>
    <xf numFmtId="0" fontId="32"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2" fillId="0" borderId="0" xfId="0" applyFont="1" applyBorder="1" applyAlignment="1" applyProtection="1">
      <alignment horizontal="center" vertical="center"/>
      <protection hidden="1"/>
    </xf>
    <xf numFmtId="0" fontId="32" fillId="12" borderId="0" xfId="0" applyFont="1" applyFill="1" applyBorder="1" applyAlignment="1" applyProtection="1">
      <alignment horizontal="center" vertical="center"/>
      <protection hidden="1"/>
    </xf>
    <xf numFmtId="0" fontId="51" fillId="0" borderId="0" xfId="0" applyFont="1" applyFill="1" applyBorder="1" applyAlignment="1" applyProtection="1">
      <alignment vertical="center"/>
      <protection hidden="1"/>
    </xf>
    <xf numFmtId="0" fontId="52" fillId="5" borderId="31" xfId="0" applyFont="1" applyFill="1" applyBorder="1" applyAlignment="1" applyProtection="1">
      <alignment horizontal="center" vertical="center" wrapText="1"/>
      <protection hidden="1"/>
    </xf>
    <xf numFmtId="0" fontId="33" fillId="0" borderId="32" xfId="0" applyFont="1" applyBorder="1" applyAlignment="1" applyProtection="1">
      <alignment horizontal="left" vertical="center" wrapText="1"/>
      <protection hidden="1"/>
    </xf>
    <xf numFmtId="2" fontId="54" fillId="0" borderId="31" xfId="0"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vertical="center" wrapText="1"/>
      <protection hidden="1"/>
    </xf>
    <xf numFmtId="2" fontId="33" fillId="0" borderId="31" xfId="0" quotePrefix="1"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horizontal="right" vertical="center" wrapText="1"/>
      <protection hidden="1"/>
    </xf>
    <xf numFmtId="0" fontId="33" fillId="0" borderId="33" xfId="0" applyFont="1" applyBorder="1" applyAlignment="1" applyProtection="1">
      <alignment horizontal="left" vertical="center" wrapText="1"/>
      <protection hidden="1"/>
    </xf>
    <xf numFmtId="2" fontId="54" fillId="0" borderId="34" xfId="0" applyNumberFormat="1" applyFont="1" applyFill="1" applyBorder="1" applyAlignment="1" applyProtection="1">
      <alignment horizontal="right" vertical="center" wrapText="1"/>
      <protection hidden="1"/>
    </xf>
    <xf numFmtId="43" fontId="33" fillId="0" borderId="35" xfId="17" applyFont="1" applyFill="1" applyBorder="1" applyAlignment="1" applyProtection="1">
      <alignment vertical="center" wrapText="1"/>
      <protection hidden="1"/>
    </xf>
    <xf numFmtId="0" fontId="33" fillId="0" borderId="36" xfId="0" applyFont="1" applyBorder="1" applyAlignment="1" applyProtection="1">
      <alignment horizontal="left" vertical="center" wrapText="1"/>
      <protection hidden="1"/>
    </xf>
    <xf numFmtId="15" fontId="53" fillId="5" borderId="34" xfId="0" quotePrefix="1" applyNumberFormat="1" applyFont="1" applyFill="1" applyBorder="1" applyAlignment="1" applyProtection="1">
      <alignment horizontal="center" vertical="center" wrapText="1"/>
      <protection hidden="1"/>
    </xf>
    <xf numFmtId="15" fontId="53" fillId="5" borderId="37" xfId="0" quotePrefix="1" applyNumberFormat="1" applyFont="1" applyFill="1" applyBorder="1" applyAlignment="1" applyProtection="1">
      <alignment horizontal="center" vertical="center" wrapText="1"/>
      <protection hidden="1"/>
    </xf>
    <xf numFmtId="0" fontId="33" fillId="0" borderId="32" xfId="0" applyFont="1" applyFill="1" applyBorder="1" applyAlignment="1" applyProtection="1">
      <alignment horizontal="left" vertical="center" wrapText="1"/>
      <protection hidden="1"/>
    </xf>
    <xf numFmtId="43" fontId="33" fillId="0" borderId="35" xfId="17" applyFont="1" applyFill="1" applyBorder="1" applyAlignment="1" applyProtection="1">
      <alignment horizontal="right" vertical="center" wrapText="1"/>
      <protection hidden="1"/>
    </xf>
    <xf numFmtId="0" fontId="32" fillId="0" borderId="31" xfId="0" applyFont="1" applyFill="1" applyBorder="1" applyAlignment="1" applyProtection="1">
      <alignment vertical="center"/>
      <protection hidden="1"/>
    </xf>
    <xf numFmtId="0" fontId="33" fillId="0" borderId="33" xfId="0" applyFont="1" applyFill="1" applyBorder="1" applyAlignment="1" applyProtection="1">
      <alignment horizontal="left" vertical="center" wrapText="1"/>
      <protection hidden="1"/>
    </xf>
    <xf numFmtId="43" fontId="33" fillId="0" borderId="34" xfId="17" applyFont="1" applyFill="1" applyBorder="1" applyAlignment="1" applyProtection="1">
      <alignment horizontal="right" vertical="center" wrapText="1"/>
      <protection hidden="1"/>
    </xf>
    <xf numFmtId="43" fontId="33" fillId="0" borderId="37" xfId="17" applyFont="1" applyFill="1" applyBorder="1" applyAlignment="1" applyProtection="1">
      <alignment horizontal="right" vertical="center" wrapText="1"/>
      <protection hidden="1"/>
    </xf>
    <xf numFmtId="0" fontId="33" fillId="0" borderId="36" xfId="0" applyFont="1" applyFill="1" applyBorder="1" applyAlignment="1" applyProtection="1">
      <alignment horizontal="left" vertical="center" wrapText="1"/>
      <protection hidden="1"/>
    </xf>
    <xf numFmtId="0" fontId="32" fillId="0" borderId="0" xfId="0" applyFont="1" applyFill="1" applyAlignment="1" applyProtection="1">
      <alignment vertical="center"/>
      <protection hidden="1"/>
    </xf>
    <xf numFmtId="0" fontId="32" fillId="0" borderId="0" xfId="0" applyFont="1" applyFill="1" applyAlignment="1" applyProtection="1">
      <alignment horizontal="left" vertical="center" wrapText="1"/>
      <protection hidden="1"/>
    </xf>
    <xf numFmtId="0" fontId="58" fillId="5" borderId="39" xfId="0" applyFont="1" applyFill="1" applyBorder="1" applyAlignment="1" applyProtection="1">
      <alignment horizontal="center" vertical="center" wrapText="1"/>
      <protection hidden="1"/>
    </xf>
    <xf numFmtId="0" fontId="52" fillId="16" borderId="39" xfId="0" applyFont="1" applyFill="1" applyBorder="1" applyAlignment="1" applyProtection="1">
      <alignment horizontal="center" vertical="center" wrapText="1"/>
      <protection hidden="1"/>
    </xf>
    <xf numFmtId="9" fontId="53" fillId="5" borderId="39" xfId="0" quotePrefix="1" applyNumberFormat="1" applyFont="1" applyFill="1" applyBorder="1" applyAlignment="1" applyProtection="1">
      <alignment horizontal="center" vertical="center" wrapText="1"/>
      <protection hidden="1"/>
    </xf>
    <xf numFmtId="9" fontId="53" fillId="16" borderId="39" xfId="0" quotePrefix="1" applyNumberFormat="1" applyFont="1" applyFill="1" applyBorder="1" applyAlignment="1" applyProtection="1">
      <alignment horizontal="center" vertical="center" wrapText="1"/>
      <protection hidden="1"/>
    </xf>
    <xf numFmtId="43" fontId="33" fillId="13"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vertical="center" wrapText="1"/>
      <protection hidden="1"/>
    </xf>
    <xf numFmtId="43" fontId="33" fillId="2" borderId="39" xfId="17" applyNumberFormat="1" applyFont="1" applyFill="1" applyBorder="1" applyAlignment="1" applyProtection="1">
      <alignment horizontal="center" vertical="center" wrapText="1"/>
      <protection hidden="1"/>
    </xf>
    <xf numFmtId="0" fontId="33" fillId="0" borderId="40" xfId="0" applyFont="1" applyBorder="1" applyAlignment="1" applyProtection="1">
      <alignment horizontal="left" vertical="center" wrapText="1"/>
      <protection hidden="1"/>
    </xf>
    <xf numFmtId="43" fontId="33" fillId="2" borderId="41" xfId="17" applyFont="1" applyFill="1" applyBorder="1" applyAlignment="1" applyProtection="1">
      <alignment horizontal="center" vertical="center" wrapText="1"/>
      <protection hidden="1"/>
    </xf>
    <xf numFmtId="43" fontId="33" fillId="13" borderId="41" xfId="17" applyFont="1" applyFill="1" applyBorder="1" applyAlignment="1" applyProtection="1">
      <alignment horizontal="center" vertical="center" wrapText="1"/>
      <protection hidden="1"/>
    </xf>
    <xf numFmtId="43" fontId="34" fillId="0" borderId="31"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43" xfId="0" applyFont="1" applyFill="1" applyBorder="1" applyAlignment="1" applyProtection="1">
      <alignment horizontal="center" vertical="center" wrapText="1"/>
      <protection hidden="1"/>
    </xf>
    <xf numFmtId="0" fontId="53" fillId="6" borderId="44" xfId="0" applyFont="1" applyFill="1" applyBorder="1" applyAlignment="1" applyProtection="1">
      <alignment horizontal="center" vertical="center" wrapText="1"/>
      <protection hidden="1"/>
    </xf>
    <xf numFmtId="0" fontId="53" fillId="6" borderId="45" xfId="0" applyFont="1" applyFill="1" applyBorder="1" applyAlignment="1" applyProtection="1">
      <alignment horizontal="center" vertical="center" wrapText="1"/>
      <protection hidden="1"/>
    </xf>
    <xf numFmtId="4" fontId="32" fillId="0" borderId="32" xfId="0" applyNumberFormat="1" applyFont="1" applyBorder="1" applyAlignment="1" applyProtection="1">
      <alignment vertical="center"/>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0" fontId="32" fillId="0" borderId="32" xfId="0" applyFont="1" applyBorder="1" applyAlignment="1" applyProtection="1">
      <alignment horizontal="left" vertical="center" wrapText="1"/>
      <protection hidden="1"/>
    </xf>
    <xf numFmtId="4" fontId="32" fillId="0" borderId="31"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52" fillId="17" borderId="32" xfId="0" applyNumberFormat="1" applyFont="1" applyFill="1" applyBorder="1" applyAlignment="1" applyProtection="1">
      <alignment horizontal="left" vertical="center" wrapText="1"/>
      <protection hidden="1"/>
    </xf>
    <xf numFmtId="4" fontId="52" fillId="17" borderId="31" xfId="0" applyNumberFormat="1" applyFont="1" applyFill="1" applyBorder="1" applyAlignment="1" applyProtection="1">
      <alignment horizontal="center" vertical="center" wrapText="1"/>
      <protection hidden="1"/>
    </xf>
    <xf numFmtId="4" fontId="52" fillId="17" borderId="35" xfId="0" applyNumberFormat="1" applyFont="1" applyFill="1" applyBorder="1" applyAlignment="1" applyProtection="1">
      <alignment horizontal="center" vertical="center" wrapText="1"/>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4" fontId="32" fillId="0" borderId="33" xfId="0" applyNumberFormat="1" applyFont="1" applyBorder="1" applyAlignment="1" applyProtection="1">
      <alignment vertical="center"/>
      <protection hidden="1"/>
    </xf>
    <xf numFmtId="4" fontId="33" fillId="0" borderId="34" xfId="0" applyNumberFormat="1" applyFont="1" applyFill="1" applyBorder="1" applyAlignment="1" applyProtection="1">
      <alignment horizontal="center" vertical="center"/>
      <protection hidden="1"/>
    </xf>
    <xf numFmtId="4" fontId="33" fillId="0" borderId="37" xfId="0" applyNumberFormat="1" applyFont="1" applyFill="1" applyBorder="1" applyAlignment="1" applyProtection="1">
      <alignment horizontal="center" vertical="center"/>
      <protection hidden="1"/>
    </xf>
    <xf numFmtId="4" fontId="32" fillId="0" borderId="36" xfId="0" applyNumberFormat="1" applyFont="1" applyBorder="1" applyAlignment="1" applyProtection="1">
      <alignment vertical="center"/>
      <protection hidden="1"/>
    </xf>
    <xf numFmtId="4" fontId="32" fillId="0" borderId="42" xfId="0" applyNumberFormat="1" applyFont="1" applyFill="1" applyBorder="1" applyAlignment="1" applyProtection="1">
      <alignment horizontal="center" vertical="center"/>
      <protection hidden="1"/>
    </xf>
    <xf numFmtId="4" fontId="32" fillId="0" borderId="38" xfId="0" applyNumberFormat="1" applyFont="1" applyFill="1" applyBorder="1" applyAlignment="1" applyProtection="1">
      <alignment horizontal="center" vertical="center"/>
      <protection hidden="1"/>
    </xf>
    <xf numFmtId="15" fontId="53" fillId="5" borderId="33" xfId="0" quotePrefix="1" applyNumberFormat="1" applyFont="1" applyFill="1" applyBorder="1" applyAlignment="1" applyProtection="1">
      <alignment horizontal="center" vertical="center" wrapText="1"/>
      <protection hidden="1"/>
    </xf>
    <xf numFmtId="0" fontId="32" fillId="0" borderId="32" xfId="0" applyFont="1" applyBorder="1" applyAlignment="1" applyProtection="1">
      <alignment vertical="center"/>
      <protection hidden="1"/>
    </xf>
    <xf numFmtId="0" fontId="53" fillId="6" borderId="43" xfId="0" applyFont="1" applyFill="1" applyBorder="1" applyAlignment="1" applyProtection="1">
      <alignment horizontal="center" vertical="center"/>
      <protection hidden="1"/>
    </xf>
    <xf numFmtId="4" fontId="32" fillId="0" borderId="35" xfId="0" applyNumberFormat="1" applyFont="1" applyFill="1" applyBorder="1" applyAlignment="1" applyProtection="1">
      <alignment vertical="center"/>
      <protection hidden="1"/>
    </xf>
    <xf numFmtId="0" fontId="32" fillId="12" borderId="32" xfId="0" quotePrefix="1" applyFont="1" applyFill="1" applyBorder="1" applyAlignment="1" applyProtection="1">
      <alignment horizontal="left" vertical="center"/>
      <protection hidden="1"/>
    </xf>
    <xf numFmtId="43" fontId="33" fillId="0" borderId="31" xfId="17" applyNumberFormat="1" applyFont="1" applyFill="1" applyBorder="1" applyAlignment="1" applyProtection="1">
      <alignment horizontal="right" vertical="center" wrapText="1"/>
      <protection hidden="1"/>
    </xf>
    <xf numFmtId="167" fontId="33" fillId="13" borderId="39" xfId="17" applyNumberFormat="1" applyFont="1" applyFill="1" applyBorder="1" applyAlignment="1" applyProtection="1">
      <alignment horizontal="center" vertical="center" wrapText="1"/>
      <protection hidden="1"/>
    </xf>
    <xf numFmtId="167" fontId="33" fillId="0" borderId="46" xfId="17" applyNumberFormat="1" applyFont="1" applyBorder="1" applyAlignment="1" applyProtection="1">
      <alignment horizontal="left" vertical="center" wrapText="1"/>
      <protection hidden="1"/>
    </xf>
    <xf numFmtId="167" fontId="33" fillId="13" borderId="47" xfId="17" applyNumberFormat="1" applyFont="1" applyFill="1" applyBorder="1" applyAlignment="1" applyProtection="1">
      <alignment horizontal="center" vertical="center" wrapText="1"/>
      <protection hidden="1"/>
    </xf>
    <xf numFmtId="167" fontId="32" fillId="12" borderId="0" xfId="17" applyNumberFormat="1" applyFont="1" applyFill="1" applyBorder="1" applyAlignment="1" applyProtection="1">
      <alignment horizontal="center" vertical="center"/>
      <protection hidden="1"/>
    </xf>
    <xf numFmtId="167" fontId="32" fillId="0" borderId="0" xfId="17" applyNumberFormat="1" applyFont="1" applyBorder="1" applyAlignment="1" applyProtection="1">
      <alignment horizontal="center" vertical="center"/>
      <protection hidden="1"/>
    </xf>
    <xf numFmtId="167" fontId="33" fillId="0" borderId="48" xfId="17" applyNumberFormat="1" applyFont="1" applyBorder="1" applyAlignment="1" applyProtection="1">
      <alignment horizontal="left" vertical="center" wrapText="1"/>
      <protection hidden="1"/>
    </xf>
    <xf numFmtId="167" fontId="33" fillId="2" borderId="39" xfId="17" applyNumberFormat="1" applyFont="1" applyFill="1" applyBorder="1" applyAlignment="1" applyProtection="1">
      <alignment horizontal="center" vertical="center" wrapText="1"/>
      <protection hidden="1"/>
    </xf>
    <xf numFmtId="167" fontId="33" fillId="0"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wrapText="1"/>
      <protection hidden="1"/>
    </xf>
    <xf numFmtId="43" fontId="33" fillId="0" borderId="48" xfId="17" applyNumberFormat="1" applyFont="1" applyBorder="1" applyAlignment="1" applyProtection="1">
      <alignment horizontal="left" vertical="center" wrapText="1"/>
      <protection hidden="1"/>
    </xf>
    <xf numFmtId="43" fontId="32" fillId="12" borderId="0" xfId="17" applyNumberFormat="1" applyFont="1" applyFill="1" applyBorder="1" applyAlignment="1" applyProtection="1">
      <alignment horizontal="center" vertical="center"/>
      <protection hidden="1"/>
    </xf>
    <xf numFmtId="43" fontId="32" fillId="0" borderId="0" xfId="17" applyNumberFormat="1" applyFont="1" applyBorder="1" applyAlignment="1" applyProtection="1">
      <alignment horizontal="center" vertical="center"/>
      <protection hidden="1"/>
    </xf>
    <xf numFmtId="4" fontId="32" fillId="12" borderId="32" xfId="0" applyNumberFormat="1" applyFont="1" applyFill="1" applyBorder="1" applyAlignment="1" applyProtection="1">
      <alignment vertical="center" wrapText="1"/>
      <protection hidden="1"/>
    </xf>
    <xf numFmtId="0" fontId="32"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21"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2" fillId="0" borderId="3" xfId="23" applyNumberFormat="1" applyFont="1" applyBorder="1" applyProtection="1"/>
    <xf numFmtId="37" fontId="32" fillId="0" borderId="4" xfId="23" applyNumberFormat="1" applyFont="1" applyBorder="1" applyProtection="1"/>
    <xf numFmtId="37" fontId="32" fillId="7" borderId="4" xfId="23" applyNumberFormat="1" applyFont="1" applyFill="1" applyBorder="1" applyProtection="1"/>
    <xf numFmtId="0" fontId="30" fillId="0" borderId="5" xfId="23" applyNumberFormat="1" applyFont="1" applyBorder="1" applyAlignment="1" applyProtection="1">
      <alignment horizontal="center"/>
    </xf>
    <xf numFmtId="4" fontId="21" fillId="3" borderId="5" xfId="21" applyNumberFormat="1" applyFill="1" applyBorder="1"/>
    <xf numFmtId="4" fontId="21" fillId="0" borderId="6" xfId="21" applyNumberFormat="1" applyBorder="1"/>
    <xf numFmtId="4" fontId="21" fillId="0" borderId="3" xfId="21" applyNumberFormat="1" applyBorder="1"/>
    <xf numFmtId="4" fontId="21" fillId="4" borderId="5" xfId="21" applyNumberFormat="1" applyFill="1" applyBorder="1"/>
    <xf numFmtId="4" fontId="21" fillId="0" borderId="5" xfId="21" applyNumberFormat="1" applyBorder="1"/>
    <xf numFmtId="4" fontId="21" fillId="20" borderId="6" xfId="21" applyNumberFormat="1" applyFill="1" applyBorder="1"/>
    <xf numFmtId="0" fontId="30" fillId="0" borderId="7" xfId="23" applyNumberFormat="1" applyFont="1" applyBorder="1" applyAlignment="1" applyProtection="1">
      <alignment horizontal="center"/>
    </xf>
    <xf numFmtId="4" fontId="21" fillId="3" borderId="7" xfId="21" applyNumberFormat="1" applyFill="1" applyBorder="1"/>
    <xf numFmtId="4" fontId="21" fillId="0" borderId="0" xfId="21" applyNumberFormat="1" applyBorder="1"/>
    <xf numFmtId="4" fontId="21" fillId="0" borderId="4" xfId="21" applyNumberFormat="1" applyBorder="1"/>
    <xf numFmtId="4" fontId="21" fillId="4" borderId="7" xfId="21" applyNumberFormat="1" applyFill="1" applyBorder="1"/>
    <xf numFmtId="4" fontId="21" fillId="0" borderId="7" xfId="21" applyNumberFormat="1" applyBorder="1"/>
    <xf numFmtId="4" fontId="21" fillId="20" borderId="0" xfId="21" applyNumberFormat="1" applyFill="1" applyBorder="1"/>
    <xf numFmtId="0" fontId="30" fillId="7" borderId="7" xfId="23" applyNumberFormat="1" applyFont="1" applyFill="1" applyBorder="1" applyAlignment="1" applyProtection="1">
      <alignment horizontal="center"/>
    </xf>
    <xf numFmtId="4" fontId="21" fillId="7" borderId="7" xfId="21" applyNumberFormat="1" applyFill="1" applyBorder="1"/>
    <xf numFmtId="4" fontId="21" fillId="7" borderId="0" xfId="21" applyNumberFormat="1" applyFill="1" applyBorder="1"/>
    <xf numFmtId="4" fontId="21" fillId="7" borderId="4" xfId="21" applyNumberFormat="1" applyFill="1" applyBorder="1"/>
    <xf numFmtId="4" fontId="21" fillId="3" borderId="0" xfId="21" applyNumberFormat="1" applyFill="1" applyBorder="1"/>
    <xf numFmtId="0" fontId="21" fillId="7" borderId="0" xfId="21" applyFill="1"/>
    <xf numFmtId="0" fontId="21" fillId="7" borderId="0" xfId="21" applyFill="1" applyAlignment="1">
      <alignment horizontal="left"/>
    </xf>
    <xf numFmtId="0" fontId="21" fillId="8" borderId="0" xfId="21" applyFill="1"/>
    <xf numFmtId="4" fontId="21" fillId="4" borderId="0" xfId="21" applyNumberFormat="1" applyFill="1" applyBorder="1"/>
    <xf numFmtId="4" fontId="21" fillId="19" borderId="0" xfId="21" applyNumberFormat="1" applyFill="1" applyBorder="1"/>
    <xf numFmtId="0" fontId="33" fillId="0" borderId="51" xfId="0" applyFont="1" applyFill="1" applyBorder="1" applyAlignment="1" applyProtection="1">
      <alignment horizontal="left" vertical="center" wrapText="1"/>
      <protection hidden="1"/>
    </xf>
    <xf numFmtId="0" fontId="33" fillId="0" borderId="52" xfId="0" applyFont="1" applyFill="1" applyBorder="1" applyAlignment="1" applyProtection="1">
      <alignment horizontal="left" vertical="center" wrapText="1"/>
      <protection hidden="1"/>
    </xf>
    <xf numFmtId="15" fontId="62" fillId="5" borderId="41" xfId="0" quotePrefix="1" applyNumberFormat="1" applyFont="1" applyFill="1" applyBorder="1" applyAlignment="1" applyProtection="1">
      <alignment horizontal="center" vertical="center" wrapText="1"/>
      <protection hidden="1"/>
    </xf>
    <xf numFmtId="15" fontId="62" fillId="16" borderId="4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34" xfId="0" applyNumberFormat="1" applyFont="1" applyFill="1" applyBorder="1" applyAlignment="1" applyProtection="1">
      <alignment horizontal="center" vertical="center" wrapText="1"/>
      <protection hidden="1"/>
    </xf>
    <xf numFmtId="15" fontId="63" fillId="5" borderId="34" xfId="0" quotePrefix="1" applyNumberFormat="1" applyFont="1" applyFill="1" applyBorder="1" applyAlignment="1" applyProtection="1">
      <alignment horizontal="center" vertical="center" wrapText="1"/>
      <protection hidden="1"/>
    </xf>
    <xf numFmtId="15" fontId="63" fillId="5" borderId="5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9" fillId="2" borderId="7" xfId="23" applyNumberFormat="1" applyFont="1" applyFill="1" applyBorder="1" applyProtection="1"/>
    <xf numFmtId="0" fontId="29" fillId="2" borderId="0" xfId="23" applyFont="1" applyFill="1" applyBorder="1"/>
    <xf numFmtId="0" fontId="21" fillId="2" borderId="0" xfId="21" applyFill="1" applyBorder="1"/>
    <xf numFmtId="0" fontId="21" fillId="12" borderId="0" xfId="21" applyFill="1"/>
    <xf numFmtId="0" fontId="21" fillId="0" borderId="0" xfId="21"/>
    <xf numFmtId="37" fontId="41" fillId="9" borderId="0" xfId="23" applyNumberFormat="1" applyFont="1" applyFill="1" applyBorder="1" applyAlignment="1" applyProtection="1">
      <alignment horizontal="centerContinuous"/>
    </xf>
    <xf numFmtId="0" fontId="21"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21" fillId="0" borderId="8" xfId="21" applyBorder="1"/>
    <xf numFmtId="0" fontId="21"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9" fillId="0" borderId="5" xfId="23" applyNumberFormat="1" applyFont="1" applyBorder="1" applyProtection="1"/>
    <xf numFmtId="37" fontId="32" fillId="0" borderId="3" xfId="23" quotePrefix="1" applyNumberFormat="1" applyFont="1" applyBorder="1" applyAlignment="1" applyProtection="1">
      <alignment horizontal="left"/>
    </xf>
    <xf numFmtId="37" fontId="32" fillId="0" borderId="4" xfId="23" quotePrefix="1" applyNumberFormat="1" applyFont="1" applyBorder="1" applyAlignment="1" applyProtection="1">
      <alignment horizontal="left"/>
    </xf>
    <xf numFmtId="0" fontId="30" fillId="0" borderId="11" xfId="23" applyNumberFormat="1" applyFont="1" applyBorder="1" applyAlignment="1" applyProtection="1">
      <alignment horizontal="center"/>
    </xf>
    <xf numFmtId="37" fontId="32" fillId="0" borderId="12" xfId="23" applyNumberFormat="1" applyFont="1" applyFill="1" applyBorder="1" applyProtection="1"/>
    <xf numFmtId="4" fontId="21" fillId="3" borderId="11" xfId="21" applyNumberFormat="1" applyFill="1" applyBorder="1"/>
    <xf numFmtId="4" fontId="21" fillId="0" borderId="13" xfId="21" applyNumberFormat="1" applyBorder="1"/>
    <xf numFmtId="4" fontId="21" fillId="0" borderId="12" xfId="21" applyNumberFormat="1" applyBorder="1"/>
    <xf numFmtId="4" fontId="21" fillId="4" borderId="11" xfId="21" applyNumberFormat="1" applyFill="1" applyBorder="1"/>
    <xf numFmtId="4" fontId="21" fillId="20" borderId="13" xfId="21" applyNumberFormat="1" applyFill="1" applyBorder="1"/>
    <xf numFmtId="168" fontId="29" fillId="0" borderId="7" xfId="23" applyNumberFormat="1" applyFont="1" applyBorder="1" applyProtection="1"/>
    <xf numFmtId="37" fontId="32" fillId="0" borderId="4" xfId="23" applyNumberFormat="1" applyFont="1" applyFill="1" applyBorder="1" applyProtection="1"/>
    <xf numFmtId="168" fontId="29" fillId="0" borderId="11" xfId="23" applyNumberFormat="1" applyFont="1" applyBorder="1" applyProtection="1"/>
    <xf numFmtId="4" fontId="21" fillId="0" borderId="11" xfId="21" applyNumberFormat="1" applyBorder="1"/>
    <xf numFmtId="0" fontId="30" fillId="7" borderId="11" xfId="23" applyNumberFormat="1" applyFont="1" applyFill="1" applyBorder="1" applyAlignment="1" applyProtection="1">
      <alignment horizontal="center"/>
    </xf>
    <xf numFmtId="37" fontId="32" fillId="7" borderId="12" xfId="23" applyNumberFormat="1" applyFont="1" applyFill="1" applyBorder="1" applyProtection="1"/>
    <xf numFmtId="4" fontId="21" fillId="7" borderId="11" xfId="21" applyNumberFormat="1" applyFill="1" applyBorder="1"/>
    <xf numFmtId="4" fontId="21" fillId="7" borderId="13" xfId="21" applyNumberFormat="1" applyFill="1" applyBorder="1"/>
    <xf numFmtId="4" fontId="21" fillId="7" borderId="12" xfId="21" applyNumberFormat="1" applyFill="1" applyBorder="1"/>
    <xf numFmtId="4" fontId="21" fillId="4" borderId="6" xfId="21" applyNumberFormat="1" applyFill="1" applyBorder="1"/>
    <xf numFmtId="37" fontId="32" fillId="0" borderId="12" xfId="23" quotePrefix="1" applyNumberFormat="1" applyFont="1" applyFill="1" applyBorder="1" applyAlignment="1" applyProtection="1">
      <alignment horizontal="left"/>
    </xf>
    <xf numFmtId="4" fontId="21" fillId="4" borderId="13" xfId="21" applyNumberFormat="1" applyFill="1" applyBorder="1"/>
    <xf numFmtId="4" fontId="21" fillId="0" borderId="0" xfId="21" applyNumberFormat="1"/>
    <xf numFmtId="37" fontId="32" fillId="0" borderId="12" xfId="23" applyNumberFormat="1" applyFont="1" applyBorder="1" applyProtection="1"/>
    <xf numFmtId="0" fontId="30" fillId="0" borderId="7" xfId="23" applyNumberFormat="1" applyFont="1" applyFill="1" applyBorder="1" applyAlignment="1" applyProtection="1">
      <alignment horizontal="center"/>
    </xf>
    <xf numFmtId="4" fontId="21" fillId="0" borderId="7" xfId="21" applyNumberFormat="1" applyFill="1" applyBorder="1"/>
    <xf numFmtId="4" fontId="21" fillId="0" borderId="0" xfId="21" applyNumberFormat="1" applyFill="1" applyBorder="1"/>
    <xf numFmtId="4" fontId="21" fillId="0" borderId="4" xfId="21" applyNumberFormat="1" applyFill="1" applyBorder="1"/>
    <xf numFmtId="4" fontId="21" fillId="0" borderId="11" xfId="21" applyNumberFormat="1" applyFill="1" applyBorder="1"/>
    <xf numFmtId="4" fontId="21" fillId="0" borderId="13" xfId="21" applyNumberFormat="1" applyFill="1" applyBorder="1"/>
    <xf numFmtId="4" fontId="21" fillId="0" borderId="12" xfId="21" applyNumberFormat="1" applyFill="1" applyBorder="1"/>
    <xf numFmtId="4" fontId="21" fillId="2" borderId="0" xfId="21" applyNumberFormat="1" applyFill="1" applyBorder="1"/>
    <xf numFmtId="37" fontId="32" fillId="2" borderId="0" xfId="23" applyNumberFormat="1" applyFont="1" applyFill="1" applyBorder="1" applyProtection="1"/>
    <xf numFmtId="4" fontId="21" fillId="21" borderId="0" xfId="21" applyNumberFormat="1" applyFill="1" applyBorder="1"/>
    <xf numFmtId="0" fontId="30" fillId="2" borderId="8" xfId="23" applyNumberFormat="1" applyFont="1" applyFill="1" applyBorder="1" applyAlignment="1" applyProtection="1">
      <alignment horizontal="center"/>
    </xf>
    <xf numFmtId="37" fontId="33" fillId="2" borderId="9" xfId="23" applyNumberFormat="1" applyFont="1" applyFill="1" applyBorder="1" applyProtection="1"/>
    <xf numFmtId="0" fontId="21"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21" fillId="0" borderId="0" xfId="21" applyNumberFormat="1"/>
    <xf numFmtId="0" fontId="21"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21" fillId="2" borderId="10" xfId="21" applyFill="1" applyBorder="1"/>
    <xf numFmtId="0" fontId="43" fillId="2" borderId="10" xfId="21" applyFont="1" applyFill="1" applyBorder="1" applyAlignment="1">
      <alignment horizontal="centerContinuous"/>
    </xf>
    <xf numFmtId="0" fontId="21" fillId="2" borderId="10" xfId="21" applyFill="1" applyBorder="1" applyAlignment="1">
      <alignment horizontal="centerContinuous"/>
    </xf>
    <xf numFmtId="0" fontId="43" fillId="2" borderId="10" xfId="21" applyFont="1" applyFill="1" applyBorder="1" applyAlignment="1">
      <alignment horizontal="left"/>
    </xf>
    <xf numFmtId="0" fontId="21" fillId="2" borderId="8" xfId="21" applyFill="1" applyBorder="1" applyAlignment="1">
      <alignment horizontal="centerContinuous"/>
    </xf>
    <xf numFmtId="0" fontId="21" fillId="2" borderId="15" xfId="21" applyFill="1" applyBorder="1" applyAlignment="1">
      <alignment horizontal="centerContinuous"/>
    </xf>
    <xf numFmtId="0" fontId="21" fillId="2" borderId="9" xfId="21" applyFill="1" applyBorder="1" applyAlignment="1">
      <alignment horizontal="centerContinuous"/>
    </xf>
    <xf numFmtId="0" fontId="21" fillId="2" borderId="16" xfId="21" applyFill="1" applyBorder="1"/>
    <xf numFmtId="4" fontId="21" fillId="2" borderId="10" xfId="21" applyNumberFormat="1" applyFill="1" applyBorder="1"/>
    <xf numFmtId="0" fontId="21" fillId="2" borderId="8" xfId="21" applyFill="1" applyBorder="1"/>
    <xf numFmtId="4" fontId="21" fillId="2" borderId="15" xfId="21" applyNumberFormat="1" applyFill="1" applyBorder="1"/>
    <xf numFmtId="4" fontId="21" fillId="2" borderId="15" xfId="21" applyNumberFormat="1" applyFill="1" applyBorder="1" applyAlignment="1">
      <alignment horizontal="centerContinuous"/>
    </xf>
    <xf numFmtId="4" fontId="21" fillId="2" borderId="9" xfId="21" applyNumberFormat="1" applyFill="1" applyBorder="1" applyAlignment="1">
      <alignment horizontal="centerContinuous"/>
    </xf>
    <xf numFmtId="0" fontId="21" fillId="2" borderId="15" xfId="21" applyFill="1" applyBorder="1"/>
    <xf numFmtId="4" fontId="21" fillId="2" borderId="0" xfId="21" applyNumberFormat="1" applyFill="1"/>
    <xf numFmtId="0" fontId="21"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21" fillId="2" borderId="17" xfId="21" applyNumberFormat="1" applyFill="1" applyBorder="1"/>
    <xf numFmtId="0" fontId="21" fillId="2" borderId="18" xfId="21" applyFill="1" applyBorder="1" applyAlignment="1">
      <alignment horizontal="centerContinuous"/>
    </xf>
    <xf numFmtId="0" fontId="21" fillId="2" borderId="19" xfId="21" applyFill="1" applyBorder="1" applyAlignment="1">
      <alignment horizontal="centerContinuous"/>
    </xf>
    <xf numFmtId="0" fontId="43" fillId="2" borderId="17" xfId="21" applyFont="1" applyFill="1" applyBorder="1" applyAlignment="1">
      <alignment horizontal="centerContinuous"/>
    </xf>
    <xf numFmtId="0" fontId="21" fillId="2" borderId="17" xfId="21" applyFill="1" applyBorder="1" applyAlignment="1">
      <alignment horizontal="centerContinuous"/>
    </xf>
    <xf numFmtId="2" fontId="21" fillId="12" borderId="0" xfId="21" applyNumberFormat="1" applyFill="1"/>
    <xf numFmtId="0" fontId="21" fillId="2" borderId="20" xfId="21" applyFill="1" applyBorder="1"/>
    <xf numFmtId="0" fontId="21" fillId="2" borderId="21" xfId="21" applyFill="1" applyBorder="1"/>
    <xf numFmtId="4" fontId="21" fillId="2" borderId="21" xfId="21" applyNumberFormat="1" applyFill="1" applyBorder="1"/>
    <xf numFmtId="0" fontId="21" fillId="2" borderId="22" xfId="21" applyFill="1" applyBorder="1"/>
    <xf numFmtId="0" fontId="21" fillId="2" borderId="23" xfId="21" applyFill="1" applyBorder="1"/>
    <xf numFmtId="0" fontId="43" fillId="2" borderId="21" xfId="21" applyFont="1" applyFill="1" applyBorder="1" applyAlignment="1">
      <alignment horizontal="centerContinuous"/>
    </xf>
    <xf numFmtId="4" fontId="21" fillId="2" borderId="24" xfId="21" applyNumberFormat="1" applyFill="1" applyBorder="1" applyAlignment="1">
      <alignment horizontal="centerContinuous"/>
    </xf>
    <xf numFmtId="4" fontId="21" fillId="2" borderId="25" xfId="21" applyNumberFormat="1" applyFill="1" applyBorder="1" applyAlignment="1">
      <alignment horizontal="centerContinuous"/>
    </xf>
    <xf numFmtId="0" fontId="43" fillId="2" borderId="21" xfId="21" applyFont="1" applyFill="1" applyBorder="1" applyAlignment="1">
      <alignment horizontal="left"/>
    </xf>
    <xf numFmtId="0" fontId="21" fillId="2" borderId="26" xfId="21" applyFill="1" applyBorder="1"/>
    <xf numFmtId="0" fontId="21" fillId="2" borderId="27" xfId="21" applyFill="1" applyBorder="1"/>
    <xf numFmtId="0" fontId="21" fillId="2" borderId="28" xfId="21" applyFill="1" applyBorder="1"/>
    <xf numFmtId="4" fontId="21" fillId="2" borderId="28" xfId="21" applyNumberFormat="1" applyFill="1" applyBorder="1"/>
    <xf numFmtId="4" fontId="21" fillId="2" borderId="29" xfId="21" applyNumberFormat="1" applyFill="1" applyBorder="1"/>
    <xf numFmtId="4" fontId="21" fillId="2" borderId="30" xfId="21" applyNumberFormat="1" applyFill="1" applyBorder="1"/>
    <xf numFmtId="0" fontId="45" fillId="2" borderId="0" xfId="21" quotePrefix="1" applyFont="1" applyFill="1" applyAlignment="1">
      <alignment horizontal="left"/>
    </xf>
    <xf numFmtId="0" fontId="21" fillId="2" borderId="0" xfId="21" quotePrefix="1" applyFill="1" applyAlignment="1">
      <alignment horizontal="left"/>
    </xf>
    <xf numFmtId="2" fontId="21" fillId="0" borderId="0" xfId="21" applyNumberFormat="1" applyFill="1"/>
    <xf numFmtId="0" fontId="30" fillId="2" borderId="0" xfId="21" applyFont="1" applyFill="1"/>
    <xf numFmtId="169" fontId="21" fillId="2" borderId="0" xfId="21" applyNumberFormat="1" applyFill="1"/>
    <xf numFmtId="170" fontId="21" fillId="2" borderId="0" xfId="21" applyNumberFormat="1" applyFill="1"/>
    <xf numFmtId="9" fontId="21"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2" fillId="2" borderId="2" xfId="0" applyFont="1" applyFill="1" applyBorder="1" applyAlignment="1" applyProtection="1">
      <alignment vertical="center"/>
      <protection hidden="1"/>
    </xf>
    <xf numFmtId="4" fontId="32" fillId="2" borderId="2" xfId="0" applyNumberFormat="1" applyFont="1" applyFill="1" applyBorder="1" applyAlignment="1" applyProtection="1">
      <alignment vertical="center"/>
      <protection hidden="1"/>
    </xf>
    <xf numFmtId="0" fontId="32" fillId="20" borderId="2" xfId="0" applyFont="1" applyFill="1" applyBorder="1" applyAlignment="1" applyProtection="1">
      <alignment horizontal="center" vertical="center"/>
      <protection hidden="1"/>
    </xf>
    <xf numFmtId="43" fontId="29" fillId="0" borderId="0" xfId="17" applyFont="1"/>
    <xf numFmtId="166" fontId="55" fillId="2" borderId="0" xfId="24" applyFont="1" applyFill="1" applyAlignment="1" applyProtection="1">
      <alignment horizontal="left" vertical="center"/>
      <protection hidden="1"/>
    </xf>
    <xf numFmtId="0" fontId="32"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42" xfId="25" quotePrefix="1"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57" fillId="6" borderId="49" xfId="0" applyFont="1" applyFill="1" applyBorder="1" applyAlignment="1" applyProtection="1">
      <alignment horizontal="center" vertical="center" wrapText="1"/>
      <protection hidden="1"/>
    </xf>
    <xf numFmtId="0" fontId="57" fillId="6" borderId="50" xfId="0" applyFont="1" applyFill="1" applyBorder="1" applyAlignment="1" applyProtection="1">
      <alignment horizontal="center" vertical="center"/>
      <protection hidden="1"/>
    </xf>
    <xf numFmtId="0" fontId="52" fillId="5" borderId="35" xfId="0" applyFont="1" applyFill="1" applyBorder="1" applyAlignment="1" applyProtection="1">
      <alignment horizontal="center" vertical="center" wrapText="1"/>
      <protection hidden="1"/>
    </xf>
    <xf numFmtId="15" fontId="63" fillId="5" borderId="37" xfId="0"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center" vertical="center" wrapText="1"/>
      <protection hidden="1"/>
    </xf>
    <xf numFmtId="43" fontId="34" fillId="0" borderId="35" xfId="17" applyFont="1" applyFill="1" applyBorder="1" applyAlignment="1" applyProtection="1">
      <alignment vertical="center" wrapText="1"/>
      <protection hidden="1"/>
    </xf>
    <xf numFmtId="0" fontId="21" fillId="12"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2" fillId="2" borderId="0" xfId="0" quotePrefix="1"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vertical="center"/>
      <protection hidden="1"/>
    </xf>
    <xf numFmtId="4" fontId="32" fillId="22" borderId="31" xfId="0" applyNumberFormat="1" applyFont="1" applyFill="1" applyBorder="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1"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vertical="center"/>
      <protection hidden="1"/>
    </xf>
    <xf numFmtId="17" fontId="53" fillId="6" borderId="44" xfId="0" applyNumberFormat="1" applyFont="1" applyFill="1" applyBorder="1" applyAlignment="1" applyProtection="1">
      <alignment horizontal="center" vertical="center" wrapText="1"/>
      <protection hidden="1"/>
    </xf>
    <xf numFmtId="17" fontId="53" fillId="6" borderId="45" xfId="0" applyNumberFormat="1" applyFont="1" applyFill="1" applyBorder="1" applyAlignment="1" applyProtection="1">
      <alignment horizontal="center" vertical="center" wrapText="1"/>
      <protection hidden="1"/>
    </xf>
    <xf numFmtId="0" fontId="32" fillId="2" borderId="32" xfId="0" quotePrefix="1" applyFont="1" applyFill="1" applyBorder="1" applyAlignment="1" applyProtection="1">
      <alignment horizontal="left" vertical="center"/>
      <protection hidden="1"/>
    </xf>
    <xf numFmtId="4" fontId="32" fillId="22" borderId="35"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0" fontId="32" fillId="2" borderId="32" xfId="0" applyFont="1" applyFill="1" applyBorder="1" applyAlignment="1" applyProtection="1">
      <alignment horizontal="left" vertical="center"/>
      <protection hidden="1"/>
    </xf>
    <xf numFmtId="0" fontId="55" fillId="5" borderId="32" xfId="0" quotePrefix="1" applyFont="1" applyFill="1" applyBorder="1" applyAlignment="1" applyProtection="1">
      <alignment horizontal="left" vertical="center" wrapText="1"/>
      <protection hidden="1"/>
    </xf>
    <xf numFmtId="4" fontId="55" fillId="5" borderId="35" xfId="0" applyNumberFormat="1" applyFont="1" applyFill="1" applyBorder="1" applyAlignment="1" applyProtection="1">
      <alignment vertical="center"/>
      <protection hidden="1"/>
    </xf>
    <xf numFmtId="0" fontId="32" fillId="2" borderId="33" xfId="0" quotePrefix="1" applyFont="1" applyFill="1" applyBorder="1" applyAlignment="1" applyProtection="1">
      <alignment horizontal="left" vertical="center" wrapText="1"/>
      <protection hidden="1"/>
    </xf>
    <xf numFmtId="4" fontId="32" fillId="2" borderId="34" xfId="0" applyNumberFormat="1" applyFont="1" applyFill="1" applyBorder="1" applyAlignment="1" applyProtection="1">
      <alignment horizontal="right" vertical="center"/>
      <protection hidden="1"/>
    </xf>
    <xf numFmtId="4" fontId="32" fillId="2" borderId="3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32" xfId="0" quotePrefix="1" applyFont="1" applyFill="1" applyBorder="1" applyAlignment="1" applyProtection="1">
      <alignment horizontal="left" vertical="center"/>
      <protection hidden="1"/>
    </xf>
    <xf numFmtId="4" fontId="33" fillId="2" borderId="31"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horizontal="right" vertical="center"/>
      <protection hidden="1"/>
    </xf>
    <xf numFmtId="4" fontId="55" fillId="5" borderId="35" xfId="0" applyNumberFormat="1" applyFont="1" applyFill="1" applyBorder="1" applyAlignment="1" applyProtection="1">
      <alignment horizontal="right" vertical="center"/>
      <protection hidden="1"/>
    </xf>
    <xf numFmtId="0" fontId="52" fillId="15" borderId="43" xfId="0" applyFont="1" applyFill="1" applyBorder="1" applyAlignment="1" applyProtection="1">
      <alignment horizontal="center" vertical="center" wrapText="1"/>
      <protection hidden="1"/>
    </xf>
    <xf numFmtId="17" fontId="52" fillId="15" borderId="44" xfId="0" applyNumberFormat="1" applyFont="1" applyFill="1" applyBorder="1" applyAlignment="1" applyProtection="1">
      <alignment horizontal="center" vertical="center" wrapText="1"/>
      <protection hidden="1"/>
    </xf>
    <xf numFmtId="17" fontId="52" fillId="15" borderId="45" xfId="0" applyNumberFormat="1" applyFont="1" applyFill="1" applyBorder="1" applyAlignment="1" applyProtection="1">
      <alignment horizontal="center" vertical="center" wrapText="1"/>
      <protection hidden="1"/>
    </xf>
    <xf numFmtId="43" fontId="32" fillId="2" borderId="31" xfId="17" applyFont="1" applyFill="1" applyBorder="1" applyAlignment="1" applyProtection="1">
      <alignment horizontal="right" vertical="center"/>
      <protection hidden="1"/>
    </xf>
    <xf numFmtId="4" fontId="32" fillId="2" borderId="31" xfId="0" applyNumberFormat="1" applyFont="1" applyFill="1" applyBorder="1" applyAlignment="1" applyProtection="1">
      <alignment horizontal="right" vertical="center"/>
      <protection hidden="1"/>
    </xf>
    <xf numFmtId="0" fontId="33" fillId="2" borderId="32" xfId="0"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horizontal="right" vertical="center"/>
      <protection hidden="1"/>
    </xf>
    <xf numFmtId="4" fontId="32" fillId="12" borderId="31" xfId="0" applyNumberFormat="1" applyFont="1" applyFill="1" applyBorder="1" applyAlignment="1" applyProtection="1">
      <alignment horizontal="right" vertical="center"/>
      <protection hidden="1"/>
    </xf>
    <xf numFmtId="0" fontId="32" fillId="2" borderId="3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21" fillId="12" borderId="0" xfId="0" applyFont="1" applyFill="1" applyBorder="1" applyAlignment="1" applyProtection="1">
      <alignment vertical="top"/>
      <protection hidden="1"/>
    </xf>
    <xf numFmtId="4" fontId="32" fillId="0" borderId="3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2" fillId="12" borderId="3" xfId="23" quotePrefix="1" applyNumberFormat="1" applyFont="1" applyFill="1" applyBorder="1" applyAlignment="1" applyProtection="1">
      <alignment horizontal="left"/>
    </xf>
    <xf numFmtId="37" fontId="32" fillId="12" borderId="4" xfId="23" quotePrefix="1" applyNumberFormat="1" applyFont="1" applyFill="1" applyBorder="1" applyAlignment="1" applyProtection="1">
      <alignment horizontal="left"/>
    </xf>
    <xf numFmtId="37" fontId="32" fillId="12" borderId="12" xfId="23" applyNumberFormat="1" applyFont="1" applyFill="1" applyBorder="1" applyProtection="1"/>
    <xf numFmtId="37" fontId="32" fillId="12" borderId="4" xfId="23" applyNumberFormat="1" applyFont="1" applyFill="1" applyBorder="1" applyProtection="1"/>
    <xf numFmtId="37" fontId="32" fillId="12" borderId="12" xfId="23" applyNumberFormat="1" applyFont="1" applyFill="1" applyBorder="1" applyAlignment="1" applyProtection="1">
      <alignment horizontal="left" indent="1"/>
    </xf>
    <xf numFmtId="37" fontId="32" fillId="12" borderId="12" xfId="23" quotePrefix="1" applyNumberFormat="1" applyFont="1" applyFill="1" applyBorder="1" applyAlignment="1" applyProtection="1">
      <alignment horizontal="left"/>
    </xf>
    <xf numFmtId="37" fontId="32" fillId="12" borderId="3" xfId="23" applyNumberFormat="1" applyFont="1" applyFill="1" applyBorder="1" applyProtection="1"/>
    <xf numFmtId="37" fontId="32" fillId="12" borderId="15" xfId="23" applyNumberFormat="1" applyFont="1" applyFill="1" applyBorder="1" applyProtection="1"/>
    <xf numFmtId="4" fontId="21" fillId="25" borderId="0" xfId="21" applyNumberFormat="1" applyFill="1" applyBorder="1"/>
    <xf numFmtId="37" fontId="74" fillId="2" borderId="10" xfId="23" applyNumberFormat="1" applyFont="1" applyFill="1" applyBorder="1" applyAlignment="1" applyProtection="1">
      <alignment wrapText="1"/>
    </xf>
    <xf numFmtId="0" fontId="45" fillId="2" borderId="72" xfId="21" applyFont="1" applyFill="1" applyBorder="1" applyAlignment="1">
      <alignment horizontal="center"/>
    </xf>
    <xf numFmtId="0" fontId="21" fillId="2" borderId="73" xfId="21" applyFill="1" applyBorder="1"/>
    <xf numFmtId="0" fontId="45" fillId="2" borderId="73" xfId="21" applyFont="1" applyFill="1" applyBorder="1" applyAlignment="1">
      <alignment horizontal="center"/>
    </xf>
    <xf numFmtId="0" fontId="21" fillId="2" borderId="74" xfId="21" quotePrefix="1" applyFill="1" applyBorder="1" applyAlignment="1">
      <alignment horizontal="left"/>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 fontId="21" fillId="12" borderId="5" xfId="21" applyNumberFormat="1" applyFill="1" applyBorder="1"/>
    <xf numFmtId="4" fontId="21" fillId="12" borderId="6" xfId="21" applyNumberFormat="1" applyFill="1" applyBorder="1"/>
    <xf numFmtId="4" fontId="21" fillId="12" borderId="3" xfId="21" applyNumberFormat="1" applyFill="1" applyBorder="1"/>
    <xf numFmtId="4" fontId="21" fillId="12" borderId="7" xfId="21" applyNumberFormat="1" applyFill="1" applyBorder="1"/>
    <xf numFmtId="4" fontId="21" fillId="12" borderId="0" xfId="21" applyNumberFormat="1" applyFill="1" applyBorder="1"/>
    <xf numFmtId="4" fontId="21" fillId="12" borderId="4" xfId="21" applyNumberFormat="1" applyFill="1" applyBorder="1"/>
    <xf numFmtId="4" fontId="21" fillId="12" borderId="11" xfId="21" applyNumberFormat="1" applyFill="1" applyBorder="1"/>
    <xf numFmtId="4" fontId="21" fillId="12" borderId="13" xfId="21" applyNumberFormat="1" applyFill="1" applyBorder="1"/>
    <xf numFmtId="4" fontId="21" fillId="12" borderId="12" xfId="21" applyNumberFormat="1" applyFill="1" applyBorder="1"/>
    <xf numFmtId="165" fontId="21" fillId="12" borderId="13" xfId="21" applyNumberFormat="1" applyFill="1" applyBorder="1"/>
    <xf numFmtId="4" fontId="21" fillId="12" borderId="8" xfId="21" applyNumberFormat="1" applyFill="1" applyBorder="1"/>
    <xf numFmtId="4" fontId="21"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21" fillId="2" borderId="2" xfId="21" applyNumberFormat="1" applyFill="1" applyBorder="1"/>
    <xf numFmtId="4" fontId="21" fillId="2" borderId="77" xfId="21" applyNumberFormat="1" applyFill="1" applyBorder="1"/>
    <xf numFmtId="4" fontId="21" fillId="23" borderId="0" xfId="21" applyNumberFormat="1" applyFill="1" applyBorder="1"/>
    <xf numFmtId="2" fontId="21" fillId="23" borderId="0" xfId="21" applyNumberFormat="1" applyFill="1"/>
    <xf numFmtId="2" fontId="21" fillId="23" borderId="85" xfId="21" applyNumberFormat="1" applyFill="1" applyBorder="1"/>
    <xf numFmtId="4" fontId="32" fillId="0" borderId="35" xfId="0" applyNumberFormat="1" applyFont="1" applyFill="1" applyBorder="1" applyAlignment="1" applyProtection="1">
      <alignment horizontal="right" vertical="center"/>
      <protection hidden="1"/>
    </xf>
    <xf numFmtId="43" fontId="33" fillId="13" borderId="3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5" xfId="0" applyNumberFormat="1" applyFont="1" applyFill="1" applyBorder="1" applyAlignment="1" applyProtection="1">
      <alignment horizontal="right" vertical="center"/>
      <protection hidden="1"/>
    </xf>
    <xf numFmtId="43" fontId="33" fillId="0" borderId="39" xfId="17" applyNumberFormat="1" applyFont="1" applyFill="1" applyBorder="1" applyAlignment="1" applyProtection="1">
      <alignment horizontal="center" vertical="center" wrapText="1"/>
      <protection hidden="1"/>
    </xf>
    <xf numFmtId="171" fontId="33" fillId="12" borderId="38" xfId="17"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right" vertical="center" wrapText="1"/>
      <protection hidden="1"/>
    </xf>
    <xf numFmtId="2" fontId="33" fillId="0" borderId="37" xfId="0" applyNumberFormat="1" applyFont="1" applyFill="1" applyBorder="1" applyAlignment="1" applyProtection="1">
      <alignment horizontal="right" vertical="center" wrapText="1"/>
      <protection hidden="1"/>
    </xf>
    <xf numFmtId="0" fontId="52" fillId="5" borderId="5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3" borderId="3" xfId="23" applyNumberFormat="1" applyFont="1" applyFill="1" applyBorder="1" applyAlignment="1" applyProtection="1">
      <alignment vertical="center" wrapText="1"/>
    </xf>
    <xf numFmtId="37" fontId="73" fillId="23" borderId="4" xfId="23" applyNumberFormat="1" applyFont="1" applyFill="1" applyBorder="1" applyAlignment="1" applyProtection="1">
      <alignment vertical="center" wrapText="1"/>
    </xf>
    <xf numFmtId="37" fontId="73" fillId="23" borderId="12" xfId="23" applyNumberFormat="1" applyFont="1" applyFill="1" applyBorder="1" applyAlignment="1" applyProtection="1">
      <alignment vertical="center" wrapText="1"/>
    </xf>
    <xf numFmtId="49" fontId="74" fillId="23" borderId="16" xfId="21" applyNumberFormat="1" applyFont="1" applyFill="1" applyBorder="1" applyAlignment="1">
      <alignment horizontal="center" vertical="center" wrapText="1"/>
    </xf>
    <xf numFmtId="43" fontId="33" fillId="0" borderId="31" xfId="17" applyFont="1" applyFill="1" applyBorder="1" applyAlignment="1" applyProtection="1">
      <alignment horizontal="center" vertical="center" wrapText="1"/>
      <protection hidden="1"/>
    </xf>
    <xf numFmtId="4" fontId="32" fillId="26" borderId="3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43"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0" fontId="30" fillId="0" borderId="0" xfId="0" applyFont="1" applyAlignment="1">
      <alignment vertical="center"/>
    </xf>
    <xf numFmtId="43" fontId="33" fillId="0" borderId="31" xfId="17" applyNumberFormat="1" applyFont="1" applyFill="1" applyBorder="1" applyAlignment="1" applyProtection="1">
      <alignment horizontal="center" vertical="center" wrapText="1"/>
      <protection hidden="1"/>
    </xf>
    <xf numFmtId="172" fontId="32"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3" fillId="0" borderId="31" xfId="17" quotePrefix="1" applyFont="1" applyFill="1" applyBorder="1" applyAlignment="1" applyProtection="1">
      <alignment horizontal="center" vertical="center" wrapText="1"/>
      <protection hidden="1"/>
    </xf>
    <xf numFmtId="4" fontId="32" fillId="2" borderId="31"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4" fontId="32" fillId="2" borderId="35" xfId="0" applyNumberFormat="1" applyFont="1" applyFill="1" applyBorder="1" applyAlignment="1" applyProtection="1">
      <alignment horizontal="center" vertical="center"/>
      <protection hidden="1"/>
    </xf>
    <xf numFmtId="0" fontId="83" fillId="0" borderId="0" xfId="30" applyFont="1"/>
    <xf numFmtId="0" fontId="20" fillId="0" borderId="0" xfId="30" applyFont="1"/>
    <xf numFmtId="0" fontId="20"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0" fillId="0" borderId="2" xfId="30" applyFont="1"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20" fillId="0" borderId="2" xfId="30" applyFont="1" applyFill="1" applyBorder="1" applyAlignment="1">
      <alignment horizontal="center"/>
    </xf>
    <xf numFmtId="0" fontId="20" fillId="27" borderId="2" xfId="30" applyFont="1" applyFill="1" applyBorder="1"/>
    <xf numFmtId="0" fontId="91" fillId="0" borderId="2" xfId="30" applyFont="1" applyBorder="1"/>
    <xf numFmtId="0" fontId="89" fillId="0" borderId="2" xfId="30" applyFont="1" applyFill="1" applyBorder="1" applyAlignment="1">
      <alignment horizontal="center"/>
    </xf>
    <xf numFmtId="0" fontId="20" fillId="0" borderId="2" xfId="30" applyFont="1" applyBorder="1"/>
    <xf numFmtId="0" fontId="20" fillId="0" borderId="2" xfId="30" applyFont="1" applyFill="1" applyBorder="1"/>
    <xf numFmtId="0" fontId="91" fillId="0" borderId="0" xfId="30" applyFont="1"/>
    <xf numFmtId="0" fontId="92" fillId="0" borderId="0" xfId="30" applyFont="1"/>
    <xf numFmtId="43" fontId="20" fillId="24" borderId="2" xfId="30" applyNumberFormat="1" applyFont="1" applyFill="1" applyBorder="1"/>
    <xf numFmtId="0" fontId="19" fillId="0" borderId="2" xfId="30" applyFont="1" applyBorder="1"/>
    <xf numFmtId="0" fontId="93" fillId="0" borderId="0" xfId="30" applyFont="1"/>
    <xf numFmtId="4" fontId="32"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20" fillId="0" borderId="0" xfId="30" applyFont="1" applyFill="1" applyAlignment="1">
      <alignment horizontal="center"/>
    </xf>
    <xf numFmtId="0" fontId="20" fillId="0" borderId="0" xfId="30" applyFont="1" applyFill="1"/>
    <xf numFmtId="0" fontId="86" fillId="29" borderId="0" xfId="30" applyFont="1" applyFill="1"/>
    <xf numFmtId="43" fontId="20" fillId="23" borderId="2" xfId="30" applyNumberFormat="1" applyFont="1" applyFill="1" applyBorder="1"/>
    <xf numFmtId="0" fontId="96" fillId="14" borderId="0" xfId="30" applyFont="1" applyFill="1"/>
    <xf numFmtId="0" fontId="0" fillId="0" borderId="0" xfId="0" applyFont="1" applyFill="1"/>
    <xf numFmtId="0" fontId="0" fillId="30" borderId="0" xfId="0" applyFont="1" applyFill="1"/>
    <xf numFmtId="0" fontId="20" fillId="24" borderId="2" xfId="31" applyNumberFormat="1" applyFont="1" applyFill="1" applyBorder="1"/>
    <xf numFmtId="0" fontId="20" fillId="23" borderId="2" xfId="30" applyFont="1" applyFill="1" applyBorder="1" applyAlignment="1">
      <alignment horizontal="center"/>
    </xf>
    <xf numFmtId="43" fontId="98" fillId="0" borderId="0" xfId="17" applyFont="1" applyFill="1" applyAlignment="1">
      <alignment horizontal="left" vertical="center"/>
    </xf>
    <xf numFmtId="0" fontId="20" fillId="24" borderId="2" xfId="30" applyFont="1" applyFill="1" applyBorder="1" applyAlignment="1">
      <alignment horizontal="center"/>
    </xf>
    <xf numFmtId="0" fontId="0" fillId="23" borderId="0" xfId="0" applyFont="1" applyFill="1"/>
    <xf numFmtId="0" fontId="20" fillId="29" borderId="2" xfId="30" applyFont="1" applyFill="1" applyBorder="1" applyAlignment="1">
      <alignment horizontal="center"/>
    </xf>
    <xf numFmtId="43" fontId="20" fillId="29" borderId="2" xfId="30" applyNumberFormat="1" applyFont="1" applyFill="1" applyBorder="1" applyAlignment="1">
      <alignment horizontal="center"/>
    </xf>
    <xf numFmtId="0" fontId="20" fillId="29" borderId="2" xfId="30" applyFont="1" applyFill="1" applyBorder="1"/>
    <xf numFmtId="43" fontId="20" fillId="0" borderId="2" xfId="30" applyNumberFormat="1" applyFont="1" applyFill="1" applyBorder="1"/>
    <xf numFmtId="4" fontId="20" fillId="24" borderId="2" xfId="30" applyNumberFormat="1" applyFont="1" applyFill="1" applyBorder="1"/>
    <xf numFmtId="4" fontId="20" fillId="24" borderId="91" xfId="30" applyNumberFormat="1" applyFont="1" applyFill="1" applyBorder="1"/>
    <xf numFmtId="0" fontId="20" fillId="24" borderId="2" xfId="30" applyFont="1" applyFill="1" applyBorder="1"/>
    <xf numFmtId="0" fontId="20" fillId="14" borderId="2" xfId="30" applyFont="1" applyFill="1" applyBorder="1" applyAlignment="1">
      <alignment horizontal="center"/>
    </xf>
    <xf numFmtId="0" fontId="18" fillId="0" borderId="0" xfId="30" applyFont="1"/>
    <xf numFmtId="0" fontId="17" fillId="14" borderId="0" xfId="30" applyFont="1" applyFill="1" applyAlignment="1">
      <alignment horizontal="center"/>
    </xf>
    <xf numFmtId="0" fontId="16" fillId="0" borderId="0" xfId="30" applyFont="1"/>
    <xf numFmtId="0" fontId="16"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5" fillId="0" borderId="0" xfId="30" applyFont="1"/>
    <xf numFmtId="43" fontId="15" fillId="0" borderId="2" xfId="30" applyNumberFormat="1" applyFont="1" applyFill="1" applyBorder="1"/>
    <xf numFmtId="43" fontId="91" fillId="0" borderId="2" xfId="30" applyNumberFormat="1" applyFont="1" applyFill="1" applyBorder="1"/>
    <xf numFmtId="43" fontId="20" fillId="0" borderId="0" xfId="30" applyNumberFormat="1" applyFont="1"/>
    <xf numFmtId="0" fontId="14" fillId="0" borderId="0" xfId="30" applyFont="1"/>
    <xf numFmtId="43" fontId="16" fillId="0" borderId="0" xfId="30" applyNumberFormat="1" applyFont="1"/>
    <xf numFmtId="8" fontId="93" fillId="0" borderId="0" xfId="30" applyNumberFormat="1" applyFont="1"/>
    <xf numFmtId="4" fontId="32" fillId="0" borderId="0" xfId="0" applyNumberFormat="1" applyFont="1" applyAlignment="1" applyProtection="1">
      <alignment vertical="center"/>
      <protection hidden="1"/>
    </xf>
    <xf numFmtId="0" fontId="20" fillId="14" borderId="0" xfId="30" applyFont="1" applyFill="1" applyBorder="1" applyAlignment="1">
      <alignment horizontal="center"/>
    </xf>
    <xf numFmtId="43" fontId="20" fillId="0" borderId="0" xfId="30" applyNumberFormat="1" applyFont="1" applyFill="1" applyBorder="1"/>
    <xf numFmtId="0" fontId="13" fillId="0" borderId="0" xfId="30" applyFont="1"/>
    <xf numFmtId="10" fontId="32"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2" fillId="0" borderId="0" xfId="0" applyFont="1" applyFill="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20" fillId="0" borderId="0" xfId="30" applyFont="1" applyBorder="1" applyAlignment="1">
      <alignment horizontal="center"/>
    </xf>
    <xf numFmtId="0" fontId="20" fillId="0" borderId="0" xfId="30" applyFont="1" applyBorder="1" applyAlignment="1">
      <alignment horizontal="left"/>
    </xf>
    <xf numFmtId="43" fontId="33" fillId="0" borderId="96" xfId="17"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54" fillId="0" borderId="95" xfId="0" applyNumberFormat="1" applyFont="1" applyFill="1" applyBorder="1" applyAlignment="1" applyProtection="1">
      <alignment horizontal="right" vertical="center" wrapText="1"/>
      <protection hidden="1"/>
    </xf>
    <xf numFmtId="43" fontId="33" fillId="12" borderId="96" xfId="17"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7" fillId="0" borderId="96" xfId="0" applyNumberFormat="1"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center" vertical="center" wrapText="1"/>
      <protection hidden="1"/>
    </xf>
    <xf numFmtId="43" fontId="33" fillId="12" borderId="98" xfId="17"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right" vertical="center" wrapText="1"/>
      <protection hidden="1"/>
    </xf>
    <xf numFmtId="2" fontId="33" fillId="0" borderId="98" xfId="0" applyNumberFormat="1" applyFont="1" applyFill="1" applyBorder="1" applyAlignment="1" applyProtection="1">
      <alignment horizontal="center" vertical="center" wrapText="1"/>
      <protection hidden="1"/>
    </xf>
    <xf numFmtId="2" fontId="32" fillId="0" borderId="98" xfId="0" applyNumberFormat="1" applyFont="1" applyFill="1" applyBorder="1" applyAlignment="1" applyProtection="1">
      <alignment horizontal="center" vertical="center" wrapText="1"/>
      <protection hidden="1"/>
    </xf>
    <xf numFmtId="2" fontId="37" fillId="0" borderId="98" xfId="0" applyNumberFormat="1"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center" vertical="center" wrapText="1"/>
      <protection hidden="1"/>
    </xf>
    <xf numFmtId="2" fontId="54" fillId="0" borderId="99" xfId="0" applyNumberFormat="1" applyFont="1" applyFill="1" applyBorder="1" applyAlignment="1" applyProtection="1">
      <alignment horizontal="right" vertical="center" wrapText="1"/>
      <protection hidden="1"/>
    </xf>
    <xf numFmtId="4" fontId="32" fillId="0" borderId="51" xfId="0" applyNumberFormat="1" applyFont="1" applyFill="1" applyBorder="1" applyAlignment="1" applyProtection="1">
      <alignment horizontal="right" vertical="center"/>
      <protection hidden="1"/>
    </xf>
    <xf numFmtId="4" fontId="33" fillId="0" borderId="51" xfId="0" applyNumberFormat="1" applyFont="1" applyFill="1" applyBorder="1" applyAlignment="1" applyProtection="1">
      <alignment horizontal="right" vertical="center"/>
      <protection hidden="1"/>
    </xf>
    <xf numFmtId="4" fontId="32" fillId="2" borderId="51" xfId="0" applyNumberFormat="1" applyFont="1" applyFill="1" applyBorder="1" applyAlignment="1" applyProtection="1">
      <alignment horizontal="center" vertical="center"/>
      <protection hidden="1"/>
    </xf>
    <xf numFmtId="4" fontId="32" fillId="2" borderId="52" xfId="0" applyNumberFormat="1" applyFont="1" applyFill="1" applyBorder="1" applyAlignment="1" applyProtection="1">
      <alignment horizontal="right" vertical="center"/>
      <protection hidden="1"/>
    </xf>
    <xf numFmtId="0" fontId="52" fillId="5" borderId="96" xfId="0" quotePrefix="1" applyFont="1" applyFill="1" applyBorder="1" applyAlignment="1" applyProtection="1">
      <alignment horizontal="center" vertical="center" wrapText="1"/>
      <protection hidden="1"/>
    </xf>
    <xf numFmtId="9" fontId="52" fillId="5" borderId="96" xfId="0" quotePrefix="1" applyNumberFormat="1" applyFont="1" applyFill="1" applyBorder="1" applyAlignment="1" applyProtection="1">
      <alignment horizontal="center" vertical="center" wrapText="1"/>
      <protection hidden="1"/>
    </xf>
    <xf numFmtId="43" fontId="33" fillId="0" borderId="96" xfId="17"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33" fillId="0" borderId="96" xfId="0" quotePrefix="1" applyNumberFormat="1" applyFont="1" applyFill="1" applyBorder="1" applyAlignment="1" applyProtection="1">
      <alignment horizontal="right" vertical="center" wrapText="1"/>
      <protection hidden="1"/>
    </xf>
    <xf numFmtId="43" fontId="33" fillId="0" borderId="95" xfId="17" applyFont="1" applyFill="1" applyBorder="1" applyAlignment="1" applyProtection="1">
      <alignment horizontal="right" vertical="center" wrapText="1"/>
      <protection hidden="1"/>
    </xf>
    <xf numFmtId="0" fontId="52" fillId="31" borderId="35" xfId="0" quotePrefix="1" applyFont="1" applyFill="1" applyBorder="1" applyAlignment="1" applyProtection="1">
      <alignment horizontal="center" vertical="center" wrapText="1"/>
      <protection hidden="1"/>
    </xf>
    <xf numFmtId="9" fontId="52" fillId="31" borderId="3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3" fillId="0" borderId="100" xfId="17" applyFont="1" applyFill="1" applyBorder="1" applyAlignment="1" applyProtection="1">
      <alignment vertical="center" wrapText="1"/>
      <protection hidden="1"/>
    </xf>
    <xf numFmtId="43" fontId="33" fillId="0" borderId="100" xfId="17" applyFont="1" applyFill="1" applyBorder="1" applyAlignment="1" applyProtection="1">
      <alignment horizontal="center" vertical="center" wrapText="1"/>
      <protection hidden="1"/>
    </xf>
    <xf numFmtId="43" fontId="33" fillId="0" borderId="100" xfId="17" applyFont="1" applyFill="1" applyBorder="1" applyAlignment="1" applyProtection="1">
      <alignment horizontal="right" vertical="center" wrapText="1"/>
      <protection hidden="1"/>
    </xf>
    <xf numFmtId="43" fontId="34" fillId="0" borderId="100" xfId="17" applyFont="1" applyFill="1" applyBorder="1" applyAlignment="1" applyProtection="1">
      <alignment vertical="center" wrapText="1"/>
      <protection hidden="1"/>
    </xf>
    <xf numFmtId="2" fontId="33" fillId="0" borderId="100" xfId="0" quotePrefix="1" applyNumberFormat="1" applyFont="1" applyFill="1" applyBorder="1" applyAlignment="1" applyProtection="1">
      <alignment horizontal="right" vertical="center" wrapText="1"/>
      <protection hidden="1"/>
    </xf>
    <xf numFmtId="43" fontId="33" fillId="0" borderId="63" xfId="17" applyFont="1" applyFill="1" applyBorder="1" applyAlignment="1" applyProtection="1">
      <alignment vertical="center" wrapText="1"/>
      <protection hidden="1"/>
    </xf>
    <xf numFmtId="4" fontId="32" fillId="22" borderId="51" xfId="0" applyNumberFormat="1" applyFont="1" applyFill="1" applyBorder="1" applyAlignment="1" applyProtection="1">
      <alignment vertical="center"/>
      <protection hidden="1"/>
    </xf>
    <xf numFmtId="4" fontId="32" fillId="12"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vertical="center"/>
      <protection hidden="1"/>
    </xf>
    <xf numFmtId="4" fontId="32" fillId="2" borderId="51" xfId="0" applyNumberFormat="1" applyFont="1" applyFill="1" applyBorder="1" applyAlignment="1" applyProtection="1">
      <alignment vertical="center"/>
      <protection hidden="1"/>
    </xf>
    <xf numFmtId="4" fontId="55" fillId="5"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2" fillId="26" borderId="3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2" fillId="2" borderId="0" xfId="0" applyNumberFormat="1" applyFont="1" applyFill="1" applyAlignment="1" applyProtection="1">
      <alignment vertical="center"/>
      <protection hidden="1"/>
    </xf>
    <xf numFmtId="9" fontId="32" fillId="0" borderId="0" xfId="25" applyFont="1" applyAlignment="1" applyProtection="1">
      <alignment vertical="center"/>
      <protection hidden="1"/>
    </xf>
    <xf numFmtId="9" fontId="53" fillId="0" borderId="0" xfId="25" applyFont="1" applyAlignment="1" applyProtection="1">
      <alignment vertical="center"/>
      <protection hidden="1"/>
    </xf>
    <xf numFmtId="164" fontId="32" fillId="0" borderId="0" xfId="0" applyNumberFormat="1" applyFont="1" applyFill="1" applyBorder="1" applyAlignment="1" applyProtection="1">
      <alignment vertical="center"/>
      <protection hidden="1"/>
    </xf>
    <xf numFmtId="43" fontId="32" fillId="0" borderId="0" xfId="0" applyNumberFormat="1" applyFont="1" applyFill="1" applyBorder="1" applyAlignment="1" applyProtection="1">
      <alignment vertical="center"/>
      <protection hidden="1"/>
    </xf>
    <xf numFmtId="173" fontId="32" fillId="0" borderId="0" xfId="0" applyNumberFormat="1" applyFont="1" applyFill="1" applyBorder="1" applyAlignment="1" applyProtection="1">
      <alignment vertical="center"/>
      <protection hidden="1"/>
    </xf>
    <xf numFmtId="43" fontId="32" fillId="0" borderId="0" xfId="25" applyNumberFormat="1" applyFont="1" applyFill="1" applyBorder="1" applyAlignment="1" applyProtection="1">
      <alignment vertical="center"/>
      <protection hidden="1"/>
    </xf>
    <xf numFmtId="41" fontId="32" fillId="0" borderId="0" xfId="31" applyFont="1" applyFill="1" applyBorder="1" applyAlignment="1" applyProtection="1">
      <alignment vertical="center"/>
      <protection hidden="1"/>
    </xf>
    <xf numFmtId="174" fontId="32"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11" fillId="0" borderId="0" xfId="30" applyFont="1"/>
    <xf numFmtId="0" fontId="91" fillId="0" borderId="0" xfId="30" applyFont="1" applyFill="1" applyBorder="1"/>
    <xf numFmtId="4" fontId="20" fillId="24" borderId="0" xfId="30" applyNumberFormat="1" applyFont="1" applyFill="1" applyBorder="1"/>
    <xf numFmtId="4" fontId="56" fillId="2" borderId="2" xfId="0" applyNumberFormat="1" applyFont="1" applyFill="1" applyBorder="1" applyAlignment="1" applyProtection="1">
      <alignment vertical="center"/>
      <protection hidden="1"/>
    </xf>
    <xf numFmtId="43" fontId="32" fillId="2" borderId="0" xfId="17" applyFont="1" applyFill="1" applyAlignment="1" applyProtection="1">
      <alignment vertical="center"/>
      <protection hidden="1"/>
    </xf>
    <xf numFmtId="9" fontId="32"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4"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5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2" fillId="12" borderId="0" xfId="17" applyFont="1" applyFill="1" applyBorder="1" applyAlignment="1" applyProtection="1">
      <alignment horizontal="center" vertical="center"/>
      <protection hidden="1"/>
    </xf>
    <xf numFmtId="4" fontId="95" fillId="24" borderId="2" xfId="0" applyNumberFormat="1" applyFont="1" applyFill="1" applyBorder="1" applyAlignment="1" applyProtection="1">
      <alignment vertical="center"/>
      <protection hidden="1"/>
    </xf>
    <xf numFmtId="0" fontId="32" fillId="14" borderId="0" xfId="0" applyFont="1" applyFill="1" applyAlignment="1" applyProtection="1">
      <alignment vertical="center"/>
      <protection hidden="1"/>
    </xf>
    <xf numFmtId="0" fontId="32" fillId="32" borderId="0" xfId="0" applyFont="1" applyFill="1" applyAlignment="1" applyProtection="1">
      <alignment vertical="center"/>
      <protection hidden="1"/>
    </xf>
    <xf numFmtId="43" fontId="33" fillId="0" borderId="98" xfId="17" applyFont="1" applyFill="1" applyBorder="1" applyAlignment="1" applyProtection="1">
      <alignment horizontal="center" vertical="center" wrapText="1"/>
      <protection hidden="1"/>
    </xf>
    <xf numFmtId="2" fontId="54" fillId="0" borderId="101" xfId="0" applyNumberFormat="1" applyFont="1" applyFill="1" applyBorder="1" applyAlignment="1" applyProtection="1">
      <alignment horizontal="right" vertical="center" wrapText="1"/>
      <protection hidden="1"/>
    </xf>
    <xf numFmtId="167" fontId="32" fillId="12" borderId="0" xfId="17" applyNumberFormat="1" applyFont="1" applyFill="1" applyBorder="1" applyAlignment="1" applyProtection="1">
      <alignment horizontal="left" vertical="center"/>
      <protection hidden="1"/>
    </xf>
    <xf numFmtId="43" fontId="32" fillId="32" borderId="0" xfId="17" applyNumberFormat="1" applyFont="1" applyFill="1" applyBorder="1" applyAlignment="1" applyProtection="1">
      <alignment horizontal="center" vertical="center"/>
      <protection hidden="1"/>
    </xf>
    <xf numFmtId="43" fontId="33" fillId="34" borderId="31" xfId="17" applyNumberFormat="1" applyFont="1" applyFill="1" applyBorder="1" applyAlignment="1" applyProtection="1">
      <alignment horizontal="center" vertical="center" wrapText="1"/>
      <protection hidden="1"/>
    </xf>
    <xf numFmtId="43" fontId="33" fillId="34" borderId="31" xfId="17" applyFont="1" applyFill="1" applyBorder="1" applyAlignment="1" applyProtection="1">
      <alignment vertical="center" wrapText="1"/>
      <protection hidden="1"/>
    </xf>
    <xf numFmtId="43" fontId="33" fillId="34" borderId="31" xfId="17" applyNumberFormat="1" applyFont="1" applyFill="1" applyBorder="1" applyAlignment="1" applyProtection="1">
      <alignment vertical="center" wrapText="1"/>
      <protection hidden="1"/>
    </xf>
    <xf numFmtId="43" fontId="33" fillId="34" borderId="35" xfId="17" applyFont="1" applyFill="1" applyBorder="1" applyAlignment="1" applyProtection="1">
      <alignment horizontal="center" vertical="center" wrapText="1"/>
      <protection hidden="1"/>
    </xf>
    <xf numFmtId="43" fontId="33" fillId="34" borderId="35" xfId="17" applyFont="1" applyFill="1" applyBorder="1" applyAlignment="1" applyProtection="1">
      <alignment horizontal="right" vertical="center" wrapText="1"/>
      <protection hidden="1"/>
    </xf>
    <xf numFmtId="43" fontId="33" fillId="34" borderId="31" xfId="17" applyFont="1" applyFill="1" applyBorder="1" applyAlignment="1" applyProtection="1">
      <alignment horizontal="center" vertical="center" wrapText="1"/>
      <protection hidden="1"/>
    </xf>
    <xf numFmtId="43" fontId="33" fillId="34" borderId="35" xfId="17" applyNumberFormat="1" applyFont="1" applyFill="1" applyBorder="1" applyAlignment="1" applyProtection="1">
      <alignment horizontal="center" vertical="center" wrapText="1"/>
      <protection hidden="1"/>
    </xf>
    <xf numFmtId="43" fontId="33" fillId="34" borderId="47" xfId="17" applyNumberFormat="1" applyFont="1" applyFill="1" applyBorder="1" applyAlignment="1" applyProtection="1">
      <alignment horizontal="center" vertical="center" wrapText="1"/>
      <protection hidden="1"/>
    </xf>
    <xf numFmtId="43" fontId="32" fillId="0" borderId="31" xfId="17" applyFont="1" applyFill="1" applyBorder="1" applyAlignment="1" applyProtection="1">
      <alignment horizontal="right" vertical="center"/>
      <protection hidden="1"/>
    </xf>
    <xf numFmtId="0" fontId="10" fillId="32" borderId="0" xfId="30" applyFont="1" applyFill="1"/>
    <xf numFmtId="171" fontId="99" fillId="0" borderId="55" xfId="17" applyNumberFormat="1" applyFont="1" applyFill="1" applyBorder="1" applyAlignment="1" applyProtection="1">
      <alignment horizontal="center" vertical="center" wrapText="1"/>
      <protection hidden="1"/>
    </xf>
    <xf numFmtId="171" fontId="99"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21" fillId="0" borderId="0" xfId="0" applyFont="1"/>
    <xf numFmtId="0" fontId="21" fillId="0" borderId="0" xfId="0" applyFont="1" applyFill="1" applyBorder="1"/>
    <xf numFmtId="0" fontId="0" fillId="35" borderId="2" xfId="0" applyFill="1" applyBorder="1" applyAlignment="1">
      <alignment horizontal="center"/>
    </xf>
    <xf numFmtId="0" fontId="45"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5" fillId="0" borderId="0" xfId="0" applyFont="1"/>
    <xf numFmtId="0" fontId="45" fillId="0" borderId="104" xfId="0" applyFont="1" applyBorder="1"/>
    <xf numFmtId="0" fontId="0" fillId="0" borderId="104" xfId="0" applyBorder="1"/>
    <xf numFmtId="0" fontId="21" fillId="0" borderId="104" xfId="0" applyFont="1" applyBorder="1"/>
    <xf numFmtId="0" fontId="45" fillId="35" borderId="94" xfId="0" applyFont="1" applyFill="1" applyBorder="1" applyAlignment="1">
      <alignment vertical="center"/>
    </xf>
    <xf numFmtId="0" fontId="21" fillId="0" borderId="105" xfId="0" applyFont="1" applyBorder="1"/>
    <xf numFmtId="0" fontId="21" fillId="0" borderId="105" xfId="0" applyFont="1" applyFill="1" applyBorder="1"/>
    <xf numFmtId="0" fontId="45"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5" fillId="35" borderId="94" xfId="0" applyFont="1" applyFill="1" applyBorder="1" applyAlignment="1">
      <alignment horizontal="center" vertical="center"/>
    </xf>
    <xf numFmtId="0" fontId="0" fillId="0" borderId="105" xfId="0" applyBorder="1" applyAlignment="1">
      <alignment horizontal="center"/>
    </xf>
    <xf numFmtId="0" fontId="45" fillId="35" borderId="89" xfId="0" applyFont="1" applyFill="1" applyBorder="1" applyAlignment="1">
      <alignment horizontal="center"/>
    </xf>
    <xf numFmtId="0" fontId="45" fillId="35" borderId="103" xfId="0" applyFont="1" applyFill="1" applyBorder="1" applyAlignment="1">
      <alignment vertical="center"/>
    </xf>
    <xf numFmtId="0" fontId="21" fillId="37" borderId="105" xfId="0" applyFont="1" applyFill="1" applyBorder="1"/>
    <xf numFmtId="0" fontId="45" fillId="35" borderId="78" xfId="0" applyFont="1" applyFill="1" applyBorder="1" applyAlignment="1">
      <alignment horizontal="center"/>
    </xf>
    <xf numFmtId="0" fontId="45" fillId="35" borderId="79" xfId="0" applyFont="1" applyFill="1" applyBorder="1" applyAlignment="1">
      <alignment horizontal="center"/>
    </xf>
    <xf numFmtId="41" fontId="21"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5" fillId="35" borderId="89" xfId="0" applyFont="1" applyFill="1" applyBorder="1" applyAlignment="1">
      <alignment horizontal="right" indent="1"/>
    </xf>
    <xf numFmtId="0" fontId="45"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2" fillId="32" borderId="0" xfId="0" applyFont="1" applyFill="1" applyBorder="1" applyAlignment="1" applyProtection="1">
      <alignment vertical="center"/>
      <protection hidden="1"/>
    </xf>
    <xf numFmtId="0" fontId="9" fillId="32" borderId="0" xfId="30" applyFont="1" applyFill="1"/>
    <xf numFmtId="2" fontId="32" fillId="32" borderId="0" xfId="0" applyNumberFormat="1" applyFont="1" applyFill="1" applyAlignment="1" applyProtection="1">
      <alignment vertical="center"/>
      <protection hidden="1"/>
    </xf>
    <xf numFmtId="0" fontId="98" fillId="0" borderId="0" xfId="0" applyFont="1"/>
    <xf numFmtId="175" fontId="78" fillId="14" borderId="0" xfId="32" applyNumberFormat="1" applyFont="1" applyFill="1" applyAlignment="1" applyProtection="1">
      <alignment vertical="center"/>
      <protection hidden="1"/>
    </xf>
    <xf numFmtId="167" fontId="32" fillId="39" borderId="0" xfId="17" applyNumberFormat="1" applyFont="1" applyFill="1" applyBorder="1" applyAlignment="1" applyProtection="1">
      <alignment horizontal="left" vertical="center"/>
      <protection hidden="1"/>
    </xf>
    <xf numFmtId="0" fontId="8"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7" fillId="32" borderId="0" xfId="30" applyFont="1" applyFill="1"/>
    <xf numFmtId="10" fontId="0" fillId="32" borderId="2" xfId="25" applyNumberFormat="1" applyFont="1" applyFill="1" applyBorder="1" applyAlignment="1">
      <alignment horizontal="center" vertical="center"/>
    </xf>
    <xf numFmtId="43" fontId="0" fillId="32" borderId="2" xfId="17" applyFont="1" applyFill="1" applyBorder="1" applyAlignment="1">
      <alignment horizontal="center" vertical="center"/>
    </xf>
    <xf numFmtId="43" fontId="21" fillId="32" borderId="2" xfId="17" applyFont="1" applyFill="1" applyBorder="1" applyAlignment="1">
      <alignment horizontal="center" vertical="center"/>
    </xf>
    <xf numFmtId="0" fontId="0" fillId="32" borderId="0" xfId="0" applyFill="1"/>
    <xf numFmtId="0" fontId="21" fillId="32" borderId="0" xfId="0" applyFont="1" applyFill="1"/>
    <xf numFmtId="2" fontId="0" fillId="32" borderId="105" xfId="0" applyNumberFormat="1" applyFill="1" applyBorder="1" applyAlignment="1">
      <alignment horizontal="center"/>
    </xf>
    <xf numFmtId="2" fontId="21" fillId="0" borderId="105" xfId="0" applyNumberFormat="1" applyFont="1" applyFill="1" applyBorder="1" applyAlignment="1">
      <alignment horizontal="center"/>
    </xf>
    <xf numFmtId="0" fontId="0" fillId="32" borderId="2" xfId="0" applyFill="1" applyBorder="1" applyAlignment="1">
      <alignment vertic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1" fillId="0" borderId="0" xfId="0" applyFont="1" applyAlignment="1">
      <alignment vertical="center"/>
    </xf>
    <xf numFmtId="4" fontId="112" fillId="0" borderId="3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0" fontId="59" fillId="12" borderId="0" xfId="0" applyFont="1" applyFill="1" applyBorder="1" applyAlignment="1" applyProtection="1">
      <alignment horizontal="justify" vertical="top" wrapText="1"/>
      <protection hidden="1"/>
    </xf>
    <xf numFmtId="167" fontId="32" fillId="32" borderId="0" xfId="17" applyNumberFormat="1" applyFont="1" applyFill="1" applyBorder="1" applyAlignment="1" applyProtection="1">
      <alignment horizontal="center"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Border="1" applyAlignment="1" applyProtection="1">
      <alignment vertical="top" wrapText="1"/>
      <protection hidden="1"/>
    </xf>
    <xf numFmtId="41" fontId="20" fillId="0" borderId="0" xfId="31" applyFont="1"/>
    <xf numFmtId="9" fontId="0" fillId="0" borderId="0" xfId="25" applyFont="1" applyAlignment="1">
      <alignment vertical="center"/>
    </xf>
    <xf numFmtId="0" fontId="6"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3" fillId="0" borderId="55" xfId="17" applyFont="1" applyFill="1" applyBorder="1" applyAlignment="1" applyProtection="1">
      <alignment vertical="center" wrapText="1"/>
      <protection hidden="1"/>
    </xf>
    <xf numFmtId="167" fontId="32" fillId="12" borderId="0" xfId="0" applyNumberFormat="1" applyFont="1" applyFill="1" applyBorder="1" applyAlignment="1" applyProtection="1">
      <alignment vertical="center"/>
      <protection hidden="1"/>
    </xf>
    <xf numFmtId="43" fontId="33" fillId="0" borderId="44" xfId="17" applyFont="1" applyFill="1" applyBorder="1" applyAlignment="1" applyProtection="1">
      <alignment vertical="center" wrapText="1"/>
      <protection hidden="1"/>
    </xf>
    <xf numFmtId="0" fontId="33" fillId="0" borderId="0" xfId="0" applyFont="1" applyAlignment="1" applyProtection="1">
      <alignment vertical="center"/>
      <protection hidden="1"/>
    </xf>
    <xf numFmtId="44" fontId="32" fillId="0" borderId="0" xfId="34" applyFont="1" applyFill="1" applyBorder="1" applyAlignment="1" applyProtection="1">
      <alignment vertical="center"/>
      <protection hidden="1"/>
    </xf>
    <xf numFmtId="2" fontId="32" fillId="12" borderId="0" xfId="0" applyNumberFormat="1" applyFont="1" applyFill="1" applyBorder="1" applyAlignment="1" applyProtection="1">
      <alignment vertical="center"/>
      <protection hidden="1"/>
    </xf>
    <xf numFmtId="3" fontId="32" fillId="2" borderId="34" xfId="0" applyNumberFormat="1" applyFont="1" applyFill="1" applyBorder="1" applyAlignment="1" applyProtection="1">
      <alignment horizontal="right" vertical="center"/>
      <protection hidden="1"/>
    </xf>
    <xf numFmtId="3" fontId="32" fillId="0" borderId="34" xfId="0" applyNumberFormat="1" applyFont="1" applyFill="1" applyBorder="1" applyAlignment="1" applyProtection="1">
      <alignment horizontal="right" vertical="center"/>
      <protection hidden="1"/>
    </xf>
    <xf numFmtId="3" fontId="32" fillId="0" borderId="52" xfId="0" applyNumberFormat="1" applyFont="1" applyFill="1" applyBorder="1" applyAlignment="1" applyProtection="1">
      <alignment horizontal="right" vertical="center"/>
      <protection hidden="1"/>
    </xf>
    <xf numFmtId="177" fontId="32" fillId="0" borderId="0" xfId="34" applyNumberFormat="1" applyFont="1" applyBorder="1" applyAlignment="1" applyProtection="1">
      <alignment vertical="center"/>
      <protection hidden="1"/>
    </xf>
    <xf numFmtId="178" fontId="33" fillId="0" borderId="31" xfId="17" applyNumberFormat="1" applyFont="1" applyFill="1" applyBorder="1" applyAlignment="1" applyProtection="1">
      <alignment vertical="center" wrapText="1"/>
      <protection hidden="1"/>
    </xf>
    <xf numFmtId="0" fontId="5" fillId="24" borderId="0" xfId="30" applyFont="1" applyFill="1"/>
    <xf numFmtId="178" fontId="33" fillId="13" borderId="39" xfId="17" applyNumberFormat="1" applyFont="1" applyFill="1" applyBorder="1" applyAlignment="1" applyProtection="1">
      <alignment horizontal="center" vertical="center" wrapText="1"/>
      <protection hidden="1"/>
    </xf>
    <xf numFmtId="0" fontId="118" fillId="0" borderId="0" xfId="0" applyFont="1" applyFill="1" applyBorder="1" applyAlignment="1" applyProtection="1">
      <alignment vertical="center"/>
      <protection hidden="1"/>
    </xf>
    <xf numFmtId="43" fontId="118" fillId="0" borderId="0" xfId="0" applyNumberFormat="1" applyFont="1" applyFill="1" applyBorder="1" applyAlignment="1" applyProtection="1">
      <alignment vertical="center"/>
      <protection hidden="1"/>
    </xf>
    <xf numFmtId="0" fontId="118" fillId="12" borderId="0" xfId="0" applyFont="1" applyFill="1" applyBorder="1" applyAlignment="1" applyProtection="1">
      <alignment vertical="center"/>
      <protection hidden="1"/>
    </xf>
    <xf numFmtId="0" fontId="12" fillId="0" borderId="0" xfId="30" applyFont="1" applyFill="1"/>
    <xf numFmtId="0" fontId="15" fillId="0" borderId="0" xfId="30" applyFont="1" applyFill="1"/>
    <xf numFmtId="0" fontId="4" fillId="40" borderId="0" xfId="30" applyFont="1" applyFill="1"/>
    <xf numFmtId="43" fontId="91" fillId="40" borderId="0" xfId="30" applyNumberFormat="1" applyFont="1" applyFill="1" applyBorder="1"/>
    <xf numFmtId="43" fontId="20" fillId="40" borderId="0" xfId="30" applyNumberFormat="1" applyFont="1" applyFill="1" applyBorder="1"/>
    <xf numFmtId="0" fontId="91" fillId="0" borderId="0" xfId="30" applyFont="1" applyFill="1"/>
    <xf numFmtId="0" fontId="91" fillId="33" borderId="2" xfId="30" applyFont="1" applyFill="1" applyBorder="1"/>
    <xf numFmtId="0" fontId="91" fillId="13" borderId="2" xfId="30" applyFont="1" applyFill="1" applyBorder="1"/>
    <xf numFmtId="0" fontId="119" fillId="0" borderId="2" xfId="30" applyFont="1" applyFill="1" applyBorder="1"/>
    <xf numFmtId="0" fontId="120" fillId="0" borderId="0" xfId="30" applyFont="1" applyAlignment="1">
      <alignment horizontal="center" vertical="center"/>
    </xf>
    <xf numFmtId="0" fontId="121" fillId="0" borderId="0" xfId="30" applyFont="1" applyAlignment="1">
      <alignment horizontal="center" vertical="center"/>
    </xf>
    <xf numFmtId="43" fontId="20" fillId="40" borderId="93" xfId="30" applyNumberFormat="1" applyFont="1" applyFill="1" applyBorder="1"/>
    <xf numFmtId="43" fontId="91" fillId="40" borderId="93" xfId="30" applyNumberFormat="1" applyFont="1" applyFill="1" applyBorder="1"/>
    <xf numFmtId="0" fontId="122" fillId="0" borderId="106" xfId="30" applyFont="1" applyFill="1" applyBorder="1"/>
    <xf numFmtId="0" fontId="122" fillId="14" borderId="106" xfId="30" applyFont="1" applyFill="1" applyBorder="1" applyAlignment="1">
      <alignment horizontal="center"/>
    </xf>
    <xf numFmtId="0" fontId="122" fillId="14" borderId="106" xfId="30" applyFont="1" applyFill="1" applyBorder="1" applyAlignment="1">
      <alignment horizontal="left"/>
    </xf>
    <xf numFmtId="0" fontId="122" fillId="0" borderId="106" xfId="30" applyFont="1" applyBorder="1" applyAlignment="1">
      <alignment horizontal="left"/>
    </xf>
    <xf numFmtId="0" fontId="120"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3" fillId="18" borderId="0" xfId="30" applyFont="1" applyFill="1" applyAlignment="1">
      <alignment horizontal="center" vertical="center"/>
    </xf>
    <xf numFmtId="0" fontId="122" fillId="0" borderId="107" xfId="30" applyFont="1" applyFill="1" applyBorder="1"/>
    <xf numFmtId="0" fontId="122" fillId="14" borderId="107" xfId="30" applyFont="1" applyFill="1" applyBorder="1" applyAlignment="1">
      <alignment horizontal="center"/>
    </xf>
    <xf numFmtId="0" fontId="122" fillId="0" borderId="107" xfId="30" applyFont="1" applyBorder="1" applyAlignment="1">
      <alignment horizontal="left"/>
    </xf>
    <xf numFmtId="0" fontId="119" fillId="0" borderId="106" xfId="30" applyFont="1" applyFill="1" applyBorder="1"/>
    <xf numFmtId="0" fontId="119" fillId="14" borderId="106" xfId="30" applyFont="1" applyFill="1" applyBorder="1" applyAlignment="1">
      <alignment horizontal="center"/>
    </xf>
    <xf numFmtId="43" fontId="119" fillId="0" borderId="106" xfId="30" applyNumberFormat="1" applyFont="1" applyFill="1" applyBorder="1"/>
    <xf numFmtId="0" fontId="119" fillId="14" borderId="106" xfId="30" applyFont="1" applyFill="1" applyBorder="1" applyAlignment="1">
      <alignment horizontal="left"/>
    </xf>
    <xf numFmtId="43" fontId="20" fillId="41" borderId="2" xfId="30" applyNumberFormat="1" applyFont="1" applyFill="1" applyBorder="1"/>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52" fillId="5" borderId="5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2" borderId="0" xfId="17" applyNumberFormat="1" applyFont="1" applyFill="1" applyBorder="1" applyAlignment="1" applyProtection="1">
      <alignment horizontal="center" vertical="center"/>
      <protection hidden="1"/>
    </xf>
    <xf numFmtId="0" fontId="59" fillId="2" borderId="0" xfId="0" applyFont="1" applyFill="1" applyAlignment="1" applyProtection="1">
      <alignment horizontal="left" vertical="center"/>
      <protection hidden="1"/>
    </xf>
    <xf numFmtId="0" fontId="129" fillId="12" borderId="0" xfId="0" applyFont="1" applyFill="1" applyBorder="1" applyAlignment="1" applyProtection="1">
      <alignment vertical="center"/>
      <protection hidden="1"/>
    </xf>
    <xf numFmtId="0" fontId="57" fillId="6" borderId="0" xfId="0"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167" fontId="32" fillId="43" borderId="0" xfId="17" applyNumberFormat="1" applyFont="1" applyFill="1" applyBorder="1" applyAlignment="1" applyProtection="1">
      <alignment horizontal="center" vertical="center"/>
      <protection hidden="1"/>
    </xf>
    <xf numFmtId="167" fontId="32" fillId="14" borderId="0" xfId="17" applyNumberFormat="1" applyFont="1" applyFill="1" applyBorder="1" applyAlignment="1" applyProtection="1">
      <alignment horizontal="center" vertical="center"/>
      <protection hidden="1"/>
    </xf>
    <xf numFmtId="0" fontId="3" fillId="24" borderId="0" xfId="30" applyFont="1" applyFill="1"/>
    <xf numFmtId="0" fontId="66" fillId="6" borderId="0" xfId="0" applyFont="1" applyFill="1" applyBorder="1" applyAlignment="1" applyProtection="1">
      <alignment horizontal="center" vertical="center" wrapText="1"/>
      <protection hidden="1"/>
    </xf>
    <xf numFmtId="167" fontId="33" fillId="13" borderId="0" xfId="17" applyNumberFormat="1" applyFont="1" applyFill="1" applyBorder="1" applyAlignment="1" applyProtection="1">
      <alignment horizontal="center" vertical="center" wrapText="1"/>
      <protection hidden="1"/>
    </xf>
    <xf numFmtId="4" fontId="32" fillId="0" borderId="38"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33" fillId="0" borderId="37" xfId="0" applyNumberFormat="1" applyFont="1" applyBorder="1" applyAlignment="1" applyProtection="1">
      <alignment horizontal="center" vertical="center"/>
      <protection hidden="1"/>
    </xf>
    <xf numFmtId="4" fontId="32" fillId="0" borderId="31" xfId="0" applyNumberFormat="1" applyFont="1" applyBorder="1" applyAlignment="1" applyProtection="1">
      <alignment horizontal="right" vertical="center"/>
      <protection hidden="1"/>
    </xf>
    <xf numFmtId="43" fontId="32" fillId="2" borderId="2" xfId="0" applyNumberFormat="1" applyFont="1" applyFill="1" applyBorder="1" applyAlignment="1" applyProtection="1">
      <alignment vertical="center"/>
      <protection hidden="1"/>
    </xf>
    <xf numFmtId="43" fontId="33" fillId="0" borderId="42" xfId="17" applyFont="1" applyFill="1" applyBorder="1" applyAlignment="1" applyProtection="1">
      <alignment vertical="center" wrapText="1"/>
      <protection hidden="1"/>
    </xf>
    <xf numFmtId="0" fontId="2" fillId="24" borderId="0" xfId="30" applyFont="1" applyFill="1"/>
    <xf numFmtId="171" fontId="33"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80" fillId="0" borderId="0" xfId="21" applyFont="1" applyAlignment="1" applyProtection="1">
      <alignment horizontal="left"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Alignment="1" applyProtection="1">
      <alignment horizontal="left" vertical="top" wrapText="1"/>
      <protection hidden="1"/>
    </xf>
    <xf numFmtId="0" fontId="32" fillId="43" borderId="0" xfId="0" applyFont="1" applyFill="1" applyAlignment="1" applyProtection="1">
      <alignment vertical="center"/>
      <protection hidden="1"/>
    </xf>
    <xf numFmtId="176" fontId="32" fillId="43" borderId="0" xfId="0" applyNumberFormat="1" applyFont="1" applyFill="1" applyAlignment="1" applyProtection="1">
      <alignment vertical="center"/>
      <protection hidden="1"/>
    </xf>
    <xf numFmtId="0" fontId="0" fillId="43" borderId="0" xfId="0" applyFill="1"/>
    <xf numFmtId="0" fontId="51" fillId="43" borderId="0" xfId="0" applyFont="1" applyFill="1" applyAlignment="1" applyProtection="1">
      <alignment horizontal="centerContinuous" vertical="center"/>
      <protection hidden="1"/>
    </xf>
    <xf numFmtId="0" fontId="32" fillId="14" borderId="0" xfId="0" applyFont="1" applyFill="1" applyBorder="1" applyAlignment="1" applyProtection="1">
      <alignment vertical="center"/>
      <protection hidden="1"/>
    </xf>
    <xf numFmtId="4" fontId="32" fillId="14" borderId="38" xfId="0" applyNumberFormat="1" applyFont="1" applyFill="1" applyBorder="1" applyAlignment="1" applyProtection="1">
      <alignment horizontal="center" vertical="center"/>
      <protection hidden="1"/>
    </xf>
    <xf numFmtId="4" fontId="32" fillId="14" borderId="35" xfId="0" applyNumberFormat="1" applyFont="1" applyFill="1" applyBorder="1" applyAlignment="1" applyProtection="1">
      <alignment horizontal="center" vertical="center"/>
      <protection hidden="1"/>
    </xf>
    <xf numFmtId="4" fontId="32" fillId="14" borderId="31" xfId="0" applyNumberFormat="1" applyFont="1" applyFill="1" applyBorder="1" applyAlignment="1" applyProtection="1">
      <alignment vertical="center"/>
      <protection hidden="1"/>
    </xf>
    <xf numFmtId="0" fontId="62" fillId="0" borderId="0" xfId="0" applyFont="1" applyFill="1" applyBorder="1" applyAlignment="1" applyProtection="1">
      <alignment vertical="center" wrapText="1"/>
      <protection hidden="1"/>
    </xf>
    <xf numFmtId="0" fontId="62" fillId="14" borderId="0" xfId="0" applyFont="1" applyFill="1" applyBorder="1" applyAlignment="1" applyProtection="1">
      <alignment vertical="center" wrapText="1"/>
      <protection hidden="1"/>
    </xf>
    <xf numFmtId="43" fontId="32" fillId="14" borderId="0" xfId="0" applyNumberFormat="1" applyFont="1" applyFill="1" applyAlignment="1" applyProtection="1">
      <alignment vertical="center"/>
      <protection hidden="1"/>
    </xf>
    <xf numFmtId="4" fontId="32" fillId="14" borderId="35" xfId="0" applyNumberFormat="1" applyFont="1" applyFill="1" applyBorder="1" applyAlignment="1" applyProtection="1">
      <alignment vertical="center"/>
      <protection hidden="1"/>
    </xf>
    <xf numFmtId="4" fontId="56" fillId="14" borderId="31" xfId="0" applyNumberFormat="1" applyFont="1" applyFill="1" applyBorder="1" applyAlignment="1" applyProtection="1">
      <alignment vertical="center"/>
      <protection hidden="1"/>
    </xf>
    <xf numFmtId="0" fontId="56" fillId="14" borderId="0" xfId="0" applyFont="1" applyFill="1" applyBorder="1" applyAlignment="1" applyProtection="1">
      <alignment vertical="center"/>
      <protection hidden="1"/>
    </xf>
    <xf numFmtId="176" fontId="32" fillId="12" borderId="0" xfId="0" applyNumberFormat="1" applyFont="1" applyFill="1" applyAlignment="1" applyProtection="1">
      <alignment vertical="center"/>
      <protection hidden="1"/>
    </xf>
    <xf numFmtId="0" fontId="51" fillId="12" borderId="0" xfId="0" applyFont="1" applyFill="1" applyAlignment="1" applyProtection="1">
      <alignment horizontal="centerContinuous" vertical="center"/>
      <protection hidden="1"/>
    </xf>
    <xf numFmtId="0" fontId="0" fillId="12" borderId="0" xfId="0" applyFill="1"/>
    <xf numFmtId="0" fontId="1" fillId="24" borderId="0" xfId="30" applyFont="1" applyFill="1"/>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20" fillId="0" borderId="2" xfId="30" applyFont="1" applyBorder="1" applyAlignment="1">
      <alignment horizontal="left"/>
    </xf>
    <xf numFmtId="0" fontId="20" fillId="28" borderId="2" xfId="30" applyFont="1" applyFill="1" applyBorder="1" applyAlignment="1">
      <alignment horizontal="left"/>
    </xf>
    <xf numFmtId="0" fontId="20" fillId="0" borderId="88" xfId="30" applyFont="1" applyBorder="1" applyAlignment="1">
      <alignment horizontal="center"/>
    </xf>
    <xf numFmtId="0" fontId="20" fillId="0" borderId="92" xfId="30" applyFont="1" applyBorder="1" applyAlignment="1">
      <alignment horizontal="center"/>
    </xf>
    <xf numFmtId="0" fontId="20" fillId="0" borderId="93" xfId="30" applyFont="1" applyBorder="1" applyAlignment="1">
      <alignment horizontal="center"/>
    </xf>
    <xf numFmtId="0" fontId="20" fillId="0" borderId="91" xfId="30" applyFont="1" applyBorder="1" applyAlignment="1">
      <alignment horizontal="left"/>
    </xf>
    <xf numFmtId="0" fontId="20" fillId="0" borderId="2" xfId="30" applyFont="1" applyBorder="1" applyAlignment="1">
      <alignment horizontal="center"/>
    </xf>
    <xf numFmtId="0" fontId="20" fillId="0" borderId="88" xfId="30" applyFont="1" applyBorder="1" applyAlignment="1">
      <alignment horizontal="left"/>
    </xf>
    <xf numFmtId="0" fontId="20" fillId="0" borderId="92" xfId="30" applyFont="1" applyBorder="1" applyAlignment="1">
      <alignment horizontal="left"/>
    </xf>
    <xf numFmtId="0" fontId="20" fillId="0" borderId="93" xfId="30" applyFont="1" applyBorder="1" applyAlignment="1">
      <alignment horizontal="left"/>
    </xf>
    <xf numFmtId="0" fontId="122" fillId="28" borderId="106" xfId="30" applyFont="1" applyFill="1" applyBorder="1" applyAlignment="1">
      <alignment horizontal="left"/>
    </xf>
    <xf numFmtId="0" fontId="20" fillId="27" borderId="2" xfId="30" applyFont="1" applyFill="1" applyBorder="1" applyAlignment="1">
      <alignment horizontal="left"/>
    </xf>
    <xf numFmtId="0" fontId="122" fillId="0" borderId="106" xfId="30" applyFont="1" applyBorder="1" applyAlignment="1">
      <alignment horizontal="center"/>
    </xf>
    <xf numFmtId="0" fontId="119" fillId="0" borderId="106" xfId="30" applyFont="1" applyBorder="1" applyAlignment="1">
      <alignment horizontal="left"/>
    </xf>
    <xf numFmtId="0" fontId="20" fillId="28" borderId="94" xfId="30" applyFont="1" applyFill="1" applyBorder="1" applyAlignment="1">
      <alignment horizontal="left"/>
    </xf>
    <xf numFmtId="0" fontId="119" fillId="28" borderId="106" xfId="30" applyFont="1" applyFill="1" applyBorder="1" applyAlignment="1">
      <alignment horizontal="left"/>
    </xf>
    <xf numFmtId="0" fontId="122" fillId="0" borderId="107" xfId="30" applyFont="1" applyBorder="1" applyAlignment="1">
      <alignment horizontal="center"/>
    </xf>
    <xf numFmtId="0" fontId="20" fillId="0" borderId="2" xfId="30" applyFont="1" applyFill="1" applyBorder="1" applyAlignment="1">
      <alignment horizontal="left"/>
    </xf>
    <xf numFmtId="0" fontId="15" fillId="0" borderId="81" xfId="30" applyFont="1" applyBorder="1" applyAlignment="1">
      <alignment horizontal="center"/>
    </xf>
    <xf numFmtId="0" fontId="15" fillId="0" borderId="82" xfId="30" applyFont="1" applyBorder="1" applyAlignment="1">
      <alignment horizontal="center"/>
    </xf>
    <xf numFmtId="0" fontId="20" fillId="28" borderId="88" xfId="30" applyFont="1" applyFill="1" applyBorder="1" applyAlignment="1">
      <alignment horizontal="left"/>
    </xf>
    <xf numFmtId="0" fontId="20" fillId="28" borderId="92" xfId="30" applyFont="1" applyFill="1" applyBorder="1" applyAlignment="1">
      <alignment horizontal="left"/>
    </xf>
    <xf numFmtId="0" fontId="20" fillId="28" borderId="93" xfId="30" applyFont="1" applyFill="1" applyBorder="1" applyAlignment="1">
      <alignment horizontal="left"/>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21" fillId="0" borderId="78" xfId="21" applyBorder="1" applyAlignment="1">
      <alignment horizontal="center"/>
    </xf>
    <xf numFmtId="0" fontId="21" fillId="0" borderId="79" xfId="21" applyBorder="1" applyAlignment="1">
      <alignment horizontal="center"/>
    </xf>
    <xf numFmtId="0" fontId="21" fillId="0" borderId="80" xfId="21" applyBorder="1" applyAlignment="1">
      <alignment horizontal="center"/>
    </xf>
    <xf numFmtId="0" fontId="21" fillId="0" borderId="81" xfId="21" applyBorder="1" applyAlignment="1">
      <alignment horizontal="center"/>
    </xf>
    <xf numFmtId="0" fontId="21" fillId="0" borderId="0" xfId="21" applyBorder="1" applyAlignment="1">
      <alignment horizontal="center"/>
    </xf>
    <xf numFmtId="0" fontId="21" fillId="0" borderId="4" xfId="21" applyBorder="1" applyAlignment="1">
      <alignment horizontal="center"/>
    </xf>
    <xf numFmtId="0" fontId="21" fillId="0" borderId="82" xfId="21" applyBorder="1" applyAlignment="1">
      <alignment horizontal="center"/>
    </xf>
    <xf numFmtId="0" fontId="21" fillId="0" borderId="83" xfId="21" applyBorder="1" applyAlignment="1">
      <alignment horizontal="center"/>
    </xf>
    <xf numFmtId="0" fontId="21" fillId="0" borderId="84" xfId="21" applyBorder="1" applyAlignment="1">
      <alignment horizontal="center"/>
    </xf>
    <xf numFmtId="0" fontId="43" fillId="2" borderId="2" xfId="21" applyFont="1" applyFill="1" applyBorder="1" applyAlignment="1">
      <alignment horizontal="center"/>
    </xf>
    <xf numFmtId="0" fontId="43" fillId="2" borderId="77" xfId="21" applyFont="1" applyFill="1" applyBorder="1" applyAlignment="1">
      <alignment horizontal="center"/>
    </xf>
    <xf numFmtId="0" fontId="21" fillId="0" borderId="86" xfId="21" applyBorder="1" applyAlignment="1">
      <alignment horizontal="center"/>
    </xf>
    <xf numFmtId="0" fontId="21" fillId="0" borderId="87" xfId="21" applyBorder="1" applyAlignment="1">
      <alignment horizontal="center"/>
    </xf>
    <xf numFmtId="0" fontId="45" fillId="23" borderId="8" xfId="21" applyFont="1" applyFill="1" applyBorder="1" applyAlignment="1">
      <alignment horizontal="center"/>
    </xf>
    <xf numFmtId="0" fontId="45" fillId="23" borderId="9" xfId="21" applyFont="1" applyFill="1" applyBorder="1" applyAlignment="1">
      <alignment horizontal="center"/>
    </xf>
    <xf numFmtId="0" fontId="45" fillId="23" borderId="15" xfId="21" applyFont="1" applyFill="1" applyBorder="1" applyAlignment="1">
      <alignment horizontal="center"/>
    </xf>
    <xf numFmtId="0" fontId="45" fillId="23" borderId="5" xfId="21" applyFont="1" applyFill="1" applyBorder="1" applyAlignment="1">
      <alignment horizontal="center" vertical="center" wrapText="1"/>
    </xf>
    <xf numFmtId="0" fontId="45" fillId="23" borderId="6" xfId="21" applyFont="1" applyFill="1" applyBorder="1" applyAlignment="1">
      <alignment horizontal="center" vertical="center" wrapText="1"/>
    </xf>
    <xf numFmtId="0" fontId="45" fillId="23" borderId="11" xfId="21" applyFont="1" applyFill="1" applyBorder="1" applyAlignment="1">
      <alignment horizontal="center" vertical="center" wrapText="1"/>
    </xf>
    <xf numFmtId="0" fontId="45" fillId="23" borderId="13" xfId="21" applyFont="1" applyFill="1" applyBorder="1" applyAlignment="1">
      <alignment horizontal="center" vertical="center" wrapText="1"/>
    </xf>
    <xf numFmtId="10" fontId="45" fillId="23" borderId="3" xfId="26" applyNumberFormat="1" applyFont="1" applyFill="1" applyBorder="1" applyAlignment="1">
      <alignment horizontal="center" vertical="center"/>
    </xf>
    <xf numFmtId="10" fontId="45" fillId="23" borderId="12" xfId="26" applyNumberFormat="1" applyFont="1" applyFill="1" applyBorder="1" applyAlignment="1">
      <alignment horizontal="center" vertical="center"/>
    </xf>
    <xf numFmtId="0" fontId="43" fillId="2" borderId="75" xfId="21" applyFont="1" applyFill="1" applyBorder="1" applyAlignment="1">
      <alignment horizontal="center"/>
    </xf>
    <xf numFmtId="0" fontId="43" fillId="2" borderId="76" xfId="21" applyFont="1" applyFill="1" applyBorder="1" applyAlignment="1">
      <alignment horizontal="center"/>
    </xf>
    <xf numFmtId="0" fontId="45" fillId="12" borderId="0"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68" fillId="0" borderId="0" xfId="21" applyFont="1" applyAlignment="1">
      <alignment horizontal="justify" wrapText="1"/>
    </xf>
    <xf numFmtId="0" fontId="45" fillId="12" borderId="13"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0" fontId="69" fillId="0" borderId="0" xfId="21" applyFont="1" applyAlignment="1">
      <alignment horizontal="left"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45" fillId="35" borderId="0" xfId="0" applyFont="1" applyFill="1" applyBorder="1" applyAlignment="1">
      <alignment horizontal="center"/>
    </xf>
    <xf numFmtId="0" fontId="45" fillId="35" borderId="102" xfId="0" applyFont="1" applyFill="1" applyBorder="1" applyAlignment="1">
      <alignment horizontal="center"/>
    </xf>
    <xf numFmtId="0" fontId="45" fillId="35" borderId="2" xfId="0" applyFont="1" applyFill="1" applyBorder="1" applyAlignment="1">
      <alignment horizontal="center"/>
    </xf>
    <xf numFmtId="0" fontId="45" fillId="0" borderId="0" xfId="0" applyFont="1" applyFill="1" applyBorder="1" applyAlignment="1">
      <alignment horizontal="center"/>
    </xf>
    <xf numFmtId="0" fontId="45" fillId="35" borderId="93" xfId="0" applyFont="1" applyFill="1" applyBorder="1" applyAlignment="1">
      <alignment horizontal="center"/>
    </xf>
    <xf numFmtId="0" fontId="57" fillId="6" borderId="0" xfId="0" applyFont="1" applyFill="1" applyBorder="1" applyAlignment="1" applyProtection="1">
      <alignment horizontal="center" vertical="center"/>
      <protection hidden="1"/>
    </xf>
    <xf numFmtId="0" fontId="34" fillId="2" borderId="0" xfId="0" applyFont="1" applyFill="1" applyBorder="1" applyAlignment="1" applyProtection="1">
      <alignment horizontal="left" vertical="center" wrapText="1"/>
      <protection hidden="1"/>
    </xf>
    <xf numFmtId="0" fontId="34"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57" xfId="0" applyFont="1" applyFill="1" applyBorder="1" applyAlignment="1" applyProtection="1">
      <alignment horizontal="center" vertical="center" wrapText="1"/>
      <protection hidden="1"/>
    </xf>
    <xf numFmtId="0" fontId="52" fillId="5" borderId="58" xfId="0" applyFont="1" applyFill="1" applyBorder="1" applyAlignment="1" applyProtection="1">
      <alignment horizontal="center" vertical="center" wrapText="1"/>
      <protection hidden="1"/>
    </xf>
    <xf numFmtId="0" fontId="52" fillId="5" borderId="54" xfId="0" quotePrefix="1" applyFont="1" applyFill="1" applyBorder="1" applyAlignment="1" applyProtection="1">
      <alignment horizontal="center" vertical="center" wrapText="1"/>
      <protection hidden="1"/>
    </xf>
    <xf numFmtId="0" fontId="52" fillId="5" borderId="42" xfId="0" quotePrefix="1" applyFont="1" applyFill="1" applyBorder="1" applyAlignment="1" applyProtection="1">
      <alignment horizontal="center" vertical="center" wrapText="1"/>
      <protection hidden="1"/>
    </xf>
    <xf numFmtId="0" fontId="52" fillId="5" borderId="55" xfId="0" applyFont="1" applyFill="1" applyBorder="1" applyAlignment="1" applyProtection="1">
      <alignment horizontal="center" vertical="center" wrapText="1"/>
      <protection hidden="1"/>
    </xf>
    <xf numFmtId="0" fontId="52" fillId="5" borderId="56" xfId="0" applyFont="1" applyFill="1" applyBorder="1" applyAlignment="1" applyProtection="1">
      <alignment horizontal="center" vertical="center" wrapText="1"/>
      <protection hidden="1"/>
    </xf>
    <xf numFmtId="0" fontId="52" fillId="5" borderId="62" xfId="0" applyFont="1" applyFill="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34" fillId="2" borderId="0" xfId="0" applyFont="1" applyFill="1" applyBorder="1" applyAlignment="1" applyProtection="1">
      <alignment horizontal="center" vertical="center" wrapText="1"/>
      <protection hidden="1"/>
    </xf>
    <xf numFmtId="0" fontId="34"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72" fillId="15" borderId="4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57" fillId="6" borderId="61" xfId="0" applyFont="1" applyFill="1" applyBorder="1" applyAlignment="1" applyProtection="1">
      <alignment horizontal="center" vertical="center"/>
      <protection hidden="1"/>
    </xf>
    <xf numFmtId="0" fontId="57" fillId="6" borderId="62" xfId="0" applyFont="1" applyFill="1" applyBorder="1" applyAlignment="1" applyProtection="1">
      <alignment horizontal="center" vertical="center"/>
      <protection hidden="1"/>
    </xf>
    <xf numFmtId="0" fontId="52" fillId="5" borderId="59" xfId="0" quotePrefix="1" applyFont="1" applyFill="1" applyBorder="1" applyAlignment="1" applyProtection="1">
      <alignment horizontal="center" vertical="center" wrapText="1"/>
      <protection hidden="1"/>
    </xf>
    <xf numFmtId="0" fontId="52" fillId="5" borderId="6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center" vertical="top" wrapText="1"/>
      <protection hidden="1"/>
    </xf>
    <xf numFmtId="0" fontId="59" fillId="0" borderId="0" xfId="0" applyFont="1" applyBorder="1" applyAlignment="1" applyProtection="1">
      <alignment horizontal="left" vertical="top"/>
      <protection hidden="1"/>
    </xf>
    <xf numFmtId="0" fontId="66" fillId="15" borderId="4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61" xfId="0" applyFont="1" applyFill="1" applyBorder="1" applyAlignment="1" applyProtection="1">
      <alignment horizontal="center" vertical="center" wrapText="1"/>
      <protection hidden="1"/>
    </xf>
    <xf numFmtId="0" fontId="66" fillId="15" borderId="62" xfId="0" applyFont="1" applyFill="1" applyBorder="1" applyAlignment="1" applyProtection="1">
      <alignment horizontal="center" vertical="center" wrapText="1"/>
      <protection hidden="1"/>
    </xf>
    <xf numFmtId="0" fontId="52" fillId="31" borderId="59" xfId="0" quotePrefix="1" applyFont="1" applyFill="1" applyBorder="1" applyAlignment="1" applyProtection="1">
      <alignment horizontal="center" vertical="center" wrapText="1"/>
      <protection hidden="1"/>
    </xf>
    <xf numFmtId="0" fontId="52" fillId="31" borderId="42" xfId="0" quotePrefix="1"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7" fillId="6" borderId="64" xfId="0" applyFont="1" applyFill="1" applyBorder="1" applyAlignment="1" applyProtection="1">
      <alignment horizontal="center" vertical="center" wrapText="1"/>
      <protection hidden="1"/>
    </xf>
    <xf numFmtId="0" fontId="57" fillId="6" borderId="65" xfId="0" applyFont="1" applyFill="1" applyBorder="1" applyAlignment="1" applyProtection="1">
      <alignment horizontal="center" vertical="center" wrapText="1"/>
      <protection hidden="1"/>
    </xf>
    <xf numFmtId="0" fontId="66" fillId="6" borderId="69" xfId="0" applyFont="1" applyFill="1" applyBorder="1" applyAlignment="1" applyProtection="1">
      <alignment horizontal="center" vertical="center" wrapText="1"/>
      <protection hidden="1"/>
    </xf>
    <xf numFmtId="0" fontId="66" fillId="6" borderId="70"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71" xfId="0" applyFont="1" applyFill="1" applyBorder="1" applyAlignment="1" applyProtection="1">
      <alignment horizontal="center" vertical="center" wrapText="1"/>
      <protection hidden="1"/>
    </xf>
    <xf numFmtId="0" fontId="52" fillId="5" borderId="4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57" fillId="6" borderId="0"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9" fillId="2" borderId="0" xfId="0" applyNumberFormat="1" applyFont="1" applyFill="1" applyAlignment="1" applyProtection="1">
      <alignment horizontal="justify" vertical="center" wrapText="1"/>
      <protection hidden="1"/>
    </xf>
    <xf numFmtId="166" fontId="113" fillId="2" borderId="0" xfId="24" applyFont="1" applyFill="1" applyAlignment="1" applyProtection="1">
      <alignment horizontal="center" vertical="center"/>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9" fillId="12" borderId="0" xfId="0" applyFont="1" applyFill="1" applyBorder="1" applyAlignment="1" applyProtection="1">
      <alignment horizontal="left" vertical="center" wrapText="1"/>
      <protection hidden="1"/>
    </xf>
    <xf numFmtId="0" fontId="51" fillId="12" borderId="0" xfId="0" applyFont="1" applyFill="1" applyAlignment="1" applyProtection="1">
      <alignment horizontal="fill" vertical="center" wrapText="1"/>
      <protection hidden="1"/>
    </xf>
    <xf numFmtId="0" fontId="32"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0" fontId="59"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617219</xdr:colOff>
      <xdr:row>49</xdr:row>
      <xdr:rowOff>121920</xdr:rowOff>
    </xdr:from>
    <xdr:to>
      <xdr:col>9</xdr:col>
      <xdr:colOff>304816</xdr:colOff>
      <xdr:row>76</xdr:row>
      <xdr:rowOff>13773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937259" y="8412480"/>
          <a:ext cx="7818137" cy="4418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3084233" y="13526851"/>
          <a:ext cx="2370176" cy="1638242"/>
        </a:xfrm>
        <a:prstGeom prst="rect">
          <a:avLst/>
        </a:prstGeom>
      </xdr:spPr>
    </xdr:pic>
    <xdr:clientData/>
  </xdr:twoCellAnchor>
  <xdr:twoCellAnchor editAs="oneCell">
    <xdr:from>
      <xdr:col>11</xdr:col>
      <xdr:colOff>91440</xdr:colOff>
      <xdr:row>5</xdr:row>
      <xdr:rowOff>162755</xdr:rowOff>
    </xdr:from>
    <xdr:to>
      <xdr:col>17</xdr:col>
      <xdr:colOff>381000</xdr:colOff>
      <xdr:row>26</xdr:row>
      <xdr:rowOff>1543</xdr:rowOff>
    </xdr:to>
    <xdr:pic>
      <xdr:nvPicPr>
        <xdr:cNvPr id="8" name="Imagen 7">
          <a:extLst>
            <a:ext uri="{FF2B5EF4-FFF2-40B4-BE49-F238E27FC236}">
              <a16:creationId xmlns:a16="http://schemas.microsoft.com/office/drawing/2014/main" id="{AAEAD0D6-3EA7-4F65-91C8-B1EA05994868}"/>
            </a:ext>
          </a:extLst>
        </xdr:cNvPr>
        <xdr:cNvPicPr>
          <a:picLocks noChangeAspect="1"/>
        </xdr:cNvPicPr>
      </xdr:nvPicPr>
      <xdr:blipFill>
        <a:blip xmlns:r="http://schemas.openxmlformats.org/officeDocument/2006/relationships" r:embed="rId13"/>
        <a:stretch>
          <a:fillRect/>
        </a:stretch>
      </xdr:blipFill>
      <xdr:spPr>
        <a:xfrm>
          <a:off x="8808720" y="1000955"/>
          <a:ext cx="6637020" cy="3359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212213</xdr:colOff>
      <xdr:row>6</xdr:row>
      <xdr:rowOff>0</xdr:rowOff>
    </xdr:from>
    <xdr:to>
      <xdr:col>15</xdr:col>
      <xdr:colOff>400543</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4171630" y="1693333"/>
          <a:ext cx="4686246" cy="7915876"/>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324069</xdr:colOff>
      <xdr:row>52</xdr:row>
      <xdr:rowOff>248066</xdr:rowOff>
    </xdr:from>
    <xdr:to>
      <xdr:col>18</xdr:col>
      <xdr:colOff>78443</xdr:colOff>
      <xdr:row>60</xdr:row>
      <xdr:rowOff>280745</xdr:rowOff>
    </xdr:to>
    <xdr:pic>
      <xdr:nvPicPr>
        <xdr:cNvPr id="2" name="Imagen 1">
          <a:extLst>
            <a:ext uri="{FF2B5EF4-FFF2-40B4-BE49-F238E27FC236}">
              <a16:creationId xmlns:a16="http://schemas.microsoft.com/office/drawing/2014/main" id="{66A35597-8F4B-483B-B1A7-6EC8A7CF7B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857189" y="13865006"/>
          <a:ext cx="4562594" cy="2379639"/>
        </a:xfrm>
        <a:prstGeom prst="rect">
          <a:avLst/>
        </a:prstGeom>
      </xdr:spPr>
    </xdr:pic>
    <xdr:clientData/>
  </xdr:twoCellAnchor>
  <xdr:twoCellAnchor editAs="oneCell">
    <xdr:from>
      <xdr:col>18</xdr:col>
      <xdr:colOff>425123</xdr:colOff>
      <xdr:row>52</xdr:row>
      <xdr:rowOff>143591</xdr:rowOff>
    </xdr:from>
    <xdr:to>
      <xdr:col>27</xdr:col>
      <xdr:colOff>340180</xdr:colOff>
      <xdr:row>66</xdr:row>
      <xdr:rowOff>103101</xdr:rowOff>
    </xdr:to>
    <xdr:pic>
      <xdr:nvPicPr>
        <xdr:cNvPr id="3" name="Imagen 2">
          <a:extLst>
            <a:ext uri="{FF2B5EF4-FFF2-40B4-BE49-F238E27FC236}">
              <a16:creationId xmlns:a16="http://schemas.microsoft.com/office/drawing/2014/main" id="{9B9510C0-A898-4018-BB12-55B1B83C6F4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6463" y="13760531"/>
          <a:ext cx="6018676" cy="4081930"/>
        </a:xfrm>
        <a:prstGeom prst="rect">
          <a:avLst/>
        </a:prstGeom>
      </xdr:spPr>
    </xdr:pic>
    <xdr:clientData/>
  </xdr:twoCellAnchor>
  <xdr:twoCellAnchor editAs="oneCell">
    <xdr:from>
      <xdr:col>11</xdr:col>
      <xdr:colOff>488346</xdr:colOff>
      <xdr:row>1</xdr:row>
      <xdr:rowOff>50759</xdr:rowOff>
    </xdr:from>
    <xdr:to>
      <xdr:col>20</xdr:col>
      <xdr:colOff>53476</xdr:colOff>
      <xdr:row>15</xdr:row>
      <xdr:rowOff>298071</xdr:rowOff>
    </xdr:to>
    <xdr:pic>
      <xdr:nvPicPr>
        <xdr:cNvPr id="4" name="Imagen 3">
          <a:extLst>
            <a:ext uri="{FF2B5EF4-FFF2-40B4-BE49-F238E27FC236}">
              <a16:creationId xmlns:a16="http://schemas.microsoft.com/office/drawing/2014/main" id="{C07A859F-9A93-4B73-B1A8-726DC64C610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021466" y="248879"/>
          <a:ext cx="5729709" cy="39430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10" zoomScale="60" zoomScaleNormal="60" workbookViewId="0">
      <selection activeCell="E8" sqref="E8:E9"/>
    </sheetView>
  </sheetViews>
  <sheetFormatPr baseColWidth="10" defaultColWidth="11.36328125" defaultRowHeight="14.5" outlineLevelRow="2"/>
  <cols>
    <col min="1" max="1" width="0" style="406" hidden="1" customWidth="1"/>
    <col min="2" max="2" width="0.90625" style="406" customWidth="1"/>
    <col min="3" max="3" width="5.08984375" style="678" customWidth="1"/>
    <col min="4" max="4" width="102.90625" style="406" customWidth="1"/>
    <col min="5" max="5" width="27.6328125" style="407" hidden="1" customWidth="1"/>
    <col min="6" max="6" width="4.81640625" style="406" customWidth="1"/>
    <col min="7" max="10" width="3" style="406" customWidth="1"/>
    <col min="11" max="11" width="9.81640625" style="406" customWidth="1"/>
    <col min="12" max="12" width="7.90625" style="406" customWidth="1"/>
    <col min="13" max="15" width="11.36328125" style="406"/>
    <col min="16" max="16" width="16" style="406" customWidth="1"/>
    <col min="17" max="17" width="33.1796875" style="406" bestFit="1" customWidth="1"/>
    <col min="18" max="18" width="11.36328125" style="406"/>
    <col min="19" max="19" width="33.1796875" style="406" bestFit="1" customWidth="1"/>
    <col min="20" max="16384" width="11.36328125" style="406"/>
  </cols>
  <sheetData>
    <row r="2" spans="3:19" ht="21">
      <c r="D2" s="408" t="s">
        <v>322</v>
      </c>
    </row>
    <row r="3" spans="3:19">
      <c r="D3" s="414" t="s">
        <v>323</v>
      </c>
    </row>
    <row r="4" spans="3:19">
      <c r="D4" s="415" t="s">
        <v>324</v>
      </c>
    </row>
    <row r="5" spans="3:19">
      <c r="D5" s="406" t="s">
        <v>325</v>
      </c>
    </row>
    <row r="6" spans="3:19">
      <c r="D6" s="406" t="s">
        <v>326</v>
      </c>
    </row>
    <row r="7" spans="3:19">
      <c r="D7" s="406" t="s">
        <v>327</v>
      </c>
    </row>
    <row r="8" spans="3:19">
      <c r="D8" s="536" t="s">
        <v>583</v>
      </c>
    </row>
    <row r="10" spans="3:19">
      <c r="P10" s="415"/>
    </row>
    <row r="11" spans="3:19" ht="21">
      <c r="D11" s="754" t="s">
        <v>329</v>
      </c>
      <c r="E11" s="755" t="s">
        <v>305</v>
      </c>
      <c r="F11" s="756" t="s">
        <v>306</v>
      </c>
      <c r="G11" s="757"/>
      <c r="H11" s="757"/>
      <c r="I11" s="757"/>
      <c r="J11" s="758"/>
      <c r="K11" s="781" t="s">
        <v>541</v>
      </c>
      <c r="P11" s="415"/>
    </row>
    <row r="12" spans="3:19" ht="21">
      <c r="D12" s="754"/>
      <c r="E12" s="755"/>
      <c r="F12" s="759" t="s">
        <v>584</v>
      </c>
      <c r="G12" s="760"/>
      <c r="H12" s="760"/>
      <c r="I12" s="760"/>
      <c r="J12" s="761"/>
      <c r="K12" s="782"/>
      <c r="M12" s="432"/>
      <c r="P12" s="415"/>
    </row>
    <row r="13" spans="3:19">
      <c r="C13" s="678">
        <v>1</v>
      </c>
      <c r="D13" s="675" t="s">
        <v>504</v>
      </c>
      <c r="E13" s="450" t="s">
        <v>337</v>
      </c>
      <c r="F13" s="763" t="s">
        <v>311</v>
      </c>
      <c r="G13" s="763"/>
      <c r="H13" s="763"/>
      <c r="I13" s="763"/>
      <c r="J13" s="763"/>
      <c r="K13" s="446">
        <f>+'COMBUSTIBLES '!E8</f>
        <v>8.6314000000000011</v>
      </c>
      <c r="L13" s="728" t="s">
        <v>540</v>
      </c>
      <c r="M13" s="669"/>
    </row>
    <row r="14" spans="3:19">
      <c r="C14" s="678">
        <v>2</v>
      </c>
      <c r="D14" s="675" t="s">
        <v>336</v>
      </c>
      <c r="E14" s="450" t="s">
        <v>337</v>
      </c>
      <c r="F14" s="763" t="s">
        <v>311</v>
      </c>
      <c r="G14" s="763"/>
      <c r="H14" s="763"/>
      <c r="I14" s="763"/>
      <c r="J14" s="763"/>
      <c r="K14" s="457">
        <f>+'COMBUSTIBLES '!E8</f>
        <v>8.6314000000000011</v>
      </c>
      <c r="L14" s="728" t="s">
        <v>540</v>
      </c>
      <c r="M14" s="669"/>
      <c r="S14" s="164" t="s">
        <v>312</v>
      </c>
    </row>
    <row r="15" spans="3:19">
      <c r="C15" s="678">
        <v>3</v>
      </c>
      <c r="D15" s="675" t="s">
        <v>342</v>
      </c>
      <c r="E15" s="450" t="s">
        <v>343</v>
      </c>
      <c r="F15" s="763" t="s">
        <v>311</v>
      </c>
      <c r="G15" s="763"/>
      <c r="H15" s="763"/>
      <c r="I15" s="763"/>
      <c r="J15" s="763"/>
      <c r="K15" s="446">
        <f>+'COMBUSTIBLES '!B8</f>
        <v>8.6314000000000011</v>
      </c>
      <c r="L15" s="728" t="s">
        <v>540</v>
      </c>
      <c r="M15" s="669"/>
      <c r="S15" s="164" t="s">
        <v>317</v>
      </c>
    </row>
    <row r="16" spans="3:19">
      <c r="C16" s="678">
        <v>4</v>
      </c>
      <c r="D16" s="675" t="s">
        <v>346</v>
      </c>
      <c r="E16" s="450" t="s">
        <v>347</v>
      </c>
      <c r="F16" s="763" t="s">
        <v>345</v>
      </c>
      <c r="G16" s="763"/>
      <c r="H16" s="763"/>
      <c r="I16" s="763"/>
      <c r="J16" s="763"/>
      <c r="K16" s="446">
        <f>+BIODIESEL!E14</f>
        <v>8.6314000000000011</v>
      </c>
      <c r="L16" s="728" t="s">
        <v>540</v>
      </c>
      <c r="M16" s="669"/>
    </row>
    <row r="17" spans="3:19">
      <c r="C17" s="678">
        <v>5</v>
      </c>
      <c r="D17" s="675" t="s">
        <v>350</v>
      </c>
      <c r="E17" s="450" t="s">
        <v>337</v>
      </c>
      <c r="F17" s="763" t="s">
        <v>311</v>
      </c>
      <c r="G17" s="763"/>
      <c r="H17" s="763"/>
      <c r="I17" s="763"/>
      <c r="J17" s="763"/>
      <c r="K17" s="446">
        <f>+'COMBUSTIBLES '!E8</f>
        <v>8.6314000000000011</v>
      </c>
      <c r="L17" s="728" t="s">
        <v>540</v>
      </c>
      <c r="M17" s="669"/>
    </row>
    <row r="18" spans="3:19">
      <c r="C18" s="678">
        <v>6</v>
      </c>
      <c r="D18" s="675" t="s">
        <v>361</v>
      </c>
      <c r="E18" s="450" t="s">
        <v>337</v>
      </c>
      <c r="F18" s="763" t="s">
        <v>311</v>
      </c>
      <c r="G18" s="763"/>
      <c r="H18" s="763"/>
      <c r="I18" s="763"/>
      <c r="J18" s="763"/>
      <c r="K18" s="446">
        <f>+'COMBUSTIBLES '!E8</f>
        <v>8.6314000000000011</v>
      </c>
      <c r="L18" s="728" t="s">
        <v>540</v>
      </c>
      <c r="M18" s="669"/>
      <c r="P18" s="647"/>
    </row>
    <row r="19" spans="3:19">
      <c r="C19" s="678">
        <v>7</v>
      </c>
      <c r="D19" s="675" t="s">
        <v>571</v>
      </c>
      <c r="E19" s="464"/>
      <c r="F19" s="763"/>
      <c r="G19" s="763"/>
      <c r="H19" s="763"/>
      <c r="I19" s="763"/>
      <c r="J19" s="763"/>
      <c r="K19" s="446">
        <f>+BIODIESEL!E14</f>
        <v>8.6314000000000011</v>
      </c>
      <c r="L19" s="728" t="s">
        <v>540</v>
      </c>
      <c r="M19" s="432"/>
    </row>
    <row r="20" spans="3:19" s="423" customFormat="1">
      <c r="C20" s="679">
        <v>8</v>
      </c>
      <c r="D20" s="675" t="s">
        <v>572</v>
      </c>
      <c r="E20" s="521"/>
      <c r="F20" s="763"/>
      <c r="G20" s="763"/>
      <c r="H20" s="763"/>
      <c r="I20" s="763"/>
      <c r="J20" s="763"/>
      <c r="K20" s="446">
        <v>0</v>
      </c>
      <c r="L20" s="728" t="s">
        <v>540</v>
      </c>
      <c r="M20" s="674"/>
    </row>
    <row r="21" spans="3:19">
      <c r="C21" s="678">
        <v>9</v>
      </c>
      <c r="D21" s="675" t="s">
        <v>505</v>
      </c>
      <c r="E21" s="450"/>
      <c r="F21" s="763" t="s">
        <v>332</v>
      </c>
      <c r="G21" s="763"/>
      <c r="H21" s="763"/>
      <c r="I21" s="763"/>
      <c r="J21" s="763"/>
      <c r="K21" s="446">
        <v>0</v>
      </c>
      <c r="L21" s="728" t="s">
        <v>540</v>
      </c>
      <c r="M21" s="669"/>
    </row>
    <row r="22" spans="3:19">
      <c r="C22" s="678">
        <v>10</v>
      </c>
      <c r="D22" s="675" t="s">
        <v>331</v>
      </c>
      <c r="E22" s="443"/>
      <c r="F22" s="768" t="s">
        <v>332</v>
      </c>
      <c r="G22" s="768"/>
      <c r="H22" s="768"/>
      <c r="I22" s="768"/>
      <c r="J22" s="768"/>
      <c r="K22" s="446">
        <v>0</v>
      </c>
      <c r="L22" s="728" t="s">
        <v>540</v>
      </c>
      <c r="M22" s="669"/>
      <c r="P22" s="415"/>
    </row>
    <row r="23" spans="3:19">
      <c r="C23" s="678">
        <v>11</v>
      </c>
      <c r="D23" s="675" t="s">
        <v>333</v>
      </c>
      <c r="E23" s="450"/>
      <c r="F23" s="763" t="s">
        <v>332</v>
      </c>
      <c r="G23" s="763"/>
      <c r="H23" s="763"/>
      <c r="I23" s="763"/>
      <c r="J23" s="763"/>
      <c r="K23" s="446"/>
      <c r="L23" s="719"/>
      <c r="M23" s="669"/>
      <c r="P23" s="415"/>
      <c r="S23" s="164" t="s">
        <v>314</v>
      </c>
    </row>
    <row r="24" spans="3:19">
      <c r="C24" s="678">
        <v>12</v>
      </c>
      <c r="D24" s="675" t="s">
        <v>334</v>
      </c>
      <c r="E24" s="450"/>
      <c r="F24" s="763" t="s">
        <v>332</v>
      </c>
      <c r="G24" s="763"/>
      <c r="H24" s="763"/>
      <c r="I24" s="763"/>
      <c r="J24" s="763"/>
      <c r="K24" s="446"/>
      <c r="L24" s="719"/>
      <c r="M24" s="669"/>
      <c r="P24" s="415"/>
      <c r="S24" s="164" t="s">
        <v>316</v>
      </c>
    </row>
    <row r="25" spans="3:19" outlineLevel="1">
      <c r="C25" s="678">
        <v>13</v>
      </c>
      <c r="D25" s="677" t="s">
        <v>355</v>
      </c>
      <c r="E25" s="450" t="s">
        <v>337</v>
      </c>
      <c r="F25" s="763" t="s">
        <v>311</v>
      </c>
      <c r="G25" s="763"/>
      <c r="H25" s="763"/>
      <c r="I25" s="763"/>
      <c r="J25" s="763"/>
      <c r="K25" s="446">
        <f>+'COMBUSTIBLES '!E8</f>
        <v>8.6314000000000011</v>
      </c>
      <c r="L25" s="565" t="s">
        <v>607</v>
      </c>
      <c r="M25" s="670"/>
    </row>
    <row r="26" spans="3:19">
      <c r="C26" s="678">
        <v>14</v>
      </c>
      <c r="D26" s="676" t="s">
        <v>545</v>
      </c>
      <c r="E26" s="450"/>
      <c r="F26" s="780" t="s">
        <v>339</v>
      </c>
      <c r="G26" s="780"/>
      <c r="H26" s="780"/>
      <c r="I26" s="780"/>
      <c r="J26" s="780"/>
      <c r="K26" s="446">
        <f>+'COMBUSTIBLES '!E8</f>
        <v>8.6314000000000011</v>
      </c>
      <c r="L26" s="719"/>
      <c r="M26" s="669"/>
    </row>
    <row r="27" spans="3:19">
      <c r="C27" s="678">
        <v>15</v>
      </c>
      <c r="D27" s="676" t="s">
        <v>548</v>
      </c>
      <c r="E27" s="450"/>
      <c r="F27" s="763"/>
      <c r="G27" s="763"/>
      <c r="H27" s="763"/>
      <c r="I27" s="763"/>
      <c r="J27" s="763"/>
      <c r="K27" s="446">
        <f>+'COMBUSTIBLES '!B8</f>
        <v>8.6314000000000011</v>
      </c>
      <c r="L27" s="719"/>
      <c r="M27" s="669"/>
    </row>
    <row r="28" spans="3:19">
      <c r="C28" s="678">
        <v>16</v>
      </c>
      <c r="D28" s="687" t="s">
        <v>546</v>
      </c>
      <c r="E28" s="450"/>
      <c r="F28" s="783" t="s">
        <v>339</v>
      </c>
      <c r="G28" s="784"/>
      <c r="H28" s="784"/>
      <c r="I28" s="784"/>
      <c r="J28" s="785"/>
      <c r="K28" s="699">
        <f>+'COMBUSTIBLES '!B7</f>
        <v>5108.8999999999996</v>
      </c>
      <c r="L28" s="753" t="s">
        <v>540</v>
      </c>
      <c r="M28" s="669"/>
    </row>
    <row r="29" spans="3:19">
      <c r="C29" s="678">
        <v>17</v>
      </c>
      <c r="D29" s="687" t="s">
        <v>344</v>
      </c>
      <c r="E29" s="450" t="s">
        <v>315</v>
      </c>
      <c r="F29" s="763" t="s">
        <v>311</v>
      </c>
      <c r="G29" s="763"/>
      <c r="H29" s="763"/>
      <c r="I29" s="763"/>
      <c r="J29" s="763"/>
      <c r="K29" s="699">
        <f>+'COMBUSTIBLES '!B7</f>
        <v>5108.8999999999996</v>
      </c>
      <c r="L29" s="753" t="s">
        <v>540</v>
      </c>
      <c r="M29" s="669"/>
      <c r="S29" s="164" t="s">
        <v>319</v>
      </c>
    </row>
    <row r="30" spans="3:19">
      <c r="C30" s="678">
        <v>18</v>
      </c>
      <c r="D30" s="687" t="s">
        <v>573</v>
      </c>
      <c r="E30" s="464"/>
      <c r="F30" s="780"/>
      <c r="G30" s="780"/>
      <c r="H30" s="780"/>
      <c r="I30" s="780"/>
      <c r="J30" s="780"/>
      <c r="K30" s="699">
        <f>+'COMBUSTIBLES '!B7</f>
        <v>5108.8999999999996</v>
      </c>
      <c r="L30" s="753" t="s">
        <v>540</v>
      </c>
      <c r="M30" s="432"/>
    </row>
    <row r="31" spans="3:19">
      <c r="C31" s="678">
        <v>19</v>
      </c>
      <c r="D31" s="688" t="s">
        <v>574</v>
      </c>
      <c r="E31" s="464"/>
      <c r="F31" s="780"/>
      <c r="G31" s="780"/>
      <c r="H31" s="780"/>
      <c r="I31" s="780"/>
      <c r="J31" s="780"/>
      <c r="K31" s="699">
        <f>+'SAN-ANDRES + GENERACION'!C8</f>
        <v>5108.8999999999996</v>
      </c>
      <c r="L31" s="753" t="s">
        <v>540</v>
      </c>
      <c r="M31" s="432"/>
    </row>
    <row r="32" spans="3:19">
      <c r="C32" s="691">
        <v>20</v>
      </c>
      <c r="D32" s="689" t="s">
        <v>335</v>
      </c>
      <c r="E32" s="450" t="s">
        <v>310</v>
      </c>
      <c r="F32" s="763" t="s">
        <v>311</v>
      </c>
      <c r="G32" s="763"/>
      <c r="H32" s="763"/>
      <c r="I32" s="763"/>
      <c r="J32" s="763"/>
      <c r="K32" s="446">
        <f>+'COMBUSTIBLES '!E7</f>
        <v>4480.78</v>
      </c>
      <c r="L32" s="753" t="s">
        <v>540</v>
      </c>
      <c r="M32" s="669"/>
      <c r="S32" s="164" t="s">
        <v>309</v>
      </c>
    </row>
    <row r="33" spans="3:13">
      <c r="C33" s="691">
        <v>21</v>
      </c>
      <c r="D33" s="689" t="s">
        <v>502</v>
      </c>
      <c r="E33" s="450" t="s">
        <v>310</v>
      </c>
      <c r="F33" s="763" t="s">
        <v>311</v>
      </c>
      <c r="G33" s="763"/>
      <c r="H33" s="763"/>
      <c r="I33" s="763"/>
      <c r="J33" s="763"/>
      <c r="K33" s="458">
        <f>+'COMBUSTIBLES '!E7</f>
        <v>4480.78</v>
      </c>
      <c r="L33" s="753" t="s">
        <v>540</v>
      </c>
      <c r="M33" s="669"/>
    </row>
    <row r="34" spans="3:13">
      <c r="C34" s="691">
        <v>22</v>
      </c>
      <c r="D34" s="690" t="s">
        <v>543</v>
      </c>
      <c r="E34" s="464"/>
      <c r="F34" s="777" t="s">
        <v>339</v>
      </c>
      <c r="G34" s="777"/>
      <c r="H34" s="777"/>
      <c r="I34" s="777"/>
      <c r="J34" s="777"/>
      <c r="K34" s="465">
        <f>+'COMBUSTIBLES '!E7</f>
        <v>4480.78</v>
      </c>
      <c r="L34" s="753" t="s">
        <v>540</v>
      </c>
      <c r="M34" s="669"/>
    </row>
    <row r="35" spans="3:13">
      <c r="C35" s="691">
        <v>23</v>
      </c>
      <c r="D35" s="689" t="s">
        <v>362</v>
      </c>
      <c r="E35" s="450" t="s">
        <v>310</v>
      </c>
      <c r="F35" s="763" t="s">
        <v>311</v>
      </c>
      <c r="G35" s="763"/>
      <c r="H35" s="763"/>
      <c r="I35" s="763"/>
      <c r="J35" s="763"/>
      <c r="K35" s="446">
        <f>+'COMBUSTIBLES '!E7</f>
        <v>4480.78</v>
      </c>
      <c r="L35" s="753" t="s">
        <v>540</v>
      </c>
      <c r="M35" s="669"/>
    </row>
    <row r="36" spans="3:13">
      <c r="C36" s="691">
        <v>24</v>
      </c>
      <c r="D36" s="689" t="s">
        <v>351</v>
      </c>
      <c r="E36" s="450" t="s">
        <v>310</v>
      </c>
      <c r="F36" s="763" t="s">
        <v>311</v>
      </c>
      <c r="G36" s="763"/>
      <c r="H36" s="763"/>
      <c r="I36" s="763"/>
      <c r="J36" s="763"/>
      <c r="K36" s="446">
        <f>+'COMBUSTIBLES '!E7</f>
        <v>4480.78</v>
      </c>
      <c r="L36" s="753" t="s">
        <v>540</v>
      </c>
      <c r="M36" s="669"/>
    </row>
    <row r="37" spans="3:13" ht="15.5">
      <c r="C37" s="686">
        <v>25</v>
      </c>
      <c r="D37" s="416" t="s">
        <v>675</v>
      </c>
      <c r="E37" s="464"/>
      <c r="F37" s="780"/>
      <c r="G37" s="780"/>
      <c r="H37" s="780"/>
      <c r="I37" s="780"/>
      <c r="J37" s="780"/>
      <c r="K37" s="446">
        <f>+'SAN-ANDRES + GENERACION'!E8</f>
        <v>4480.78</v>
      </c>
      <c r="L37" s="753" t="s">
        <v>540</v>
      </c>
      <c r="M37" s="432">
        <v>4272.5</v>
      </c>
    </row>
    <row r="38" spans="3:13" ht="18.5">
      <c r="C38" s="686">
        <v>26</v>
      </c>
      <c r="D38" s="416" t="s">
        <v>677</v>
      </c>
      <c r="E38" s="464"/>
      <c r="F38" s="780"/>
      <c r="G38" s="780"/>
      <c r="H38" s="780"/>
      <c r="I38" s="780"/>
      <c r="J38" s="780"/>
      <c r="K38" s="446">
        <f>+BIODIESEL!E10</f>
        <v>4791.41</v>
      </c>
      <c r="L38" s="753" t="s">
        <v>540</v>
      </c>
      <c r="M38" s="432"/>
    </row>
    <row r="39" spans="3:13" ht="15.5">
      <c r="C39" s="686">
        <v>27</v>
      </c>
      <c r="D39" s="416" t="s">
        <v>674</v>
      </c>
      <c r="E39" s="464"/>
      <c r="F39" s="780"/>
      <c r="G39" s="780"/>
      <c r="H39" s="780"/>
      <c r="I39" s="780"/>
      <c r="J39" s="780"/>
      <c r="K39" s="446">
        <f>+BIODIESEL!E9</f>
        <v>400.25</v>
      </c>
      <c r="L39" s="753" t="s">
        <v>540</v>
      </c>
      <c r="M39" s="432"/>
    </row>
    <row r="40" spans="3:13" ht="15.5">
      <c r="C40" s="686">
        <v>28</v>
      </c>
      <c r="D40" s="416" t="s">
        <v>667</v>
      </c>
      <c r="E40" s="464"/>
      <c r="F40" s="780"/>
      <c r="G40" s="780"/>
      <c r="H40" s="780"/>
      <c r="I40" s="780"/>
      <c r="J40" s="780"/>
      <c r="K40" s="446">
        <f>+BIODIESEL!E8</f>
        <v>4391.16</v>
      </c>
      <c r="L40" s="753" t="s">
        <v>540</v>
      </c>
      <c r="M40" s="432"/>
    </row>
    <row r="41" spans="3:13" ht="15.5">
      <c r="C41" s="686">
        <v>29</v>
      </c>
      <c r="D41" s="416" t="s">
        <v>676</v>
      </c>
      <c r="E41" s="450" t="s">
        <v>310</v>
      </c>
      <c r="F41" s="763" t="s">
        <v>311</v>
      </c>
      <c r="G41" s="763"/>
      <c r="H41" s="763"/>
      <c r="I41" s="763"/>
      <c r="J41" s="763"/>
      <c r="K41" s="446">
        <f>+'COMBUSTIBLES '!E7</f>
        <v>4480.78</v>
      </c>
      <c r="L41" s="753" t="s">
        <v>540</v>
      </c>
      <c r="M41" s="669"/>
    </row>
    <row r="42" spans="3:13" ht="15.5">
      <c r="C42" s="686">
        <v>30</v>
      </c>
      <c r="D42" s="416" t="s">
        <v>678</v>
      </c>
      <c r="E42" s="450" t="s">
        <v>318</v>
      </c>
      <c r="F42" s="763" t="s">
        <v>345</v>
      </c>
      <c r="G42" s="763"/>
      <c r="H42" s="763"/>
      <c r="I42" s="763"/>
      <c r="J42" s="763"/>
      <c r="K42" s="458">
        <f>+BIODIESEL!E10</f>
        <v>4791.41</v>
      </c>
      <c r="L42" s="753" t="s">
        <v>540</v>
      </c>
      <c r="M42" s="669"/>
    </row>
    <row r="43" spans="3:13" ht="15.5">
      <c r="C43" s="686">
        <v>31</v>
      </c>
      <c r="D43" s="416" t="s">
        <v>666</v>
      </c>
      <c r="E43" s="450" t="s">
        <v>337</v>
      </c>
      <c r="F43" s="763" t="s">
        <v>345</v>
      </c>
      <c r="G43" s="763"/>
      <c r="H43" s="763"/>
      <c r="I43" s="763"/>
      <c r="J43" s="763"/>
      <c r="K43" s="458">
        <f>+BIODIESEL!E8</f>
        <v>4391.16</v>
      </c>
      <c r="L43" s="753" t="s">
        <v>540</v>
      </c>
      <c r="M43" s="669"/>
    </row>
    <row r="44" spans="3:13" ht="15.5">
      <c r="C44" s="686">
        <v>32</v>
      </c>
      <c r="D44" s="416" t="s">
        <v>673</v>
      </c>
      <c r="E44" s="450" t="s">
        <v>348</v>
      </c>
      <c r="F44" s="763" t="s">
        <v>345</v>
      </c>
      <c r="G44" s="763"/>
      <c r="H44" s="763"/>
      <c r="I44" s="763"/>
      <c r="J44" s="763"/>
      <c r="K44" s="458">
        <f>+BIODIESEL!E9</f>
        <v>400.25</v>
      </c>
      <c r="L44" s="753" t="s">
        <v>540</v>
      </c>
      <c r="M44" s="669"/>
    </row>
    <row r="45" spans="3:13" ht="15.5">
      <c r="C45" s="678">
        <v>33</v>
      </c>
      <c r="D45" s="416" t="s">
        <v>665</v>
      </c>
      <c r="E45" s="450" t="s">
        <v>337</v>
      </c>
      <c r="F45" s="763" t="s">
        <v>345</v>
      </c>
      <c r="G45" s="763"/>
      <c r="H45" s="763"/>
      <c r="I45" s="763"/>
      <c r="J45" s="763"/>
      <c r="K45" s="446">
        <f>+BIODIESEL!E8</f>
        <v>4391.16</v>
      </c>
      <c r="L45" s="753" t="s">
        <v>540</v>
      </c>
      <c r="M45" s="669"/>
    </row>
    <row r="46" spans="3:13" ht="15.5">
      <c r="C46" s="678">
        <v>34</v>
      </c>
      <c r="D46" s="416" t="s">
        <v>679</v>
      </c>
      <c r="E46" s="450" t="s">
        <v>318</v>
      </c>
      <c r="F46" s="763" t="s">
        <v>345</v>
      </c>
      <c r="G46" s="763"/>
      <c r="H46" s="763"/>
      <c r="I46" s="763"/>
      <c r="J46" s="763"/>
      <c r="K46" s="446">
        <f>+BIODIESEL!E10</f>
        <v>4791.41</v>
      </c>
      <c r="L46" s="753" t="s">
        <v>540</v>
      </c>
      <c r="M46" s="669"/>
    </row>
    <row r="47" spans="3:13" ht="15.5">
      <c r="C47" s="678">
        <v>35</v>
      </c>
      <c r="D47" s="416" t="s">
        <v>672</v>
      </c>
      <c r="E47" s="450" t="s">
        <v>348</v>
      </c>
      <c r="F47" s="763" t="s">
        <v>345</v>
      </c>
      <c r="G47" s="763"/>
      <c r="H47" s="763"/>
      <c r="I47" s="763"/>
      <c r="J47" s="763"/>
      <c r="K47" s="446">
        <f>+BIODIESEL!E9</f>
        <v>400.25</v>
      </c>
      <c r="L47" s="753" t="s">
        <v>540</v>
      </c>
      <c r="M47" s="669"/>
    </row>
    <row r="48" spans="3:13" ht="15.5">
      <c r="C48" s="678">
        <v>36</v>
      </c>
      <c r="D48" s="416" t="s">
        <v>680</v>
      </c>
      <c r="E48" s="450"/>
      <c r="F48" s="763"/>
      <c r="G48" s="763"/>
      <c r="H48" s="763"/>
      <c r="I48" s="763"/>
      <c r="J48" s="763"/>
      <c r="K48" s="446">
        <f>+BIODIESEL!E10</f>
        <v>4791.41</v>
      </c>
      <c r="L48" s="753" t="s">
        <v>540</v>
      </c>
      <c r="M48" s="669"/>
    </row>
    <row r="49" spans="3:19" ht="15.5">
      <c r="C49" s="678">
        <v>37</v>
      </c>
      <c r="D49" s="416" t="s">
        <v>671</v>
      </c>
      <c r="E49" s="450"/>
      <c r="F49" s="763"/>
      <c r="G49" s="763"/>
      <c r="H49" s="763"/>
      <c r="I49" s="763"/>
      <c r="J49" s="763"/>
      <c r="K49" s="446">
        <f>+BIODIESEL!E9</f>
        <v>400.25</v>
      </c>
      <c r="L49" s="719"/>
      <c r="M49" s="669"/>
    </row>
    <row r="50" spans="3:19">
      <c r="C50" s="678">
        <v>38</v>
      </c>
      <c r="D50" s="416" t="s">
        <v>661</v>
      </c>
      <c r="E50" s="450"/>
      <c r="F50" s="763"/>
      <c r="G50" s="763"/>
      <c r="H50" s="763"/>
      <c r="I50" s="763"/>
      <c r="J50" s="763"/>
      <c r="K50" s="446">
        <f>+BIODIESEL!E8</f>
        <v>4391.16</v>
      </c>
      <c r="L50" s="753" t="s">
        <v>540</v>
      </c>
      <c r="M50" s="669"/>
    </row>
    <row r="51" spans="3:19" ht="15.5">
      <c r="C51" s="678">
        <v>39</v>
      </c>
      <c r="D51" s="416" t="s">
        <v>681</v>
      </c>
      <c r="E51" s="450"/>
      <c r="F51" s="763"/>
      <c r="G51" s="763"/>
      <c r="H51" s="763"/>
      <c r="I51" s="763"/>
      <c r="J51" s="763"/>
      <c r="K51" s="446">
        <f>+BIODIESEL!E10</f>
        <v>4791.41</v>
      </c>
      <c r="L51" s="753" t="s">
        <v>540</v>
      </c>
      <c r="M51" s="669"/>
    </row>
    <row r="52" spans="3:19" ht="15.5">
      <c r="C52" s="678">
        <v>40</v>
      </c>
      <c r="D52" s="416" t="s">
        <v>669</v>
      </c>
      <c r="E52" s="450"/>
      <c r="F52" s="763"/>
      <c r="G52" s="763"/>
      <c r="H52" s="763"/>
      <c r="I52" s="763"/>
      <c r="J52" s="763"/>
      <c r="K52" s="446">
        <f>+BIODIESEL!E9</f>
        <v>400.25</v>
      </c>
      <c r="L52" s="719"/>
      <c r="M52" s="669"/>
    </row>
    <row r="53" spans="3:19" ht="15.5">
      <c r="C53" s="678">
        <v>41</v>
      </c>
      <c r="D53" s="416" t="s">
        <v>662</v>
      </c>
      <c r="E53" s="450"/>
      <c r="F53" s="763"/>
      <c r="G53" s="763"/>
      <c r="H53" s="763"/>
      <c r="I53" s="763"/>
      <c r="J53" s="763"/>
      <c r="K53" s="446">
        <f>+BIODIESEL!E8</f>
        <v>4391.16</v>
      </c>
      <c r="L53" s="753" t="s">
        <v>540</v>
      </c>
      <c r="M53" s="669"/>
    </row>
    <row r="54" spans="3:19" s="423" customFormat="1" ht="15.5">
      <c r="C54" s="678">
        <v>42</v>
      </c>
      <c r="D54" s="416" t="s">
        <v>682</v>
      </c>
      <c r="E54" s="521"/>
      <c r="F54" s="763"/>
      <c r="G54" s="763"/>
      <c r="H54" s="763"/>
      <c r="I54" s="763" t="s">
        <v>148</v>
      </c>
      <c r="J54" s="763"/>
      <c r="K54" s="522">
        <f>+BIODIESEL!E10</f>
        <v>4791.41</v>
      </c>
      <c r="L54" s="753" t="s">
        <v>540</v>
      </c>
      <c r="M54" s="674"/>
    </row>
    <row r="55" spans="3:19" ht="15.5">
      <c r="C55" s="678">
        <v>43</v>
      </c>
      <c r="D55" s="416" t="s">
        <v>670</v>
      </c>
      <c r="E55" s="464"/>
      <c r="F55" s="763"/>
      <c r="G55" s="763"/>
      <c r="H55" s="763"/>
      <c r="I55" s="763"/>
      <c r="J55" s="763"/>
      <c r="K55" s="465">
        <f>+BIODIESEL!E9</f>
        <v>400.25</v>
      </c>
      <c r="L55" s="719"/>
      <c r="M55" s="432"/>
    </row>
    <row r="56" spans="3:19" ht="15.5">
      <c r="C56" s="678">
        <v>44</v>
      </c>
      <c r="D56" s="416" t="s">
        <v>683</v>
      </c>
      <c r="E56" s="464"/>
      <c r="F56" s="763"/>
      <c r="G56" s="763"/>
      <c r="H56" s="763"/>
      <c r="I56" s="763"/>
      <c r="J56" s="763"/>
      <c r="K56" s="465">
        <f>+'SAN-ANDRES + GENERACION'!F8</f>
        <v>4791.4143999999997</v>
      </c>
      <c r="L56" s="753" t="s">
        <v>540</v>
      </c>
      <c r="M56" s="432"/>
    </row>
    <row r="57" spans="3:19" ht="15.5">
      <c r="C57" s="678">
        <v>45</v>
      </c>
      <c r="D57" s="416" t="s">
        <v>663</v>
      </c>
      <c r="E57" s="464"/>
      <c r="F57" s="763"/>
      <c r="G57" s="763"/>
      <c r="H57" s="763"/>
      <c r="I57" s="763"/>
      <c r="J57" s="763"/>
      <c r="K57" s="465">
        <f>+'SAN-ANDRES + GENERACION'!J11</f>
        <v>4391.1643999999997</v>
      </c>
      <c r="L57" s="753" t="s">
        <v>540</v>
      </c>
      <c r="M57" s="432"/>
    </row>
    <row r="58" spans="3:19" ht="15.5">
      <c r="C58" s="678">
        <v>46</v>
      </c>
      <c r="D58" s="416" t="s">
        <v>668</v>
      </c>
      <c r="E58" s="464"/>
      <c r="F58" s="763"/>
      <c r="G58" s="763"/>
      <c r="H58" s="763"/>
      <c r="I58" s="763"/>
      <c r="J58" s="763"/>
      <c r="K58" s="465">
        <f>+BIODIESEL!E9</f>
        <v>400.25</v>
      </c>
      <c r="L58" s="719"/>
      <c r="M58" s="432"/>
    </row>
    <row r="59" spans="3:19" ht="15.5">
      <c r="C59" s="678">
        <v>47</v>
      </c>
      <c r="D59" s="416" t="s">
        <v>664</v>
      </c>
      <c r="E59" s="464"/>
      <c r="F59" s="763"/>
      <c r="G59" s="763"/>
      <c r="H59" s="763"/>
      <c r="I59" s="763"/>
      <c r="J59" s="763"/>
      <c r="K59" s="465">
        <f>+BIODIESEL!E8</f>
        <v>4391.16</v>
      </c>
      <c r="L59" s="753" t="s">
        <v>540</v>
      </c>
      <c r="M59" s="432"/>
    </row>
    <row r="60" spans="3:19">
      <c r="D60" s="682" t="s">
        <v>338</v>
      </c>
      <c r="E60" s="683"/>
      <c r="F60" s="773" t="s">
        <v>339</v>
      </c>
      <c r="G60" s="773"/>
      <c r="H60" s="773"/>
      <c r="I60" s="773"/>
      <c r="J60" s="773"/>
      <c r="K60" s="680">
        <f>+Variables!E27*0</f>
        <v>0</v>
      </c>
      <c r="L60" s="671" t="s">
        <v>660</v>
      </c>
      <c r="M60" s="669"/>
      <c r="S60" s="164" t="s">
        <v>313</v>
      </c>
    </row>
    <row r="61" spans="3:19">
      <c r="D61" s="682" t="s">
        <v>340</v>
      </c>
      <c r="E61" s="684" t="s">
        <v>341</v>
      </c>
      <c r="F61" s="773" t="s">
        <v>339</v>
      </c>
      <c r="G61" s="773"/>
      <c r="H61" s="773"/>
      <c r="I61" s="773"/>
      <c r="J61" s="773"/>
      <c r="K61" s="680">
        <f>+Variables!E20*0</f>
        <v>0</v>
      </c>
      <c r="L61" s="671" t="s">
        <v>660</v>
      </c>
      <c r="M61" s="669"/>
      <c r="S61" s="164" t="s">
        <v>321</v>
      </c>
    </row>
    <row r="62" spans="3:19">
      <c r="D62" s="682" t="s">
        <v>349</v>
      </c>
      <c r="E62" s="684" t="s">
        <v>341</v>
      </c>
      <c r="F62" s="773" t="s">
        <v>339</v>
      </c>
      <c r="G62" s="773"/>
      <c r="H62" s="773"/>
      <c r="I62" s="773"/>
      <c r="J62" s="773"/>
      <c r="K62" s="680">
        <f>+Variables!E27*0</f>
        <v>0</v>
      </c>
      <c r="L62" s="671" t="s">
        <v>660</v>
      </c>
      <c r="M62" s="669"/>
    </row>
    <row r="63" spans="3:19">
      <c r="D63" s="682" t="s">
        <v>352</v>
      </c>
      <c r="E63" s="684" t="s">
        <v>341</v>
      </c>
      <c r="F63" s="773" t="s">
        <v>339</v>
      </c>
      <c r="G63" s="773"/>
      <c r="H63" s="773"/>
      <c r="I63" s="773"/>
      <c r="J63" s="773"/>
      <c r="K63" s="680">
        <f>+Variables!E27*0</f>
        <v>0</v>
      </c>
      <c r="L63" s="671" t="s">
        <v>660</v>
      </c>
      <c r="M63" s="669"/>
    </row>
    <row r="64" spans="3:19">
      <c r="D64" s="682" t="s">
        <v>353</v>
      </c>
      <c r="E64" s="684" t="s">
        <v>341</v>
      </c>
      <c r="F64" s="773" t="s">
        <v>339</v>
      </c>
      <c r="G64" s="773"/>
      <c r="H64" s="773"/>
      <c r="I64" s="773"/>
      <c r="J64" s="773"/>
      <c r="K64" s="680">
        <f>+Variables!E27*0</f>
        <v>0</v>
      </c>
      <c r="L64" s="671" t="s">
        <v>660</v>
      </c>
      <c r="M64" s="669"/>
    </row>
    <row r="65" spans="4:13">
      <c r="D65" s="682" t="s">
        <v>363</v>
      </c>
      <c r="E65" s="684" t="s">
        <v>341</v>
      </c>
      <c r="F65" s="773" t="s">
        <v>339</v>
      </c>
      <c r="G65" s="773"/>
      <c r="H65" s="773"/>
      <c r="I65" s="773"/>
      <c r="J65" s="773"/>
      <c r="K65" s="681">
        <f>+Variables!E27*0</f>
        <v>0</v>
      </c>
      <c r="L65" s="671" t="s">
        <v>660</v>
      </c>
      <c r="M65" s="669"/>
    </row>
    <row r="66" spans="4:13">
      <c r="D66" s="682" t="s">
        <v>364</v>
      </c>
      <c r="E66" s="684" t="s">
        <v>341</v>
      </c>
      <c r="F66" s="773" t="s">
        <v>339</v>
      </c>
      <c r="G66" s="773"/>
      <c r="H66" s="773"/>
      <c r="I66" s="773"/>
      <c r="J66" s="773"/>
      <c r="K66" s="681">
        <f>+Variables!E27*0</f>
        <v>0</v>
      </c>
      <c r="L66" s="671" t="s">
        <v>660</v>
      </c>
      <c r="M66" s="669"/>
    </row>
    <row r="67" spans="4:13">
      <c r="D67" s="682" t="s">
        <v>503</v>
      </c>
      <c r="E67" s="684" t="s">
        <v>341</v>
      </c>
      <c r="F67" s="773" t="s">
        <v>339</v>
      </c>
      <c r="G67" s="773"/>
      <c r="H67" s="773"/>
      <c r="I67" s="773"/>
      <c r="J67" s="773"/>
      <c r="K67" s="680">
        <f>+Variables!E27*0</f>
        <v>0</v>
      </c>
      <c r="L67" s="671" t="s">
        <v>660</v>
      </c>
      <c r="M67" s="669"/>
    </row>
    <row r="68" spans="4:13">
      <c r="D68" s="682" t="s">
        <v>544</v>
      </c>
      <c r="E68" s="683"/>
      <c r="F68" s="775"/>
      <c r="G68" s="775"/>
      <c r="H68" s="775"/>
      <c r="I68" s="775"/>
      <c r="J68" s="685"/>
      <c r="K68" s="680">
        <f>+Variables!E27*0</f>
        <v>0</v>
      </c>
      <c r="L68" s="671" t="s">
        <v>660</v>
      </c>
      <c r="M68" s="669"/>
    </row>
    <row r="69" spans="4:13">
      <c r="D69" s="682" t="s">
        <v>547</v>
      </c>
      <c r="E69" s="683"/>
      <c r="F69" s="775"/>
      <c r="G69" s="775"/>
      <c r="H69" s="775"/>
      <c r="I69" s="775"/>
      <c r="J69" s="685"/>
      <c r="K69" s="680">
        <f>+Variables!E22*0</f>
        <v>0</v>
      </c>
      <c r="L69" s="671" t="s">
        <v>660</v>
      </c>
      <c r="M69" s="669"/>
    </row>
    <row r="70" spans="4:13">
      <c r="D70" s="682" t="s">
        <v>549</v>
      </c>
      <c r="E70" s="683"/>
      <c r="F70" s="775"/>
      <c r="G70" s="775"/>
      <c r="H70" s="775"/>
      <c r="I70" s="775"/>
      <c r="J70" s="685"/>
      <c r="K70" s="680">
        <f>+'COMBUSTIBLES '!E10</f>
        <v>0</v>
      </c>
      <c r="L70" s="671" t="s">
        <v>660</v>
      </c>
      <c r="M70" s="669"/>
    </row>
    <row r="71" spans="4:13">
      <c r="D71" s="682" t="s">
        <v>550</v>
      </c>
      <c r="E71" s="683"/>
      <c r="F71" s="775"/>
      <c r="G71" s="775"/>
      <c r="H71" s="775"/>
      <c r="I71" s="775"/>
      <c r="J71" s="685"/>
      <c r="K71" s="680">
        <f>+'COMBUSTIBLES '!E10</f>
        <v>0</v>
      </c>
      <c r="L71" s="671" t="s">
        <v>660</v>
      </c>
      <c r="M71" s="669"/>
    </row>
    <row r="72" spans="4:13">
      <c r="D72" s="682" t="s">
        <v>555</v>
      </c>
      <c r="E72" s="683"/>
      <c r="F72" s="775"/>
      <c r="G72" s="775"/>
      <c r="H72" s="775"/>
      <c r="I72" s="775"/>
      <c r="J72" s="685"/>
      <c r="K72" s="680">
        <f>+Variables!E27*0</f>
        <v>0</v>
      </c>
      <c r="L72" s="671" t="s">
        <v>660</v>
      </c>
      <c r="M72" s="669"/>
    </row>
    <row r="73" spans="4:13">
      <c r="D73" s="682" t="s">
        <v>556</v>
      </c>
      <c r="E73" s="683"/>
      <c r="F73" s="775"/>
      <c r="G73" s="775"/>
      <c r="H73" s="775"/>
      <c r="I73" s="775"/>
      <c r="J73" s="685"/>
      <c r="K73" s="680">
        <f>+K71</f>
        <v>0</v>
      </c>
      <c r="L73" s="671" t="s">
        <v>660</v>
      </c>
      <c r="M73" s="669"/>
    </row>
    <row r="74" spans="4:13">
      <c r="D74" s="682" t="s">
        <v>558</v>
      </c>
      <c r="E74" s="683"/>
      <c r="F74" s="775"/>
      <c r="G74" s="775"/>
      <c r="H74" s="775"/>
      <c r="I74" s="775"/>
      <c r="J74" s="685"/>
      <c r="K74" s="680">
        <f>+Variables!E27*0</f>
        <v>0</v>
      </c>
      <c r="L74" s="671" t="s">
        <v>660</v>
      </c>
      <c r="M74" s="669"/>
    </row>
    <row r="75" spans="4:13">
      <c r="D75" s="682" t="s">
        <v>559</v>
      </c>
      <c r="E75" s="683"/>
      <c r="F75" s="775"/>
      <c r="G75" s="775"/>
      <c r="H75" s="775"/>
      <c r="I75" s="775"/>
      <c r="J75" s="685"/>
      <c r="K75" s="680">
        <f>+K73</f>
        <v>0</v>
      </c>
      <c r="L75" s="671" t="s">
        <v>660</v>
      </c>
      <c r="M75" s="669"/>
    </row>
    <row r="76" spans="4:13">
      <c r="D76" s="682" t="s">
        <v>570</v>
      </c>
      <c r="E76" s="683"/>
      <c r="F76" s="775"/>
      <c r="G76" s="775"/>
      <c r="H76" s="775"/>
      <c r="I76" s="775"/>
      <c r="J76" s="685"/>
      <c r="K76" s="672">
        <f>+K72*0</f>
        <v>0</v>
      </c>
      <c r="L76" s="671" t="s">
        <v>660</v>
      </c>
      <c r="M76" s="432"/>
    </row>
    <row r="77" spans="4:13">
      <c r="D77" s="682" t="s">
        <v>575</v>
      </c>
      <c r="E77" s="683"/>
      <c r="F77" s="775"/>
      <c r="G77" s="775"/>
      <c r="H77" s="775"/>
      <c r="I77" s="775"/>
      <c r="J77" s="685"/>
      <c r="K77" s="673">
        <f>+'COMBUSTIBLES '!B10</f>
        <v>0</v>
      </c>
      <c r="L77" s="671" t="s">
        <v>660</v>
      </c>
    </row>
    <row r="78" spans="4:13">
      <c r="D78" s="682" t="s">
        <v>581</v>
      </c>
      <c r="E78" s="683"/>
      <c r="F78" s="775"/>
      <c r="G78" s="775"/>
      <c r="H78" s="775"/>
      <c r="I78" s="775"/>
      <c r="J78" s="685"/>
      <c r="K78" s="673">
        <f>+K76*0</f>
        <v>0</v>
      </c>
      <c r="L78" s="671" t="s">
        <v>660</v>
      </c>
    </row>
    <row r="79" spans="4:13">
      <c r="D79" s="692" t="s">
        <v>582</v>
      </c>
      <c r="E79" s="693"/>
      <c r="F79" s="779"/>
      <c r="G79" s="779"/>
      <c r="H79" s="779"/>
      <c r="I79" s="779"/>
      <c r="J79" s="694"/>
      <c r="K79" s="673">
        <f>+BIODIESEL!E17</f>
        <v>0</v>
      </c>
      <c r="L79" s="671" t="s">
        <v>660</v>
      </c>
    </row>
    <row r="80" spans="4:13" outlineLevel="1">
      <c r="D80" s="695" t="s">
        <v>354</v>
      </c>
      <c r="E80" s="696" t="s">
        <v>320</v>
      </c>
      <c r="F80" s="776" t="s">
        <v>345</v>
      </c>
      <c r="G80" s="776"/>
      <c r="H80" s="776"/>
      <c r="I80" s="776"/>
      <c r="J80" s="776"/>
      <c r="K80" s="697">
        <f>+BIODIESEL!F10</f>
        <v>4946.7380000000003</v>
      </c>
      <c r="L80" s="565" t="s">
        <v>607</v>
      </c>
      <c r="M80" s="670"/>
    </row>
    <row r="81" spans="2:13" outlineLevel="1">
      <c r="D81" s="695" t="s">
        <v>356</v>
      </c>
      <c r="E81" s="696" t="s">
        <v>357</v>
      </c>
      <c r="F81" s="776" t="s">
        <v>345</v>
      </c>
      <c r="G81" s="776"/>
      <c r="H81" s="776"/>
      <c r="I81" s="776"/>
      <c r="J81" s="776"/>
      <c r="K81" s="697">
        <f>+BIODIESEL!F8</f>
        <v>4346.357</v>
      </c>
      <c r="L81" s="565" t="s">
        <v>607</v>
      </c>
      <c r="M81" s="670"/>
    </row>
    <row r="82" spans="2:13" outlineLevel="1">
      <c r="D82" s="695" t="s">
        <v>358</v>
      </c>
      <c r="E82" s="696" t="s">
        <v>359</v>
      </c>
      <c r="F82" s="776" t="s">
        <v>345</v>
      </c>
      <c r="G82" s="776"/>
      <c r="H82" s="776"/>
      <c r="I82" s="776"/>
      <c r="J82" s="776"/>
      <c r="K82" s="697">
        <f>+BIODIESEL!F9</f>
        <v>600.38099999999997</v>
      </c>
      <c r="L82" s="565" t="s">
        <v>607</v>
      </c>
      <c r="M82" s="670"/>
    </row>
    <row r="83" spans="2:13" outlineLevel="1">
      <c r="D83" s="695" t="s">
        <v>360</v>
      </c>
      <c r="E83" s="698" t="s">
        <v>341</v>
      </c>
      <c r="F83" s="778" t="s">
        <v>339</v>
      </c>
      <c r="G83" s="778"/>
      <c r="H83" s="778"/>
      <c r="I83" s="778"/>
      <c r="J83" s="778"/>
      <c r="K83" s="697">
        <f>+Variables!E27*0</f>
        <v>0</v>
      </c>
      <c r="L83" s="565" t="s">
        <v>607</v>
      </c>
      <c r="M83" s="670"/>
    </row>
    <row r="84" spans="2:13">
      <c r="D84" s="537"/>
      <c r="E84" s="464"/>
      <c r="F84" s="478"/>
      <c r="G84" s="478"/>
      <c r="H84" s="478"/>
      <c r="I84" s="478"/>
      <c r="J84" s="479"/>
      <c r="K84" s="465"/>
      <c r="L84" s="664"/>
    </row>
    <row r="85" spans="2:13" ht="36">
      <c r="B85" s="405">
        <v>2</v>
      </c>
      <c r="D85" s="406" t="s">
        <v>365</v>
      </c>
    </row>
    <row r="87" spans="2:13" ht="21">
      <c r="D87" s="408" t="s">
        <v>304</v>
      </c>
      <c r="E87" s="409" t="s">
        <v>305</v>
      </c>
      <c r="F87" s="410" t="s">
        <v>306</v>
      </c>
    </row>
    <row r="88" spans="2:13" ht="21">
      <c r="D88" s="408"/>
      <c r="E88" s="409"/>
      <c r="F88" s="410" t="s">
        <v>584</v>
      </c>
    </row>
    <row r="89" spans="2:13">
      <c r="D89" s="413" t="s">
        <v>366</v>
      </c>
      <c r="E89" s="441" t="s">
        <v>367</v>
      </c>
      <c r="F89" s="763" t="s">
        <v>311</v>
      </c>
      <c r="G89" s="763"/>
      <c r="H89" s="763"/>
      <c r="I89" s="763"/>
      <c r="J89" s="763"/>
      <c r="K89" s="438">
        <f>+'COMBUSTIBLES '!D7</f>
        <v>9825.0400000000009</v>
      </c>
    </row>
    <row r="90" spans="2:13">
      <c r="D90" s="413" t="s">
        <v>368</v>
      </c>
      <c r="E90" s="441" t="s">
        <v>369</v>
      </c>
      <c r="F90" s="763" t="s">
        <v>311</v>
      </c>
      <c r="G90" s="763"/>
      <c r="H90" s="763"/>
      <c r="I90" s="763"/>
      <c r="J90" s="763"/>
      <c r="K90" s="438">
        <f>+'COMBUSTIBLES '!G7</f>
        <v>12821.32</v>
      </c>
    </row>
    <row r="91" spans="2:13">
      <c r="D91" s="412" t="s">
        <v>370</v>
      </c>
      <c r="E91" s="418"/>
      <c r="F91" s="774" t="s">
        <v>371</v>
      </c>
      <c r="G91" s="774"/>
      <c r="H91" s="774"/>
      <c r="I91" s="774"/>
      <c r="J91" s="774"/>
    </row>
    <row r="92" spans="2:13">
      <c r="D92" s="406" t="s">
        <v>516</v>
      </c>
      <c r="E92" s="407" t="s">
        <v>517</v>
      </c>
      <c r="K92" s="460" t="s">
        <v>542</v>
      </c>
    </row>
    <row r="93" spans="2:13" ht="21">
      <c r="D93" s="410" t="s">
        <v>372</v>
      </c>
      <c r="E93" s="407" t="s">
        <v>518</v>
      </c>
    </row>
    <row r="94" spans="2:13">
      <c r="D94" s="415" t="s">
        <v>373</v>
      </c>
    </row>
    <row r="95" spans="2:13">
      <c r="D95" s="415" t="s">
        <v>374</v>
      </c>
    </row>
    <row r="96" spans="2:13">
      <c r="D96" s="415"/>
    </row>
    <row r="97" spans="4:12">
      <c r="D97" s="415" t="s">
        <v>375</v>
      </c>
    </row>
    <row r="98" spans="4:12">
      <c r="D98" s="415"/>
    </row>
    <row r="99" spans="4:12">
      <c r="D99" s="415"/>
    </row>
    <row r="100" spans="4:12" ht="21">
      <c r="D100" s="408" t="s">
        <v>376</v>
      </c>
    </row>
    <row r="101" spans="4:12">
      <c r="D101" s="415" t="s">
        <v>377</v>
      </c>
    </row>
    <row r="102" spans="4:12">
      <c r="D102" s="415" t="s">
        <v>324</v>
      </c>
    </row>
    <row r="103" spans="4:12">
      <c r="D103" s="406" t="s">
        <v>325</v>
      </c>
    </row>
    <row r="104" spans="4:12">
      <c r="D104" s="406" t="s">
        <v>326</v>
      </c>
    </row>
    <row r="105" spans="4:12">
      <c r="D105" s="427" t="s">
        <v>526</v>
      </c>
    </row>
    <row r="106" spans="4:12">
      <c r="D106" s="406" t="s">
        <v>328</v>
      </c>
    </row>
    <row r="109" spans="4:12" ht="21">
      <c r="D109" s="754" t="s">
        <v>329</v>
      </c>
      <c r="E109" s="755" t="s">
        <v>305</v>
      </c>
      <c r="F109" s="756" t="s">
        <v>306</v>
      </c>
      <c r="G109" s="757"/>
      <c r="H109" s="757"/>
      <c r="I109" s="757"/>
      <c r="J109" s="758"/>
    </row>
    <row r="110" spans="4:12" ht="21">
      <c r="D110" s="754"/>
      <c r="E110" s="755"/>
      <c r="F110" s="759" t="s">
        <v>330</v>
      </c>
      <c r="G110" s="760"/>
      <c r="H110" s="760"/>
      <c r="I110" s="760"/>
      <c r="J110" s="761"/>
    </row>
    <row r="111" spans="4:12" ht="15" customHeight="1">
      <c r="D111" s="419" t="s">
        <v>378</v>
      </c>
      <c r="E111" s="420"/>
      <c r="F111" s="770" t="s">
        <v>379</v>
      </c>
      <c r="G111" s="771"/>
      <c r="H111" s="771"/>
      <c r="I111" s="771"/>
      <c r="J111" s="772"/>
      <c r="K111" s="462">
        <v>6543.55</v>
      </c>
    </row>
    <row r="112" spans="4:12">
      <c r="D112" s="421" t="s">
        <v>380</v>
      </c>
      <c r="E112" s="444">
        <f>+$K$17</f>
        <v>8.6314000000000011</v>
      </c>
      <c r="F112" s="770"/>
      <c r="G112" s="771"/>
      <c r="H112" s="771"/>
      <c r="I112" s="771"/>
      <c r="J112" s="772"/>
      <c r="K112" s="453">
        <v>7.9</v>
      </c>
      <c r="L112" s="453"/>
    </row>
    <row r="113" spans="2:12">
      <c r="D113" s="421" t="s">
        <v>381</v>
      </c>
      <c r="E113" s="444">
        <f>+$K$17</f>
        <v>8.6314000000000011</v>
      </c>
      <c r="F113" s="770"/>
      <c r="G113" s="771"/>
      <c r="H113" s="771"/>
      <c r="I113" s="771"/>
      <c r="J113" s="772"/>
      <c r="K113" s="406">
        <v>7.9</v>
      </c>
      <c r="L113" s="453"/>
    </row>
    <row r="114" spans="2:12">
      <c r="D114" s="421" t="s">
        <v>382</v>
      </c>
      <c r="E114" s="443">
        <v>0</v>
      </c>
      <c r="F114" s="770"/>
      <c r="G114" s="771"/>
      <c r="H114" s="771"/>
      <c r="I114" s="771"/>
      <c r="J114" s="772"/>
      <c r="K114" s="406">
        <v>0</v>
      </c>
      <c r="L114" s="453"/>
    </row>
    <row r="115" spans="2:12">
      <c r="D115" s="419" t="s">
        <v>383</v>
      </c>
      <c r="E115" s="443" t="s">
        <v>384</v>
      </c>
      <c r="F115" s="770" t="s">
        <v>385</v>
      </c>
      <c r="G115" s="771"/>
      <c r="H115" s="771"/>
      <c r="I115" s="771"/>
      <c r="J115" s="772"/>
      <c r="K115" s="425" t="e">
        <f>+#REF!</f>
        <v>#REF!</v>
      </c>
      <c r="L115" s="453"/>
    </row>
    <row r="116" spans="2:12">
      <c r="D116" s="426" t="s">
        <v>506</v>
      </c>
      <c r="E116" s="443"/>
      <c r="F116" s="764" t="s">
        <v>339</v>
      </c>
      <c r="G116" s="764"/>
      <c r="H116" s="764"/>
      <c r="I116" s="764"/>
      <c r="J116" s="764"/>
      <c r="K116" s="459">
        <f>+Variables!E23</f>
        <v>7107.81</v>
      </c>
      <c r="L116" s="453"/>
    </row>
    <row r="117" spans="2:12">
      <c r="D117" s="421"/>
      <c r="E117" s="445"/>
      <c r="F117" s="770"/>
      <c r="G117" s="771"/>
      <c r="H117" s="771"/>
      <c r="I117" s="771"/>
      <c r="J117" s="772"/>
    </row>
    <row r="118" spans="2:12">
      <c r="D118" s="421" t="s">
        <v>386</v>
      </c>
      <c r="E118" s="443" t="s">
        <v>369</v>
      </c>
      <c r="F118" s="770" t="s">
        <v>387</v>
      </c>
      <c r="G118" s="771"/>
      <c r="H118" s="771"/>
      <c r="I118" s="771"/>
      <c r="J118" s="772"/>
      <c r="K118" s="425">
        <f>+'COMBUSTIBLES '!G7</f>
        <v>12821.32</v>
      </c>
      <c r="L118" s="453"/>
    </row>
    <row r="119" spans="2:12">
      <c r="D119" s="421" t="s">
        <v>388</v>
      </c>
      <c r="E119" s="443">
        <v>0</v>
      </c>
      <c r="F119" s="770"/>
      <c r="G119" s="771"/>
      <c r="H119" s="771"/>
      <c r="I119" s="771"/>
      <c r="J119" s="772"/>
      <c r="K119" s="406">
        <v>0</v>
      </c>
    </row>
    <row r="120" spans="2:12">
      <c r="D120" s="419" t="s">
        <v>389</v>
      </c>
      <c r="E120" s="443"/>
      <c r="F120" s="764" t="s">
        <v>339</v>
      </c>
      <c r="G120" s="764"/>
      <c r="H120" s="764"/>
      <c r="I120" s="764"/>
      <c r="J120" s="764"/>
      <c r="K120" s="461">
        <f>+K116</f>
        <v>7107.81</v>
      </c>
      <c r="L120" s="453"/>
    </row>
    <row r="121" spans="2:12">
      <c r="D121" s="421" t="s">
        <v>390</v>
      </c>
      <c r="E121" s="444">
        <f>+$K$17</f>
        <v>8.6314000000000011</v>
      </c>
      <c r="F121" s="770"/>
      <c r="G121" s="771"/>
      <c r="H121" s="771"/>
      <c r="I121" s="771"/>
      <c r="J121" s="772"/>
      <c r="K121" s="406">
        <v>7.9</v>
      </c>
      <c r="L121" s="453"/>
    </row>
    <row r="122" spans="2:12">
      <c r="D122" s="422" t="s">
        <v>391</v>
      </c>
      <c r="E122" s="443" t="s">
        <v>384</v>
      </c>
      <c r="F122" s="770" t="s">
        <v>385</v>
      </c>
      <c r="G122" s="771"/>
      <c r="H122" s="771"/>
      <c r="I122" s="771"/>
      <c r="J122" s="772"/>
      <c r="K122" s="425" t="e">
        <f>+#REF!</f>
        <v>#REF!</v>
      </c>
      <c r="L122" s="453"/>
    </row>
    <row r="126" spans="2:12" ht="36" outlineLevel="2">
      <c r="B126" s="405">
        <v>3</v>
      </c>
      <c r="D126" s="406" t="s">
        <v>392</v>
      </c>
    </row>
    <row r="127" spans="2:12" outlineLevel="2"/>
    <row r="128" spans="2:12" ht="21" outlineLevel="2">
      <c r="D128" s="408" t="s">
        <v>304</v>
      </c>
      <c r="E128" s="409" t="s">
        <v>305</v>
      </c>
      <c r="F128" s="410" t="s">
        <v>306</v>
      </c>
    </row>
    <row r="129" spans="4:10" ht="21" outlineLevel="2">
      <c r="D129" s="408"/>
      <c r="E129" s="409"/>
      <c r="F129" s="410" t="s">
        <v>500</v>
      </c>
    </row>
    <row r="130" spans="4:10" outlineLevel="2">
      <c r="D130" s="413" t="s">
        <v>393</v>
      </c>
      <c r="E130" s="411" t="s">
        <v>394</v>
      </c>
      <c r="F130" s="763" t="s">
        <v>395</v>
      </c>
      <c r="G130" s="763"/>
      <c r="H130" s="763"/>
      <c r="I130" s="763"/>
      <c r="J130" s="763"/>
    </row>
    <row r="131" spans="4:10" outlineLevel="2">
      <c r="D131" s="413" t="s">
        <v>396</v>
      </c>
      <c r="E131" s="411" t="s">
        <v>397</v>
      </c>
      <c r="F131" s="763" t="s">
        <v>395</v>
      </c>
      <c r="G131" s="763"/>
      <c r="H131" s="763"/>
      <c r="I131" s="763"/>
      <c r="J131" s="763"/>
    </row>
    <row r="132" spans="4:10" outlineLevel="2"/>
    <row r="133" spans="4:10" outlineLevel="2"/>
    <row r="134" spans="4:10" ht="21" outlineLevel="2">
      <c r="D134" s="408" t="s">
        <v>398</v>
      </c>
    </row>
    <row r="135" spans="4:10" outlineLevel="2">
      <c r="D135" s="415" t="s">
        <v>399</v>
      </c>
    </row>
    <row r="136" spans="4:10" outlineLevel="2">
      <c r="D136" s="415" t="s">
        <v>324</v>
      </c>
    </row>
    <row r="137" spans="4:10" outlineLevel="2">
      <c r="D137" s="406" t="s">
        <v>325</v>
      </c>
    </row>
    <row r="138" spans="4:10" outlineLevel="2">
      <c r="D138" s="406" t="s">
        <v>326</v>
      </c>
    </row>
    <row r="139" spans="4:10" outlineLevel="2">
      <c r="D139" s="406" t="s">
        <v>400</v>
      </c>
    </row>
    <row r="140" spans="4:10" outlineLevel="2">
      <c r="D140" s="406" t="s">
        <v>328</v>
      </c>
    </row>
    <row r="141" spans="4:10" outlineLevel="2"/>
    <row r="142" spans="4:10" outlineLevel="2"/>
    <row r="143" spans="4:10" ht="21" outlineLevel="2">
      <c r="D143" s="754" t="s">
        <v>329</v>
      </c>
      <c r="E143" s="755" t="s">
        <v>305</v>
      </c>
      <c r="F143" s="756" t="s">
        <v>306</v>
      </c>
      <c r="G143" s="757"/>
      <c r="H143" s="757"/>
      <c r="I143" s="757"/>
      <c r="J143" s="758"/>
    </row>
    <row r="144" spans="4:10" ht="21" outlineLevel="2">
      <c r="D144" s="754"/>
      <c r="E144" s="755"/>
      <c r="F144" s="759" t="s">
        <v>401</v>
      </c>
      <c r="G144" s="760"/>
      <c r="H144" s="760"/>
      <c r="I144" s="760"/>
      <c r="J144" s="761"/>
    </row>
    <row r="145" spans="4:10" outlineLevel="2">
      <c r="D145" s="419" t="s">
        <v>402</v>
      </c>
      <c r="E145" s="417" t="s">
        <v>337</v>
      </c>
      <c r="F145" s="763" t="s">
        <v>403</v>
      </c>
      <c r="G145" s="763"/>
      <c r="H145" s="763"/>
      <c r="I145" s="763"/>
      <c r="J145" s="763"/>
    </row>
    <row r="146" spans="4:10" outlineLevel="2">
      <c r="D146" s="419" t="s">
        <v>404</v>
      </c>
      <c r="E146" s="417" t="s">
        <v>348</v>
      </c>
      <c r="F146" s="763" t="s">
        <v>405</v>
      </c>
      <c r="G146" s="763"/>
      <c r="H146" s="763"/>
      <c r="I146" s="763"/>
      <c r="J146" s="763"/>
    </row>
    <row r="147" spans="4:10" outlineLevel="2">
      <c r="D147" s="419" t="s">
        <v>406</v>
      </c>
      <c r="E147" s="417" t="s">
        <v>315</v>
      </c>
      <c r="F147" s="763" t="s">
        <v>407</v>
      </c>
      <c r="G147" s="763"/>
      <c r="H147" s="763"/>
      <c r="I147" s="763"/>
      <c r="J147" s="763"/>
    </row>
    <row r="148" spans="4:10" outlineLevel="2">
      <c r="D148" s="419" t="s">
        <v>408</v>
      </c>
      <c r="E148" s="417" t="s">
        <v>310</v>
      </c>
      <c r="F148" s="763" t="s">
        <v>407</v>
      </c>
      <c r="G148" s="763"/>
      <c r="H148" s="763"/>
      <c r="I148" s="763"/>
      <c r="J148" s="763"/>
    </row>
    <row r="149" spans="4:10" outlineLevel="2">
      <c r="D149" s="419" t="s">
        <v>409</v>
      </c>
      <c r="E149" s="417" t="s">
        <v>357</v>
      </c>
      <c r="F149" s="763" t="s">
        <v>410</v>
      </c>
      <c r="G149" s="763"/>
      <c r="H149" s="763"/>
      <c r="I149" s="763"/>
      <c r="J149" s="763"/>
    </row>
    <row r="150" spans="4:10" outlineLevel="2">
      <c r="D150" s="419" t="s">
        <v>411</v>
      </c>
      <c r="E150" s="417" t="s">
        <v>412</v>
      </c>
      <c r="F150" s="763" t="s">
        <v>410</v>
      </c>
      <c r="G150" s="763"/>
      <c r="H150" s="763"/>
      <c r="I150" s="763"/>
      <c r="J150" s="763"/>
    </row>
    <row r="151" spans="4:10" ht="15" customHeight="1" outlineLevel="2">
      <c r="D151" s="419" t="s">
        <v>413</v>
      </c>
      <c r="E151" s="417" t="s">
        <v>414</v>
      </c>
      <c r="F151" s="763" t="s">
        <v>410</v>
      </c>
      <c r="G151" s="763"/>
      <c r="H151" s="763"/>
      <c r="I151" s="763"/>
      <c r="J151" s="763"/>
    </row>
    <row r="152" spans="4:10" ht="15" customHeight="1" outlineLevel="2">
      <c r="D152" s="419" t="s">
        <v>415</v>
      </c>
      <c r="E152" s="417" t="s">
        <v>416</v>
      </c>
      <c r="F152" s="763" t="s">
        <v>410</v>
      </c>
      <c r="G152" s="763"/>
      <c r="H152" s="763"/>
      <c r="I152" s="763"/>
      <c r="J152" s="763"/>
    </row>
    <row r="153" spans="4:10" ht="15" customHeight="1" outlineLevel="2">
      <c r="D153" s="419" t="s">
        <v>417</v>
      </c>
      <c r="E153" s="417" t="s">
        <v>418</v>
      </c>
      <c r="F153" s="763" t="s">
        <v>410</v>
      </c>
      <c r="G153" s="763"/>
      <c r="H153" s="763"/>
      <c r="I153" s="763"/>
      <c r="J153" s="763"/>
    </row>
    <row r="154" spans="4:10" outlineLevel="2">
      <c r="D154" s="419" t="s">
        <v>419</v>
      </c>
      <c r="E154" s="417" t="s">
        <v>420</v>
      </c>
      <c r="F154" s="763" t="s">
        <v>410</v>
      </c>
      <c r="G154" s="763"/>
      <c r="H154" s="763"/>
      <c r="I154" s="763"/>
      <c r="J154" s="763"/>
    </row>
    <row r="155" spans="4:10" outlineLevel="2">
      <c r="D155" s="419" t="s">
        <v>421</v>
      </c>
      <c r="E155" s="417" t="s">
        <v>315</v>
      </c>
      <c r="F155" s="763" t="s">
        <v>407</v>
      </c>
      <c r="G155" s="763"/>
      <c r="H155" s="763"/>
      <c r="I155" s="763"/>
      <c r="J155" s="763"/>
    </row>
    <row r="156" spans="4:10" outlineLevel="2">
      <c r="D156" s="419" t="s">
        <v>422</v>
      </c>
      <c r="E156" s="417" t="s">
        <v>418</v>
      </c>
      <c r="F156" s="763" t="s">
        <v>423</v>
      </c>
      <c r="G156" s="763"/>
      <c r="H156" s="763"/>
      <c r="I156" s="763"/>
      <c r="J156" s="763"/>
    </row>
    <row r="157" spans="4:10" outlineLevel="2">
      <c r="D157" s="419" t="s">
        <v>424</v>
      </c>
      <c r="E157" s="417" t="s">
        <v>425</v>
      </c>
      <c r="F157" s="763" t="s">
        <v>410</v>
      </c>
      <c r="G157" s="763"/>
      <c r="H157" s="763"/>
      <c r="I157" s="763"/>
      <c r="J157" s="763"/>
    </row>
    <row r="158" spans="4:10" outlineLevel="2">
      <c r="D158" s="419" t="s">
        <v>426</v>
      </c>
      <c r="E158" s="417">
        <v>0</v>
      </c>
      <c r="F158" s="763"/>
      <c r="G158" s="763"/>
      <c r="H158" s="763"/>
      <c r="I158" s="763"/>
      <c r="J158" s="763"/>
    </row>
    <row r="159" spans="4:10" outlineLevel="2">
      <c r="D159" s="419" t="s">
        <v>427</v>
      </c>
      <c r="E159" s="417" t="s">
        <v>428</v>
      </c>
      <c r="F159" s="763" t="s">
        <v>410</v>
      </c>
      <c r="G159" s="763"/>
      <c r="H159" s="763"/>
      <c r="I159" s="763"/>
      <c r="J159" s="763"/>
    </row>
    <row r="160" spans="4:10" outlineLevel="2">
      <c r="D160" s="419" t="s">
        <v>429</v>
      </c>
      <c r="E160" s="417" t="s">
        <v>430</v>
      </c>
      <c r="F160" s="763" t="s">
        <v>410</v>
      </c>
      <c r="G160" s="763"/>
      <c r="H160" s="763"/>
      <c r="I160" s="763"/>
      <c r="J160" s="763"/>
    </row>
    <row r="161" spans="2:10" outlineLevel="2">
      <c r="D161" s="419" t="s">
        <v>431</v>
      </c>
      <c r="E161" s="417" t="s">
        <v>432</v>
      </c>
      <c r="F161" s="763" t="s">
        <v>433</v>
      </c>
      <c r="G161" s="763"/>
      <c r="H161" s="763"/>
      <c r="I161" s="763"/>
      <c r="J161" s="763"/>
    </row>
    <row r="162" spans="2:10" outlineLevel="2">
      <c r="D162" s="419" t="s">
        <v>434</v>
      </c>
      <c r="E162" s="417" t="s">
        <v>435</v>
      </c>
      <c r="F162" s="763" t="s">
        <v>433</v>
      </c>
      <c r="G162" s="763"/>
      <c r="H162" s="763"/>
      <c r="I162" s="763"/>
      <c r="J162" s="763"/>
    </row>
    <row r="163" spans="2:10" outlineLevel="2">
      <c r="D163" s="419" t="s">
        <v>436</v>
      </c>
      <c r="E163" s="417" t="s">
        <v>437</v>
      </c>
      <c r="F163" s="763" t="s">
        <v>433</v>
      </c>
      <c r="G163" s="763"/>
      <c r="H163" s="763"/>
      <c r="I163" s="763"/>
      <c r="J163" s="763"/>
    </row>
    <row r="164" spans="2:10" outlineLevel="2">
      <c r="D164" s="419" t="s">
        <v>438</v>
      </c>
      <c r="E164" s="417" t="s">
        <v>439</v>
      </c>
      <c r="F164" s="763" t="s">
        <v>440</v>
      </c>
      <c r="G164" s="763"/>
      <c r="H164" s="763"/>
      <c r="I164" s="763"/>
      <c r="J164" s="763"/>
    </row>
    <row r="165" spans="2:10" outlineLevel="2">
      <c r="D165" s="419" t="s">
        <v>441</v>
      </c>
      <c r="E165" s="417" t="s">
        <v>442</v>
      </c>
      <c r="F165" s="763" t="s">
        <v>440</v>
      </c>
      <c r="G165" s="763"/>
      <c r="H165" s="763"/>
      <c r="I165" s="763"/>
      <c r="J165" s="763"/>
    </row>
    <row r="166" spans="2:10" outlineLevel="2">
      <c r="D166" s="419" t="s">
        <v>443</v>
      </c>
      <c r="E166" s="417" t="s">
        <v>444</v>
      </c>
      <c r="F166" s="763" t="s">
        <v>440</v>
      </c>
      <c r="G166" s="763"/>
      <c r="H166" s="763"/>
      <c r="I166" s="763"/>
      <c r="J166" s="763"/>
    </row>
    <row r="167" spans="2:10" outlineLevel="2">
      <c r="D167" s="419" t="s">
        <v>445</v>
      </c>
      <c r="E167" s="417" t="s">
        <v>446</v>
      </c>
      <c r="F167" s="763" t="s">
        <v>447</v>
      </c>
      <c r="G167" s="763"/>
      <c r="H167" s="763"/>
      <c r="I167" s="763"/>
      <c r="J167" s="763"/>
    </row>
    <row r="168" spans="2:10" outlineLevel="2">
      <c r="D168" s="419" t="s">
        <v>448</v>
      </c>
      <c r="E168" s="417" t="s">
        <v>394</v>
      </c>
      <c r="F168" s="763" t="s">
        <v>447</v>
      </c>
      <c r="G168" s="763"/>
      <c r="H168" s="763"/>
      <c r="I168" s="763"/>
      <c r="J168" s="763"/>
    </row>
    <row r="169" spans="2:10" outlineLevel="2">
      <c r="D169" s="419" t="s">
        <v>449</v>
      </c>
      <c r="E169" s="417" t="s">
        <v>450</v>
      </c>
      <c r="F169" s="763" t="s">
        <v>447</v>
      </c>
      <c r="G169" s="763"/>
      <c r="H169" s="763"/>
      <c r="I169" s="763"/>
      <c r="J169" s="763"/>
    </row>
    <row r="170" spans="2:10" outlineLevel="2">
      <c r="D170" s="419" t="s">
        <v>451</v>
      </c>
      <c r="E170" s="417">
        <v>0</v>
      </c>
      <c r="F170" s="763"/>
      <c r="G170" s="763"/>
      <c r="H170" s="763"/>
      <c r="I170" s="763"/>
      <c r="J170" s="763"/>
    </row>
    <row r="171" spans="2:10">
      <c r="D171" s="423"/>
      <c r="E171" s="431"/>
    </row>
    <row r="172" spans="2:10">
      <c r="D172" s="423"/>
      <c r="E172" s="431"/>
    </row>
    <row r="173" spans="2:10" ht="36">
      <c r="B173" s="405">
        <v>4</v>
      </c>
      <c r="D173" s="410" t="s">
        <v>452</v>
      </c>
    </row>
    <row r="174" spans="2:10">
      <c r="D174" s="423"/>
    </row>
    <row r="175" spans="2:10">
      <c r="D175" s="423"/>
    </row>
    <row r="176" spans="2:10" ht="21">
      <c r="D176" s="408" t="s">
        <v>453</v>
      </c>
    </row>
    <row r="177" spans="4:12">
      <c r="D177" s="415" t="s">
        <v>454</v>
      </c>
    </row>
    <row r="178" spans="4:12">
      <c r="D178" s="415" t="s">
        <v>324</v>
      </c>
    </row>
    <row r="179" spans="4:12">
      <c r="D179" s="406" t="s">
        <v>325</v>
      </c>
    </row>
    <row r="180" spans="4:12">
      <c r="D180" s="406" t="s">
        <v>326</v>
      </c>
    </row>
    <row r="181" spans="4:12">
      <c r="D181" s="406" t="s">
        <v>455</v>
      </c>
    </row>
    <row r="182" spans="4:12">
      <c r="D182" s="406" t="s">
        <v>328</v>
      </c>
    </row>
    <row r="184" spans="4:12">
      <c r="D184" s="423"/>
    </row>
    <row r="185" spans="4:12" ht="21">
      <c r="D185" s="754" t="s">
        <v>329</v>
      </c>
      <c r="E185" s="755" t="s">
        <v>305</v>
      </c>
      <c r="F185" s="756" t="s">
        <v>306</v>
      </c>
      <c r="G185" s="757"/>
      <c r="H185" s="757"/>
      <c r="I185" s="757"/>
      <c r="J185" s="758"/>
    </row>
    <row r="186" spans="4:12" ht="21">
      <c r="D186" s="754"/>
      <c r="E186" s="755"/>
      <c r="F186" s="759" t="s">
        <v>501</v>
      </c>
      <c r="G186" s="760"/>
      <c r="H186" s="760"/>
      <c r="I186" s="760"/>
      <c r="J186" s="761"/>
    </row>
    <row r="187" spans="4:12">
      <c r="D187" s="613" t="s">
        <v>456</v>
      </c>
      <c r="E187" s="450" t="s">
        <v>348</v>
      </c>
      <c r="F187" s="763" t="s">
        <v>405</v>
      </c>
      <c r="G187" s="763"/>
      <c r="H187" s="763"/>
      <c r="I187" s="763"/>
      <c r="J187" s="763"/>
      <c r="K187" s="425">
        <f>+BIODIESEL!E9</f>
        <v>400.25</v>
      </c>
      <c r="L187" s="649" t="s">
        <v>540</v>
      </c>
    </row>
    <row r="188" spans="4:12">
      <c r="D188" s="419" t="s">
        <v>457</v>
      </c>
      <c r="E188" s="450" t="s">
        <v>318</v>
      </c>
      <c r="F188" s="763" t="s">
        <v>405</v>
      </c>
      <c r="G188" s="763"/>
      <c r="H188" s="763"/>
      <c r="I188" s="763"/>
      <c r="J188" s="763"/>
      <c r="K188" s="425">
        <f>+BIODIESEL!E10</f>
        <v>4791.41</v>
      </c>
      <c r="L188" s="649" t="s">
        <v>540</v>
      </c>
    </row>
    <row r="189" spans="4:12">
      <c r="D189" s="419" t="s">
        <v>458</v>
      </c>
      <c r="E189" s="450" t="s">
        <v>337</v>
      </c>
      <c r="F189" s="763" t="s">
        <v>405</v>
      </c>
      <c r="G189" s="763"/>
      <c r="H189" s="763"/>
      <c r="I189" s="763"/>
      <c r="J189" s="763"/>
      <c r="K189" s="425">
        <f>+BIODIESEL!E8</f>
        <v>4391.16</v>
      </c>
      <c r="L189" s="649" t="s">
        <v>540</v>
      </c>
    </row>
    <row r="190" spans="4:12">
      <c r="D190" s="416" t="s">
        <v>459</v>
      </c>
      <c r="E190" s="450">
        <v>7.67</v>
      </c>
      <c r="F190" s="769"/>
      <c r="G190" s="769"/>
      <c r="H190" s="769"/>
      <c r="I190" s="769"/>
      <c r="J190" s="769"/>
      <c r="K190" s="449"/>
    </row>
    <row r="191" spans="4:12">
      <c r="D191" s="419" t="s">
        <v>460</v>
      </c>
      <c r="E191" s="450" t="s">
        <v>310</v>
      </c>
      <c r="F191" s="763" t="s">
        <v>407</v>
      </c>
      <c r="G191" s="763"/>
      <c r="H191" s="763"/>
      <c r="I191" s="763"/>
      <c r="J191" s="763"/>
      <c r="K191" s="425">
        <f>+'COMBUSTIBLES '!E7</f>
        <v>4480.78</v>
      </c>
      <c r="L191" s="466" t="s">
        <v>538</v>
      </c>
    </row>
    <row r="192" spans="4:12">
      <c r="D192" s="419" t="s">
        <v>461</v>
      </c>
      <c r="E192" s="450" t="s">
        <v>320</v>
      </c>
      <c r="F192" s="763" t="s">
        <v>405</v>
      </c>
      <c r="G192" s="763"/>
      <c r="H192" s="763"/>
      <c r="I192" s="763"/>
      <c r="J192" s="763"/>
      <c r="K192" s="425">
        <f>+BIODIESEL!F10</f>
        <v>4946.7380000000003</v>
      </c>
      <c r="L192" s="466" t="s">
        <v>538</v>
      </c>
    </row>
    <row r="193" spans="2:12">
      <c r="D193" s="416" t="s">
        <v>462</v>
      </c>
      <c r="E193" s="450">
        <v>7.67</v>
      </c>
      <c r="F193" s="765"/>
      <c r="G193" s="766"/>
      <c r="H193" s="766"/>
      <c r="I193" s="766"/>
      <c r="J193" s="767"/>
      <c r="K193" s="449"/>
    </row>
    <row r="194" spans="2:12">
      <c r="D194" s="419" t="s">
        <v>463</v>
      </c>
      <c r="E194" s="450" t="s">
        <v>357</v>
      </c>
      <c r="F194" s="763" t="s">
        <v>405</v>
      </c>
      <c r="G194" s="763"/>
      <c r="H194" s="763"/>
      <c r="I194" s="763"/>
      <c r="J194" s="763"/>
      <c r="K194" s="425">
        <f>+BIODIESEL!F8</f>
        <v>4346.357</v>
      </c>
      <c r="L194" s="466" t="s">
        <v>538</v>
      </c>
    </row>
    <row r="195" spans="2:12">
      <c r="D195" s="419" t="s">
        <v>464</v>
      </c>
      <c r="E195" s="450" t="s">
        <v>359</v>
      </c>
      <c r="F195" s="763" t="s">
        <v>405</v>
      </c>
      <c r="G195" s="763"/>
      <c r="H195" s="763"/>
      <c r="I195" s="763"/>
      <c r="J195" s="763"/>
      <c r="K195" s="425">
        <f>+BIODIESEL!F9</f>
        <v>600.38099999999997</v>
      </c>
      <c r="L195" s="466" t="s">
        <v>538</v>
      </c>
    </row>
    <row r="196" spans="2:12">
      <c r="E196" s="432"/>
    </row>
    <row r="197" spans="2:12">
      <c r="E197" s="431"/>
    </row>
    <row r="199" spans="2:12" ht="36">
      <c r="B199" s="405">
        <v>5</v>
      </c>
      <c r="D199" s="410" t="s">
        <v>465</v>
      </c>
    </row>
    <row r="201" spans="2:12" ht="21">
      <c r="D201" s="408" t="s">
        <v>466</v>
      </c>
    </row>
    <row r="202" spans="2:12">
      <c r="D202" s="414" t="s">
        <v>520</v>
      </c>
    </row>
    <row r="203" spans="2:12">
      <c r="D203" s="406" t="s">
        <v>513</v>
      </c>
    </row>
    <row r="204" spans="2:12">
      <c r="D204" s="406" t="s">
        <v>521</v>
      </c>
    </row>
    <row r="205" spans="2:12">
      <c r="D205" s="415" t="s">
        <v>467</v>
      </c>
    </row>
    <row r="206" spans="2:12">
      <c r="D206" s="415" t="s">
        <v>324</v>
      </c>
    </row>
    <row r="207" spans="2:12">
      <c r="D207" s="406" t="s">
        <v>325</v>
      </c>
    </row>
    <row r="208" spans="2:12">
      <c r="D208" s="406" t="s">
        <v>326</v>
      </c>
    </row>
    <row r="209" spans="2:20">
      <c r="D209" s="406" t="s">
        <v>455</v>
      </c>
    </row>
    <row r="210" spans="2:20">
      <c r="D210" s="406" t="s">
        <v>328</v>
      </c>
    </row>
    <row r="213" spans="2:20" ht="21">
      <c r="D213" s="762" t="s">
        <v>304</v>
      </c>
      <c r="E213" s="755" t="s">
        <v>305</v>
      </c>
      <c r="F213" s="756" t="s">
        <v>306</v>
      </c>
      <c r="G213" s="757"/>
      <c r="H213" s="757"/>
      <c r="I213" s="757"/>
      <c r="J213" s="757"/>
      <c r="K213" s="758"/>
    </row>
    <row r="214" spans="2:20" ht="21">
      <c r="D214" s="762"/>
      <c r="E214" s="755"/>
      <c r="F214" s="759" t="s">
        <v>307</v>
      </c>
      <c r="G214" s="760"/>
      <c r="H214" s="760"/>
      <c r="I214" s="760"/>
      <c r="J214" s="760"/>
      <c r="K214" s="761"/>
    </row>
    <row r="215" spans="2:20">
      <c r="D215" s="421" t="s">
        <v>468</v>
      </c>
      <c r="E215" s="450" t="s">
        <v>469</v>
      </c>
      <c r="F215" s="768" t="s">
        <v>470</v>
      </c>
      <c r="G215" s="768"/>
      <c r="H215" s="768"/>
      <c r="I215" s="768"/>
      <c r="J215" s="768"/>
      <c r="K215" s="448"/>
    </row>
    <row r="216" spans="2:20">
      <c r="D216" s="419" t="s">
        <v>471</v>
      </c>
      <c r="E216" s="450" t="s">
        <v>472</v>
      </c>
      <c r="F216" s="763" t="s">
        <v>470</v>
      </c>
      <c r="G216" s="763"/>
      <c r="H216" s="763"/>
      <c r="I216" s="763"/>
      <c r="J216" s="763"/>
      <c r="K216" s="447"/>
      <c r="L216" s="608"/>
    </row>
    <row r="217" spans="2:20">
      <c r="D217" s="419" t="s">
        <v>473</v>
      </c>
      <c r="E217" s="450" t="s">
        <v>472</v>
      </c>
      <c r="F217" s="763" t="s">
        <v>470</v>
      </c>
      <c r="G217" s="763"/>
      <c r="H217" s="763"/>
      <c r="I217" s="763"/>
      <c r="J217" s="763"/>
      <c r="K217" s="447"/>
      <c r="L217" s="619" t="s">
        <v>540</v>
      </c>
    </row>
    <row r="218" spans="2:20">
      <c r="D218" s="416" t="s">
        <v>474</v>
      </c>
      <c r="E218" s="450" t="s">
        <v>475</v>
      </c>
      <c r="F218" s="763" t="s">
        <v>470</v>
      </c>
      <c r="G218" s="763"/>
      <c r="H218" s="763"/>
      <c r="I218" s="763"/>
      <c r="J218" s="763"/>
      <c r="K218" s="447"/>
      <c r="L218" s="619" t="s">
        <v>540</v>
      </c>
      <c r="T218" s="406" t="s">
        <v>519</v>
      </c>
    </row>
    <row r="219" spans="2:20">
      <c r="D219" s="416" t="s">
        <v>476</v>
      </c>
      <c r="E219" s="450" t="s">
        <v>477</v>
      </c>
      <c r="F219" s="763" t="s">
        <v>470</v>
      </c>
      <c r="G219" s="763"/>
      <c r="H219" s="763"/>
      <c r="I219" s="763"/>
      <c r="J219" s="763"/>
      <c r="K219" s="447"/>
      <c r="L219" s="619" t="s">
        <v>540</v>
      </c>
    </row>
    <row r="220" spans="2:20">
      <c r="D220" s="416" t="s">
        <v>551</v>
      </c>
      <c r="E220" s="450"/>
      <c r="F220" s="763" t="s">
        <v>470</v>
      </c>
      <c r="G220" s="763"/>
      <c r="H220" s="763"/>
      <c r="I220" s="763"/>
      <c r="J220" s="763"/>
      <c r="K220" s="447">
        <f>+'DIESEL MARINO'!F75</f>
        <v>1030.5794000000001</v>
      </c>
      <c r="L220" s="619" t="s">
        <v>540</v>
      </c>
    </row>
    <row r="221" spans="2:20" ht="15.9" customHeight="1">
      <c r="D221" s="416" t="s">
        <v>552</v>
      </c>
      <c r="E221" s="450"/>
      <c r="F221" s="763" t="s">
        <v>470</v>
      </c>
      <c r="G221" s="763"/>
      <c r="H221" s="763"/>
      <c r="I221" s="763"/>
      <c r="J221" s="763"/>
      <c r="K221" s="447">
        <f>+'DIESEL MARINO'!F76</f>
        <v>1009.9592120000002</v>
      </c>
      <c r="L221" s="619" t="s">
        <v>540</v>
      </c>
    </row>
    <row r="222" spans="2:20" ht="15.9" customHeight="1">
      <c r="D222" s="537"/>
      <c r="E222" s="464"/>
      <c r="F222" s="479"/>
      <c r="G222" s="479"/>
      <c r="H222" s="479"/>
      <c r="I222" s="479"/>
      <c r="J222" s="479"/>
      <c r="K222" s="538"/>
      <c r="L222" s="466"/>
    </row>
    <row r="223" spans="2:20">
      <c r="E223" s="431"/>
    </row>
    <row r="224" spans="2:20" ht="36">
      <c r="B224" s="405">
        <v>6</v>
      </c>
      <c r="D224" s="410" t="s">
        <v>478</v>
      </c>
      <c r="E224" s="431"/>
    </row>
    <row r="226" spans="4:10" ht="21">
      <c r="D226" s="408" t="s">
        <v>479</v>
      </c>
    </row>
    <row r="227" spans="4:10">
      <c r="D227" s="415" t="s">
        <v>480</v>
      </c>
    </row>
    <row r="228" spans="4:10">
      <c r="D228" s="415" t="s">
        <v>324</v>
      </c>
    </row>
    <row r="229" spans="4:10">
      <c r="D229" s="406" t="s">
        <v>325</v>
      </c>
    </row>
    <row r="230" spans="4:10">
      <c r="D230" s="406" t="s">
        <v>326</v>
      </c>
    </row>
    <row r="231" spans="4:10">
      <c r="D231" s="406" t="s">
        <v>455</v>
      </c>
    </row>
    <row r="232" spans="4:10">
      <c r="D232" s="406" t="s">
        <v>328</v>
      </c>
    </row>
    <row r="234" spans="4:10" ht="21">
      <c r="D234" s="754" t="s">
        <v>329</v>
      </c>
      <c r="E234" s="755" t="s">
        <v>305</v>
      </c>
      <c r="F234" s="756" t="s">
        <v>306</v>
      </c>
      <c r="G234" s="757"/>
      <c r="H234" s="757"/>
      <c r="I234" s="757"/>
      <c r="J234" s="758"/>
    </row>
    <row r="235" spans="4:10" ht="21">
      <c r="D235" s="754"/>
      <c r="E235" s="755"/>
      <c r="F235" s="759" t="s">
        <v>401</v>
      </c>
      <c r="G235" s="760"/>
      <c r="H235" s="760"/>
      <c r="I235" s="760"/>
      <c r="J235" s="761"/>
    </row>
    <row r="236" spans="4:10">
      <c r="D236" s="421" t="s">
        <v>481</v>
      </c>
      <c r="E236" s="417" t="s">
        <v>482</v>
      </c>
      <c r="F236" s="763" t="s">
        <v>483</v>
      </c>
      <c r="G236" s="763"/>
      <c r="H236" s="763"/>
      <c r="I236" s="763"/>
      <c r="J236" s="763"/>
    </row>
    <row r="237" spans="4:10">
      <c r="D237" s="419" t="s">
        <v>484</v>
      </c>
      <c r="E237" s="417" t="s">
        <v>432</v>
      </c>
      <c r="F237" s="763" t="s">
        <v>483</v>
      </c>
      <c r="G237" s="763"/>
      <c r="H237" s="763"/>
      <c r="I237" s="763"/>
      <c r="J237" s="763"/>
    </row>
    <row r="238" spans="4:10">
      <c r="D238" s="419" t="s">
        <v>485</v>
      </c>
      <c r="E238" s="417" t="s">
        <v>418</v>
      </c>
      <c r="F238" s="763" t="s">
        <v>483</v>
      </c>
      <c r="G238" s="763"/>
      <c r="H238" s="763"/>
      <c r="I238" s="763"/>
      <c r="J238" s="763"/>
    </row>
    <row r="239" spans="4:10">
      <c r="E239" s="406"/>
    </row>
    <row r="241" spans="2:4" ht="36">
      <c r="B241" s="405">
        <v>7</v>
      </c>
      <c r="D241" s="410" t="s">
        <v>486</v>
      </c>
    </row>
    <row r="243" spans="2:4" ht="21">
      <c r="D243" s="408" t="s">
        <v>487</v>
      </c>
    </row>
    <row r="244" spans="2:4">
      <c r="D244" s="415" t="s">
        <v>488</v>
      </c>
    </row>
    <row r="245" spans="2:4">
      <c r="D245" s="415" t="s">
        <v>324</v>
      </c>
    </row>
    <row r="246" spans="2:4">
      <c r="D246" s="406" t="s">
        <v>325</v>
      </c>
    </row>
    <row r="247" spans="2:4">
      <c r="D247" s="406" t="s">
        <v>326</v>
      </c>
    </row>
    <row r="248" spans="2:4">
      <c r="D248" s="406" t="s">
        <v>455</v>
      </c>
    </row>
    <row r="249" spans="2:4" ht="21">
      <c r="D249" s="433" t="s">
        <v>489</v>
      </c>
    </row>
    <row r="253" spans="2:4" ht="36">
      <c r="B253" s="405">
        <v>8</v>
      </c>
      <c r="D253" s="410" t="s">
        <v>490</v>
      </c>
    </row>
    <row r="255" spans="2:4" ht="21">
      <c r="D255" s="408" t="s">
        <v>491</v>
      </c>
    </row>
    <row r="256" spans="2:4">
      <c r="D256" s="415" t="s">
        <v>492</v>
      </c>
    </row>
    <row r="257" spans="2:12">
      <c r="D257" s="415" t="s">
        <v>324</v>
      </c>
    </row>
    <row r="258" spans="2:12">
      <c r="D258" s="406" t="s">
        <v>325</v>
      </c>
    </row>
    <row r="259" spans="2:12">
      <c r="D259" s="406" t="s">
        <v>326</v>
      </c>
    </row>
    <row r="260" spans="2:12">
      <c r="D260" s="406" t="s">
        <v>455</v>
      </c>
    </row>
    <row r="261" spans="2:12">
      <c r="D261" s="406" t="s">
        <v>328</v>
      </c>
    </row>
    <row r="262" spans="2:12">
      <c r="D262" s="414"/>
    </row>
    <row r="264" spans="2:12" ht="21">
      <c r="D264" s="762" t="s">
        <v>304</v>
      </c>
      <c r="E264" s="755" t="s">
        <v>305</v>
      </c>
      <c r="F264" s="756" t="s">
        <v>306</v>
      </c>
      <c r="G264" s="757"/>
      <c r="H264" s="757"/>
      <c r="I264" s="757"/>
      <c r="J264" s="757"/>
      <c r="K264" s="758"/>
    </row>
    <row r="265" spans="2:12" ht="21">
      <c r="D265" s="762"/>
      <c r="E265" s="755"/>
      <c r="F265" s="759" t="s">
        <v>307</v>
      </c>
      <c r="G265" s="760"/>
      <c r="H265" s="760"/>
      <c r="I265" s="760"/>
      <c r="J265" s="760"/>
      <c r="K265" s="761"/>
    </row>
    <row r="266" spans="2:12">
      <c r="D266" s="421" t="s">
        <v>493</v>
      </c>
      <c r="E266" s="439" t="s">
        <v>343</v>
      </c>
      <c r="F266" s="763" t="s">
        <v>311</v>
      </c>
      <c r="G266" s="763"/>
      <c r="H266" s="763"/>
      <c r="I266" s="763"/>
      <c r="J266" s="763"/>
      <c r="K266" s="434">
        <f>+'COMBUSTIBLES '!B8</f>
        <v>8.6314000000000011</v>
      </c>
      <c r="L266" s="456" t="s">
        <v>540</v>
      </c>
    </row>
    <row r="267" spans="2:12">
      <c r="D267" s="419" t="s">
        <v>494</v>
      </c>
      <c r="E267" s="450" t="s">
        <v>315</v>
      </c>
      <c r="F267" s="763" t="s">
        <v>311</v>
      </c>
      <c r="G267" s="763"/>
      <c r="H267" s="763"/>
      <c r="I267" s="763"/>
      <c r="J267" s="763"/>
      <c r="K267" s="434">
        <f>+'COMBUSTIBLES '!B7</f>
        <v>5108.8999999999996</v>
      </c>
      <c r="L267" s="456" t="s">
        <v>540</v>
      </c>
    </row>
    <row r="268" spans="2:12">
      <c r="D268" s="419" t="s">
        <v>495</v>
      </c>
      <c r="E268" s="450"/>
      <c r="F268" s="764" t="s">
        <v>339</v>
      </c>
      <c r="G268" s="764"/>
      <c r="H268" s="764"/>
      <c r="I268" s="764"/>
      <c r="J268" s="764"/>
      <c r="K268" s="459">
        <f>+Variables!E20</f>
        <v>5078.7700000000004</v>
      </c>
      <c r="L268" s="456" t="s">
        <v>540</v>
      </c>
    </row>
    <row r="269" spans="2:12">
      <c r="E269" s="431"/>
    </row>
    <row r="270" spans="2:12">
      <c r="E270" s="431"/>
    </row>
    <row r="271" spans="2:12">
      <c r="E271" s="431"/>
    </row>
    <row r="272" spans="2:12" ht="36">
      <c r="B272" s="405">
        <v>9</v>
      </c>
      <c r="D272" s="410" t="s">
        <v>496</v>
      </c>
      <c r="E272" s="431"/>
    </row>
    <row r="273" spans="2:6">
      <c r="E273" s="431"/>
    </row>
    <row r="274" spans="2:6" ht="21">
      <c r="D274" s="408" t="s">
        <v>497</v>
      </c>
    </row>
    <row r="275" spans="2:6">
      <c r="D275" s="415" t="s">
        <v>498</v>
      </c>
    </row>
    <row r="276" spans="2:6">
      <c r="D276" s="415" t="s">
        <v>324</v>
      </c>
    </row>
    <row r="277" spans="2:6">
      <c r="D277" s="406" t="s">
        <v>325</v>
      </c>
    </row>
    <row r="278" spans="2:6">
      <c r="D278" s="406" t="s">
        <v>326</v>
      </c>
    </row>
    <row r="279" spans="2:6">
      <c r="D279" s="406" t="s">
        <v>455</v>
      </c>
    </row>
    <row r="280" spans="2:6" ht="21">
      <c r="D280" s="433" t="s">
        <v>507</v>
      </c>
    </row>
    <row r="282" spans="2:6">
      <c r="D282" s="414"/>
    </row>
    <row r="287" spans="2:6" ht="23.5">
      <c r="B287" s="406" t="s">
        <v>531</v>
      </c>
      <c r="D287" s="424" t="s">
        <v>499</v>
      </c>
      <c r="E287" s="452" t="s">
        <v>536</v>
      </c>
      <c r="F287" s="435" t="s">
        <v>525</v>
      </c>
    </row>
    <row r="289" spans="2:5">
      <c r="B289" s="406" t="s">
        <v>508</v>
      </c>
      <c r="C289" s="678">
        <v>1</v>
      </c>
      <c r="D289" s="437" t="str">
        <f>CONCATENATE("PRECIO REGULADOS"," ",$E$287)</f>
        <v>PRECIO REGULADOS FEB 1 A FEB 28  2019</v>
      </c>
      <c r="E289" s="431"/>
    </row>
    <row r="290" spans="2:5">
      <c r="D290" s="436" t="s">
        <v>510</v>
      </c>
      <c r="E290" s="431"/>
    </row>
    <row r="291" spans="2:5">
      <c r="D291" s="436"/>
      <c r="E291" s="431"/>
    </row>
    <row r="292" spans="2:5">
      <c r="B292" s="406" t="s">
        <v>509</v>
      </c>
      <c r="C292" s="678">
        <v>2</v>
      </c>
      <c r="D292" s="442" t="str">
        <f>CONCATENATE("PRECIO NO REGULADOS"," ",$E$287)</f>
        <v>PRECIO NO REGULADOS FEB 1 A FEB 28  2019</v>
      </c>
      <c r="E292" s="454" t="s">
        <v>148</v>
      </c>
    </row>
    <row r="293" spans="2:5">
      <c r="D293" s="436" t="s">
        <v>511</v>
      </c>
      <c r="E293" s="431"/>
    </row>
    <row r="294" spans="2:5">
      <c r="D294" s="436"/>
      <c r="E294" s="431"/>
    </row>
    <row r="295" spans="2:5">
      <c r="B295" s="451" t="s">
        <v>532</v>
      </c>
      <c r="C295" s="678">
        <v>3</v>
      </c>
      <c r="D295" s="437" t="str">
        <f>CONCATENATE("PRECIO ZONAS DE FRONTERA "," ",$E$287)</f>
        <v>PRECIO ZONAS DE FRONTERA  FEB 1 A FEB 28  2019</v>
      </c>
      <c r="E295" s="431"/>
    </row>
    <row r="296" spans="2:5">
      <c r="D296" s="436" t="s">
        <v>510</v>
      </c>
      <c r="E296" s="431"/>
    </row>
    <row r="297" spans="2:5">
      <c r="D297" s="436"/>
      <c r="E297" s="431"/>
    </row>
    <row r="298" spans="2:5">
      <c r="B298" s="406" t="s">
        <v>512</v>
      </c>
      <c r="C298" s="678">
        <v>4</v>
      </c>
      <c r="D298" s="437" t="str">
        <f>CONCATENATE("PRECIO ELECTROCOMBUSTIBLE  ",," ",$E$287)</f>
        <v>PRECIO ELECTROCOMBUSTIBLE   FEB 1 A FEB 28  2019</v>
      </c>
      <c r="E298" s="431"/>
    </row>
    <row r="299" spans="2:5">
      <c r="D299" s="436" t="s">
        <v>510</v>
      </c>
      <c r="E299" s="431"/>
    </row>
    <row r="300" spans="2:5">
      <c r="D300" s="436"/>
      <c r="E300" s="431"/>
    </row>
    <row r="301" spans="2:5">
      <c r="B301" s="406" t="s">
        <v>513</v>
      </c>
      <c r="C301" s="678">
        <v>5</v>
      </c>
      <c r="D301" s="437" t="str">
        <f>CONCATENATE("PRECIO DESCUENTO PESQUEROS "," ",$E$287)</f>
        <v>PRECIO DESCUENTO PESQUEROS  FEB 1 A FEB 28  2019</v>
      </c>
      <c r="E301" s="431"/>
    </row>
    <row r="302" spans="2:5">
      <c r="D302" s="436" t="s">
        <v>510</v>
      </c>
      <c r="E302" s="431"/>
    </row>
    <row r="303" spans="2:5">
      <c r="D303" s="436"/>
      <c r="E303" s="431"/>
    </row>
    <row r="304" spans="2:5">
      <c r="B304" s="164" t="s">
        <v>533</v>
      </c>
      <c r="C304" s="678">
        <v>6</v>
      </c>
      <c r="D304" s="437" t="str">
        <f>CONCATENATE("PRECIO ESPECIAL GUAJIRA "," ",$E$287)</f>
        <v>PRECIO ESPECIAL GUAJIRA  FEB 1 A FEB 28  2019</v>
      </c>
      <c r="E304" s="431"/>
    </row>
    <row r="305" spans="2:5">
      <c r="D305" s="436" t="s">
        <v>510</v>
      </c>
      <c r="E305" s="431"/>
    </row>
    <row r="306" spans="2:5">
      <c r="D306" s="436"/>
      <c r="E306" s="431"/>
    </row>
    <row r="307" spans="2:5">
      <c r="B307" s="406" t="s">
        <v>514</v>
      </c>
      <c r="C307" s="678">
        <v>7</v>
      </c>
      <c r="D307" s="442" t="str">
        <f>CONCATENATE("PRECIO ESTRUCTURA TARIFA BIOS "," ",$E$287)</f>
        <v>PRECIO ESTRUCTURA TARIFA BIOS  FEB 1 A FEB 28  2019</v>
      </c>
      <c r="E307" s="431" t="s">
        <v>530</v>
      </c>
    </row>
    <row r="308" spans="2:5">
      <c r="D308" s="436" t="s">
        <v>510</v>
      </c>
      <c r="E308" s="431"/>
    </row>
    <row r="309" spans="2:5">
      <c r="D309" s="436"/>
      <c r="E309" s="431"/>
    </row>
    <row r="310" spans="2:5">
      <c r="B310" s="406" t="s">
        <v>515</v>
      </c>
      <c r="C310" s="678">
        <v>8</v>
      </c>
      <c r="D310" s="437" t="str">
        <f>CONCATENATE("PRECIO GASOLINA  IMPORTADA "," ",$E$287)</f>
        <v>PRECIO GASOLINA  IMPORTADA  FEB 1 A FEB 28  2019</v>
      </c>
      <c r="E310" s="431"/>
    </row>
    <row r="311" spans="2:5">
      <c r="D311" s="436" t="s">
        <v>510</v>
      </c>
      <c r="E311" s="431"/>
    </row>
    <row r="312" spans="2:5">
      <c r="D312" s="436"/>
      <c r="E312" s="431"/>
    </row>
    <row r="313" spans="2:5">
      <c r="B313" s="451" t="s">
        <v>534</v>
      </c>
      <c r="C313" s="678">
        <v>9</v>
      </c>
      <c r="D313" s="442" t="str">
        <f>CONCATENATE("BALANCE VOLUMETRICO REFICAR A ",," ",$E$287)</f>
        <v>BALANCE VOLUMETRICO REFICAR A  FEB 1 A FEB 28  2019</v>
      </c>
      <c r="E313" s="431" t="s">
        <v>530</v>
      </c>
    </row>
    <row r="314" spans="2:5">
      <c r="D314" s="436" t="s">
        <v>510</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K20" sqref="K20"/>
    </sheetView>
  </sheetViews>
  <sheetFormatPr baseColWidth="10" defaultColWidth="9.90625" defaultRowHeight="14" outlineLevelRow="1" outlineLevelCol="2"/>
  <cols>
    <col min="1" max="2" width="9.90625" style="2" customWidth="1"/>
    <col min="3" max="3" width="46.81640625" style="2" customWidth="1"/>
    <col min="4" max="4" width="27.90625" style="2" customWidth="1"/>
    <col min="5" max="5" width="27.6328125" style="2" customWidth="1"/>
    <col min="6" max="6" width="31.90625" style="2" customWidth="1" outlineLevel="1"/>
    <col min="7" max="7" width="10.36328125" style="2" hidden="1" customWidth="1" outlineLevel="2"/>
    <col min="8" max="8" width="12.54296875" style="2" hidden="1" customWidth="1" outlineLevel="2"/>
    <col min="9" max="9" width="15.54296875" style="2" hidden="1" customWidth="1" outlineLevel="1" collapsed="1"/>
    <col min="10" max="10" width="29.36328125" style="2" customWidth="1" outlineLevel="1"/>
    <col min="11" max="11" width="14" style="2" customWidth="1"/>
    <col min="12" max="12" width="10.81640625" style="2" bestFit="1" customWidth="1"/>
    <col min="13" max="16384" width="9.90625" style="2"/>
  </cols>
  <sheetData>
    <row r="1" spans="3:12" ht="15.5">
      <c r="C1" s="888" t="s">
        <v>194</v>
      </c>
      <c r="D1" s="888"/>
      <c r="E1" s="888"/>
      <c r="F1" s="888"/>
      <c r="G1" s="888"/>
      <c r="H1" s="888"/>
    </row>
    <row r="2" spans="3:12" ht="15.5">
      <c r="C2" s="888" t="s">
        <v>31</v>
      </c>
      <c r="D2" s="888"/>
      <c r="E2" s="888"/>
      <c r="F2" s="888"/>
      <c r="G2" s="888"/>
      <c r="H2" s="888"/>
    </row>
    <row r="3" spans="3:12" ht="15.5">
      <c r="C3" s="888" t="s">
        <v>14</v>
      </c>
      <c r="D3" s="888"/>
      <c r="E3" s="888"/>
      <c r="F3" s="888"/>
      <c r="G3" s="888"/>
      <c r="H3" s="888"/>
      <c r="J3" s="4"/>
    </row>
    <row r="4" spans="3:12" ht="24.75" customHeight="1" thickBot="1">
      <c r="C4" s="280" t="str">
        <f>+'COMBUSTIBLES '!A1</f>
        <v>01 DE ENERO 2022</v>
      </c>
      <c r="D4" s="26"/>
      <c r="E4" s="27"/>
      <c r="F4" s="889"/>
      <c r="G4" s="889"/>
      <c r="H4" s="380"/>
      <c r="I4" s="380"/>
      <c r="J4" s="750"/>
    </row>
    <row r="5" spans="3:12" ht="45.15" customHeight="1" thickTop="1">
      <c r="C5" s="100" t="s">
        <v>15</v>
      </c>
      <c r="D5" s="300" t="s">
        <v>651</v>
      </c>
      <c r="E5" s="300" t="s">
        <v>238</v>
      </c>
      <c r="F5" s="300" t="s">
        <v>263</v>
      </c>
      <c r="I5" s="300" t="s">
        <v>239</v>
      </c>
      <c r="J5" s="301" t="s">
        <v>568</v>
      </c>
    </row>
    <row r="6" spans="3:12" ht="22.65" customHeight="1">
      <c r="C6" s="302" t="s">
        <v>19</v>
      </c>
      <c r="D6" s="295">
        <f>'COMBUSTIBLES '!E7</f>
        <v>4480.78</v>
      </c>
      <c r="E6" s="295">
        <f>+D6</f>
        <v>4480.78</v>
      </c>
      <c r="F6" s="295">
        <f>+E6*80%</f>
        <v>3584.6239999999998</v>
      </c>
      <c r="I6" s="295">
        <f>+BIODIESEL!B7*4%+(F6)*96%</f>
        <v>4241.7474399999992</v>
      </c>
      <c r="J6" s="304">
        <f>+BIODIESEL!B7*2%+(F6)*98%</f>
        <v>3913.1857199999995</v>
      </c>
      <c r="L6" s="28"/>
    </row>
    <row r="7" spans="3:12" ht="22.65" customHeight="1">
      <c r="C7" s="305" t="str">
        <f>+'GASOLINA CORRIENTE OXIGENADA'!A11</f>
        <v>Impuesto Nacional a la Gasolina y al ACPM</v>
      </c>
      <c r="D7" s="298">
        <f>Variables!C32</f>
        <v>531.27</v>
      </c>
      <c r="E7" s="298">
        <f>Variables!C33</f>
        <v>677.11</v>
      </c>
      <c r="F7" s="298">
        <f>+E7</f>
        <v>677.11</v>
      </c>
      <c r="G7" s="64"/>
      <c r="H7" s="64"/>
      <c r="I7" s="298">
        <f>ROUND(F7*96%,2)</f>
        <v>650.03</v>
      </c>
      <c r="J7" s="101">
        <f>ROUND(E7*98%,2)</f>
        <v>663.57</v>
      </c>
    </row>
    <row r="8" spans="3:12" ht="22.65" customHeight="1">
      <c r="C8" s="305" t="str">
        <f>+'GASOLINA CORRIENTE OXIGENADA'!A12</f>
        <v>Impuesto sobre las Ventas</v>
      </c>
      <c r="D8" s="402" t="str">
        <f>'COMBUSTIBLES '!E12</f>
        <v>(3)</v>
      </c>
      <c r="E8" s="402" t="str">
        <f>'COMBUSTIBLES '!E12</f>
        <v>(3)</v>
      </c>
      <c r="F8" s="402" t="str">
        <f>+E8</f>
        <v>(3)</v>
      </c>
      <c r="G8" s="403"/>
      <c r="H8" s="403"/>
      <c r="I8" s="402" t="str">
        <f>+F8</f>
        <v>(3)</v>
      </c>
      <c r="J8" s="404" t="str">
        <f>+I8</f>
        <v>(3)</v>
      </c>
    </row>
    <row r="9" spans="3:12" ht="22.65" customHeight="1">
      <c r="C9" s="305" t="str">
        <f>+'GASOLINA CORRIENTE OXIGENADA'!A13</f>
        <v>Impuesto al carbono</v>
      </c>
      <c r="D9" s="295">
        <f>'COMBUSTIBLES '!E13</f>
        <v>179</v>
      </c>
      <c r="E9" s="295">
        <f>'COMBUSTIBLES '!E13</f>
        <v>179</v>
      </c>
      <c r="F9" s="295">
        <f>'COMBUSTIBLES '!E13</f>
        <v>179</v>
      </c>
      <c r="I9" s="295">
        <f>ROUND(F9*96%,2)</f>
        <v>171.84</v>
      </c>
      <c r="J9" s="304">
        <f>ROUND(E9*98%,2)</f>
        <v>175.42</v>
      </c>
    </row>
    <row r="10" spans="3:12" ht="22.65" customHeight="1">
      <c r="C10" s="302" t="s">
        <v>219</v>
      </c>
      <c r="D10" s="297" t="str">
        <f>+I10</f>
        <v>(*)</v>
      </c>
      <c r="E10" s="297" t="str">
        <f>+D10</f>
        <v>(*)</v>
      </c>
      <c r="F10" s="297" t="str">
        <f>+E10</f>
        <v>(*)</v>
      </c>
      <c r="I10" s="297" t="s">
        <v>11</v>
      </c>
      <c r="J10" s="369" t="str">
        <f>+I10</f>
        <v>(*)</v>
      </c>
    </row>
    <row r="11" spans="3:12" ht="17.149999999999999" hidden="1" customHeight="1">
      <c r="C11" s="84" t="s">
        <v>216</v>
      </c>
      <c r="D11" s="298"/>
      <c r="E11" s="298"/>
      <c r="F11" s="298"/>
      <c r="I11" s="298">
        <f>+F11</f>
        <v>0</v>
      </c>
      <c r="J11" s="101"/>
    </row>
    <row r="12" spans="3:12" ht="26.4" customHeight="1">
      <c r="C12" s="306" t="s">
        <v>196</v>
      </c>
      <c r="D12" s="299">
        <f>SUM(D6:D11)</f>
        <v>5191.0499999999993</v>
      </c>
      <c r="E12" s="299">
        <f>SUM(E6:E11)</f>
        <v>5336.8899999999994</v>
      </c>
      <c r="F12" s="299">
        <f>SUM(F6:F11)</f>
        <v>4440.7339999999995</v>
      </c>
      <c r="I12" s="299">
        <f>SUM(I6:I11)</f>
        <v>5063.6174399999991</v>
      </c>
      <c r="J12" s="307">
        <f>SUM(J6:J11)</f>
        <v>4752.1757199999993</v>
      </c>
    </row>
    <row r="13" spans="3:12" ht="22.65" customHeight="1" thickBot="1">
      <c r="C13" s="308" t="s">
        <v>8</v>
      </c>
      <c r="D13" s="659">
        <f>'COMBUSTIBLES '!E16</f>
        <v>301</v>
      </c>
      <c r="E13" s="309"/>
      <c r="F13" s="309"/>
      <c r="I13" s="309"/>
      <c r="J13" s="310"/>
    </row>
    <row r="14" spans="3:12" ht="12.15" customHeight="1" thickTop="1">
      <c r="C14" s="294"/>
      <c r="D14" s="25"/>
      <c r="E14" s="25"/>
      <c r="F14" s="381"/>
      <c r="G14" s="381"/>
      <c r="H14" s="381"/>
      <c r="I14" s="380"/>
    </row>
    <row r="15" spans="3:12" ht="18.649999999999999" customHeight="1">
      <c r="C15" s="890" t="s">
        <v>235</v>
      </c>
      <c r="D15" s="890"/>
      <c r="E15" s="890"/>
      <c r="F15" s="890"/>
      <c r="G15" s="890"/>
      <c r="H15" s="890"/>
    </row>
    <row r="16" spans="3:12" ht="49.65" customHeight="1">
      <c r="C16" s="887" t="s">
        <v>693</v>
      </c>
      <c r="D16" s="887"/>
      <c r="E16" s="887"/>
      <c r="F16" s="887"/>
      <c r="G16" s="887"/>
      <c r="H16" s="887"/>
    </row>
    <row r="17" spans="3:11" ht="21" hidden="1" customHeight="1">
      <c r="C17" s="854"/>
      <c r="D17" s="854"/>
      <c r="E17" s="854"/>
      <c r="F17" s="854"/>
      <c r="G17" s="854"/>
      <c r="H17" s="854"/>
    </row>
    <row r="18" spans="3:11">
      <c r="C18" s="854" t="s">
        <v>264</v>
      </c>
      <c r="D18" s="854"/>
      <c r="E18" s="854"/>
      <c r="F18" s="854"/>
      <c r="G18" s="854"/>
      <c r="H18" s="854"/>
    </row>
    <row r="19" spans="3:11" ht="9.9" customHeight="1">
      <c r="C19" s="311"/>
      <c r="D19" s="311"/>
      <c r="E19" s="311"/>
      <c r="F19" s="311"/>
      <c r="G19" s="311"/>
      <c r="H19" s="311"/>
    </row>
    <row r="20" spans="3:11">
      <c r="C20" s="862" t="s">
        <v>302</v>
      </c>
      <c r="D20" s="862"/>
      <c r="E20" s="862"/>
      <c r="F20" s="862"/>
      <c r="G20" s="862"/>
      <c r="H20" s="862"/>
      <c r="I20" s="862"/>
      <c r="J20" s="2" t="s">
        <v>148</v>
      </c>
    </row>
    <row r="21" spans="3:11">
      <c r="C21" s="862" t="s">
        <v>300</v>
      </c>
      <c r="D21" s="862"/>
      <c r="E21" s="862"/>
      <c r="F21" s="862"/>
      <c r="G21" s="862"/>
      <c r="H21" s="862"/>
      <c r="I21" s="862"/>
    </row>
    <row r="22" spans="3:11">
      <c r="C22" s="862" t="s">
        <v>301</v>
      </c>
      <c r="D22" s="862"/>
      <c r="E22" s="862"/>
      <c r="F22" s="862"/>
      <c r="G22" s="862"/>
      <c r="H22" s="862"/>
      <c r="I22" s="862"/>
    </row>
    <row r="23" spans="3:11">
      <c r="C23" s="635"/>
      <c r="D23" s="635"/>
      <c r="E23" s="635"/>
      <c r="F23" s="635"/>
      <c r="G23" s="635"/>
      <c r="H23" s="635"/>
      <c r="I23" s="635"/>
    </row>
    <row r="24" spans="3:11">
      <c r="C24" s="635"/>
      <c r="D24" s="635"/>
      <c r="E24" s="635"/>
      <c r="F24" s="635"/>
      <c r="G24" s="635"/>
      <c r="H24" s="635"/>
      <c r="I24" s="635"/>
    </row>
    <row r="25" spans="3:11" ht="15.5">
      <c r="C25" s="888" t="s">
        <v>39</v>
      </c>
      <c r="D25" s="888"/>
      <c r="E25" s="888"/>
      <c r="F25" s="888"/>
      <c r="G25" s="888"/>
      <c r="H25" s="888"/>
      <c r="J25" s="2" t="s">
        <v>148</v>
      </c>
    </row>
    <row r="26" spans="3:11" ht="15.5">
      <c r="C26" s="888" t="s">
        <v>33</v>
      </c>
      <c r="D26" s="888"/>
      <c r="E26" s="888"/>
      <c r="F26" s="888"/>
      <c r="G26" s="888"/>
      <c r="H26" s="888"/>
    </row>
    <row r="27" spans="3:11" ht="15.5">
      <c r="C27" s="888" t="s">
        <v>14</v>
      </c>
      <c r="D27" s="888"/>
      <c r="E27" s="888"/>
      <c r="F27" s="888"/>
      <c r="G27" s="888"/>
      <c r="H27" s="888"/>
    </row>
    <row r="28" spans="3:11" ht="14.5" thickBot="1">
      <c r="C28" s="280" t="str">
        <f>+C4</f>
        <v>01 DE ENERO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258</v>
      </c>
      <c r="H29" s="300" t="s">
        <v>259</v>
      </c>
      <c r="J29" s="300" t="s">
        <v>648</v>
      </c>
    </row>
    <row r="30" spans="3:11" ht="23.4" customHeight="1">
      <c r="C30" s="302" t="s">
        <v>19</v>
      </c>
      <c r="D30" s="298">
        <f>'COMBUSTIBLES '!E7</f>
        <v>4480.78</v>
      </c>
      <c r="E30" s="295">
        <f>+D30</f>
        <v>4480.78</v>
      </c>
      <c r="F30" s="296">
        <f>+D30*80%</f>
        <v>3584.6239999999998</v>
      </c>
      <c r="G30" s="515">
        <v>1903.2</v>
      </c>
      <c r="H30" s="303">
        <v>1280.03</v>
      </c>
      <c r="J30" s="303">
        <f>+(F30*98%)+(BIODIESEL!B7*2%)</f>
        <v>3913.1857199999995</v>
      </c>
      <c r="K30" s="28" t="s">
        <v>148</v>
      </c>
    </row>
    <row r="31" spans="3:11" ht="23.4" customHeight="1">
      <c r="C31" s="305" t="str">
        <f>+C7</f>
        <v>Impuesto Nacional a la Gasolina y al ACPM</v>
      </c>
      <c r="D31" s="298">
        <f>+Variables!C33</f>
        <v>677.11</v>
      </c>
      <c r="E31" s="298">
        <f>D31</f>
        <v>677.11</v>
      </c>
      <c r="F31" s="298">
        <f>E31</f>
        <v>677.11</v>
      </c>
      <c r="G31" s="516">
        <f>+D31</f>
        <v>677.11</v>
      </c>
      <c r="H31" s="304">
        <f>+F31</f>
        <v>677.11</v>
      </c>
      <c r="J31" s="101">
        <f>ROUND(F31*98%,2)</f>
        <v>663.57</v>
      </c>
    </row>
    <row r="32" spans="3:11" ht="23.4" customHeight="1">
      <c r="C32" s="305" t="str">
        <f t="shared" ref="C32:F33" si="0">+C8</f>
        <v>Impuesto sobre las Ventas</v>
      </c>
      <c r="D32" s="295"/>
      <c r="E32" s="295"/>
      <c r="F32" s="295"/>
      <c r="G32" s="516"/>
      <c r="H32" s="304"/>
      <c r="J32" s="304"/>
    </row>
    <row r="33" spans="1:10" ht="23.4" customHeight="1">
      <c r="C33" s="305" t="str">
        <f t="shared" si="0"/>
        <v>Impuesto al carbono</v>
      </c>
      <c r="D33" s="295">
        <f t="shared" si="0"/>
        <v>179</v>
      </c>
      <c r="E33" s="295">
        <f t="shared" si="0"/>
        <v>179</v>
      </c>
      <c r="F33" s="295">
        <f t="shared" si="0"/>
        <v>179</v>
      </c>
      <c r="G33" s="516"/>
      <c r="H33" s="304"/>
      <c r="J33" s="101">
        <f>ROUND(F33*98%,2)</f>
        <v>175.42</v>
      </c>
    </row>
    <row r="34" spans="1:10" ht="23.4" customHeight="1">
      <c r="C34" s="302" t="s">
        <v>20</v>
      </c>
      <c r="D34" s="298" t="str">
        <f>+D10</f>
        <v>(*)</v>
      </c>
      <c r="E34" s="298" t="str">
        <f>+D34</f>
        <v>(*)</v>
      </c>
      <c r="F34" s="298" t="str">
        <f>+E34</f>
        <v>(*)</v>
      </c>
      <c r="G34" s="517" t="str">
        <f>+F34</f>
        <v>(*)</v>
      </c>
      <c r="H34" s="101" t="str">
        <f>+G34</f>
        <v>(*)</v>
      </c>
      <c r="J34" s="101">
        <f>+I34</f>
        <v>0</v>
      </c>
    </row>
    <row r="35" spans="1:10" ht="23.4" hidden="1" customHeight="1">
      <c r="C35" s="84"/>
      <c r="D35" s="295"/>
      <c r="E35" s="295"/>
      <c r="F35" s="295"/>
      <c r="G35" s="518"/>
      <c r="H35" s="304"/>
      <c r="J35" s="304"/>
    </row>
    <row r="36" spans="1:10" ht="23.4" customHeight="1">
      <c r="C36" s="312" t="s">
        <v>34</v>
      </c>
      <c r="D36" s="299">
        <f>SUM(D30:D35)</f>
        <v>5336.8899999999994</v>
      </c>
      <c r="E36" s="299">
        <f>SUM(E30:E35)</f>
        <v>5336.8899999999994</v>
      </c>
      <c r="F36" s="299">
        <f>SUM(F30:F35)</f>
        <v>4440.7339999999995</v>
      </c>
      <c r="G36" s="519">
        <f>SUM(G30:G35)</f>
        <v>2580.31</v>
      </c>
      <c r="H36" s="307">
        <f>SUM(H30:H35)</f>
        <v>1957.1399999999999</v>
      </c>
      <c r="J36" s="307">
        <f>SUM(J30:J35)</f>
        <v>4752.1757199999993</v>
      </c>
    </row>
    <row r="37" spans="1:10" ht="23.4" customHeight="1">
      <c r="C37" s="102" t="s">
        <v>220</v>
      </c>
      <c r="D37" s="82" t="s">
        <v>11</v>
      </c>
      <c r="E37" s="82" t="str">
        <f>+D37</f>
        <v>(*)</v>
      </c>
      <c r="F37" s="82" t="str">
        <f>E37</f>
        <v>(*)</v>
      </c>
      <c r="G37" s="520" t="str">
        <f>+F37</f>
        <v>(*)</v>
      </c>
      <c r="H37" s="83" t="str">
        <f>G37</f>
        <v>(*)</v>
      </c>
      <c r="J37" s="83" t="str">
        <f>+F37</f>
        <v>(*)</v>
      </c>
    </row>
    <row r="38" spans="1:10" ht="23.4" customHeight="1">
      <c r="C38" s="102" t="s">
        <v>222</v>
      </c>
      <c r="D38" s="82" t="s">
        <v>12</v>
      </c>
      <c r="E38" s="82" t="str">
        <f>+D38</f>
        <v>(**)</v>
      </c>
      <c r="F38" s="82" t="str">
        <f>E38</f>
        <v>(**)</v>
      </c>
      <c r="G38" s="520" t="str">
        <f>+F38</f>
        <v>(**)</v>
      </c>
      <c r="H38" s="83" t="str">
        <f>G38</f>
        <v>(**)</v>
      </c>
      <c r="I38" s="28"/>
      <c r="J38" s="83" t="str">
        <f>+F37</f>
        <v>(*)</v>
      </c>
    </row>
    <row r="39" spans="1:10" ht="23.4" customHeight="1">
      <c r="C39" s="306" t="s">
        <v>35</v>
      </c>
      <c r="D39" s="299">
        <f>SUM(D36:D38)</f>
        <v>5336.8899999999994</v>
      </c>
      <c r="E39" s="299">
        <f>SUM(E36:E38)</f>
        <v>5336.8899999999994</v>
      </c>
      <c r="F39" s="299">
        <f>SUM(F36:F38)</f>
        <v>4440.7339999999995</v>
      </c>
      <c r="G39" s="519">
        <f>SUM(G36:G38)</f>
        <v>2580.31</v>
      </c>
      <c r="H39" s="307">
        <f>SUM(H36:H38)</f>
        <v>1957.1399999999999</v>
      </c>
      <c r="J39" s="307">
        <f>SUM(J36:J38)</f>
        <v>4752.1757199999993</v>
      </c>
    </row>
    <row r="40" spans="1:10" ht="23.4" customHeight="1" thickBot="1">
      <c r="C40" s="308" t="s">
        <v>8</v>
      </c>
      <c r="D40" s="660">
        <f>'COMBUSTIBLES '!E16</f>
        <v>301</v>
      </c>
      <c r="E40" s="309"/>
      <c r="F40" s="309"/>
      <c r="G40" s="499"/>
      <c r="H40" s="310"/>
      <c r="J40" s="310"/>
    </row>
    <row r="41" spans="1:10" ht="14.5" thickTop="1">
      <c r="A41" s="2" t="s">
        <v>148</v>
      </c>
      <c r="C41" s="29" t="s">
        <v>148</v>
      </c>
      <c r="D41" s="30"/>
      <c r="E41" s="30"/>
      <c r="F41" s="64"/>
      <c r="G41" s="64"/>
      <c r="H41" s="64"/>
    </row>
    <row r="42" spans="1:10" ht="15" customHeight="1">
      <c r="C42" s="891" t="s">
        <v>236</v>
      </c>
      <c r="D42" s="891"/>
      <c r="E42" s="891"/>
      <c r="F42" s="891"/>
      <c r="G42" s="891"/>
      <c r="H42" s="891"/>
      <c r="I42" s="891"/>
      <c r="J42" s="891"/>
    </row>
    <row r="43" spans="1:10" ht="18" customHeight="1">
      <c r="C43" s="891" t="s">
        <v>221</v>
      </c>
      <c r="D43" s="891"/>
      <c r="E43" s="891"/>
      <c r="F43" s="891"/>
      <c r="G43" s="891"/>
      <c r="H43" s="891"/>
      <c r="I43" s="891"/>
      <c r="J43" s="891"/>
    </row>
    <row r="44" spans="1:10" ht="65.25" customHeight="1">
      <c r="C44" s="859" t="s">
        <v>260</v>
      </c>
      <c r="D44" s="859"/>
      <c r="E44" s="859"/>
      <c r="F44" s="859"/>
      <c r="G44" s="859"/>
      <c r="H44" s="859"/>
      <c r="I44" s="859"/>
      <c r="J44" s="859"/>
    </row>
    <row r="45" spans="1:10" ht="28.5" customHeight="1">
      <c r="C45" s="854" t="s">
        <v>630</v>
      </c>
      <c r="D45" s="854"/>
      <c r="E45" s="854"/>
      <c r="F45" s="854"/>
      <c r="G45" s="854"/>
      <c r="H45" s="854"/>
      <c r="I45" s="13"/>
      <c r="J45" s="13"/>
    </row>
    <row r="46" spans="1:10" s="13" customFormat="1" ht="18" customHeight="1">
      <c r="C46" s="31"/>
      <c r="D46" s="32"/>
      <c r="E46" s="32"/>
    </row>
    <row r="47" spans="1:10" ht="19.649999999999999" customHeight="1">
      <c r="C47" s="636" t="s">
        <v>40</v>
      </c>
      <c r="D47" s="637"/>
      <c r="E47" s="638"/>
      <c r="F47" s="639"/>
    </row>
    <row r="48" spans="1:10" ht="15.5">
      <c r="C48" s="636" t="s">
        <v>36</v>
      </c>
      <c r="D48" s="637"/>
      <c r="E48" s="638"/>
      <c r="F48" s="639"/>
    </row>
    <row r="49" spans="3:10" ht="15.5">
      <c r="C49" s="636" t="s">
        <v>37</v>
      </c>
      <c r="D49" s="637"/>
      <c r="E49" s="638"/>
      <c r="F49" s="639"/>
    </row>
    <row r="50" spans="3:10" ht="15.5">
      <c r="C50" s="636" t="s">
        <v>14</v>
      </c>
      <c r="D50" s="637"/>
      <c r="E50" s="638"/>
      <c r="F50" s="639"/>
    </row>
    <row r="51" spans="3:10" ht="14.5" thickBot="1">
      <c r="C51" s="280" t="str">
        <f>+C28</f>
        <v>01 DE ENERO 2022</v>
      </c>
      <c r="D51" s="26"/>
      <c r="E51" s="751"/>
      <c r="F51" s="752"/>
    </row>
    <row r="52" spans="3:10" ht="33" customHeight="1" thickTop="1">
      <c r="C52" s="100" t="s">
        <v>15</v>
      </c>
      <c r="D52" s="300" t="s">
        <v>224</v>
      </c>
      <c r="E52" s="300" t="s">
        <v>650</v>
      </c>
      <c r="F52" s="301" t="s">
        <v>649</v>
      </c>
    </row>
    <row r="53" spans="3:10" ht="26.4" customHeight="1">
      <c r="C53" s="302" t="s">
        <v>225</v>
      </c>
      <c r="D53" s="295">
        <f>+BIODIESEL!E10</f>
        <v>4791.41</v>
      </c>
      <c r="E53" s="295">
        <f>+D53</f>
        <v>4791.41</v>
      </c>
      <c r="F53" s="101">
        <f>+BIODIESEL!B7*2%+('COMBUSTIBLES '!E7*77%)*98%</f>
        <v>3781.4507879999996</v>
      </c>
      <c r="G53" s="372"/>
      <c r="J53" s="525"/>
    </row>
    <row r="54" spans="3:10" ht="26.4" customHeight="1">
      <c r="C54" s="302" t="str">
        <f>+C31</f>
        <v>Impuesto Nacional a la Gasolina y al ACPM</v>
      </c>
      <c r="D54" s="631">
        <f>+D7*98%</f>
        <v>520.64459999999997</v>
      </c>
      <c r="E54" s="298">
        <f>+J7</f>
        <v>663.57</v>
      </c>
      <c r="F54" s="101">
        <f>E54</f>
        <v>663.57</v>
      </c>
      <c r="G54" s="28"/>
      <c r="J54" s="628"/>
    </row>
    <row r="55" spans="3:10" ht="26.4" customHeight="1">
      <c r="C55" s="302" t="str">
        <f>+C32</f>
        <v>Impuesto sobre las Ventas</v>
      </c>
      <c r="D55" s="402" t="str">
        <f>+'COMBUSTIBLES '!C12</f>
        <v>(3)</v>
      </c>
      <c r="E55" s="402" t="str">
        <f>+D55</f>
        <v>(3)</v>
      </c>
      <c r="F55" s="404" t="str">
        <f>+E55</f>
        <v>(3)</v>
      </c>
      <c r="G55" s="28"/>
    </row>
    <row r="56" spans="3:10" ht="26.4" customHeight="1">
      <c r="C56" s="302" t="str">
        <f>+C33</f>
        <v>Impuesto al carbono</v>
      </c>
      <c r="D56" s="295">
        <f>+D9*98%</f>
        <v>175.42</v>
      </c>
      <c r="E56" s="295">
        <f>+E33*98%</f>
        <v>175.42</v>
      </c>
      <c r="F56" s="304">
        <f>E56</f>
        <v>175.42</v>
      </c>
      <c r="G56" s="28"/>
    </row>
    <row r="57" spans="3:10" ht="26.4" customHeight="1">
      <c r="C57" s="302" t="s">
        <v>223</v>
      </c>
      <c r="D57" s="523" t="s">
        <v>11</v>
      </c>
      <c r="E57" s="82" t="str">
        <f>+D57</f>
        <v>(*)</v>
      </c>
      <c r="F57" s="83" t="str">
        <f>+E57</f>
        <v>(*)</v>
      </c>
    </row>
    <row r="58" spans="3:10" ht="26.4" customHeight="1">
      <c r="C58" s="302" t="s">
        <v>211</v>
      </c>
      <c r="D58" s="387">
        <v>24.874908872567737</v>
      </c>
      <c r="E58" s="298">
        <f>+D58</f>
        <v>24.874908872567737</v>
      </c>
      <c r="F58" s="101">
        <f>+E58</f>
        <v>24.874908872567737</v>
      </c>
    </row>
    <row r="59" spans="3:10" ht="26.4" hidden="1" customHeight="1">
      <c r="C59" s="84"/>
      <c r="D59" s="295"/>
      <c r="E59" s="295"/>
      <c r="F59" s="304"/>
    </row>
    <row r="60" spans="3:10" ht="26.4" customHeight="1">
      <c r="C60" s="302" t="s">
        <v>32</v>
      </c>
      <c r="D60" s="313">
        <f>SUM(D53:D59)</f>
        <v>5512.3495088725676</v>
      </c>
      <c r="E60" s="313">
        <f>SUM(E53:E59)</f>
        <v>5655.2749088725677</v>
      </c>
      <c r="F60" s="314">
        <f>SUM(F53:F59)</f>
        <v>4645.315696872568</v>
      </c>
      <c r="I60" s="28"/>
    </row>
    <row r="61" spans="3:10" ht="37.25" customHeight="1">
      <c r="C61" s="306" t="s">
        <v>38</v>
      </c>
      <c r="D61" s="315">
        <f>SUM(D60:D60)</f>
        <v>5512.3495088725676</v>
      </c>
      <c r="E61" s="315">
        <f>SUM(E60:E60)</f>
        <v>5655.2749088725677</v>
      </c>
      <c r="F61" s="316">
        <f>SUM(F60:F60)</f>
        <v>4645.315696872568</v>
      </c>
    </row>
    <row r="62" spans="3:10" ht="37.25" customHeight="1" thickBot="1">
      <c r="C62" s="308" t="s">
        <v>47</v>
      </c>
      <c r="D62" s="660">
        <f>D40</f>
        <v>301</v>
      </c>
      <c r="E62" s="309"/>
      <c r="F62" s="310"/>
    </row>
    <row r="63" spans="3:10" ht="18.649999999999999" customHeight="1" thickTop="1">
      <c r="C63" s="892" t="s">
        <v>148</v>
      </c>
      <c r="D63" s="893"/>
      <c r="E63" s="893"/>
      <c r="F63" s="64"/>
    </row>
    <row r="64" spans="3:10" ht="18.649999999999999" customHeight="1">
      <c r="C64" s="894" t="s">
        <v>569</v>
      </c>
      <c r="D64" s="894"/>
      <c r="E64" s="894"/>
      <c r="F64" s="894"/>
    </row>
    <row r="65" spans="3:16" ht="18.649999999999999" customHeight="1">
      <c r="C65" s="894" t="s">
        <v>694</v>
      </c>
      <c r="D65" s="894"/>
      <c r="E65" s="894"/>
      <c r="F65" s="894"/>
    </row>
    <row r="66" spans="3:16" ht="9.9" customHeight="1">
      <c r="C66" s="547"/>
      <c r="D66" s="547"/>
      <c r="E66" s="547"/>
      <c r="F66" s="547"/>
    </row>
    <row r="67" spans="3:16" ht="40.65" customHeight="1">
      <c r="C67" s="847" t="s">
        <v>561</v>
      </c>
      <c r="D67" s="847"/>
      <c r="E67" s="847"/>
      <c r="F67" s="847"/>
      <c r="G67" s="847"/>
      <c r="H67" s="847"/>
      <c r="I67" s="847"/>
    </row>
    <row r="72" spans="3:16" ht="19.649999999999999" hidden="1" customHeight="1" outlineLevel="1">
      <c r="C72" s="278" t="s">
        <v>524</v>
      </c>
      <c r="D72" s="278" t="s">
        <v>190</v>
      </c>
      <c r="E72" s="278" t="s">
        <v>191</v>
      </c>
      <c r="F72" s="278" t="s">
        <v>192</v>
      </c>
    </row>
    <row r="73" spans="3:16" ht="19.649999999999999" hidden="1" customHeight="1" outlineLevel="1">
      <c r="C73" s="276" t="s">
        <v>652</v>
      </c>
      <c r="D73" s="277">
        <f>+E6</f>
        <v>4480.78</v>
      </c>
      <c r="E73" s="277">
        <f>+F6</f>
        <v>3584.6239999999998</v>
      </c>
      <c r="F73" s="428">
        <f t="shared" ref="F73:F76" si="1">+D73-E73</f>
        <v>896.15599999999995</v>
      </c>
      <c r="I73" s="467" t="s">
        <v>538</v>
      </c>
      <c r="J73" s="551"/>
      <c r="K73" s="540">
        <v>912.6</v>
      </c>
      <c r="L73" s="28">
        <f>+F73-K73</f>
        <v>-16.444000000000074</v>
      </c>
      <c r="N73" s="2" t="s">
        <v>597</v>
      </c>
    </row>
    <row r="74" spans="3:16" ht="20.149999999999999" hidden="1" customHeight="1" outlineLevel="1">
      <c r="C74" s="276" t="s">
        <v>653</v>
      </c>
      <c r="D74" s="276">
        <f>+BIODIESEL!E10</f>
        <v>4791.41</v>
      </c>
      <c r="E74" s="277">
        <f>+J6</f>
        <v>3913.1857199999995</v>
      </c>
      <c r="F74" s="428">
        <f t="shared" si="1"/>
        <v>878.22428000000036</v>
      </c>
      <c r="I74" s="467" t="s">
        <v>538</v>
      </c>
      <c r="J74" s="551"/>
      <c r="K74" s="540">
        <v>894.35</v>
      </c>
      <c r="L74" s="28">
        <f t="shared" ref="L74:L77" si="2">+F74-K74</f>
        <v>-16.12571999999966</v>
      </c>
      <c r="O74" s="550" t="s">
        <v>598</v>
      </c>
    </row>
    <row r="75" spans="3:16" ht="19.649999999999999" hidden="1" customHeight="1" outlineLevel="1">
      <c r="C75" s="429" t="s">
        <v>523</v>
      </c>
      <c r="D75" s="430">
        <f>+E6</f>
        <v>4480.78</v>
      </c>
      <c r="E75" s="539">
        <f>+D75*77%</f>
        <v>3450.2005999999997</v>
      </c>
      <c r="F75" s="549">
        <f t="shared" si="1"/>
        <v>1030.5794000000001</v>
      </c>
      <c r="I75" s="467" t="s">
        <v>538</v>
      </c>
      <c r="J75" s="551"/>
      <c r="K75" s="540">
        <v>2281.5</v>
      </c>
      <c r="L75" s="28">
        <f t="shared" si="2"/>
        <v>-1250.9205999999999</v>
      </c>
      <c r="O75" s="551">
        <f>+D75-D75*0.77</f>
        <v>1030.5794000000001</v>
      </c>
      <c r="P75" s="2" t="s">
        <v>599</v>
      </c>
    </row>
    <row r="76" spans="3:16" ht="19.649999999999999" hidden="1" customHeight="1" outlineLevel="1">
      <c r="C76" s="429" t="s">
        <v>522</v>
      </c>
      <c r="D76" s="430">
        <f>D53</f>
        <v>4791.41</v>
      </c>
      <c r="E76" s="430">
        <f>F53</f>
        <v>3781.4507879999996</v>
      </c>
      <c r="F76" s="549">
        <f t="shared" si="1"/>
        <v>1009.9592120000002</v>
      </c>
      <c r="I76" s="467"/>
      <c r="J76" s="551"/>
      <c r="K76" s="540">
        <v>2235.87</v>
      </c>
      <c r="L76" s="28">
        <f t="shared" si="2"/>
        <v>-1225.9107879999997</v>
      </c>
      <c r="O76" s="609">
        <f>+D76-D75*0.98*0.77-13242.08*0.02</f>
        <v>1145.3718120000001</v>
      </c>
    </row>
    <row r="77" spans="3:16" ht="23" hidden="1" customHeight="1" outlineLevel="1">
      <c r="C77" s="276" t="s">
        <v>576</v>
      </c>
      <c r="D77" s="726">
        <f>+D30</f>
        <v>4480.78</v>
      </c>
      <c r="E77" s="277">
        <f>+F30</f>
        <v>3584.6239999999998</v>
      </c>
      <c r="F77" s="277">
        <f>+D77-E77</f>
        <v>896.15599999999995</v>
      </c>
      <c r="J77" s="551"/>
      <c r="K77" s="540">
        <v>912.6</v>
      </c>
      <c r="L77" s="28">
        <f t="shared" si="2"/>
        <v>-16.444000000000074</v>
      </c>
      <c r="O77" s="28"/>
    </row>
    <row r="78" spans="3:16" collapsed="1">
      <c r="D78" s="525"/>
      <c r="K78" s="540"/>
    </row>
    <row r="79" spans="3:16">
      <c r="D79" s="525"/>
      <c r="J79" s="28"/>
    </row>
    <row r="80" spans="3:16" ht="93.75" customHeight="1">
      <c r="C80" s="848" t="s">
        <v>262</v>
      </c>
      <c r="D80" s="848"/>
      <c r="E80" s="848"/>
      <c r="F80" s="848"/>
      <c r="G80" s="848"/>
      <c r="J80" s="28"/>
    </row>
  </sheetData>
  <sheetProtection algorithmName="SHA-512" hashValue="J1LfiVBo/e6d7UZjotKY8ypeo2CrCs6x0pljrjssTx5ok2E0un9p2rynaS5et3isA4hfJfBKWxObRBWNUH08Rg==" saltValue="HklVsso8sYVSR5WH+/LNug==" spinCount="100000" sheet="1" objects="1" scenarios="1"/>
  <mergeCells count="23">
    <mergeCell ref="C80:G80"/>
    <mergeCell ref="C63:E63"/>
    <mergeCell ref="C64:F64"/>
    <mergeCell ref="C65:F65"/>
    <mergeCell ref="C67:I6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78C2-2460-4470-B0B7-CEF8EFDD7446}">
  <sheetPr>
    <tabColor rgb="FFFFFF00"/>
    <pageSetUpPr fitToPage="1"/>
  </sheetPr>
  <dimension ref="A1:P80"/>
  <sheetViews>
    <sheetView zoomScale="70" zoomScaleNormal="70" workbookViewId="0">
      <selection activeCell="J23" sqref="J23"/>
    </sheetView>
  </sheetViews>
  <sheetFormatPr baseColWidth="10" defaultColWidth="9.90625" defaultRowHeight="14" outlineLevelRow="1" outlineLevelCol="2"/>
  <cols>
    <col min="1" max="2" width="9.90625" style="2" customWidth="1"/>
    <col min="3" max="3" width="46.81640625" style="2" customWidth="1"/>
    <col min="4" max="4" width="27.90625" style="2" customWidth="1"/>
    <col min="5" max="5" width="27.6328125" style="2" customWidth="1"/>
    <col min="6" max="6" width="31.90625" style="2" customWidth="1" outlineLevel="1"/>
    <col min="7" max="7" width="27.36328125" style="2" customWidth="1" outlineLevel="2"/>
    <col min="8" max="8" width="28.36328125" style="2" customWidth="1" outlineLevel="2"/>
    <col min="9" max="9" width="15.54296875" style="2" customWidth="1" outlineLevel="1"/>
    <col min="10" max="10" width="29.36328125" style="2" customWidth="1" outlineLevel="1"/>
    <col min="11" max="11" width="14" style="2" customWidth="1"/>
    <col min="12" max="12" width="10.81640625" style="2" bestFit="1" customWidth="1"/>
    <col min="13" max="16384" width="9.90625" style="2"/>
  </cols>
  <sheetData>
    <row r="1" spans="3:10" ht="15.5">
      <c r="C1" s="888" t="s">
        <v>194</v>
      </c>
      <c r="D1" s="888"/>
      <c r="E1" s="888"/>
      <c r="F1" s="888"/>
      <c r="G1" s="888"/>
      <c r="H1" s="888"/>
    </row>
    <row r="2" spans="3:10" ht="15.5">
      <c r="C2" s="888" t="s">
        <v>31</v>
      </c>
      <c r="D2" s="888"/>
      <c r="E2" s="888"/>
      <c r="F2" s="888"/>
      <c r="G2" s="888"/>
      <c r="H2" s="888"/>
    </row>
    <row r="3" spans="3:10" ht="15.5">
      <c r="C3" s="888" t="s">
        <v>14</v>
      </c>
      <c r="D3" s="888"/>
      <c r="E3" s="888"/>
      <c r="F3" s="888"/>
      <c r="G3" s="888"/>
      <c r="H3" s="888"/>
      <c r="J3" s="4"/>
    </row>
    <row r="4" spans="3:10" ht="24.75" customHeight="1" thickBot="1">
      <c r="C4" s="280" t="str">
        <f>+'COMBUSTIBLES '!A1</f>
        <v>01 DE ENERO 2022</v>
      </c>
      <c r="D4" s="26"/>
      <c r="E4" s="27"/>
      <c r="F4" s="744"/>
      <c r="G4" s="745"/>
      <c r="H4" s="380"/>
      <c r="I4" s="380"/>
      <c r="J4" s="737"/>
    </row>
    <row r="5" spans="3:10" ht="45.15" customHeight="1" thickTop="1">
      <c r="C5" s="100" t="s">
        <v>15</v>
      </c>
      <c r="D5" s="300" t="s">
        <v>651</v>
      </c>
      <c r="E5" s="300" t="s">
        <v>238</v>
      </c>
      <c r="F5" s="300" t="s">
        <v>263</v>
      </c>
      <c r="G5" s="300" t="s">
        <v>703</v>
      </c>
      <c r="H5" s="301" t="s">
        <v>568</v>
      </c>
    </row>
    <row r="6" spans="3:10" ht="22.65" customHeight="1">
      <c r="C6" s="302" t="s">
        <v>19</v>
      </c>
      <c r="D6" s="295">
        <f>'COMBUSTIBLES '!E7</f>
        <v>4480.78</v>
      </c>
      <c r="E6" s="295">
        <f>+D6</f>
        <v>4480.78</v>
      </c>
      <c r="F6" s="295">
        <f>+E6*80%</f>
        <v>3584.6239999999998</v>
      </c>
      <c r="G6" s="743">
        <f>+BIODIESEL!B7*3%+(F6)*97%</f>
        <v>4077.4665799999998</v>
      </c>
      <c r="H6" s="304">
        <f>+BIODIESEL!B7*2%+(F6)*98%</f>
        <v>3913.1857199999995</v>
      </c>
      <c r="J6" s="28"/>
    </row>
    <row r="7" spans="3:10" ht="22.65" customHeight="1">
      <c r="C7" s="305" t="str">
        <f>+'GASOLINA CORRIENTE OXIGENADA'!A11</f>
        <v>Impuesto Nacional a la Gasolina y al ACPM</v>
      </c>
      <c r="D7" s="298">
        <f>Variables!C32</f>
        <v>531.27</v>
      </c>
      <c r="E7" s="298">
        <f>Variables!C33</f>
        <v>677.11</v>
      </c>
      <c r="F7" s="298">
        <f>+E7</f>
        <v>677.11</v>
      </c>
      <c r="G7" s="298">
        <f>ROUND(F7*97%,2)</f>
        <v>656.8</v>
      </c>
      <c r="H7" s="101">
        <f>ROUND(E7*98%,2)</f>
        <v>663.57</v>
      </c>
    </row>
    <row r="8" spans="3:10" ht="22.65" customHeight="1">
      <c r="C8" s="305" t="str">
        <f>+'GASOLINA CORRIENTE OXIGENADA'!A12</f>
        <v>Impuesto sobre las Ventas</v>
      </c>
      <c r="D8" s="402" t="str">
        <f>'COMBUSTIBLES '!E12</f>
        <v>(3)</v>
      </c>
      <c r="E8" s="402" t="str">
        <f>'COMBUSTIBLES '!E12</f>
        <v>(3)</v>
      </c>
      <c r="F8" s="402" t="str">
        <f>+E8</f>
        <v>(3)</v>
      </c>
      <c r="G8" s="402" t="str">
        <f>+F8</f>
        <v>(3)</v>
      </c>
      <c r="H8" s="404" t="str">
        <f>+G8</f>
        <v>(3)</v>
      </c>
    </row>
    <row r="9" spans="3:10" ht="22.65" customHeight="1">
      <c r="C9" s="305" t="str">
        <f>+'GASOLINA CORRIENTE OXIGENADA'!A13</f>
        <v>Impuesto al carbono</v>
      </c>
      <c r="D9" s="295">
        <f>'COMBUSTIBLES '!E13</f>
        <v>179</v>
      </c>
      <c r="E9" s="295">
        <f>'COMBUSTIBLES '!E13</f>
        <v>179</v>
      </c>
      <c r="F9" s="295">
        <f>'COMBUSTIBLES '!E13</f>
        <v>179</v>
      </c>
      <c r="G9" s="295">
        <f>ROUND(F9*97%,2)</f>
        <v>173.63</v>
      </c>
      <c r="H9" s="304">
        <f>ROUND(E9*98%,2)</f>
        <v>175.42</v>
      </c>
    </row>
    <row r="10" spans="3:10" ht="22.65" customHeight="1">
      <c r="C10" s="302" t="s">
        <v>219</v>
      </c>
      <c r="D10" s="297" t="str">
        <f>+G10</f>
        <v>(*)</v>
      </c>
      <c r="E10" s="297" t="str">
        <f>+D10</f>
        <v>(*)</v>
      </c>
      <c r="F10" s="297" t="str">
        <f>+E10</f>
        <v>(*)</v>
      </c>
      <c r="G10" s="297" t="s">
        <v>11</v>
      </c>
      <c r="H10" s="369" t="str">
        <f>+G10</f>
        <v>(*)</v>
      </c>
    </row>
    <row r="11" spans="3:10" ht="17.149999999999999" hidden="1" customHeight="1">
      <c r="C11" s="84" t="s">
        <v>216</v>
      </c>
      <c r="D11" s="298"/>
      <c r="E11" s="298"/>
      <c r="F11" s="298"/>
      <c r="G11" s="298">
        <f>+F11</f>
        <v>0</v>
      </c>
      <c r="H11" s="101"/>
    </row>
    <row r="12" spans="3:10" ht="26.4" customHeight="1">
      <c r="C12" s="306" t="s">
        <v>196</v>
      </c>
      <c r="D12" s="299">
        <f>SUM(D6:D11)</f>
        <v>5191.0499999999993</v>
      </c>
      <c r="E12" s="299">
        <f>SUM(E6:E11)</f>
        <v>5336.8899999999994</v>
      </c>
      <c r="F12" s="299">
        <f>SUM(F6:F11)</f>
        <v>4440.7339999999995</v>
      </c>
      <c r="G12" s="299">
        <f>SUM(G6:G11)</f>
        <v>4907.8965799999996</v>
      </c>
      <c r="H12" s="307">
        <f>SUM(H6:H11)</f>
        <v>4752.1757199999993</v>
      </c>
    </row>
    <row r="13" spans="3:10" ht="22.65" customHeight="1" thickBot="1">
      <c r="C13" s="308" t="s">
        <v>8</v>
      </c>
      <c r="D13" s="659">
        <f>'COMBUSTIBLES '!E16</f>
        <v>301</v>
      </c>
      <c r="E13" s="309"/>
      <c r="F13" s="309"/>
      <c r="G13" s="309"/>
      <c r="H13" s="310"/>
    </row>
    <row r="14" spans="3:10" ht="12.15" customHeight="1" thickTop="1">
      <c r="C14" s="294"/>
      <c r="D14" s="25"/>
      <c r="E14" s="25"/>
      <c r="F14" s="381"/>
      <c r="G14" s="381"/>
      <c r="H14" s="381"/>
      <c r="I14" s="380"/>
    </row>
    <row r="15" spans="3:10" ht="18.649999999999999" customHeight="1">
      <c r="C15" s="890" t="s">
        <v>235</v>
      </c>
      <c r="D15" s="890"/>
      <c r="E15" s="890"/>
      <c r="F15" s="890"/>
      <c r="G15" s="890"/>
      <c r="H15" s="890"/>
    </row>
    <row r="16" spans="3:10" ht="49.65" customHeight="1">
      <c r="C16" s="887" t="s">
        <v>693</v>
      </c>
      <c r="D16" s="887"/>
      <c r="E16" s="887"/>
      <c r="F16" s="887"/>
      <c r="G16" s="887"/>
      <c r="H16" s="887"/>
    </row>
    <row r="17" spans="3:10" ht="21" hidden="1" customHeight="1">
      <c r="C17" s="854"/>
      <c r="D17" s="854"/>
      <c r="E17" s="854"/>
      <c r="F17" s="854"/>
      <c r="G17" s="854"/>
      <c r="H17" s="854"/>
    </row>
    <row r="18" spans="3:10">
      <c r="C18" s="854" t="s">
        <v>264</v>
      </c>
      <c r="D18" s="854"/>
      <c r="E18" s="854"/>
      <c r="F18" s="854"/>
      <c r="G18" s="854"/>
      <c r="H18" s="854"/>
    </row>
    <row r="19" spans="3:10" ht="9.9" customHeight="1">
      <c r="C19" s="311"/>
      <c r="D19" s="311"/>
      <c r="E19" s="311"/>
      <c r="F19" s="311"/>
      <c r="G19" s="311"/>
      <c r="H19" s="311"/>
    </row>
    <row r="20" spans="3:10">
      <c r="C20" s="862" t="s">
        <v>302</v>
      </c>
      <c r="D20" s="862"/>
      <c r="E20" s="862"/>
      <c r="F20" s="862"/>
      <c r="G20" s="862"/>
      <c r="H20" s="862"/>
      <c r="I20" s="862"/>
      <c r="J20" s="2" t="s">
        <v>148</v>
      </c>
    </row>
    <row r="21" spans="3:10">
      <c r="C21" s="862" t="s">
        <v>300</v>
      </c>
      <c r="D21" s="862"/>
      <c r="E21" s="862"/>
      <c r="F21" s="862"/>
      <c r="G21" s="862"/>
      <c r="H21" s="862"/>
      <c r="I21" s="862"/>
    </row>
    <row r="22" spans="3:10">
      <c r="C22" s="862" t="s">
        <v>301</v>
      </c>
      <c r="D22" s="862"/>
      <c r="E22" s="862"/>
      <c r="F22" s="862"/>
      <c r="G22" s="862"/>
      <c r="H22" s="862"/>
      <c r="I22" s="862"/>
    </row>
    <row r="23" spans="3:10">
      <c r="C23" s="734"/>
      <c r="D23" s="734"/>
      <c r="E23" s="734"/>
      <c r="F23" s="734"/>
      <c r="G23" s="734"/>
      <c r="H23" s="734"/>
      <c r="I23" s="734"/>
    </row>
    <row r="24" spans="3:10">
      <c r="C24" s="734"/>
      <c r="D24" s="734"/>
      <c r="E24" s="734"/>
      <c r="F24" s="734"/>
      <c r="G24" s="734"/>
      <c r="H24" s="734"/>
      <c r="I24" s="734"/>
    </row>
    <row r="25" spans="3:10" ht="15.5">
      <c r="C25" s="888" t="s">
        <v>39</v>
      </c>
      <c r="D25" s="888"/>
      <c r="E25" s="888"/>
      <c r="F25" s="888"/>
      <c r="G25" s="888"/>
      <c r="H25" s="888"/>
      <c r="J25" s="2" t="s">
        <v>148</v>
      </c>
    </row>
    <row r="26" spans="3:10" ht="15.5">
      <c r="C26" s="888" t="s">
        <v>33</v>
      </c>
      <c r="D26" s="888"/>
      <c r="E26" s="888"/>
      <c r="F26" s="888"/>
      <c r="G26" s="888"/>
      <c r="H26" s="888"/>
    </row>
    <row r="27" spans="3:10" ht="15.5">
      <c r="C27" s="888" t="s">
        <v>14</v>
      </c>
      <c r="D27" s="888"/>
      <c r="E27" s="888"/>
      <c r="F27" s="888"/>
      <c r="G27" s="888"/>
      <c r="H27" s="888"/>
    </row>
    <row r="28" spans="3:10" ht="14.5" thickBot="1">
      <c r="C28" s="280" t="str">
        <f>+C4</f>
        <v>01 DE ENERO 2022</v>
      </c>
      <c r="D28" s="26"/>
      <c r="E28" s="27"/>
      <c r="F28"/>
      <c r="J28" s="736"/>
    </row>
    <row r="29" spans="3:10" ht="57.15" customHeight="1" thickTop="1">
      <c r="C29" s="100" t="s">
        <v>15</v>
      </c>
      <c r="D29" s="300" t="str">
        <f>+D5</f>
        <v>DIESEL MARINO DM0</v>
      </c>
      <c r="E29" s="300" t="str">
        <f>+E5</f>
        <v>DIESEL MARINO CON CUPO (ART 174 LEY 1607/12)</v>
      </c>
      <c r="F29" s="300" t="str">
        <f>+F5</f>
        <v>DIESEL MARINO CON CUPO (ART 174 LEY 1607/12) CON DESCUENTO****</v>
      </c>
      <c r="G29" s="300" t="s">
        <v>704</v>
      </c>
      <c r="H29" s="300" t="s">
        <v>648</v>
      </c>
    </row>
    <row r="30" spans="3:10" ht="23.4" customHeight="1">
      <c r="C30" s="302" t="s">
        <v>19</v>
      </c>
      <c r="D30" s="298">
        <f>'COMBUSTIBLES '!E7</f>
        <v>4480.78</v>
      </c>
      <c r="E30" s="295">
        <f>+D30</f>
        <v>4480.78</v>
      </c>
      <c r="F30" s="296">
        <f>+D30*80%</f>
        <v>3584.6239999999998</v>
      </c>
      <c r="G30" s="746">
        <f>+(F30*97%)+(BIODIESEL!B7*3%)</f>
        <v>4077.4665799999998</v>
      </c>
      <c r="H30" s="303">
        <f>+(F30*98%)+(BIODIESEL!B7*2%)</f>
        <v>3913.1857199999995</v>
      </c>
      <c r="I30" s="28" t="s">
        <v>148</v>
      </c>
    </row>
    <row r="31" spans="3:10" ht="23.4" customHeight="1">
      <c r="C31" s="305" t="str">
        <f>+C7</f>
        <v>Impuesto Nacional a la Gasolina y al ACPM</v>
      </c>
      <c r="D31" s="298">
        <f>+Variables!C33</f>
        <v>677.11</v>
      </c>
      <c r="E31" s="298">
        <f>D31</f>
        <v>677.11</v>
      </c>
      <c r="F31" s="298">
        <f>E31</f>
        <v>677.11</v>
      </c>
      <c r="G31" s="747">
        <f>ROUND(F31*97%,2)</f>
        <v>656.8</v>
      </c>
      <c r="H31" s="101">
        <f>ROUND(F31*98%,2)</f>
        <v>663.57</v>
      </c>
    </row>
    <row r="32" spans="3:10" ht="23.4" customHeight="1">
      <c r="C32" s="305" t="str">
        <f t="shared" ref="C32:F33" si="0">+C8</f>
        <v>Impuesto sobre las Ventas</v>
      </c>
      <c r="D32" s="295"/>
      <c r="E32" s="295"/>
      <c r="F32" s="295"/>
      <c r="G32" s="747"/>
      <c r="H32" s="304"/>
    </row>
    <row r="33" spans="1:10" ht="23.4" customHeight="1">
      <c r="C33" s="305" t="str">
        <f t="shared" si="0"/>
        <v>Impuesto al carbono</v>
      </c>
      <c r="D33" s="295">
        <f t="shared" si="0"/>
        <v>179</v>
      </c>
      <c r="E33" s="295">
        <f t="shared" si="0"/>
        <v>179</v>
      </c>
      <c r="F33" s="295">
        <f t="shared" si="0"/>
        <v>179</v>
      </c>
      <c r="G33" s="747">
        <f>ROUND(F33*97%,2)</f>
        <v>173.63</v>
      </c>
      <c r="H33" s="101">
        <f>ROUND(F33*98%,2)</f>
        <v>175.42</v>
      </c>
    </row>
    <row r="34" spans="1:10" ht="23.4" customHeight="1">
      <c r="C34" s="302" t="s">
        <v>20</v>
      </c>
      <c r="D34" s="298" t="str">
        <f>+D10</f>
        <v>(*)</v>
      </c>
      <c r="E34" s="298" t="str">
        <f>+D34</f>
        <v>(*)</v>
      </c>
      <c r="F34" s="298" t="str">
        <f>+E34</f>
        <v>(*)</v>
      </c>
      <c r="G34" s="101" t="str">
        <f>+F34</f>
        <v>(*)</v>
      </c>
      <c r="H34" s="101" t="str">
        <f>+G34</f>
        <v>(*)</v>
      </c>
    </row>
    <row r="35" spans="1:10" ht="23.4" hidden="1" customHeight="1">
      <c r="C35" s="84"/>
      <c r="D35" s="295"/>
      <c r="E35" s="295"/>
      <c r="F35" s="295"/>
      <c r="H35" s="304"/>
    </row>
    <row r="36" spans="1:10" ht="23.4" customHeight="1">
      <c r="C36" s="312" t="s">
        <v>34</v>
      </c>
      <c r="D36" s="299">
        <f>SUM(D30:D35)</f>
        <v>5336.8899999999994</v>
      </c>
      <c r="E36" s="299">
        <f>SUM(E30:E35)</f>
        <v>5336.8899999999994</v>
      </c>
      <c r="F36" s="299">
        <f>SUM(F30:F35)</f>
        <v>4440.7339999999995</v>
      </c>
      <c r="G36" s="307">
        <f>SUM(G30:G35)</f>
        <v>4907.8965799999996</v>
      </c>
      <c r="H36" s="307">
        <f>SUM(H30:H35)</f>
        <v>4752.1757199999993</v>
      </c>
    </row>
    <row r="37" spans="1:10" ht="23.4" customHeight="1">
      <c r="C37" s="102" t="s">
        <v>220</v>
      </c>
      <c r="D37" s="82" t="s">
        <v>11</v>
      </c>
      <c r="E37" s="82" t="str">
        <f>+D37</f>
        <v>(*)</v>
      </c>
      <c r="F37" s="82" t="str">
        <f>E37</f>
        <v>(*)</v>
      </c>
      <c r="G37" s="83" t="str">
        <f>+E37</f>
        <v>(*)</v>
      </c>
      <c r="H37" s="83" t="str">
        <f>+F37</f>
        <v>(*)</v>
      </c>
    </row>
    <row r="38" spans="1:10" ht="23.4" customHeight="1">
      <c r="C38" s="102" t="s">
        <v>222</v>
      </c>
      <c r="D38" s="82" t="s">
        <v>12</v>
      </c>
      <c r="E38" s="82" t="str">
        <f>+D38</f>
        <v>(**)</v>
      </c>
      <c r="F38" s="82" t="str">
        <f>E38</f>
        <v>(**)</v>
      </c>
      <c r="G38" s="83" t="str">
        <f>+E37</f>
        <v>(*)</v>
      </c>
      <c r="H38" s="83" t="str">
        <f>+F37</f>
        <v>(*)</v>
      </c>
    </row>
    <row r="39" spans="1:10" ht="23.4" customHeight="1">
      <c r="C39" s="306" t="s">
        <v>35</v>
      </c>
      <c r="D39" s="299">
        <f>SUM(D36:D38)</f>
        <v>5336.8899999999994</v>
      </c>
      <c r="E39" s="299">
        <f>SUM(E36:E38)</f>
        <v>5336.8899999999994</v>
      </c>
      <c r="F39" s="299">
        <f>SUM(F36:F38)</f>
        <v>4440.7339999999995</v>
      </c>
      <c r="G39" s="307">
        <f>SUM(G36:G38)</f>
        <v>4907.8965799999996</v>
      </c>
      <c r="H39" s="307">
        <f>SUM(H36:H38)</f>
        <v>4752.1757199999993</v>
      </c>
    </row>
    <row r="40" spans="1:10" ht="23.4" customHeight="1" thickBot="1">
      <c r="C40" s="308" t="s">
        <v>8</v>
      </c>
      <c r="D40" s="660">
        <f>'COMBUSTIBLES '!E16</f>
        <v>301</v>
      </c>
      <c r="E40" s="309"/>
      <c r="F40" s="309"/>
      <c r="G40" s="310"/>
      <c r="H40" s="310"/>
    </row>
    <row r="41" spans="1:10" ht="14.5" thickTop="1">
      <c r="A41" s="2" t="s">
        <v>148</v>
      </c>
      <c r="C41" s="29" t="s">
        <v>148</v>
      </c>
      <c r="D41" s="30"/>
      <c r="E41" s="30"/>
      <c r="F41" s="64"/>
      <c r="G41" s="64"/>
      <c r="H41" s="64"/>
    </row>
    <row r="42" spans="1:10" ht="15" customHeight="1">
      <c r="C42" s="891" t="s">
        <v>236</v>
      </c>
      <c r="D42" s="891"/>
      <c r="E42" s="891"/>
      <c r="F42" s="891"/>
      <c r="G42" s="891"/>
      <c r="H42" s="891"/>
      <c r="I42" s="891"/>
      <c r="J42" s="891"/>
    </row>
    <row r="43" spans="1:10" ht="18" customHeight="1">
      <c r="C43" s="891" t="s">
        <v>221</v>
      </c>
      <c r="D43" s="891"/>
      <c r="E43" s="891"/>
      <c r="F43" s="891"/>
      <c r="G43" s="891"/>
      <c r="H43" s="891"/>
      <c r="I43" s="891"/>
      <c r="J43" s="891"/>
    </row>
    <row r="44" spans="1:10" ht="65.25" customHeight="1">
      <c r="C44" s="859" t="s">
        <v>260</v>
      </c>
      <c r="D44" s="859"/>
      <c r="E44" s="859"/>
      <c r="F44" s="859"/>
      <c r="G44" s="859"/>
      <c r="H44" s="859"/>
      <c r="I44" s="859"/>
      <c r="J44" s="859"/>
    </row>
    <row r="45" spans="1:10" ht="28.5" customHeight="1">
      <c r="C45" s="854" t="s">
        <v>630</v>
      </c>
      <c r="D45" s="854"/>
      <c r="E45" s="854"/>
      <c r="F45" s="854"/>
      <c r="G45" s="854"/>
      <c r="H45" s="854"/>
      <c r="I45" s="13"/>
      <c r="J45" s="13"/>
    </row>
    <row r="46" spans="1:10" s="13" customFormat="1" ht="18" customHeight="1">
      <c r="C46" s="31"/>
      <c r="D46" s="32"/>
      <c r="E46" s="32"/>
    </row>
    <row r="47" spans="1:10" ht="19.649999999999999" customHeight="1">
      <c r="C47" s="636" t="s">
        <v>40</v>
      </c>
      <c r="D47" s="637"/>
      <c r="E47" s="638"/>
      <c r="F47" s="639"/>
    </row>
    <row r="48" spans="1:10" ht="15.5">
      <c r="C48" s="636" t="s">
        <v>36</v>
      </c>
      <c r="D48" s="637"/>
      <c r="E48" s="638"/>
      <c r="F48" s="639"/>
    </row>
    <row r="49" spans="3:14" ht="15.5">
      <c r="C49" s="636" t="s">
        <v>37</v>
      </c>
      <c r="D49" s="637"/>
      <c r="E49" s="638"/>
      <c r="F49" s="639"/>
    </row>
    <row r="50" spans="3:14" ht="15.5">
      <c r="C50" s="636" t="s">
        <v>14</v>
      </c>
      <c r="D50" s="637"/>
      <c r="E50" s="638"/>
      <c r="F50" s="639"/>
    </row>
    <row r="51" spans="3:14" ht="14.5" thickBot="1">
      <c r="C51" s="280" t="str">
        <f>+C28</f>
        <v>01 DE ENERO 2022</v>
      </c>
      <c r="D51" s="26"/>
      <c r="E51" s="739" t="s">
        <v>700</v>
      </c>
      <c r="F51" s="738" t="s">
        <v>700</v>
      </c>
    </row>
    <row r="52" spans="3:14" ht="33" customHeight="1" thickTop="1">
      <c r="C52" s="100" t="s">
        <v>15</v>
      </c>
      <c r="D52" s="300" t="s">
        <v>705</v>
      </c>
      <c r="E52" s="300" t="s">
        <v>706</v>
      </c>
      <c r="F52" s="301" t="s">
        <v>707</v>
      </c>
      <c r="L52" s="550" t="s">
        <v>639</v>
      </c>
      <c r="M52" s="550"/>
      <c r="N52" s="550"/>
    </row>
    <row r="53" spans="3:14" ht="26.4" customHeight="1">
      <c r="C53" s="302" t="s">
        <v>225</v>
      </c>
      <c r="D53" s="295">
        <f>+BIODIESEL!F10</f>
        <v>4946.7380000000003</v>
      </c>
      <c r="E53" s="295">
        <f>+D53</f>
        <v>4946.7380000000003</v>
      </c>
      <c r="F53" s="101">
        <f>+BIODIESEL!B7*3%+('COMBUSTIBLES '!E7*77%)*97%</f>
        <v>3947.0758819999996</v>
      </c>
      <c r="G53" s="372"/>
      <c r="J53" s="525"/>
    </row>
    <row r="54" spans="3:14" ht="26.4" customHeight="1">
      <c r="C54" s="302" t="str">
        <f>+C31</f>
        <v>Impuesto Nacional a la Gasolina y al ACPM</v>
      </c>
      <c r="D54" s="631">
        <f>+D7*97%</f>
        <v>515.33190000000002</v>
      </c>
      <c r="E54" s="298">
        <f>+G7</f>
        <v>656.8</v>
      </c>
      <c r="F54" s="101">
        <f>E54</f>
        <v>656.8</v>
      </c>
      <c r="G54" s="28"/>
      <c r="J54" s="628"/>
    </row>
    <row r="55" spans="3:14" ht="26.4" customHeight="1">
      <c r="C55" s="302" t="str">
        <f>+C32</f>
        <v>Impuesto sobre las Ventas</v>
      </c>
      <c r="D55" s="402" t="str">
        <f>+'COMBUSTIBLES '!C12</f>
        <v>(3)</v>
      </c>
      <c r="E55" s="402" t="str">
        <f>+D55</f>
        <v>(3)</v>
      </c>
      <c r="F55" s="404" t="str">
        <f>+E55</f>
        <v>(3)</v>
      </c>
      <c r="G55" s="28"/>
    </row>
    <row r="56" spans="3:14" ht="26.4" customHeight="1">
      <c r="C56" s="302" t="str">
        <f>+C33</f>
        <v>Impuesto al carbono</v>
      </c>
      <c r="D56" s="295">
        <f>+D9*97%</f>
        <v>173.63</v>
      </c>
      <c r="E56" s="295">
        <f>+E33*97%</f>
        <v>173.63</v>
      </c>
      <c r="F56" s="304">
        <f>E56</f>
        <v>173.63</v>
      </c>
      <c r="G56" s="28"/>
    </row>
    <row r="57" spans="3:14" ht="26.4" customHeight="1">
      <c r="C57" s="302" t="s">
        <v>223</v>
      </c>
      <c r="D57" s="523" t="s">
        <v>11</v>
      </c>
      <c r="E57" s="82" t="str">
        <f>+D57</f>
        <v>(*)</v>
      </c>
      <c r="F57" s="83" t="str">
        <f>+E57</f>
        <v>(*)</v>
      </c>
    </row>
    <row r="58" spans="3:14" ht="26.4" customHeight="1">
      <c r="C58" s="302" t="s">
        <v>211</v>
      </c>
      <c r="D58" s="748">
        <v>23.631872385110903</v>
      </c>
      <c r="E58" s="748">
        <f>+D58</f>
        <v>23.631872385110903</v>
      </c>
      <c r="F58" s="101">
        <f>+E58</f>
        <v>23.631872385110903</v>
      </c>
      <c r="G58" s="2" t="s">
        <v>708</v>
      </c>
      <c r="K58" s="551" t="s">
        <v>638</v>
      </c>
    </row>
    <row r="59" spans="3:14" ht="26.4" hidden="1" customHeight="1">
      <c r="C59" s="84"/>
      <c r="D59" s="295"/>
      <c r="E59" s="295"/>
      <c r="F59" s="304"/>
    </row>
    <row r="60" spans="3:14" ht="26.4" customHeight="1">
      <c r="C60" s="302" t="s">
        <v>32</v>
      </c>
      <c r="D60" s="313">
        <f>SUM(D53:D59)</f>
        <v>5659.3317723851114</v>
      </c>
      <c r="E60" s="313">
        <f>SUM(E53:E59)</f>
        <v>5800.7998723851115</v>
      </c>
      <c r="F60" s="314">
        <f>SUM(F53:F59)</f>
        <v>4801.1377543851104</v>
      </c>
      <c r="I60" s="28"/>
    </row>
    <row r="61" spans="3:14" ht="37.25" customHeight="1">
      <c r="C61" s="306" t="s">
        <v>38</v>
      </c>
      <c r="D61" s="315">
        <f>SUM(D60:D60)</f>
        <v>5659.3317723851114</v>
      </c>
      <c r="E61" s="315">
        <f>SUM(E60:E60)</f>
        <v>5800.7998723851115</v>
      </c>
      <c r="F61" s="316">
        <f>SUM(F60:F60)</f>
        <v>4801.1377543851104</v>
      </c>
    </row>
    <row r="62" spans="3:14" ht="37.25" customHeight="1" thickBot="1">
      <c r="C62" s="308" t="s">
        <v>47</v>
      </c>
      <c r="D62" s="660">
        <f>D40</f>
        <v>301</v>
      </c>
      <c r="E62" s="309"/>
      <c r="F62" s="310"/>
    </row>
    <row r="63" spans="3:14" ht="18.649999999999999" customHeight="1" thickTop="1">
      <c r="C63" s="892" t="s">
        <v>148</v>
      </c>
      <c r="D63" s="893"/>
      <c r="E63" s="893"/>
      <c r="F63" s="64"/>
    </row>
    <row r="64" spans="3:14" ht="18.649999999999999" customHeight="1">
      <c r="C64" s="894" t="s">
        <v>569</v>
      </c>
      <c r="D64" s="894"/>
      <c r="E64" s="894"/>
      <c r="F64" s="894"/>
    </row>
    <row r="65" spans="3:16" ht="18.649999999999999" customHeight="1">
      <c r="C65" s="894" t="s">
        <v>694</v>
      </c>
      <c r="D65" s="894"/>
      <c r="E65" s="894"/>
      <c r="F65" s="894"/>
    </row>
    <row r="66" spans="3:16" ht="9.9" customHeight="1">
      <c r="C66" s="735"/>
      <c r="D66" s="735"/>
      <c r="E66" s="735"/>
      <c r="F66" s="735"/>
    </row>
    <row r="67" spans="3:16" ht="40.65" customHeight="1">
      <c r="C67" s="847" t="s">
        <v>561</v>
      </c>
      <c r="D67" s="847"/>
      <c r="E67" s="847"/>
      <c r="F67" s="847"/>
      <c r="G67" s="847"/>
      <c r="H67" s="847"/>
      <c r="I67" s="847"/>
    </row>
    <row r="72" spans="3:16" ht="19.649999999999999" customHeight="1" outlineLevel="1">
      <c r="C72" s="278" t="s">
        <v>524</v>
      </c>
      <c r="D72" s="278" t="s">
        <v>190</v>
      </c>
      <c r="E72" s="278" t="s">
        <v>191</v>
      </c>
      <c r="F72" s="278" t="s">
        <v>192</v>
      </c>
    </row>
    <row r="73" spans="3:16" ht="19.649999999999999" customHeight="1" outlineLevel="1">
      <c r="C73" s="276" t="s">
        <v>652</v>
      </c>
      <c r="D73" s="277">
        <f>+E6</f>
        <v>4480.78</v>
      </c>
      <c r="E73" s="277">
        <f>+F6</f>
        <v>3584.6239999999998</v>
      </c>
      <c r="F73" s="428">
        <f t="shared" ref="F73:F76" si="1">+D73-E73</f>
        <v>896.15599999999995</v>
      </c>
      <c r="I73" s="467" t="s">
        <v>538</v>
      </c>
      <c r="J73" s="551" t="s">
        <v>540</v>
      </c>
      <c r="K73" s="540">
        <v>912.6</v>
      </c>
      <c r="L73" s="28">
        <f>+F73-K73</f>
        <v>-16.444000000000074</v>
      </c>
      <c r="N73" s="2" t="s">
        <v>597</v>
      </c>
    </row>
    <row r="74" spans="3:16" ht="20.149999999999999" customHeight="1" outlineLevel="1">
      <c r="C74" s="276" t="s">
        <v>709</v>
      </c>
      <c r="D74" s="726">
        <f>+BIODIESEL!F10</f>
        <v>4946.7380000000003</v>
      </c>
      <c r="E74" s="277">
        <f>+G6</f>
        <v>4077.4665799999998</v>
      </c>
      <c r="F74" s="428">
        <f t="shared" si="1"/>
        <v>869.27142000000049</v>
      </c>
      <c r="I74" s="467" t="s">
        <v>538</v>
      </c>
      <c r="J74" s="551" t="s">
        <v>696</v>
      </c>
      <c r="K74" s="540">
        <v>894.35</v>
      </c>
      <c r="L74" s="28">
        <f t="shared" ref="L74:L77" si="2">+F74-K74</f>
        <v>-25.078579999999533</v>
      </c>
      <c r="O74" s="550" t="s">
        <v>598</v>
      </c>
    </row>
    <row r="75" spans="3:16" ht="19.649999999999999" customHeight="1" outlineLevel="1">
      <c r="C75" s="429" t="s">
        <v>523</v>
      </c>
      <c r="D75" s="430">
        <f>+E6</f>
        <v>4480.78</v>
      </c>
      <c r="E75" s="539">
        <f>+D75*77%</f>
        <v>3450.2005999999997</v>
      </c>
      <c r="F75" s="549">
        <f t="shared" si="1"/>
        <v>1030.5794000000001</v>
      </c>
      <c r="I75" s="467" t="s">
        <v>538</v>
      </c>
      <c r="J75" s="551" t="s">
        <v>540</v>
      </c>
      <c r="K75" s="540">
        <v>2281.5</v>
      </c>
      <c r="L75" s="28">
        <f t="shared" si="2"/>
        <v>-1250.9205999999999</v>
      </c>
      <c r="O75" s="551">
        <f>+D75-D75*0.77</f>
        <v>1030.5794000000001</v>
      </c>
      <c r="P75" s="2" t="s">
        <v>599</v>
      </c>
    </row>
    <row r="76" spans="3:16" ht="19.649999999999999" customHeight="1" outlineLevel="1">
      <c r="C76" s="429" t="s">
        <v>710</v>
      </c>
      <c r="D76" s="430">
        <f>D53</f>
        <v>4946.7380000000003</v>
      </c>
      <c r="E76" s="430">
        <f>F53</f>
        <v>3947.0758819999996</v>
      </c>
      <c r="F76" s="549">
        <f t="shared" si="1"/>
        <v>999.66211800000065</v>
      </c>
      <c r="I76" s="467"/>
      <c r="J76" s="551" t="s">
        <v>696</v>
      </c>
      <c r="K76" s="540">
        <v>2235.87</v>
      </c>
      <c r="L76" s="28">
        <f t="shared" si="2"/>
        <v>-1236.2078819999992</v>
      </c>
      <c r="O76" s="609">
        <f>+D76-D75*0.98*0.77-13242.08*0.02</f>
        <v>1300.6998120000005</v>
      </c>
    </row>
    <row r="77" spans="3:16" ht="23" customHeight="1" outlineLevel="1">
      <c r="C77" s="276" t="s">
        <v>576</v>
      </c>
      <c r="D77" s="726">
        <f>+D30</f>
        <v>4480.78</v>
      </c>
      <c r="E77" s="277">
        <f>+F30</f>
        <v>3584.6239999999998</v>
      </c>
      <c r="F77" s="277">
        <f>+D77-E77</f>
        <v>896.15599999999995</v>
      </c>
      <c r="J77" s="551" t="s">
        <v>540</v>
      </c>
      <c r="K77" s="540">
        <v>912.6</v>
      </c>
      <c r="L77" s="28">
        <f t="shared" si="2"/>
        <v>-16.444000000000074</v>
      </c>
      <c r="O77" s="28"/>
    </row>
    <row r="78" spans="3:16">
      <c r="D78" s="525"/>
      <c r="K78" s="540"/>
    </row>
    <row r="79" spans="3:16">
      <c r="D79" s="525"/>
      <c r="J79" s="28"/>
    </row>
    <row r="80" spans="3:16" ht="93.75" customHeight="1">
      <c r="C80" s="848" t="s">
        <v>262</v>
      </c>
      <c r="D80" s="848"/>
      <c r="E80" s="848"/>
      <c r="F80" s="848"/>
      <c r="G80" s="848"/>
      <c r="J80" s="28"/>
    </row>
  </sheetData>
  <mergeCells count="22">
    <mergeCell ref="C63:E63"/>
    <mergeCell ref="C64:F64"/>
    <mergeCell ref="C65:F65"/>
    <mergeCell ref="C67:I67"/>
    <mergeCell ref="C80:G80"/>
    <mergeCell ref="C45:H45"/>
    <mergeCell ref="C17:H17"/>
    <mergeCell ref="C18:H18"/>
    <mergeCell ref="C20:I20"/>
    <mergeCell ref="C21:I21"/>
    <mergeCell ref="C22:I22"/>
    <mergeCell ref="C25:H25"/>
    <mergeCell ref="C26:H26"/>
    <mergeCell ref="C27:H27"/>
    <mergeCell ref="C42:J42"/>
    <mergeCell ref="C43:J43"/>
    <mergeCell ref="C44:J44"/>
    <mergeCell ref="C1:H1"/>
    <mergeCell ref="C2:H2"/>
    <mergeCell ref="C3:H3"/>
    <mergeCell ref="C15:H15"/>
    <mergeCell ref="C16:H16"/>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tabSelected="1" zoomScale="70" zoomScaleNormal="70" workbookViewId="0">
      <selection activeCell="A6" sqref="A6"/>
    </sheetView>
  </sheetViews>
  <sheetFormatPr baseColWidth="10" defaultColWidth="7.90625" defaultRowHeight="14"/>
  <cols>
    <col min="1" max="1" width="56.36328125" style="281" customWidth="1"/>
    <col min="2" max="2" width="21.81640625" style="281" customWidth="1"/>
    <col min="3" max="3" width="16.36328125" style="281" customWidth="1"/>
    <col min="4" max="4" width="17.453125" style="281" hidden="1" customWidth="1"/>
    <col min="5" max="5" width="21" style="281" customWidth="1"/>
    <col min="6" max="6" width="13.90625" style="281" hidden="1" customWidth="1"/>
    <col min="7" max="7" width="16.6328125" style="281" hidden="1" customWidth="1"/>
    <col min="8" max="8" width="17.36328125" style="281" customWidth="1"/>
    <col min="9" max="9" width="18.90625" style="281" customWidth="1"/>
    <col min="10" max="10" width="18.6328125" style="281" customWidth="1"/>
    <col min="11" max="11" width="7.90625" style="281"/>
    <col min="12" max="12" width="10.6328125" style="281" bestFit="1" customWidth="1"/>
    <col min="13" max="13" width="11.81640625" style="281" bestFit="1" customWidth="1"/>
    <col min="14" max="16384" width="7.90625" style="281"/>
  </cols>
  <sheetData>
    <row r="1" spans="1:25" s="14" customFormat="1" ht="18">
      <c r="A1" s="896" t="s">
        <v>30</v>
      </c>
      <c r="B1" s="896"/>
      <c r="C1" s="896"/>
      <c r="D1" s="896"/>
      <c r="E1" s="896"/>
      <c r="F1" s="896"/>
      <c r="G1" s="896"/>
      <c r="H1" s="896"/>
      <c r="I1" s="896"/>
      <c r="J1" s="896"/>
    </row>
    <row r="2" spans="1:25" s="14" customFormat="1" ht="56.15" customHeight="1">
      <c r="A2" s="897" t="s">
        <v>283</v>
      </c>
      <c r="B2" s="897"/>
      <c r="C2" s="897"/>
      <c r="D2" s="897"/>
      <c r="E2" s="897"/>
      <c r="F2" s="897"/>
      <c r="G2" s="897"/>
      <c r="H2" s="897"/>
      <c r="I2" s="897"/>
      <c r="J2" s="897"/>
      <c r="M2" s="281"/>
      <c r="N2" s="281"/>
      <c r="O2" s="281"/>
      <c r="P2" s="281"/>
      <c r="Q2" s="281"/>
      <c r="R2" s="281"/>
    </row>
    <row r="3" spans="1:25" ht="24.75" customHeight="1">
      <c r="A3" s="898" t="s">
        <v>23</v>
      </c>
      <c r="B3" s="898"/>
      <c r="C3" s="898"/>
      <c r="D3" s="898"/>
      <c r="E3" s="898"/>
      <c r="F3" s="898"/>
      <c r="G3" s="393"/>
      <c r="I3" s="463"/>
      <c r="J3" s="463"/>
      <c r="K3" s="463"/>
      <c r="L3" s="463"/>
      <c r="M3" s="463"/>
      <c r="N3" s="463"/>
      <c r="O3" s="463"/>
    </row>
    <row r="4" spans="1:25">
      <c r="A4" s="24"/>
      <c r="C4" s="736"/>
      <c r="D4" s="736"/>
      <c r="E4" s="736"/>
      <c r="F4" s="736"/>
      <c r="G4" s="736"/>
      <c r="H4" s="736"/>
    </row>
    <row r="5" spans="1:25" ht="14.5" thickBot="1">
      <c r="A5" s="21" t="str">
        <f>+'COMBUSTIBLES '!A1</f>
        <v>01 DE ENERO 2022</v>
      </c>
      <c r="B5" s="165">
        <v>0</v>
      </c>
      <c r="C5" s="165">
        <v>0.02</v>
      </c>
      <c r="D5" s="165">
        <v>0</v>
      </c>
      <c r="E5" s="166">
        <v>0.02</v>
      </c>
      <c r="F5" s="165">
        <v>0</v>
      </c>
      <c r="G5" s="165">
        <v>0</v>
      </c>
      <c r="H5" s="166">
        <v>0.02</v>
      </c>
      <c r="I5" s="165">
        <v>0</v>
      </c>
      <c r="J5" s="166">
        <v>0</v>
      </c>
    </row>
    <row r="6" spans="1:25" ht="47.25" customHeight="1" thickTop="1">
      <c r="A6" s="317" t="s">
        <v>15</v>
      </c>
      <c r="B6" s="318" t="s">
        <v>55</v>
      </c>
      <c r="C6" s="318" t="s">
        <v>565</v>
      </c>
      <c r="D6" s="318" t="s">
        <v>150</v>
      </c>
      <c r="E6" s="318" t="s">
        <v>566</v>
      </c>
      <c r="F6" s="318" t="s">
        <v>151</v>
      </c>
      <c r="G6" s="318" t="s">
        <v>270</v>
      </c>
      <c r="H6" s="318" t="s">
        <v>567</v>
      </c>
      <c r="I6" s="318" t="s">
        <v>257</v>
      </c>
      <c r="J6" s="319" t="s">
        <v>256</v>
      </c>
    </row>
    <row r="7" spans="1:25" ht="27.65" customHeight="1">
      <c r="A7" s="99" t="s">
        <v>227</v>
      </c>
      <c r="B7" s="725">
        <v>9117.0400000000009</v>
      </c>
      <c r="C7" s="725">
        <v>9117.0400000000009</v>
      </c>
      <c r="D7" s="725">
        <v>6875.1811988924737</v>
      </c>
      <c r="E7" s="725">
        <v>9198.1200000000008</v>
      </c>
      <c r="F7" s="297">
        <v>6794.4669776671717</v>
      </c>
      <c r="G7" s="297">
        <v>6537.1057563440854</v>
      </c>
      <c r="H7" s="725">
        <v>9117.0400000000009</v>
      </c>
      <c r="I7" s="496">
        <f>+C7</f>
        <v>9117.0400000000009</v>
      </c>
      <c r="J7" s="369">
        <f>+I7</f>
        <v>9117.0400000000009</v>
      </c>
      <c r="M7" s="541"/>
    </row>
    <row r="8" spans="1:25" ht="27.65" customHeight="1">
      <c r="A8" s="305" t="s">
        <v>56</v>
      </c>
      <c r="B8" s="320">
        <v>0</v>
      </c>
      <c r="C8" s="297">
        <f>+BIODIESEL!B7</f>
        <v>20012.71</v>
      </c>
      <c r="D8" s="564">
        <v>0</v>
      </c>
      <c r="E8" s="564">
        <f>+C8</f>
        <v>20012.71</v>
      </c>
      <c r="F8" s="564">
        <v>0</v>
      </c>
      <c r="G8" s="564">
        <v>0</v>
      </c>
      <c r="H8" s="564">
        <f>+E8</f>
        <v>20012.71</v>
      </c>
      <c r="I8" s="496">
        <f>+D8</f>
        <v>0</v>
      </c>
      <c r="J8" s="369">
        <f>+D8</f>
        <v>0</v>
      </c>
      <c r="M8" s="542"/>
      <c r="N8" s="542"/>
      <c r="O8" s="542"/>
      <c r="P8" s="542"/>
      <c r="Q8" s="542"/>
      <c r="R8" s="330"/>
      <c r="S8" s="330"/>
      <c r="T8" s="330"/>
      <c r="U8" s="330"/>
      <c r="V8" s="330"/>
      <c r="W8" s="330"/>
      <c r="X8" s="330"/>
      <c r="Y8" s="330"/>
    </row>
    <row r="9" spans="1:25" ht="35.4" customHeight="1">
      <c r="A9" s="322" t="s">
        <v>149</v>
      </c>
      <c r="B9" s="323">
        <f>+B8*B5+B7*(1-B5)</f>
        <v>9117.0400000000009</v>
      </c>
      <c r="C9" s="373">
        <f>+ROUND(C8*C5,2)+C7*(1-C5)</f>
        <v>9334.9492000000009</v>
      </c>
      <c r="D9" s="373">
        <f>+D8*D5+D7*(1-D5)</f>
        <v>6875.1811988924737</v>
      </c>
      <c r="E9" s="373">
        <f>ROUND((E8*E5),2)+ROUND(E7*(1-E5),2)</f>
        <v>9414.41</v>
      </c>
      <c r="F9" s="373">
        <f t="shared" ref="F9:G9" si="0">+F8*F5+F7*(1-F5)</f>
        <v>6794.4669776671717</v>
      </c>
      <c r="G9" s="373">
        <f t="shared" si="0"/>
        <v>6537.1057563440854</v>
      </c>
      <c r="H9" s="373">
        <f>+ROUND(H8*H5,2)+H7*(1-H5)</f>
        <v>9334.9492000000009</v>
      </c>
      <c r="I9" s="497">
        <f>+I7</f>
        <v>9117.0400000000009</v>
      </c>
      <c r="J9" s="374">
        <f>+J7</f>
        <v>9117.0400000000009</v>
      </c>
      <c r="L9" s="526" t="s">
        <v>148</v>
      </c>
      <c r="M9" s="542"/>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5" customHeight="1">
      <c r="A10" s="305" t="s">
        <v>54</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6">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5" customHeight="1">
      <c r="A11" s="305" t="s">
        <v>179</v>
      </c>
      <c r="B11" s="297">
        <v>22.25</v>
      </c>
      <c r="C11" s="321">
        <f>+B11</f>
        <v>22.25</v>
      </c>
      <c r="D11" s="321">
        <f>+B11</f>
        <v>22.25</v>
      </c>
      <c r="E11" s="321">
        <f>+B11</f>
        <v>22.25</v>
      </c>
      <c r="F11" s="321">
        <f>+B11</f>
        <v>22.25</v>
      </c>
      <c r="G11" s="321">
        <f>+C11</f>
        <v>22.25</v>
      </c>
      <c r="H11" s="321">
        <f>+B11</f>
        <v>22.25</v>
      </c>
      <c r="I11" s="496">
        <f>+D11</f>
        <v>22.25</v>
      </c>
      <c r="J11" s="369">
        <f>+D11</f>
        <v>22.25</v>
      </c>
      <c r="M11" s="330"/>
      <c r="N11" s="330"/>
      <c r="O11" s="330"/>
      <c r="P11" s="330"/>
      <c r="Q11" s="330"/>
      <c r="R11" s="527">
        <f t="shared" ref="R11:U11" si="1">+(R10-R9)/R9</f>
        <v>0</v>
      </c>
      <c r="S11" s="527">
        <f t="shared" si="1"/>
        <v>-8.6521733848730145E-2</v>
      </c>
      <c r="T11" s="527">
        <f t="shared" si="1"/>
        <v>0</v>
      </c>
      <c r="U11" s="527">
        <f t="shared" si="1"/>
        <v>0</v>
      </c>
      <c r="V11" s="330"/>
      <c r="W11" s="330"/>
      <c r="X11" s="330"/>
      <c r="Y11" s="330"/>
    </row>
    <row r="12" spans="1:25" ht="23.5" hidden="1" customHeight="1">
      <c r="A12" s="84"/>
      <c r="B12" s="321"/>
      <c r="C12" s="321"/>
      <c r="D12" s="321"/>
      <c r="E12" s="321"/>
      <c r="F12" s="321"/>
      <c r="G12" s="321"/>
      <c r="H12" s="321"/>
      <c r="I12" s="496"/>
      <c r="J12" s="369"/>
      <c r="M12" s="330"/>
      <c r="N12" s="330"/>
      <c r="O12" s="330"/>
      <c r="P12" s="330"/>
      <c r="Q12" s="330"/>
      <c r="R12" s="330"/>
      <c r="S12" s="330"/>
      <c r="T12" s="330"/>
      <c r="U12" s="330"/>
      <c r="V12" s="330"/>
      <c r="W12" s="330"/>
      <c r="X12" s="330"/>
      <c r="Y12" s="330"/>
    </row>
    <row r="13" spans="1:25" ht="27.65" customHeight="1">
      <c r="A13" s="305" t="str">
        <f>+'COMBUSTIBLES '!A11</f>
        <v>Impuesto Nacional a la Gasolina y al ACPM</v>
      </c>
      <c r="B13" s="321">
        <f>+'COMBUSTIBLES '!E11</f>
        <v>531.27</v>
      </c>
      <c r="C13" s="321">
        <f>+BIODIESEL!E11</f>
        <v>520.64</v>
      </c>
      <c r="D13" s="321">
        <f>+'COMBUSTIBLES '!E11</f>
        <v>531.27</v>
      </c>
      <c r="E13" s="321">
        <f>+BIODIESEL!E11</f>
        <v>520.64</v>
      </c>
      <c r="F13" s="321">
        <f>+'COMBUSTIBLES '!E11</f>
        <v>531.27</v>
      </c>
      <c r="G13" s="321">
        <f>+F13</f>
        <v>531.27</v>
      </c>
      <c r="H13" s="321">
        <f>+BIODIESEL!E11</f>
        <v>520.64</v>
      </c>
      <c r="I13" s="496">
        <f>+Variables!C32</f>
        <v>531.27</v>
      </c>
      <c r="J13" s="369">
        <f>+Variables!C33</f>
        <v>677.11</v>
      </c>
    </row>
    <row r="14" spans="1:25" ht="27.65" customHeight="1">
      <c r="A14" s="305" t="s">
        <v>242</v>
      </c>
      <c r="B14" s="402" t="str">
        <f>+'COMBUSTIBLES '!C12</f>
        <v>(3)</v>
      </c>
      <c r="C14" s="402" t="str">
        <f>+'COMBUSTIBLES '!D12</f>
        <v>(3)</v>
      </c>
      <c r="D14" s="402" t="str">
        <f>+B14</f>
        <v>(3)</v>
      </c>
      <c r="E14" s="402" t="str">
        <f>+D14</f>
        <v>(3)</v>
      </c>
      <c r="F14" s="402" t="str">
        <f>+D14</f>
        <v>(3)</v>
      </c>
      <c r="G14" s="402" t="str">
        <f>+E14</f>
        <v>(3)</v>
      </c>
      <c r="H14" s="402" t="str">
        <f>+F14</f>
        <v>(3)</v>
      </c>
      <c r="I14" s="498" t="str">
        <f>+G14</f>
        <v>(3)</v>
      </c>
      <c r="J14" s="83" t="str">
        <f>+H14</f>
        <v>(3)</v>
      </c>
    </row>
    <row r="15" spans="1:25" ht="27.65" customHeight="1">
      <c r="A15" s="281" t="s">
        <v>284</v>
      </c>
      <c r="B15" s="321">
        <f>+'COMBUSTIBLES '!E13</f>
        <v>179</v>
      </c>
      <c r="C15" s="321">
        <f>+BIODIESEL!E13</f>
        <v>175.42</v>
      </c>
      <c r="D15" s="321">
        <f>+B15</f>
        <v>179</v>
      </c>
      <c r="E15" s="321">
        <f>+BIODIESEL!E13</f>
        <v>175.42</v>
      </c>
      <c r="F15" s="321">
        <f>+'COMBUSTIBLES '!E13</f>
        <v>179</v>
      </c>
      <c r="G15" s="321"/>
      <c r="H15" s="321">
        <f>+E15</f>
        <v>175.42</v>
      </c>
      <c r="I15" s="496">
        <f>+D15</f>
        <v>179</v>
      </c>
      <c r="J15" s="369">
        <f>+I15</f>
        <v>179</v>
      </c>
      <c r="L15" s="399"/>
    </row>
    <row r="16" spans="1:25" ht="27.65" customHeight="1">
      <c r="A16" s="305" t="s">
        <v>229</v>
      </c>
      <c r="B16" s="324" t="s">
        <v>21</v>
      </c>
      <c r="C16" s="321" t="s">
        <v>21</v>
      </c>
      <c r="D16" s="321" t="str">
        <f t="shared" ref="D16:G17" si="2">+C16</f>
        <v>(***)</v>
      </c>
      <c r="E16" s="321" t="str">
        <f t="shared" si="2"/>
        <v>(***)</v>
      </c>
      <c r="F16" s="321" t="str">
        <f t="shared" si="2"/>
        <v>(***)</v>
      </c>
      <c r="G16" s="321" t="str">
        <f t="shared" si="2"/>
        <v>(***)</v>
      </c>
      <c r="H16" s="321" t="str">
        <f>+F16</f>
        <v>(***)</v>
      </c>
      <c r="I16" s="496" t="str">
        <f>+D16</f>
        <v>(***)</v>
      </c>
      <c r="J16" s="369" t="s">
        <v>21</v>
      </c>
    </row>
    <row r="17" spans="1:11" ht="27.65" customHeight="1">
      <c r="A17" s="305" t="s">
        <v>228</v>
      </c>
      <c r="B17" s="321" t="s">
        <v>202</v>
      </c>
      <c r="C17" s="321" t="str">
        <f>+B17</f>
        <v>(****)</v>
      </c>
      <c r="D17" s="321" t="str">
        <f t="shared" si="2"/>
        <v>(****)</v>
      </c>
      <c r="E17" s="321" t="str">
        <f t="shared" si="2"/>
        <v>(****)</v>
      </c>
      <c r="F17" s="321" t="str">
        <f t="shared" si="2"/>
        <v>(****)</v>
      </c>
      <c r="G17" s="321" t="str">
        <f t="shared" si="2"/>
        <v>(****)</v>
      </c>
      <c r="H17" s="321" t="str">
        <f>+F17</f>
        <v>(****)</v>
      </c>
      <c r="I17" s="496" t="str">
        <f>+D17</f>
        <v>(****)</v>
      </c>
      <c r="J17" s="369" t="s">
        <v>202</v>
      </c>
    </row>
    <row r="18" spans="1:11" ht="27.65" customHeight="1" thickBot="1">
      <c r="A18" s="325" t="s">
        <v>655</v>
      </c>
      <c r="B18" s="660">
        <f>+'COMBUSTIBLES '!E16</f>
        <v>301</v>
      </c>
      <c r="C18" s="660">
        <f>+B18</f>
        <v>301</v>
      </c>
      <c r="D18" s="660">
        <f>+B18</f>
        <v>301</v>
      </c>
      <c r="E18" s="660">
        <f>+B18</f>
        <v>301</v>
      </c>
      <c r="F18" s="660">
        <f>+D18</f>
        <v>301</v>
      </c>
      <c r="G18" s="660">
        <f>+E18</f>
        <v>301</v>
      </c>
      <c r="H18" s="660">
        <f>+F18</f>
        <v>301</v>
      </c>
      <c r="I18" s="661">
        <f>+D18</f>
        <v>301</v>
      </c>
      <c r="J18" s="310"/>
    </row>
    <row r="19" spans="1:11" s="330" customFormat="1" ht="15.9" customHeight="1" thickTop="1">
      <c r="A19" s="22"/>
      <c r="B19" s="23"/>
      <c r="C19" s="23"/>
      <c r="D19" s="23"/>
      <c r="I19" s="23"/>
    </row>
    <row r="20" spans="1:11" s="330" customFormat="1" ht="15.9" customHeight="1">
      <c r="A20" s="392"/>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75"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25" customHeight="1">
      <c r="A27" s="15"/>
      <c r="B27" s="16"/>
      <c r="C27" s="16"/>
    </row>
    <row r="28" spans="1:11" s="17" customFormat="1" ht="32.25" customHeight="1">
      <c r="A28" s="899" t="s">
        <v>226</v>
      </c>
      <c r="B28" s="899"/>
      <c r="C28" s="899"/>
      <c r="D28" s="899"/>
      <c r="E28" s="899"/>
      <c r="F28" s="899"/>
      <c r="G28" s="899"/>
      <c r="H28" s="899"/>
      <c r="I28" s="899"/>
      <c r="J28" s="899"/>
    </row>
    <row r="29" spans="1:11" s="17" customFormat="1" ht="8.4" customHeight="1">
      <c r="A29" s="15"/>
      <c r="B29" s="16"/>
      <c r="C29" s="16"/>
    </row>
    <row r="30" spans="1:11" s="17" customFormat="1" ht="30.75" customHeight="1">
      <c r="A30" s="899" t="s">
        <v>230</v>
      </c>
      <c r="B30" s="899"/>
      <c r="C30" s="899"/>
      <c r="D30" s="899"/>
      <c r="E30" s="899"/>
      <c r="F30" s="899"/>
      <c r="G30" s="899"/>
      <c r="H30" s="899"/>
      <c r="I30" s="899"/>
      <c r="J30" s="899"/>
    </row>
    <row r="31" spans="1:11" s="17" customFormat="1" ht="18.25" customHeight="1">
      <c r="A31" s="15"/>
      <c r="B31" s="16"/>
      <c r="C31" s="16"/>
    </row>
    <row r="32" spans="1:11" s="17" customFormat="1" ht="14.25" customHeight="1">
      <c r="A32" s="895" t="s">
        <v>557</v>
      </c>
      <c r="B32" s="895"/>
      <c r="C32" s="895"/>
      <c r="D32" s="895"/>
      <c r="E32" s="895"/>
      <c r="F32" s="895"/>
      <c r="G32" s="895"/>
      <c r="H32" s="895"/>
      <c r="I32" s="895"/>
      <c r="J32" s="895"/>
    </row>
    <row r="33" spans="1:10" ht="69" customHeight="1">
      <c r="A33" s="895"/>
      <c r="B33" s="895"/>
      <c r="C33" s="895"/>
      <c r="D33" s="895"/>
      <c r="E33" s="895"/>
      <c r="F33" s="895"/>
      <c r="G33" s="895"/>
      <c r="H33" s="895"/>
      <c r="I33" s="895"/>
      <c r="J33" s="895"/>
    </row>
    <row r="34" spans="1:10" ht="23.5" customHeight="1">
      <c r="A34" s="847" t="s">
        <v>656</v>
      </c>
      <c r="B34" s="847"/>
      <c r="C34" s="847"/>
      <c r="D34" s="847"/>
      <c r="E34" s="847"/>
      <c r="F34" s="847"/>
      <c r="G34" s="847"/>
      <c r="H34" s="847"/>
      <c r="I34" s="847"/>
    </row>
    <row r="49" spans="4:12">
      <c r="D49" s="463"/>
      <c r="E49" s="463"/>
      <c r="F49" s="463"/>
      <c r="G49" s="463"/>
      <c r="H49" s="463"/>
      <c r="I49" s="463"/>
      <c r="J49" s="463"/>
      <c r="K49" s="463"/>
      <c r="L49" s="463"/>
    </row>
    <row r="50" spans="4:12">
      <c r="D50" s="463"/>
      <c r="E50" s="463"/>
      <c r="F50" s="463"/>
      <c r="G50" s="463"/>
      <c r="H50" s="463"/>
      <c r="I50" s="463"/>
      <c r="J50" s="463"/>
      <c r="K50" s="463"/>
      <c r="L50" s="463"/>
    </row>
  </sheetData>
  <sheetProtection algorithmName="SHA-512" hashValue="rTcIGXb40RDkfQC41QNNYYxLVAVogdu3icsLUW2OmWhT5nFq/mGYw68qDKJFcFJ7UM2TooWF3HoEl/hJ2q7GCA==" saltValue="7pWIiRuodNOKLiuVua5UHA==" spinCount="100000" sheet="1" objects="1" scenarios="1"/>
  <mergeCells count="7">
    <mergeCell ref="A32:J33"/>
    <mergeCell ref="A34:I34"/>
    <mergeCell ref="A1:J1"/>
    <mergeCell ref="A2:J2"/>
    <mergeCell ref="A3:F3"/>
    <mergeCell ref="A28:J28"/>
    <mergeCell ref="A30:J30"/>
  </mergeCells>
  <phoneticPr fontId="30"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6" workbookViewId="0">
      <selection activeCell="E8" sqref="E8:E9"/>
    </sheetView>
  </sheetViews>
  <sheetFormatPr baseColWidth="10" defaultColWidth="11.36328125" defaultRowHeight="13" outlineLevelRow="1"/>
  <cols>
    <col min="1" max="1" width="4.6328125" style="121" customWidth="1"/>
    <col min="2" max="2" width="34.36328125" style="119" customWidth="1"/>
    <col min="3" max="3" width="16.1796875" style="121" customWidth="1"/>
    <col min="4" max="4" width="2.6328125" style="121" customWidth="1"/>
    <col min="5" max="7" width="14.1796875" style="121" customWidth="1"/>
    <col min="8" max="16384" width="11.36328125" style="121"/>
  </cols>
  <sheetData>
    <row r="1" spans="2:7" ht="12.5">
      <c r="B1" s="389" t="s">
        <v>285</v>
      </c>
      <c r="C1" s="390">
        <v>490</v>
      </c>
    </row>
    <row r="2" spans="2:7" ht="12.5">
      <c r="B2" s="389" t="s">
        <v>286</v>
      </c>
      <c r="C2" s="390">
        <v>469</v>
      </c>
    </row>
    <row r="3" spans="2:7" ht="12.5">
      <c r="B3" s="389" t="s">
        <v>271</v>
      </c>
      <c r="C3" s="390">
        <v>930</v>
      </c>
    </row>
    <row r="4" spans="2:7" ht="12.5" outlineLevel="1">
      <c r="B4" s="389" t="s">
        <v>272</v>
      </c>
      <c r="C4" s="390">
        <v>1109.5455419999998</v>
      </c>
    </row>
    <row r="5" spans="2:7" ht="12.5" outlineLevel="1">
      <c r="B5" s="389" t="s">
        <v>273</v>
      </c>
      <c r="C5" s="390">
        <v>529.41173003999995</v>
      </c>
    </row>
    <row r="6" spans="2:7" ht="12.5">
      <c r="B6" s="389" t="s">
        <v>277</v>
      </c>
      <c r="C6" s="390">
        <v>965.24</v>
      </c>
    </row>
    <row r="7" spans="2:7" ht="12.5">
      <c r="B7" s="389" t="s">
        <v>279</v>
      </c>
      <c r="C7" s="390">
        <v>1021.31</v>
      </c>
    </row>
    <row r="8" spans="2:7" ht="12.5">
      <c r="B8" s="389" t="s">
        <v>278</v>
      </c>
      <c r="C8" s="390">
        <v>639.51</v>
      </c>
    </row>
    <row r="9" spans="2:7" ht="12.5">
      <c r="B9" s="389" t="s">
        <v>298</v>
      </c>
      <c r="C9" s="390">
        <v>597.75187500000004</v>
      </c>
    </row>
    <row r="10" spans="2:7" ht="12.5">
      <c r="B10" s="389" t="s">
        <v>288</v>
      </c>
      <c r="C10" s="390">
        <v>135</v>
      </c>
    </row>
    <row r="11" spans="2:7" ht="12.5">
      <c r="B11" s="389" t="s">
        <v>289</v>
      </c>
      <c r="C11" s="390">
        <v>152</v>
      </c>
    </row>
    <row r="12" spans="2:7" ht="12.5">
      <c r="B12" s="389" t="s">
        <v>290</v>
      </c>
      <c r="C12" s="390">
        <v>148</v>
      </c>
    </row>
    <row r="13" spans="2:7" ht="12.5">
      <c r="B13" s="389" t="s">
        <v>291</v>
      </c>
      <c r="C13" s="390">
        <v>177</v>
      </c>
      <c r="F13" s="121">
        <v>490</v>
      </c>
      <c r="G13" s="568">
        <f>+F13*(1+$C$15)*(1+$C$16)*(1+3.8%)</f>
        <v>546.25819534439995</v>
      </c>
    </row>
    <row r="14" spans="2:7">
      <c r="B14" s="388" t="s">
        <v>299</v>
      </c>
      <c r="C14" s="396">
        <v>5.7500000000000002E-2</v>
      </c>
      <c r="F14" s="121">
        <v>930</v>
      </c>
      <c r="G14" s="568">
        <f>+F14*(1+$C$15)*(1+$C$16)*(1+3.8%)</f>
        <v>1036.7757585108</v>
      </c>
    </row>
    <row r="15" spans="2:7">
      <c r="B15" s="388" t="s">
        <v>527</v>
      </c>
      <c r="C15" s="396">
        <v>4.0899999999999999E-2</v>
      </c>
      <c r="D15" s="397"/>
      <c r="F15" s="121">
        <v>469</v>
      </c>
      <c r="G15" s="568">
        <f>+F15*(1+$C$15)*(1+$C$16)*(1+3.8%)</f>
        <v>522.84712982964004</v>
      </c>
    </row>
    <row r="16" spans="2:7">
      <c r="B16" s="388" t="s">
        <v>537</v>
      </c>
      <c r="C16" s="396">
        <v>3.1800000000000002E-2</v>
      </c>
      <c r="D16" s="397"/>
    </row>
    <row r="17" spans="2:12" s="118" customFormat="1">
      <c r="B17" s="786" t="str">
        <f>+'COMBUSTIBLES '!A1</f>
        <v>01 DE ENERO 2022</v>
      </c>
      <c r="C17" s="125" t="s">
        <v>240</v>
      </c>
      <c r="E17" s="786" t="s">
        <v>632</v>
      </c>
      <c r="F17" s="786"/>
      <c r="G17" s="786"/>
    </row>
    <row r="18" spans="2:12" s="118" customFormat="1">
      <c r="B18" s="786"/>
      <c r="C18" s="126" t="s">
        <v>163</v>
      </c>
      <c r="D18" s="127"/>
      <c r="E18" s="787" t="s">
        <v>163</v>
      </c>
      <c r="F18" s="787"/>
      <c r="G18" s="787"/>
    </row>
    <row r="19" spans="2:12" s="118" customFormat="1">
      <c r="B19" s="786"/>
      <c r="C19" s="128" t="s">
        <v>167</v>
      </c>
      <c r="D19" s="127"/>
      <c r="E19" s="128" t="s">
        <v>164</v>
      </c>
      <c r="F19" s="128" t="s">
        <v>165</v>
      </c>
      <c r="G19" s="128" t="s">
        <v>166</v>
      </c>
      <c r="I19" s="118">
        <f>1555*1.0244</f>
        <v>1592.942</v>
      </c>
    </row>
    <row r="20" spans="2:12" ht="15.5">
      <c r="B20" s="122" t="s">
        <v>24</v>
      </c>
      <c r="C20" s="621">
        <v>555.04999999999995</v>
      </c>
      <c r="D20" s="120"/>
      <c r="E20" s="123">
        <v>5078.7700000000004</v>
      </c>
      <c r="F20" s="123">
        <v>1900</v>
      </c>
      <c r="G20" s="123">
        <v>1900</v>
      </c>
      <c r="H20" s="279"/>
      <c r="I20" s="274"/>
      <c r="J20" s="274"/>
      <c r="K20" s="274"/>
      <c r="L20" s="274"/>
    </row>
    <row r="21" spans="2:12" ht="15.5">
      <c r="B21" s="122" t="s">
        <v>174</v>
      </c>
      <c r="C21" s="621">
        <v>555.04999999999995</v>
      </c>
      <c r="D21" s="120"/>
      <c r="E21" s="123">
        <f t="shared" ref="E21:G22" si="0">+E20</f>
        <v>5078.7700000000004</v>
      </c>
      <c r="F21" s="123">
        <f t="shared" si="0"/>
        <v>1900</v>
      </c>
      <c r="G21" s="123">
        <f t="shared" si="0"/>
        <v>1900</v>
      </c>
      <c r="H21" s="279">
        <f>+C21*16%</f>
        <v>88.807999999999993</v>
      </c>
      <c r="I21" s="274">
        <f>+H21*92%</f>
        <v>81.703360000000004</v>
      </c>
      <c r="J21" s="274"/>
      <c r="K21" s="274"/>
      <c r="L21" s="274"/>
    </row>
    <row r="22" spans="2:12" ht="15.5">
      <c r="B22" s="122" t="s">
        <v>175</v>
      </c>
      <c r="C22" s="621">
        <v>555.04999999999995</v>
      </c>
      <c r="D22" s="120"/>
      <c r="E22" s="123">
        <f t="shared" si="0"/>
        <v>5078.7700000000004</v>
      </c>
      <c r="F22" s="123">
        <f t="shared" si="0"/>
        <v>1900</v>
      </c>
      <c r="G22" s="123">
        <f t="shared" si="0"/>
        <v>1900</v>
      </c>
      <c r="H22" s="279">
        <f>+C22*16%</f>
        <v>88.807999999999993</v>
      </c>
      <c r="I22" s="274">
        <f>+H22*92%</f>
        <v>81.703360000000004</v>
      </c>
      <c r="J22" s="274"/>
      <c r="K22" s="274"/>
      <c r="L22" s="274"/>
    </row>
    <row r="23" spans="2:12" ht="15.5">
      <c r="B23" s="122" t="s">
        <v>10</v>
      </c>
      <c r="C23" s="621">
        <v>1053.47</v>
      </c>
      <c r="D23" s="120"/>
      <c r="E23" s="123">
        <v>7107.81</v>
      </c>
      <c r="F23" s="123" t="s">
        <v>147</v>
      </c>
      <c r="G23" s="123" t="s">
        <v>147</v>
      </c>
      <c r="H23" s="279">
        <f>+C23*90%</f>
        <v>948.12300000000005</v>
      </c>
      <c r="I23" s="274">
        <f>+C23*92%</f>
        <v>969.19240000000002</v>
      </c>
      <c r="J23" s="274"/>
      <c r="K23" s="274"/>
      <c r="L23" s="274"/>
    </row>
    <row r="24" spans="2:12" ht="15.5">
      <c r="B24" s="122" t="s">
        <v>275</v>
      </c>
      <c r="C24" s="621">
        <v>1093.3800000000001</v>
      </c>
      <c r="D24" s="120"/>
      <c r="E24" s="391"/>
      <c r="F24" s="391"/>
      <c r="G24" s="391"/>
      <c r="H24" s="279"/>
      <c r="I24" s="274"/>
      <c r="J24" s="274">
        <f>+E23*0.25</f>
        <v>1776.9525000000001</v>
      </c>
      <c r="K24" s="274"/>
      <c r="L24" s="274"/>
    </row>
    <row r="25" spans="2:12" ht="15.5">
      <c r="B25" s="122" t="s">
        <v>280</v>
      </c>
      <c r="C25" s="621">
        <v>1156.9000000000001</v>
      </c>
      <c r="D25" s="440" t="s">
        <v>529</v>
      </c>
      <c r="E25" s="629"/>
      <c r="F25" s="391"/>
      <c r="G25" s="391"/>
      <c r="H25" s="279"/>
      <c r="I25" s="274"/>
      <c r="J25" s="274"/>
      <c r="K25" s="274"/>
      <c r="L25" s="274"/>
    </row>
    <row r="26" spans="2:12" ht="6.75" customHeight="1">
      <c r="C26" s="120"/>
      <c r="D26" s="120"/>
      <c r="E26" s="120"/>
      <c r="F26" s="120"/>
      <c r="G26" s="120"/>
      <c r="H26" s="274"/>
      <c r="I26" s="274"/>
      <c r="J26" s="274"/>
      <c r="K26" s="274"/>
      <c r="L26" s="274"/>
    </row>
    <row r="27" spans="2:12" ht="15.5">
      <c r="B27" s="122" t="s">
        <v>158</v>
      </c>
      <c r="C27" s="621">
        <f>+ROUND('Resoluciones, leyes'!$Q$40,2)</f>
        <v>531.27</v>
      </c>
      <c r="D27" s="120"/>
      <c r="E27" s="123">
        <v>5024.59</v>
      </c>
      <c r="F27" s="123">
        <v>1900</v>
      </c>
      <c r="G27" s="123">
        <v>3400</v>
      </c>
      <c r="H27" s="279"/>
      <c r="I27" s="274"/>
      <c r="J27" s="610" t="s">
        <v>629</v>
      </c>
      <c r="K27" s="274"/>
      <c r="L27" s="274"/>
    </row>
    <row r="28" spans="2:12">
      <c r="B28" s="122" t="s">
        <v>159</v>
      </c>
      <c r="C28" s="622">
        <f>+C27</f>
        <v>531.27</v>
      </c>
      <c r="D28" s="120"/>
      <c r="E28" s="123">
        <f t="shared" ref="E28:G31" si="1">+E27</f>
        <v>5024.59</v>
      </c>
      <c r="F28" s="123">
        <f t="shared" si="1"/>
        <v>1900</v>
      </c>
      <c r="G28" s="123">
        <f t="shared" si="1"/>
        <v>3400</v>
      </c>
      <c r="H28" s="274"/>
      <c r="I28" s="274"/>
      <c r="J28" s="274"/>
      <c r="K28" s="274"/>
      <c r="L28" s="274"/>
    </row>
    <row r="29" spans="2:12">
      <c r="B29" s="122" t="s">
        <v>160</v>
      </c>
      <c r="C29" s="622">
        <f>+C28</f>
        <v>531.27</v>
      </c>
      <c r="D29" s="120"/>
      <c r="E29" s="123">
        <f t="shared" si="1"/>
        <v>5024.59</v>
      </c>
      <c r="F29" s="123">
        <f t="shared" si="1"/>
        <v>1900</v>
      </c>
      <c r="G29" s="123">
        <f t="shared" si="1"/>
        <v>3400</v>
      </c>
      <c r="J29" s="274"/>
      <c r="K29" s="274"/>
      <c r="L29" s="274"/>
    </row>
    <row r="30" spans="2:12">
      <c r="B30" s="122" t="s">
        <v>161</v>
      </c>
      <c r="C30" s="622">
        <f>+C29</f>
        <v>531.27</v>
      </c>
      <c r="D30" s="120"/>
      <c r="E30" s="123">
        <f t="shared" si="1"/>
        <v>5024.59</v>
      </c>
      <c r="F30" s="123">
        <f t="shared" si="1"/>
        <v>1900</v>
      </c>
      <c r="G30" s="123">
        <f t="shared" si="1"/>
        <v>3400</v>
      </c>
      <c r="H30" s="274">
        <f>+C30*98%</f>
        <v>520.64459999999997</v>
      </c>
      <c r="I30" s="274">
        <f>+C30*92%</f>
        <v>488.76839999999999</v>
      </c>
    </row>
    <row r="31" spans="2:12">
      <c r="B31" s="122" t="s">
        <v>162</v>
      </c>
      <c r="C31" s="622">
        <f>+C30</f>
        <v>531.27</v>
      </c>
      <c r="D31" s="120"/>
      <c r="E31" s="123">
        <f t="shared" si="1"/>
        <v>5024.59</v>
      </c>
      <c r="F31" s="123">
        <f t="shared" si="1"/>
        <v>1900</v>
      </c>
      <c r="G31" s="123">
        <f t="shared" si="1"/>
        <v>3400</v>
      </c>
      <c r="H31" s="274">
        <f>+C29*0.96</f>
        <v>510.01919999999996</v>
      </c>
      <c r="I31" s="274">
        <f>+C31*90%</f>
        <v>478.14299999999997</v>
      </c>
    </row>
    <row r="32" spans="2:12">
      <c r="B32" s="122" t="s">
        <v>255</v>
      </c>
      <c r="C32" s="622">
        <f>C27</f>
        <v>531.27</v>
      </c>
    </row>
    <row r="33" spans="2:7">
      <c r="B33" s="122" t="s">
        <v>274</v>
      </c>
      <c r="C33" s="622">
        <f>+ROUND('Resoluciones, leyes'!$Q$43,2)</f>
        <v>677.11</v>
      </c>
    </row>
    <row r="34" spans="2:7">
      <c r="B34" s="122" t="s">
        <v>276</v>
      </c>
      <c r="C34" s="621">
        <v>724.42</v>
      </c>
    </row>
    <row r="36" spans="2:7">
      <c r="B36" s="122" t="s">
        <v>176</v>
      </c>
      <c r="C36" s="124" t="s">
        <v>11</v>
      </c>
      <c r="D36" s="120"/>
      <c r="E36" s="123"/>
      <c r="F36" s="123"/>
      <c r="G36" s="123"/>
    </row>
    <row r="37" spans="2:7">
      <c r="B37" s="122" t="s">
        <v>177</v>
      </c>
      <c r="C37" s="124" t="s">
        <v>11</v>
      </c>
      <c r="D37" s="120"/>
      <c r="E37" s="123"/>
      <c r="F37" s="123"/>
      <c r="G37" s="123"/>
    </row>
    <row r="39" spans="2:7">
      <c r="B39" s="122" t="s">
        <v>241</v>
      </c>
      <c r="C39" s="123">
        <v>0.19</v>
      </c>
    </row>
    <row r="40" spans="2:7">
      <c r="C40" s="275"/>
    </row>
    <row r="41" spans="2:7">
      <c r="B41" s="388" t="s">
        <v>577</v>
      </c>
      <c r="C41" s="396" t="s">
        <v>148</v>
      </c>
    </row>
    <row r="42" spans="2:7">
      <c r="B42" s="388"/>
      <c r="C42" s="396" t="s">
        <v>148</v>
      </c>
    </row>
    <row r="43" spans="2:7">
      <c r="B43" s="786" t="str">
        <f>B17</f>
        <v>01 DE ENERO 2022</v>
      </c>
      <c r="C43" s="394" t="s">
        <v>287</v>
      </c>
    </row>
    <row r="44" spans="2:7" ht="12.5">
      <c r="B44" s="786"/>
      <c r="C44" s="395" t="s">
        <v>163</v>
      </c>
    </row>
    <row r="45" spans="2:7" ht="12.5">
      <c r="B45" s="786"/>
      <c r="C45" s="128" t="s">
        <v>167</v>
      </c>
    </row>
    <row r="46" spans="2:7">
      <c r="B46" s="122" t="s">
        <v>292</v>
      </c>
      <c r="C46" s="627">
        <v>159</v>
      </c>
    </row>
    <row r="47" spans="2:7">
      <c r="B47" s="122" t="s">
        <v>18</v>
      </c>
      <c r="C47" s="627">
        <v>179</v>
      </c>
    </row>
    <row r="48" spans="2:7">
      <c r="B48" s="122" t="s">
        <v>293</v>
      </c>
      <c r="C48" s="627">
        <v>174</v>
      </c>
    </row>
    <row r="49" spans="2:8">
      <c r="B49" s="122" t="s">
        <v>294</v>
      </c>
      <c r="C49" s="627">
        <v>208</v>
      </c>
    </row>
    <row r="58" spans="2:8">
      <c r="C58" s="648"/>
    </row>
    <row r="59" spans="2:8">
      <c r="H59" s="630"/>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90625" defaultRowHeight="12.5"/>
  <cols>
    <col min="1" max="1" width="6.1796875" style="171" customWidth="1"/>
    <col min="2" max="2" width="37.81640625" style="171" customWidth="1"/>
    <col min="3" max="3" width="9" style="171" hidden="1" customWidth="1"/>
    <col min="4" max="4" width="7.36328125" style="171" hidden="1" customWidth="1"/>
    <col min="5" max="5" width="11.81640625" style="171" hidden="1" customWidth="1"/>
    <col min="6" max="7" width="8.81640625" style="171" hidden="1" customWidth="1"/>
    <col min="8" max="8" width="9.90625" style="171" hidden="1" customWidth="1"/>
    <col min="9" max="9" width="11.1796875" style="171" hidden="1" customWidth="1"/>
    <col min="10" max="10" width="9" style="171" hidden="1" customWidth="1"/>
    <col min="11" max="11" width="9.1796875" style="171" hidden="1" customWidth="1"/>
    <col min="12" max="12" width="12.36328125" style="171" hidden="1" customWidth="1"/>
    <col min="13" max="14" width="11.36328125" style="171" hidden="1" customWidth="1"/>
    <col min="15" max="15" width="15.36328125" style="171" hidden="1" customWidth="1"/>
    <col min="16" max="17" width="11.36328125" style="171" hidden="1" customWidth="1"/>
    <col min="18" max="28" width="11.36328125" style="170" hidden="1" customWidth="1"/>
    <col min="29" max="30" width="10.90625" style="170" hidden="1" customWidth="1"/>
    <col min="31" max="32" width="10.90625" style="171" hidden="1" customWidth="1"/>
    <col min="33" max="35" width="10.90625" style="171" customWidth="1"/>
    <col min="36" max="38" width="10.90625" style="171"/>
    <col min="39" max="39" width="36.08984375" style="171" bestFit="1" customWidth="1"/>
    <col min="40" max="42" width="10.90625" style="171"/>
    <col min="43" max="43" width="36.08984375" style="171" bestFit="1" customWidth="1"/>
    <col min="44" max="16384" width="10.90625" style="171"/>
  </cols>
  <sheetData>
    <row r="1" spans="1:61" ht="16" thickBot="1">
      <c r="A1" s="167"/>
      <c r="B1" s="168"/>
      <c r="C1" s="168"/>
      <c r="D1" s="168"/>
      <c r="E1" s="168"/>
      <c r="F1" s="168"/>
      <c r="G1" s="168"/>
      <c r="H1" s="168"/>
      <c r="I1" s="169"/>
      <c r="J1" s="169"/>
      <c r="K1" s="170"/>
      <c r="L1" s="170"/>
      <c r="M1" s="170"/>
      <c r="N1" s="170"/>
      <c r="O1" s="170"/>
      <c r="P1" s="170"/>
      <c r="Q1" s="170"/>
      <c r="AA1" s="820" t="s">
        <v>57</v>
      </c>
      <c r="AB1" s="820"/>
      <c r="AC1" s="820"/>
      <c r="AD1" s="820" t="s">
        <v>58</v>
      </c>
      <c r="AE1" s="820"/>
      <c r="AF1" s="820"/>
      <c r="AG1" s="820" t="s">
        <v>155</v>
      </c>
      <c r="AH1" s="820"/>
      <c r="AI1" s="820"/>
      <c r="AJ1" s="820" t="s">
        <v>180</v>
      </c>
      <c r="AK1" s="820"/>
      <c r="AL1" s="820"/>
      <c r="AM1" s="168"/>
      <c r="AN1" s="812" t="s">
        <v>246</v>
      </c>
      <c r="AO1" s="812"/>
      <c r="AP1" s="812"/>
      <c r="AQ1" s="168"/>
      <c r="AR1" s="801" t="s">
        <v>265</v>
      </c>
      <c r="AS1" s="802"/>
      <c r="AT1" s="803"/>
      <c r="AU1" s="801" t="s">
        <v>267</v>
      </c>
      <c r="AV1" s="802"/>
      <c r="AW1" s="803"/>
      <c r="AX1" s="801" t="s">
        <v>281</v>
      </c>
      <c r="AY1" s="802"/>
      <c r="AZ1" s="803"/>
      <c r="BA1" s="801" t="s">
        <v>295</v>
      </c>
      <c r="BB1" s="802"/>
      <c r="BC1" s="803"/>
      <c r="BD1" s="801" t="s">
        <v>528</v>
      </c>
      <c r="BE1" s="802"/>
      <c r="BF1" s="803"/>
      <c r="BG1" s="801" t="s">
        <v>535</v>
      </c>
      <c r="BH1" s="802"/>
      <c r="BI1" s="803"/>
    </row>
    <row r="2" spans="1:61" ht="15" customHeight="1">
      <c r="A2" s="825" t="s">
        <v>59</v>
      </c>
      <c r="B2" s="826"/>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813" t="s">
        <v>62</v>
      </c>
      <c r="AO2" s="814"/>
      <c r="AP2" s="817">
        <v>0.03</v>
      </c>
      <c r="AQ2" s="382"/>
      <c r="AR2" s="804" t="s">
        <v>62</v>
      </c>
      <c r="AS2" s="805"/>
      <c r="AT2" s="808">
        <v>0.03</v>
      </c>
      <c r="AU2" s="804" t="s">
        <v>62</v>
      </c>
      <c r="AV2" s="805"/>
      <c r="AW2" s="808">
        <v>0.03</v>
      </c>
      <c r="AX2" s="804" t="s">
        <v>62</v>
      </c>
      <c r="AY2" s="805"/>
      <c r="AZ2" s="808">
        <v>0.03</v>
      </c>
      <c r="BA2" s="804" t="s">
        <v>62</v>
      </c>
      <c r="BB2" s="805"/>
      <c r="BC2" s="808">
        <v>0.03</v>
      </c>
      <c r="BD2" s="804" t="s">
        <v>62</v>
      </c>
      <c r="BE2" s="805"/>
      <c r="BF2" s="808">
        <v>0.03</v>
      </c>
      <c r="BG2" s="804" t="s">
        <v>62</v>
      </c>
      <c r="BH2" s="805"/>
      <c r="BI2" s="808">
        <v>0.03</v>
      </c>
    </row>
    <row r="3" spans="1:61" ht="55.65" customHeight="1" thickBot="1">
      <c r="A3" s="827"/>
      <c r="B3" s="828"/>
      <c r="C3" s="821" t="s">
        <v>63</v>
      </c>
      <c r="D3" s="822"/>
      <c r="E3" s="823"/>
      <c r="F3" s="821" t="s">
        <v>64</v>
      </c>
      <c r="G3" s="822"/>
      <c r="H3" s="823"/>
      <c r="I3" s="821" t="s">
        <v>65</v>
      </c>
      <c r="J3" s="822"/>
      <c r="K3" s="823"/>
      <c r="L3" s="821" t="s">
        <v>66</v>
      </c>
      <c r="M3" s="822"/>
      <c r="N3" s="823"/>
      <c r="O3" s="821" t="s">
        <v>67</v>
      </c>
      <c r="P3" s="822"/>
      <c r="Q3" s="823"/>
      <c r="R3" s="821" t="s">
        <v>68</v>
      </c>
      <c r="S3" s="822"/>
      <c r="T3" s="823"/>
      <c r="U3" s="821" t="s">
        <v>69</v>
      </c>
      <c r="V3" s="822"/>
      <c r="W3" s="823"/>
      <c r="X3" s="821" t="s">
        <v>70</v>
      </c>
      <c r="Y3" s="822"/>
      <c r="Z3" s="823"/>
      <c r="AA3" s="821"/>
      <c r="AB3" s="822"/>
      <c r="AC3" s="823"/>
      <c r="AD3" s="821"/>
      <c r="AE3" s="822"/>
      <c r="AF3" s="823"/>
      <c r="AG3" s="821"/>
      <c r="AH3" s="822"/>
      <c r="AI3" s="823"/>
      <c r="AJ3" s="821"/>
      <c r="AK3" s="822"/>
      <c r="AL3" s="823"/>
      <c r="AM3" s="346"/>
      <c r="AN3" s="815"/>
      <c r="AO3" s="816"/>
      <c r="AP3" s="818"/>
      <c r="AQ3" s="383"/>
      <c r="AR3" s="806"/>
      <c r="AS3" s="807"/>
      <c r="AT3" s="809"/>
      <c r="AU3" s="806"/>
      <c r="AV3" s="807"/>
      <c r="AW3" s="809"/>
      <c r="AX3" s="806"/>
      <c r="AY3" s="807"/>
      <c r="AZ3" s="809"/>
      <c r="BA3" s="806"/>
      <c r="BB3" s="807"/>
      <c r="BC3" s="809"/>
      <c r="BD3" s="806"/>
      <c r="BE3" s="807"/>
      <c r="BF3" s="809"/>
      <c r="BG3" s="806"/>
      <c r="BH3" s="807"/>
      <c r="BI3" s="809"/>
    </row>
    <row r="4" spans="1:61" ht="35"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181</v>
      </c>
      <c r="AH4" s="182" t="s">
        <v>72</v>
      </c>
      <c r="AI4" s="181" t="s">
        <v>73</v>
      </c>
      <c r="AJ4" s="181" t="s">
        <v>193</v>
      </c>
      <c r="AK4" s="182" t="s">
        <v>72</v>
      </c>
      <c r="AL4" s="181" t="s">
        <v>73</v>
      </c>
      <c r="AM4" s="347"/>
      <c r="AN4" s="348" t="s">
        <v>247</v>
      </c>
      <c r="AO4" s="348" t="s">
        <v>72</v>
      </c>
      <c r="AP4" s="348" t="s">
        <v>73</v>
      </c>
      <c r="AQ4" s="384"/>
      <c r="AR4" s="385" t="s">
        <v>247</v>
      </c>
      <c r="AS4" s="385" t="s">
        <v>72</v>
      </c>
      <c r="AT4" s="385" t="s">
        <v>73</v>
      </c>
      <c r="AU4" s="385" t="s">
        <v>247</v>
      </c>
      <c r="AV4" s="385" t="s">
        <v>72</v>
      </c>
      <c r="AW4" s="385" t="s">
        <v>73</v>
      </c>
      <c r="AX4" s="385" t="s">
        <v>247</v>
      </c>
      <c r="AY4" s="385" t="s">
        <v>72</v>
      </c>
      <c r="AZ4" s="385" t="s">
        <v>73</v>
      </c>
      <c r="BA4" s="385" t="s">
        <v>247</v>
      </c>
      <c r="BB4" s="385" t="s">
        <v>72</v>
      </c>
      <c r="BC4" s="385" t="s">
        <v>73</v>
      </c>
      <c r="BD4" s="385" t="s">
        <v>247</v>
      </c>
      <c r="BE4" s="385" t="s">
        <v>72</v>
      </c>
      <c r="BF4" s="385" t="s">
        <v>73</v>
      </c>
      <c r="BG4" s="385" t="s">
        <v>247</v>
      </c>
      <c r="BH4" s="385" t="s">
        <v>72</v>
      </c>
      <c r="BI4" s="385" t="s">
        <v>73</v>
      </c>
    </row>
    <row r="5" spans="1:61" ht="15.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4.5"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4">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4">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4.5"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6"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4">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4">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4.5"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4.5"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243</v>
      </c>
      <c r="AN15" s="355">
        <v>0.45629000000000003</v>
      </c>
      <c r="AO15" s="356">
        <v>104.04680960000002</v>
      </c>
      <c r="AP15" s="357">
        <v>4369.9660032000002</v>
      </c>
      <c r="AQ15" s="335" t="s">
        <v>243</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4">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4.5"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4.5"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4">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4">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4">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4">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4">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4.5"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4.5"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4">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4">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4">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4">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4">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4.5"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4.5"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4">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4">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4">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4">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4">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4">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4">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4">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4">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4">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4">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4.5"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4.5"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4">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4">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4">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4">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4.5"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4.5"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4">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4">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4">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4.5"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4.5"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4">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4">
      <c r="A58" s="207"/>
      <c r="B58" s="194" t="s">
        <v>182</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4.5" thickBot="1">
      <c r="A59" s="186"/>
      <c r="B59" s="206" t="s">
        <v>183</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182</v>
      </c>
      <c r="AN59" s="352">
        <v>127.0617238937528</v>
      </c>
      <c r="AO59" s="353">
        <v>284.38163008375284</v>
      </c>
      <c r="AP59" s="354">
        <v>11944.028463517619</v>
      </c>
      <c r="AQ59" s="334" t="s">
        <v>182</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4.5" thickBot="1">
      <c r="A60" s="150" t="s">
        <v>112</v>
      </c>
      <c r="B60" s="150"/>
      <c r="C60" s="150"/>
      <c r="D60" s="150"/>
      <c r="E60" s="150"/>
      <c r="F60" s="214"/>
      <c r="G60" s="214"/>
      <c r="H60" s="214"/>
      <c r="I60" s="214"/>
      <c r="J60" s="214"/>
      <c r="K60" s="214"/>
      <c r="L60" s="214"/>
      <c r="M60" s="214"/>
      <c r="N60" s="214"/>
      <c r="O60" s="214"/>
      <c r="P60" s="214"/>
      <c r="Q60" s="214"/>
      <c r="AE60" s="170"/>
      <c r="AF60" s="170"/>
      <c r="AM60" s="333" t="s">
        <v>183</v>
      </c>
      <c r="AN60" s="355">
        <v>218.163476</v>
      </c>
      <c r="AO60" s="356">
        <v>502.54510608375284</v>
      </c>
      <c r="AP60" s="357">
        <v>21106.89445551762</v>
      </c>
      <c r="AQ60" s="333" t="s">
        <v>183</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4.5"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244</v>
      </c>
      <c r="AN61" s="359">
        <v>43.568999999999996</v>
      </c>
      <c r="AO61" s="360">
        <v>43.568999999999996</v>
      </c>
      <c r="AP61" s="357">
        <v>1829.8979999999999</v>
      </c>
      <c r="AQ61" s="338" t="s">
        <v>244</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4">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4">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4.5" thickBot="1">
      <c r="A65" s="216" t="s">
        <v>184</v>
      </c>
      <c r="B65" s="216"/>
      <c r="C65" s="216"/>
      <c r="D65" s="216"/>
      <c r="E65" s="216"/>
      <c r="F65" s="215"/>
      <c r="G65" s="215"/>
      <c r="H65" s="215"/>
      <c r="I65" s="170"/>
      <c r="J65" s="170"/>
      <c r="K65" s="170"/>
      <c r="L65" s="170"/>
      <c r="M65" s="170"/>
      <c r="N65" s="170"/>
      <c r="O65" s="170"/>
      <c r="P65" s="170"/>
      <c r="Q65" s="170"/>
      <c r="AE65" s="170"/>
      <c r="AF65" s="170"/>
      <c r="AM65" s="154"/>
      <c r="AQ65" s="154"/>
    </row>
    <row r="66" spans="1:61" ht="14.5"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185</v>
      </c>
      <c r="AL66" s="223">
        <v>3.73E-2</v>
      </c>
      <c r="AM66" s="155"/>
      <c r="AQ66" s="155"/>
    </row>
    <row r="67" spans="1:61" ht="13.5"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186</v>
      </c>
      <c r="AK67" s="233"/>
      <c r="AL67" s="232"/>
      <c r="AM67" s="216"/>
      <c r="AQ67" s="216"/>
    </row>
    <row r="68" spans="1:61" ht="13"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186</v>
      </c>
      <c r="AK69" s="239"/>
      <c r="AL69" s="238"/>
      <c r="AM69" s="339"/>
      <c r="AQ69" s="339"/>
    </row>
    <row r="70" spans="1:61" ht="13"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3.5"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245</v>
      </c>
      <c r="AN71" s="361" t="s">
        <v>248</v>
      </c>
      <c r="AO71" s="362"/>
      <c r="AP71" s="363">
        <v>2.4400000000000002E-2</v>
      </c>
      <c r="AQ71" s="340" t="s">
        <v>245</v>
      </c>
      <c r="AR71" s="361" t="s">
        <v>268</v>
      </c>
      <c r="AS71" s="362"/>
      <c r="AT71" s="363">
        <v>1.9400000000000001E-2</v>
      </c>
      <c r="AU71" s="361" t="s">
        <v>269</v>
      </c>
      <c r="AV71" s="362"/>
      <c r="AW71" s="363">
        <v>3.6600000000000001E-2</v>
      </c>
      <c r="AX71" s="361" t="s">
        <v>282</v>
      </c>
      <c r="AY71" s="362"/>
      <c r="AZ71" s="363">
        <v>6.7699999999999996E-2</v>
      </c>
      <c r="BA71" s="361" t="s">
        <v>296</v>
      </c>
      <c r="BB71" s="362"/>
      <c r="BC71" s="363">
        <v>5.7500000000000002E-2</v>
      </c>
      <c r="BD71" s="361" t="s">
        <v>296</v>
      </c>
      <c r="BE71" s="362"/>
      <c r="BF71" s="363">
        <v>5.7500000000000002E-2</v>
      </c>
      <c r="BG71" s="361" t="s">
        <v>296</v>
      </c>
      <c r="BH71" s="362"/>
      <c r="BI71" s="363">
        <v>5.7500000000000002E-2</v>
      </c>
    </row>
    <row r="72" spans="1:61" ht="1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810" t="s">
        <v>249</v>
      </c>
      <c r="AO72" s="810"/>
      <c r="AP72" s="811"/>
      <c r="AQ72" s="341" t="s">
        <v>119</v>
      </c>
      <c r="AR72" s="810" t="s">
        <v>249</v>
      </c>
      <c r="AS72" s="810"/>
      <c r="AT72" s="811"/>
      <c r="AU72" s="810" t="s">
        <v>249</v>
      </c>
      <c r="AV72" s="810"/>
      <c r="AW72" s="811"/>
      <c r="AX72" s="810" t="s">
        <v>249</v>
      </c>
      <c r="AY72" s="810"/>
      <c r="AZ72" s="811"/>
      <c r="BA72" s="810" t="s">
        <v>249</v>
      </c>
      <c r="BB72" s="810"/>
      <c r="BC72" s="811"/>
      <c r="BD72" s="810" t="s">
        <v>249</v>
      </c>
      <c r="BE72" s="810"/>
      <c r="BF72" s="811"/>
      <c r="BG72" s="810" t="s">
        <v>249</v>
      </c>
      <c r="BH72" s="810"/>
      <c r="BI72" s="811"/>
    </row>
    <row r="73" spans="1:61" ht="13.5"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3.5"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186</v>
      </c>
      <c r="AK74" s="257"/>
      <c r="AL74" s="258"/>
      <c r="AM74" s="342" t="s">
        <v>130</v>
      </c>
      <c r="AN74" s="797" t="s">
        <v>250</v>
      </c>
      <c r="AO74" s="797"/>
      <c r="AP74" s="798"/>
      <c r="AQ74" s="342" t="s">
        <v>130</v>
      </c>
      <c r="AR74" s="797"/>
      <c r="AS74" s="797"/>
      <c r="AT74" s="798"/>
      <c r="AU74" s="797"/>
      <c r="AV74" s="797"/>
      <c r="AW74" s="798"/>
      <c r="AX74" s="797"/>
      <c r="AY74" s="797"/>
      <c r="AZ74" s="798"/>
      <c r="BA74" s="797"/>
      <c r="BB74" s="797"/>
      <c r="BC74" s="798"/>
      <c r="BD74" s="797"/>
      <c r="BE74" s="797"/>
      <c r="BF74" s="798"/>
      <c r="BG74" s="797"/>
      <c r="BH74" s="797"/>
      <c r="BI74" s="798"/>
    </row>
    <row r="75" spans="1:61" ht="13.5"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75"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88"/>
      <c r="AO76" s="789"/>
      <c r="AP76" s="790"/>
      <c r="AQ76" s="342" t="s">
        <v>130</v>
      </c>
      <c r="AR76" s="788"/>
      <c r="AS76" s="789"/>
      <c r="AT76" s="790"/>
      <c r="AU76" s="788"/>
      <c r="AV76" s="789"/>
      <c r="AW76" s="790"/>
      <c r="AX76" s="788"/>
      <c r="AY76" s="789"/>
      <c r="AZ76" s="790"/>
      <c r="BA76" s="788"/>
      <c r="BB76" s="789"/>
      <c r="BC76" s="790"/>
      <c r="BD76" s="788"/>
      <c r="BE76" s="789"/>
      <c r="BF76" s="790"/>
      <c r="BG76" s="788"/>
      <c r="BH76" s="789"/>
      <c r="BI76" s="790"/>
    </row>
    <row r="77" spans="1:61" ht="13">
      <c r="A77" s="269" t="s">
        <v>140</v>
      </c>
      <c r="B77" s="170"/>
      <c r="C77" s="170"/>
      <c r="D77" s="170"/>
      <c r="E77" s="170"/>
      <c r="F77" s="241"/>
      <c r="G77" s="170"/>
      <c r="H77" s="170"/>
      <c r="I77" s="170"/>
      <c r="J77" s="170"/>
      <c r="K77" s="170"/>
      <c r="L77" s="170"/>
      <c r="M77" s="170"/>
      <c r="N77" s="170"/>
      <c r="O77" s="170"/>
      <c r="P77" s="170"/>
      <c r="Q77" s="170"/>
      <c r="AM77" s="343" t="s">
        <v>133</v>
      </c>
      <c r="AN77" s="791"/>
      <c r="AO77" s="792"/>
      <c r="AP77" s="793"/>
      <c r="AQ77" s="343" t="s">
        <v>133</v>
      </c>
      <c r="AR77" s="791"/>
      <c r="AS77" s="792"/>
      <c r="AT77" s="793"/>
      <c r="AU77" s="791"/>
      <c r="AV77" s="792"/>
      <c r="AW77" s="793"/>
      <c r="AX77" s="791"/>
      <c r="AY77" s="792"/>
      <c r="AZ77" s="793"/>
      <c r="BA77" s="791"/>
      <c r="BB77" s="792"/>
      <c r="BC77" s="793"/>
      <c r="BD77" s="791"/>
      <c r="BE77" s="792"/>
      <c r="BF77" s="793"/>
      <c r="BG77" s="791"/>
      <c r="BH77" s="792"/>
      <c r="BI77" s="793"/>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794"/>
      <c r="AO78" s="795"/>
      <c r="AP78" s="796"/>
      <c r="AQ78" s="342" t="s">
        <v>136</v>
      </c>
      <c r="AR78" s="794"/>
      <c r="AS78" s="795"/>
      <c r="AT78" s="796"/>
      <c r="AU78" s="794"/>
      <c r="AV78" s="795"/>
      <c r="AW78" s="796"/>
      <c r="AX78" s="794"/>
      <c r="AY78" s="795"/>
      <c r="AZ78" s="796"/>
      <c r="BA78" s="794"/>
      <c r="BB78" s="795"/>
      <c r="BC78" s="796"/>
      <c r="BD78" s="794"/>
      <c r="BE78" s="795"/>
      <c r="BF78" s="796"/>
      <c r="BG78" s="794"/>
      <c r="BH78" s="795"/>
      <c r="BI78" s="796"/>
    </row>
    <row r="79" spans="1:61" ht="13">
      <c r="A79" s="266"/>
      <c r="B79" s="170"/>
      <c r="C79" s="170"/>
      <c r="D79" s="170"/>
      <c r="E79" s="170"/>
      <c r="F79" s="170"/>
      <c r="G79" s="170"/>
      <c r="H79" s="170"/>
      <c r="I79" s="170"/>
      <c r="J79" s="170"/>
      <c r="K79" s="170"/>
      <c r="L79" s="170"/>
      <c r="M79" s="170"/>
      <c r="N79" s="170"/>
      <c r="O79" s="170"/>
      <c r="P79" s="170"/>
      <c r="Q79" s="170"/>
      <c r="AC79" s="250"/>
      <c r="AM79" s="342" t="s">
        <v>119</v>
      </c>
      <c r="AN79" s="797" t="s">
        <v>250</v>
      </c>
      <c r="AO79" s="797"/>
      <c r="AP79" s="798"/>
      <c r="AQ79" s="342" t="s">
        <v>119</v>
      </c>
      <c r="AR79" s="797"/>
      <c r="AS79" s="797"/>
      <c r="AT79" s="798"/>
      <c r="AU79" s="797"/>
      <c r="AV79" s="797"/>
      <c r="AW79" s="798"/>
      <c r="AX79" s="797"/>
      <c r="AY79" s="797"/>
      <c r="AZ79" s="798"/>
      <c r="BA79" s="797"/>
      <c r="BB79" s="797"/>
      <c r="BC79" s="798"/>
      <c r="BD79" s="797"/>
      <c r="BE79" s="797"/>
      <c r="BF79" s="798"/>
      <c r="BG79" s="797"/>
      <c r="BH79" s="797"/>
      <c r="BI79" s="798"/>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24" t="s">
        <v>142</v>
      </c>
      <c r="AA81" s="824"/>
      <c r="AD81" s="824" t="s">
        <v>143</v>
      </c>
      <c r="AE81" s="824"/>
      <c r="AG81" s="824" t="s">
        <v>187</v>
      </c>
      <c r="AH81" s="824"/>
      <c r="AJ81" s="824" t="s">
        <v>187</v>
      </c>
      <c r="AK81" s="824"/>
      <c r="AM81" s="344" t="s">
        <v>139</v>
      </c>
      <c r="AN81" s="368">
        <v>60.636068751069253</v>
      </c>
      <c r="AO81" s="799"/>
      <c r="AP81" s="800"/>
      <c r="AQ81" s="344" t="s">
        <v>139</v>
      </c>
      <c r="AR81" s="368">
        <f>AN81*(1+$AT$71)</f>
        <v>61.812408484839999</v>
      </c>
      <c r="AS81" s="799"/>
      <c r="AT81" s="800"/>
      <c r="AU81" s="368">
        <f>AR81*(1+$AW$71)</f>
        <v>64.074742635385135</v>
      </c>
      <c r="AV81" s="799"/>
      <c r="AW81" s="800"/>
      <c r="AX81" s="368">
        <f>AU81*(1+$AZ$71)</f>
        <v>68.412602711800716</v>
      </c>
      <c r="AY81" s="799"/>
      <c r="AZ81" s="800"/>
      <c r="BA81" s="368">
        <f>AX81*(1+$BC$71)</f>
        <v>72.346327367729259</v>
      </c>
      <c r="BB81" s="799"/>
      <c r="BC81" s="800"/>
      <c r="BD81" s="368">
        <f>BA81*(1+$BC$71)</f>
        <v>76.506241191373704</v>
      </c>
      <c r="BE81" s="799"/>
      <c r="BF81" s="800"/>
      <c r="BG81" s="368">
        <f>BD81*(1+$BC$71)</f>
        <v>80.905350059877705</v>
      </c>
      <c r="BH81" s="799"/>
      <c r="BI81" s="800"/>
    </row>
    <row r="82" spans="1:61">
      <c r="A82" s="170"/>
      <c r="B82" s="170"/>
      <c r="C82" s="170"/>
      <c r="D82" s="170"/>
      <c r="E82" s="170"/>
      <c r="F82" s="170"/>
      <c r="G82" s="170"/>
      <c r="H82" s="170"/>
      <c r="I82" s="170"/>
      <c r="J82" s="170"/>
      <c r="K82" s="170"/>
      <c r="L82" s="170"/>
      <c r="M82" s="170"/>
      <c r="N82" s="170"/>
      <c r="O82" s="170"/>
      <c r="P82" s="170"/>
      <c r="Q82" s="170"/>
      <c r="Z82" s="824"/>
      <c r="AA82" s="824"/>
      <c r="AD82" s="824"/>
      <c r="AE82" s="824"/>
      <c r="AG82" s="824"/>
      <c r="AH82" s="824"/>
      <c r="AJ82" s="824"/>
      <c r="AK82" s="824"/>
    </row>
    <row r="83" spans="1:61" ht="83.25" customHeight="1">
      <c r="A83" s="170"/>
      <c r="B83" s="170"/>
      <c r="C83" s="170"/>
      <c r="D83" s="170"/>
      <c r="E83" s="170"/>
      <c r="F83" s="170"/>
      <c r="G83" s="170"/>
      <c r="H83" s="170"/>
      <c r="I83" s="170"/>
      <c r="J83" s="170"/>
      <c r="K83" s="170"/>
      <c r="L83" s="170"/>
      <c r="M83" s="170"/>
      <c r="N83" s="170"/>
      <c r="O83" s="170"/>
      <c r="P83" s="170"/>
      <c r="Q83" s="170"/>
      <c r="Z83" s="819" t="s">
        <v>144</v>
      </c>
      <c r="AA83" s="819"/>
      <c r="AD83" s="819" t="s">
        <v>145</v>
      </c>
      <c r="AE83" s="819"/>
      <c r="AG83" s="273" t="s">
        <v>188</v>
      </c>
      <c r="AJ83" s="273" t="s">
        <v>188</v>
      </c>
    </row>
    <row r="84" spans="1:61">
      <c r="A84" s="170"/>
      <c r="B84" s="170"/>
      <c r="C84" s="170"/>
      <c r="D84" s="170"/>
      <c r="E84" s="170"/>
      <c r="F84" s="170"/>
      <c r="G84" s="170"/>
      <c r="H84" s="170"/>
      <c r="I84" s="170"/>
      <c r="J84" s="170"/>
      <c r="K84" s="170"/>
      <c r="L84" s="170"/>
      <c r="M84" s="170"/>
      <c r="N84" s="170"/>
      <c r="O84" s="170"/>
      <c r="P84" s="170"/>
      <c r="Q84" s="170"/>
      <c r="AD84" s="819"/>
      <c r="AE84" s="819"/>
    </row>
    <row r="85" spans="1:61">
      <c r="A85" s="170"/>
      <c r="B85" s="170"/>
      <c r="C85" s="170"/>
      <c r="D85" s="170"/>
      <c r="E85" s="170"/>
      <c r="F85" s="170"/>
      <c r="G85" s="170"/>
      <c r="H85" s="170"/>
      <c r="I85" s="170"/>
      <c r="J85" s="170"/>
      <c r="K85" s="170"/>
      <c r="L85" s="170"/>
      <c r="M85" s="170"/>
      <c r="N85" s="170"/>
      <c r="O85" s="170"/>
      <c r="P85" s="170"/>
      <c r="Q85" s="170"/>
      <c r="AD85" s="819"/>
      <c r="AE85" s="819"/>
    </row>
    <row r="86" spans="1:61">
      <c r="A86" s="170"/>
      <c r="B86" s="170"/>
      <c r="C86" s="170"/>
      <c r="D86" s="170"/>
      <c r="E86" s="170"/>
      <c r="F86" s="170"/>
      <c r="G86" s="170"/>
      <c r="H86" s="170"/>
      <c r="I86" s="170"/>
      <c r="J86" s="170"/>
      <c r="K86" s="170"/>
      <c r="L86" s="170"/>
      <c r="M86" s="170"/>
      <c r="N86" s="170"/>
      <c r="O86" s="170"/>
      <c r="P86" s="170"/>
      <c r="Q86" s="170"/>
      <c r="AD86" s="819"/>
      <c r="AE86" s="819"/>
    </row>
    <row r="87" spans="1:61">
      <c r="A87" s="170"/>
      <c r="B87" s="170"/>
      <c r="C87" s="170"/>
      <c r="D87" s="170"/>
      <c r="E87" s="170"/>
      <c r="F87" s="170"/>
      <c r="G87" s="170"/>
      <c r="H87" s="170"/>
      <c r="I87" s="170"/>
      <c r="J87" s="170"/>
      <c r="K87" s="170"/>
      <c r="L87" s="170"/>
      <c r="M87" s="170"/>
      <c r="N87" s="170"/>
      <c r="O87" s="170"/>
      <c r="P87" s="170"/>
      <c r="Q87" s="170"/>
      <c r="AD87" s="819"/>
      <c r="AE87" s="819"/>
    </row>
    <row r="88" spans="1:61">
      <c r="A88" s="170"/>
      <c r="B88" s="170"/>
      <c r="C88" s="170"/>
      <c r="D88" s="170"/>
      <c r="E88" s="170"/>
      <c r="F88" s="170"/>
      <c r="G88" s="170"/>
      <c r="H88" s="170"/>
      <c r="I88" s="170"/>
      <c r="J88" s="170"/>
      <c r="K88" s="170"/>
      <c r="L88" s="170"/>
      <c r="M88" s="170"/>
      <c r="N88" s="170"/>
      <c r="O88" s="170"/>
      <c r="P88" s="170"/>
      <c r="Q88" s="170"/>
      <c r="AD88" s="819"/>
      <c r="AE88" s="819"/>
    </row>
    <row r="89" spans="1:61">
      <c r="A89" s="170"/>
      <c r="B89" s="170"/>
      <c r="C89" s="170"/>
      <c r="D89" s="170"/>
      <c r="E89" s="170"/>
      <c r="F89" s="170"/>
      <c r="G89" s="170"/>
      <c r="H89" s="170"/>
      <c r="I89" s="170"/>
      <c r="J89" s="170"/>
      <c r="K89" s="170"/>
      <c r="L89" s="170"/>
      <c r="M89" s="170"/>
      <c r="N89" s="170"/>
      <c r="O89" s="170"/>
      <c r="P89" s="170"/>
      <c r="Q89" s="170"/>
      <c r="AD89" s="819"/>
      <c r="AE89" s="819"/>
    </row>
    <row r="90" spans="1:61">
      <c r="A90" s="170"/>
      <c r="B90" s="170"/>
      <c r="C90" s="170"/>
      <c r="D90" s="170"/>
      <c r="E90" s="170"/>
      <c r="F90" s="170"/>
      <c r="G90" s="170"/>
      <c r="H90" s="170"/>
      <c r="I90" s="170"/>
      <c r="J90" s="170"/>
      <c r="K90" s="170"/>
      <c r="L90" s="170"/>
      <c r="M90" s="170"/>
      <c r="N90" s="170"/>
      <c r="O90" s="170"/>
      <c r="P90" s="170"/>
      <c r="Q90" s="170"/>
      <c r="AD90" s="170" t="s">
        <v>146</v>
      </c>
      <c r="AG90" s="171" t="s">
        <v>189</v>
      </c>
      <c r="AJ90" s="171" t="s">
        <v>189</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4">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4">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4">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4">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4">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4">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4">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4">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4">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4">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4">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4">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4">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4">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4">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4">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4">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4">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4">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4">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4">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4">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4">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4">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4">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4">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4">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4">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4">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4">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4">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4">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4">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4">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4">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4">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4">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4">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4">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4">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4">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4">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4">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4">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4">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4">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4">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4">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4">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4">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4">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4">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4">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4">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4">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4">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4">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4">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4">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4">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4">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4">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4">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4">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0"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S113"/>
  <sheetViews>
    <sheetView showGridLines="0" topLeftCell="K55" zoomScaleNormal="100" workbookViewId="0">
      <selection activeCell="E8" sqref="E8:E9"/>
    </sheetView>
  </sheetViews>
  <sheetFormatPr baseColWidth="10" defaultRowHeight="12.5"/>
  <cols>
    <col min="12" max="12" width="34.81640625" customWidth="1"/>
  </cols>
  <sheetData>
    <row r="4" spans="12:12">
      <c r="L4" s="569" t="s">
        <v>608</v>
      </c>
    </row>
    <row r="31" spans="12:17" ht="18" customHeight="1">
      <c r="M31" s="573">
        <v>2017</v>
      </c>
      <c r="N31" s="573">
        <v>2018</v>
      </c>
      <c r="O31" s="573">
        <v>2019</v>
      </c>
      <c r="P31" s="573">
        <v>2020</v>
      </c>
      <c r="Q31" s="573">
        <v>2021</v>
      </c>
    </row>
    <row r="32" spans="12:17" ht="15" customHeight="1">
      <c r="L32" s="572" t="s">
        <v>609</v>
      </c>
      <c r="M32" s="574">
        <v>4.0899999999999999E-2</v>
      </c>
      <c r="N32" s="574">
        <v>3.1800000000000002E-2</v>
      </c>
      <c r="O32" s="574">
        <v>3.7999999999999999E-2</v>
      </c>
      <c r="P32" s="574">
        <v>1.61E-2</v>
      </c>
      <c r="Q32" s="620">
        <v>4.8599999999999997E-2</v>
      </c>
    </row>
    <row r="34" spans="12:18" ht="13">
      <c r="L34" s="576" t="s">
        <v>621</v>
      </c>
      <c r="M34" s="577"/>
      <c r="N34" s="577"/>
      <c r="O34" s="577"/>
      <c r="P34" s="577"/>
      <c r="Q34" s="610" t="s">
        <v>629</v>
      </c>
    </row>
    <row r="35" spans="12:18" ht="13">
      <c r="L35" s="575"/>
    </row>
    <row r="36" spans="12:18" ht="13">
      <c r="L36" s="832"/>
      <c r="M36" s="832"/>
      <c r="N36" s="831" t="s">
        <v>613</v>
      </c>
      <c r="O36" s="831"/>
      <c r="P36" s="831"/>
    </row>
    <row r="37" spans="12:18" ht="14.25" customHeight="1">
      <c r="L37" s="579" t="s">
        <v>615</v>
      </c>
      <c r="M37" s="585" t="s">
        <v>614</v>
      </c>
      <c r="N37" s="585">
        <v>2018</v>
      </c>
      <c r="O37" s="585">
        <v>2019</v>
      </c>
      <c r="P37" s="585">
        <v>2020</v>
      </c>
      <c r="Q37" s="585">
        <v>2021</v>
      </c>
      <c r="R37" s="585">
        <v>2022</v>
      </c>
    </row>
    <row r="38" spans="12:18" ht="13.65" customHeight="1">
      <c r="L38" s="580" t="s">
        <v>610</v>
      </c>
      <c r="M38" s="586">
        <v>490</v>
      </c>
      <c r="N38" s="584">
        <f>+M38*(1+$M$32)</f>
        <v>510.041</v>
      </c>
      <c r="O38" s="584">
        <f>+N38*(1+$N$32)</f>
        <v>526.26030379999997</v>
      </c>
      <c r="P38" s="626">
        <f>+O38*(1+$O$32)</f>
        <v>546.25819534439995</v>
      </c>
      <c r="Q38" s="625">
        <f t="shared" ref="Q38:Q43" si="0">+P38*(1+$P$32)</f>
        <v>555.05295228944476</v>
      </c>
      <c r="R38" s="730">
        <f t="shared" ref="R38:R43" si="1">+Q38*(1+$Q$32)</f>
        <v>582.02852577071178</v>
      </c>
    </row>
    <row r="39" spans="12:18" ht="13.65" customHeight="1">
      <c r="L39" s="580" t="s">
        <v>611</v>
      </c>
      <c r="M39" s="586">
        <v>930</v>
      </c>
      <c r="N39" s="584">
        <f>+M39*(1+$M$32)</f>
        <v>968.03699999999992</v>
      </c>
      <c r="O39" s="584">
        <f>+N39*(1+$N$32)</f>
        <v>998.82057659999998</v>
      </c>
      <c r="P39" s="626">
        <f>+O39*(1+$O$32)</f>
        <v>1036.7757585108</v>
      </c>
      <c r="Q39" s="625">
        <f t="shared" si="0"/>
        <v>1053.4678482228239</v>
      </c>
      <c r="R39" s="730">
        <f t="shared" si="1"/>
        <v>1104.6663856464531</v>
      </c>
    </row>
    <row r="40" spans="12:18" ht="13.65" customHeight="1">
      <c r="L40" s="580" t="s">
        <v>18</v>
      </c>
      <c r="M40" s="586">
        <v>469</v>
      </c>
      <c r="N40" s="584">
        <f>+M40*(1+$M$32)</f>
        <v>488.18209999999999</v>
      </c>
      <c r="O40" s="584">
        <f>+N40*(1+$N$32)</f>
        <v>503.70629078000002</v>
      </c>
      <c r="P40" s="626">
        <f>+O40*(1+$O$32)</f>
        <v>522.84712982964004</v>
      </c>
      <c r="Q40" s="625">
        <v>531.27</v>
      </c>
      <c r="R40" s="730">
        <f t="shared" si="1"/>
        <v>557.08972199999994</v>
      </c>
    </row>
    <row r="41" spans="12:18" ht="13.65" customHeight="1">
      <c r="L41" s="580" t="s">
        <v>612</v>
      </c>
      <c r="M41" s="586">
        <v>490</v>
      </c>
      <c r="N41" s="584">
        <f>+M41*(1+$M$32)</f>
        <v>510.041</v>
      </c>
      <c r="O41" s="584">
        <f>+N41*(1+$N$32)</f>
        <v>526.26030379999997</v>
      </c>
      <c r="P41" s="626">
        <f>+O41*(1+$O$32)</f>
        <v>546.25819534439995</v>
      </c>
      <c r="Q41" s="625">
        <f t="shared" si="0"/>
        <v>555.05295228944476</v>
      </c>
      <c r="R41" s="730">
        <f t="shared" si="1"/>
        <v>582.02852577071178</v>
      </c>
    </row>
    <row r="42" spans="12:18" ht="13.65" customHeight="1">
      <c r="L42" s="580" t="s">
        <v>308</v>
      </c>
      <c r="M42" s="586"/>
      <c r="N42" s="584">
        <v>478.42</v>
      </c>
      <c r="O42" s="584">
        <v>493.63</v>
      </c>
      <c r="P42" s="626">
        <v>512.39</v>
      </c>
      <c r="Q42" s="625">
        <f t="shared" si="0"/>
        <v>520.63947899999994</v>
      </c>
      <c r="R42" s="730">
        <f t="shared" si="1"/>
        <v>545.9425576793999</v>
      </c>
    </row>
    <row r="43" spans="12:18" ht="13.65" customHeight="1">
      <c r="L43" s="581" t="s">
        <v>617</v>
      </c>
      <c r="M43" s="586"/>
      <c r="N43" s="584">
        <v>622.20000000000005</v>
      </c>
      <c r="O43" s="584">
        <v>641.99</v>
      </c>
      <c r="P43" s="626">
        <v>666.38</v>
      </c>
      <c r="Q43" s="625">
        <f t="shared" si="0"/>
        <v>677.10871799999995</v>
      </c>
      <c r="R43" s="730">
        <f t="shared" si="1"/>
        <v>710.01620169479997</v>
      </c>
    </row>
    <row r="44" spans="12:18">
      <c r="O44" s="584"/>
    </row>
    <row r="45" spans="12:18">
      <c r="L45" s="623" t="s">
        <v>642</v>
      </c>
      <c r="M45" s="623"/>
      <c r="N45" s="623"/>
      <c r="O45" s="623"/>
      <c r="P45" s="624"/>
    </row>
    <row r="46" spans="12:18">
      <c r="P46" s="570"/>
    </row>
    <row r="47" spans="12:18" ht="13">
      <c r="L47" s="576" t="s">
        <v>623</v>
      </c>
      <c r="M47" s="577"/>
      <c r="N47" s="577"/>
      <c r="O47" s="577"/>
      <c r="P47" s="578"/>
      <c r="Q47" s="610" t="s">
        <v>629</v>
      </c>
    </row>
    <row r="48" spans="12:18">
      <c r="P48" s="570"/>
    </row>
    <row r="49" spans="12:18" ht="13">
      <c r="L49" s="589" t="s">
        <v>616</v>
      </c>
      <c r="M49" s="833" t="s">
        <v>613</v>
      </c>
      <c r="N49" s="831"/>
      <c r="O49" s="831"/>
      <c r="P49" s="831"/>
    </row>
    <row r="50" spans="12:18" ht="13">
      <c r="L50" s="588" t="s">
        <v>615</v>
      </c>
      <c r="M50" s="582">
        <v>2017</v>
      </c>
      <c r="N50" s="582">
        <v>2018</v>
      </c>
      <c r="O50" s="582">
        <v>2019</v>
      </c>
      <c r="P50" s="582">
        <v>2020</v>
      </c>
      <c r="Q50" s="585">
        <v>2021</v>
      </c>
      <c r="R50" s="585">
        <v>2022</v>
      </c>
    </row>
    <row r="51" spans="12:18">
      <c r="L51" s="580" t="s">
        <v>610</v>
      </c>
      <c r="M51" s="583">
        <v>965.24</v>
      </c>
      <c r="N51" s="584">
        <f>+M51*(1+$M$32)</f>
        <v>1004.718316</v>
      </c>
      <c r="O51" s="584">
        <f>+N51*(1+$N$32)</f>
        <v>1036.6683584488001</v>
      </c>
      <c r="P51" s="584">
        <f>+O51*(1+$O$32)</f>
        <v>1076.0617560698545</v>
      </c>
      <c r="Q51" s="625">
        <v>1093.3800000000001</v>
      </c>
      <c r="R51" s="730">
        <f>+Q51*(1+$Q$32)</f>
        <v>1146.518268</v>
      </c>
    </row>
    <row r="52" spans="12:18">
      <c r="L52" s="581" t="s">
        <v>611</v>
      </c>
      <c r="M52" s="583">
        <v>1021.31</v>
      </c>
      <c r="N52" s="603">
        <f>+M52*(1+$M$32)</f>
        <v>1063.0815789999999</v>
      </c>
      <c r="O52" s="584">
        <f>+N52*(1+$N$32)</f>
        <v>1096.8875732121999</v>
      </c>
      <c r="P52" s="584">
        <f>+O52*(1+$O$32)</f>
        <v>1138.5693009942636</v>
      </c>
      <c r="Q52" s="625">
        <f>+P52*(1+$P$32)</f>
        <v>1156.9002667402713</v>
      </c>
      <c r="R52" s="730">
        <f>+Q52*(1+$Q$32)</f>
        <v>1213.1256197038483</v>
      </c>
    </row>
    <row r="53" spans="12:18">
      <c r="L53" s="581" t="s">
        <v>18</v>
      </c>
      <c r="M53" s="583">
        <v>639.51</v>
      </c>
      <c r="N53" s="584">
        <f>+M53*(1+$M$32)</f>
        <v>665.66595899999993</v>
      </c>
      <c r="O53" s="584">
        <f>+N53*(1+$N$32)+0.006</f>
        <v>686.84013649619999</v>
      </c>
      <c r="P53" s="584">
        <f>+O53*(1+$O$32)</f>
        <v>712.94006168305566</v>
      </c>
      <c r="Q53" s="625">
        <f>+P53*(1+$P$32)</f>
        <v>724.41839667615284</v>
      </c>
      <c r="R53" s="730">
        <f>+Q53*(1+$Q$32)</f>
        <v>759.62513075461379</v>
      </c>
    </row>
    <row r="55" spans="12:18">
      <c r="L55" s="623" t="s">
        <v>642</v>
      </c>
      <c r="M55" s="623"/>
      <c r="N55" s="623"/>
      <c r="O55" s="623"/>
      <c r="P55" s="624"/>
    </row>
    <row r="56" spans="12:18">
      <c r="L56" s="570"/>
    </row>
    <row r="58" spans="12:18" ht="13">
      <c r="L58" s="576" t="s">
        <v>622</v>
      </c>
      <c r="M58" s="577"/>
      <c r="N58" s="577"/>
      <c r="O58" s="577"/>
      <c r="P58" s="577"/>
      <c r="Q58" s="610" t="s">
        <v>640</v>
      </c>
    </row>
    <row r="59" spans="12:18" ht="13">
      <c r="L59" s="575"/>
    </row>
    <row r="60" spans="12:18" ht="13">
      <c r="M60" s="829" t="s">
        <v>613</v>
      </c>
      <c r="N60" s="829"/>
      <c r="O60" s="829"/>
      <c r="P60" s="830"/>
    </row>
    <row r="61" spans="12:18" ht="13">
      <c r="N61" s="590"/>
      <c r="O61" s="591"/>
      <c r="P61" s="587"/>
    </row>
    <row r="62" spans="12:18" ht="13">
      <c r="L62" s="579" t="s">
        <v>615</v>
      </c>
      <c r="M62" s="601">
        <v>2017</v>
      </c>
      <c r="N62" s="602">
        <v>2018</v>
      </c>
      <c r="O62" s="602">
        <v>2019</v>
      </c>
      <c r="P62" s="602">
        <v>2020</v>
      </c>
      <c r="Q62" s="585">
        <v>2021</v>
      </c>
      <c r="R62" s="585">
        <v>2022</v>
      </c>
    </row>
    <row r="63" spans="12:18">
      <c r="L63" s="580" t="s">
        <v>619</v>
      </c>
      <c r="M63" s="594">
        <v>29</v>
      </c>
      <c r="N63" s="595">
        <v>30</v>
      </c>
      <c r="O63" s="596">
        <v>32</v>
      </c>
      <c r="P63" s="596">
        <v>33</v>
      </c>
      <c r="Q63" s="596">
        <v>34</v>
      </c>
      <c r="R63" s="596"/>
    </row>
    <row r="64" spans="12:18">
      <c r="L64" s="580" t="s">
        <v>620</v>
      </c>
      <c r="M64" s="594">
        <v>95</v>
      </c>
      <c r="N64" s="595">
        <v>100</v>
      </c>
      <c r="O64" s="596">
        <v>104</v>
      </c>
      <c r="P64" s="596">
        <v>109</v>
      </c>
      <c r="Q64" s="596">
        <v>112</v>
      </c>
      <c r="R64" s="596"/>
    </row>
    <row r="65" spans="12:18">
      <c r="L65" s="580" t="s">
        <v>610</v>
      </c>
      <c r="M65" s="597">
        <v>135</v>
      </c>
      <c r="N65" s="598">
        <v>142</v>
      </c>
      <c r="O65" s="599">
        <v>148</v>
      </c>
      <c r="P65" s="600">
        <v>155</v>
      </c>
      <c r="Q65" s="600">
        <v>159</v>
      </c>
      <c r="R65" s="600"/>
    </row>
    <row r="66" spans="12:18">
      <c r="L66" s="580" t="s">
        <v>618</v>
      </c>
      <c r="M66" s="594">
        <v>148</v>
      </c>
      <c r="N66" s="595">
        <v>156</v>
      </c>
      <c r="O66" s="596">
        <v>162</v>
      </c>
      <c r="P66" s="596">
        <v>170</v>
      </c>
      <c r="Q66" s="596">
        <v>174</v>
      </c>
      <c r="R66" s="596"/>
    </row>
    <row r="67" spans="12:18">
      <c r="L67" s="580" t="s">
        <v>18</v>
      </c>
      <c r="M67" s="597">
        <v>152</v>
      </c>
      <c r="N67" s="598">
        <v>160</v>
      </c>
      <c r="O67" s="599">
        <v>166</v>
      </c>
      <c r="P67" s="600">
        <v>174</v>
      </c>
      <c r="Q67" s="600">
        <v>179</v>
      </c>
      <c r="R67" s="600"/>
    </row>
    <row r="68" spans="12:18">
      <c r="L68" s="580" t="s">
        <v>294</v>
      </c>
      <c r="M68" s="594">
        <v>177</v>
      </c>
      <c r="N68" s="595">
        <v>186</v>
      </c>
      <c r="O68" s="596">
        <v>194</v>
      </c>
      <c r="P68" s="596">
        <v>203</v>
      </c>
      <c r="Q68" s="596">
        <v>208</v>
      </c>
      <c r="R68" s="596"/>
    </row>
    <row r="69" spans="12:18">
      <c r="L69" s="592" t="s">
        <v>627</v>
      </c>
      <c r="M69" s="593">
        <v>15000</v>
      </c>
      <c r="N69" s="593">
        <v>15764</v>
      </c>
      <c r="O69" s="593">
        <v>16422</v>
      </c>
      <c r="P69" s="593">
        <v>17211</v>
      </c>
      <c r="Q69" s="593">
        <v>17660</v>
      </c>
      <c r="R69" s="593"/>
    </row>
    <row r="70" spans="12:18">
      <c r="N70" s="604"/>
      <c r="O70" s="604"/>
      <c r="P70" s="604"/>
    </row>
    <row r="71" spans="12:18">
      <c r="P71" s="570"/>
    </row>
    <row r="72" spans="12:18">
      <c r="L72" s="570" t="s">
        <v>624</v>
      </c>
    </row>
    <row r="73" spans="12:18">
      <c r="L73" s="571" t="s">
        <v>628</v>
      </c>
    </row>
    <row r="74" spans="12:18">
      <c r="L74" s="570" t="s">
        <v>626</v>
      </c>
    </row>
    <row r="75" spans="12:18">
      <c r="L75" s="570" t="s">
        <v>625</v>
      </c>
    </row>
    <row r="76" spans="12:18">
      <c r="L76" s="570" t="s">
        <v>691</v>
      </c>
    </row>
    <row r="79" spans="12:18" ht="13">
      <c r="L79" s="576" t="s">
        <v>631</v>
      </c>
      <c r="M79" s="577"/>
      <c r="N79" s="577"/>
      <c r="O79" s="577"/>
      <c r="P79" s="577"/>
    </row>
    <row r="81" spans="12:12">
      <c r="L81" s="570" t="s">
        <v>659</v>
      </c>
    </row>
    <row r="98" spans="12:19" ht="13">
      <c r="L98" s="576" t="s">
        <v>633</v>
      </c>
      <c r="M98" s="577"/>
      <c r="N98" s="577"/>
      <c r="O98" s="577"/>
      <c r="P98" s="577"/>
    </row>
    <row r="100" spans="12:19">
      <c r="L100" s="570" t="s">
        <v>634</v>
      </c>
    </row>
    <row r="103" spans="12:19" ht="13">
      <c r="L103" s="579" t="s">
        <v>615</v>
      </c>
      <c r="M103" s="601">
        <v>2014</v>
      </c>
      <c r="N103" s="602">
        <v>2017</v>
      </c>
      <c r="O103" s="602">
        <v>2018</v>
      </c>
      <c r="P103" s="602">
        <v>2019</v>
      </c>
      <c r="Q103" s="582">
        <v>2020</v>
      </c>
      <c r="R103" s="582">
        <v>2021</v>
      </c>
      <c r="S103" s="582">
        <v>2022</v>
      </c>
    </row>
    <row r="104" spans="12:19">
      <c r="L104" s="580" t="s">
        <v>635</v>
      </c>
      <c r="M104" s="614">
        <v>6.82</v>
      </c>
      <c r="N104" s="595"/>
      <c r="O104" s="595"/>
      <c r="P104" s="596"/>
      <c r="Q104" s="596"/>
      <c r="R104" s="596"/>
      <c r="S104" s="731"/>
    </row>
    <row r="105" spans="12:19">
      <c r="L105" s="580" t="s">
        <v>636</v>
      </c>
      <c r="M105" s="614">
        <v>3.7</v>
      </c>
      <c r="N105" s="615"/>
      <c r="O105" s="615"/>
      <c r="P105" s="616"/>
      <c r="Q105" s="616"/>
      <c r="R105" s="616"/>
      <c r="S105" s="732"/>
    </row>
    <row r="106" spans="12:19">
      <c r="L106" s="580" t="s">
        <v>637</v>
      </c>
      <c r="M106" s="615"/>
      <c r="N106" s="615">
        <v>7.45</v>
      </c>
      <c r="O106" s="615">
        <f>7.45*(1+3%)</f>
        <v>7.6735000000000007</v>
      </c>
      <c r="P106" s="615">
        <f>+O106*(1+3%)</f>
        <v>7.9037050000000013</v>
      </c>
      <c r="Q106" s="618">
        <f>+P106*(1+3%)</f>
        <v>8.1408161500000009</v>
      </c>
      <c r="R106" s="615">
        <f>+ROUND(ROUND(Q106,2)*(1+3%),4)</f>
        <v>8.3841999999999999</v>
      </c>
      <c r="S106" s="730">
        <f>+ROUND(R106,2)*(1+3%)</f>
        <v>8.6314000000000011</v>
      </c>
    </row>
    <row r="107" spans="12:19">
      <c r="L107" s="580"/>
      <c r="M107" s="614"/>
      <c r="N107" s="615"/>
      <c r="O107" s="615"/>
      <c r="P107" s="615"/>
      <c r="Q107" s="616"/>
      <c r="R107" s="616"/>
      <c r="S107" s="732"/>
    </row>
    <row r="108" spans="12:19">
      <c r="Q108" s="617"/>
    </row>
    <row r="109" spans="12:19">
      <c r="L109" s="569" t="s">
        <v>711</v>
      </c>
      <c r="N109" s="617"/>
    </row>
    <row r="112" spans="12:19" ht="13">
      <c r="L112" s="575" t="s">
        <v>645</v>
      </c>
    </row>
    <row r="113" spans="12:12">
      <c r="L113" s="640" t="s">
        <v>644</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zoomScale="55" zoomScaleNormal="55" workbookViewId="0">
      <selection activeCell="K7" sqref="K7"/>
    </sheetView>
  </sheetViews>
  <sheetFormatPr baseColWidth="10" defaultColWidth="11.36328125" defaultRowHeight="14" outlineLevelCol="1"/>
  <cols>
    <col min="1" max="1" width="59.90625" style="10" customWidth="1"/>
    <col min="2" max="2" width="18.90625" style="10" customWidth="1" outlineLevel="1"/>
    <col min="3" max="4" width="18.90625" style="10" customWidth="1"/>
    <col min="5" max="5" width="20.81640625" style="10" customWidth="1" outlineLevel="1"/>
    <col min="6" max="6" width="17.81640625" style="281" customWidth="1" outlineLevel="1"/>
    <col min="7" max="7" width="19.36328125" style="10" customWidth="1"/>
    <col min="8" max="8" width="18.36328125" style="281" hidden="1" customWidth="1"/>
    <col min="9" max="9" width="18.453125" style="5" hidden="1" customWidth="1"/>
    <col min="10" max="10" width="13.1796875" style="5" customWidth="1"/>
    <col min="11" max="11" width="48.453125" style="5" customWidth="1"/>
    <col min="12" max="12" width="11.36328125" style="5"/>
    <col min="13" max="13" width="14.6328125" style="5" bestFit="1" customWidth="1"/>
    <col min="14" max="16384" width="11.36328125" style="5"/>
  </cols>
  <sheetData>
    <row r="1" spans="1:20">
      <c r="A1" s="632" t="s">
        <v>714</v>
      </c>
      <c r="B1" s="1"/>
      <c r="C1" s="1">
        <v>7.2405999999999997</v>
      </c>
      <c r="D1" s="3"/>
      <c r="E1" s="4"/>
      <c r="F1" s="4"/>
      <c r="G1" s="2"/>
      <c r="H1" s="2"/>
    </row>
    <row r="2" spans="1:20" s="39" customFormat="1" ht="21.75" customHeight="1">
      <c r="A2" s="834" t="str">
        <f>CONCATENATE("ESTRUCTURAS DE PRECIOS DE COMBUSTIBLES LIQUIDOS VIGENTES A PARTIR DE ",$A$1)</f>
        <v>ESTRUCTURAS DE PRECIOS DE COMBUSTIBLES LIQUIDOS VIGENTES A PARTIR DE 01 DE ENERO 2022</v>
      </c>
      <c r="B2" s="834"/>
      <c r="C2" s="834"/>
      <c r="D2" s="834"/>
      <c r="E2" s="834"/>
      <c r="F2" s="834"/>
      <c r="G2" s="834"/>
      <c r="H2" s="545"/>
      <c r="I2" s="546"/>
    </row>
    <row r="3" spans="1:20" s="39" customFormat="1" ht="21.75" customHeight="1">
      <c r="A3" s="285" t="s">
        <v>0</v>
      </c>
      <c r="B3" s="160"/>
      <c r="C3" s="160"/>
      <c r="D3" s="160"/>
      <c r="E3" s="160"/>
      <c r="F3" s="160"/>
      <c r="G3" s="160"/>
      <c r="H3" s="543"/>
      <c r="I3" s="286"/>
      <c r="K3" s="606"/>
      <c r="M3" s="652"/>
    </row>
    <row r="4" spans="1:20" s="35" customFormat="1" ht="23.9" customHeight="1">
      <c r="A4" s="839" t="s">
        <v>1</v>
      </c>
      <c r="B4" s="841" t="s">
        <v>24</v>
      </c>
      <c r="C4" s="843" t="s">
        <v>699</v>
      </c>
      <c r="D4" s="844"/>
      <c r="E4" s="841" t="s">
        <v>589</v>
      </c>
      <c r="F4" s="843" t="s">
        <v>588</v>
      </c>
      <c r="G4" s="845"/>
      <c r="H4" s="843" t="s">
        <v>588</v>
      </c>
      <c r="I4" s="845"/>
      <c r="J4" s="605"/>
      <c r="K4" s="605"/>
      <c r="M4" s="651"/>
    </row>
    <row r="5" spans="1:20" s="35" customFormat="1" ht="30.15" customHeight="1">
      <c r="A5" s="839"/>
      <c r="B5" s="842"/>
      <c r="C5" s="45" t="s">
        <v>45</v>
      </c>
      <c r="D5" s="45" t="s">
        <v>46</v>
      </c>
      <c r="E5" s="842"/>
      <c r="F5" s="287" t="s">
        <v>592</v>
      </c>
      <c r="G5" s="45" t="s">
        <v>593</v>
      </c>
      <c r="H5" s="287" t="s">
        <v>600</v>
      </c>
      <c r="I5" s="287" t="s">
        <v>601</v>
      </c>
      <c r="J5" s="605"/>
      <c r="K5" s="606"/>
    </row>
    <row r="6" spans="1:20" s="35" customFormat="1" ht="23.9" customHeight="1" thickBot="1">
      <c r="A6" s="840"/>
      <c r="B6" s="161" t="str">
        <f>+A1</f>
        <v>01 DE ENERO 2022</v>
      </c>
      <c r="C6" s="161" t="str">
        <f>+B6</f>
        <v>01 DE ENERO 2022</v>
      </c>
      <c r="D6" s="162" t="str">
        <f>+A1</f>
        <v>01 DE ENERO 2022</v>
      </c>
      <c r="E6" s="161" t="str">
        <f>+D6</f>
        <v>01 DE ENERO 2022</v>
      </c>
      <c r="F6" s="288" t="str">
        <f>+E6</f>
        <v>01 DE ENERO 2022</v>
      </c>
      <c r="G6" s="288" t="str">
        <f>+F6</f>
        <v>01 DE ENERO 2022</v>
      </c>
      <c r="H6" s="288" t="str">
        <f>+E6</f>
        <v>01 DE ENERO 2022</v>
      </c>
      <c r="I6" s="288" t="str">
        <f>+H6</f>
        <v>01 DE ENERO 2022</v>
      </c>
      <c r="K6" s="606"/>
    </row>
    <row r="7" spans="1:20" ht="22.65" customHeight="1" thickTop="1">
      <c r="A7" s="54" t="s">
        <v>3</v>
      </c>
      <c r="B7" s="556">
        <v>5108.8999999999996</v>
      </c>
      <c r="C7" s="386">
        <v>9825.0400000000009</v>
      </c>
      <c r="D7" s="386">
        <f>+C7</f>
        <v>9825.0400000000009</v>
      </c>
      <c r="E7" s="556">
        <v>4480.78</v>
      </c>
      <c r="F7" s="566">
        <v>12633</v>
      </c>
      <c r="G7" s="567">
        <v>12821.32</v>
      </c>
      <c r="H7" s="566"/>
      <c r="I7" s="729"/>
      <c r="K7" s="709"/>
    </row>
    <row r="8" spans="1:20" ht="22.65" customHeight="1">
      <c r="A8" s="46" t="s">
        <v>48</v>
      </c>
      <c r="B8" s="556">
        <f>+'Resoluciones, leyes'!S106</f>
        <v>8.6314000000000011</v>
      </c>
      <c r="C8" s="386">
        <f>+B8</f>
        <v>8.6314000000000011</v>
      </c>
      <c r="D8" s="386">
        <f>+C8</f>
        <v>8.6314000000000011</v>
      </c>
      <c r="E8" s="561">
        <f>D8</f>
        <v>8.6314000000000011</v>
      </c>
      <c r="F8" s="484"/>
      <c r="G8" s="489"/>
      <c r="H8" s="480"/>
      <c r="I8" s="552"/>
      <c r="K8" s="666" t="s">
        <v>604</v>
      </c>
    </row>
    <row r="9" spans="1:20" ht="22.65" customHeight="1">
      <c r="A9" s="46" t="s">
        <v>209</v>
      </c>
      <c r="B9" s="47" t="s">
        <v>11</v>
      </c>
      <c r="C9" s="47" t="s">
        <v>11</v>
      </c>
      <c r="D9" s="47" t="s">
        <v>11</v>
      </c>
      <c r="E9" s="47" t="s">
        <v>11</v>
      </c>
      <c r="F9" s="481" t="s">
        <v>11</v>
      </c>
      <c r="G9" s="490" t="s">
        <v>11</v>
      </c>
      <c r="H9" s="490" t="s">
        <v>11</v>
      </c>
      <c r="I9" s="490" t="s">
        <v>11</v>
      </c>
      <c r="K9" s="667"/>
    </row>
    <row r="10" spans="1:20" ht="21.75" hidden="1" customHeight="1">
      <c r="A10" s="46" t="s">
        <v>199</v>
      </c>
      <c r="B10" s="561">
        <f>71.51*0</f>
        <v>0</v>
      </c>
      <c r="C10" s="386">
        <f>B10</f>
        <v>0</v>
      </c>
      <c r="D10" s="386">
        <f>B10</f>
        <v>0</v>
      </c>
      <c r="E10" s="561">
        <f>B10</f>
        <v>0</v>
      </c>
      <c r="F10" s="485"/>
      <c r="G10" s="491"/>
      <c r="H10" s="485"/>
      <c r="I10" s="491"/>
      <c r="J10" s="38"/>
      <c r="K10" s="666" t="s">
        <v>604</v>
      </c>
      <c r="L10" s="38"/>
    </row>
    <row r="11" spans="1:20" ht="22.65" customHeight="1">
      <c r="A11" s="46" t="s">
        <v>237</v>
      </c>
      <c r="B11" s="558">
        <f>+Variables!C20</f>
        <v>555.04999999999995</v>
      </c>
      <c r="C11" s="48">
        <f>+Variables!C23</f>
        <v>1053.47</v>
      </c>
      <c r="D11" s="48">
        <f>+ROUND(C11,2)</f>
        <v>1053.47</v>
      </c>
      <c r="E11" s="557">
        <f>+Variables!C27</f>
        <v>531.27</v>
      </c>
      <c r="F11" s="482"/>
      <c r="G11" s="491"/>
      <c r="H11" s="482"/>
      <c r="I11" s="491"/>
      <c r="J11" s="528"/>
      <c r="K11" s="666" t="s">
        <v>604</v>
      </c>
      <c r="L11" s="38"/>
    </row>
    <row r="12" spans="1:20" ht="22.65" customHeight="1">
      <c r="A12" s="46" t="s">
        <v>242</v>
      </c>
      <c r="B12" s="401" t="s">
        <v>303</v>
      </c>
      <c r="C12" s="401" t="s">
        <v>303</v>
      </c>
      <c r="D12" s="401" t="s">
        <v>303</v>
      </c>
      <c r="E12" s="401" t="s">
        <v>303</v>
      </c>
      <c r="F12" s="480" t="s">
        <v>303</v>
      </c>
      <c r="G12" s="491" t="s">
        <v>303</v>
      </c>
      <c r="H12" s="491" t="s">
        <v>303</v>
      </c>
      <c r="I12" s="491" t="s">
        <v>303</v>
      </c>
      <c r="J12" s="38"/>
      <c r="K12" s="666"/>
      <c r="L12" s="38"/>
    </row>
    <row r="13" spans="1:20" ht="22.65" customHeight="1">
      <c r="A13" s="46" t="s">
        <v>284</v>
      </c>
      <c r="B13" s="558">
        <f>+Variables!C46</f>
        <v>159</v>
      </c>
      <c r="C13" s="48">
        <f>+B13</f>
        <v>159</v>
      </c>
      <c r="D13" s="48">
        <f>+C13</f>
        <v>159</v>
      </c>
      <c r="E13" s="557">
        <f>+Variables!C47</f>
        <v>179</v>
      </c>
      <c r="F13" s="482"/>
      <c r="G13" s="491"/>
      <c r="H13" s="480"/>
      <c r="I13" s="491"/>
      <c r="J13" s="38"/>
      <c r="K13" s="666" t="s">
        <v>604</v>
      </c>
      <c r="L13" s="38"/>
    </row>
    <row r="14" spans="1:20" ht="22.65" customHeight="1">
      <c r="A14" s="46" t="s">
        <v>22</v>
      </c>
      <c r="B14" s="47" t="s">
        <v>12</v>
      </c>
      <c r="C14" s="47" t="s">
        <v>12</v>
      </c>
      <c r="D14" s="47" t="s">
        <v>12</v>
      </c>
      <c r="E14" s="47" t="s">
        <v>12</v>
      </c>
      <c r="F14" s="481"/>
      <c r="G14" s="490"/>
      <c r="H14" s="481"/>
      <c r="I14" s="490"/>
      <c r="J14" s="38"/>
      <c r="K14" s="38"/>
      <c r="L14" s="38"/>
    </row>
    <row r="15" spans="1:20" ht="22.65" customHeight="1">
      <c r="A15" s="46" t="s">
        <v>200</v>
      </c>
      <c r="B15" s="47" t="s">
        <v>21</v>
      </c>
      <c r="C15" s="47"/>
      <c r="D15" s="47"/>
      <c r="E15" s="47" t="str">
        <f>+B15</f>
        <v>(***)</v>
      </c>
      <c r="F15" s="486"/>
      <c r="G15" s="492"/>
      <c r="H15" s="485"/>
      <c r="I15" s="492"/>
      <c r="J15" s="529"/>
      <c r="K15" s="38"/>
      <c r="L15" s="38"/>
    </row>
    <row r="16" spans="1:20" ht="22.65" customHeight="1">
      <c r="A16" s="46" t="s">
        <v>655</v>
      </c>
      <c r="B16" s="401" t="s">
        <v>657</v>
      </c>
      <c r="C16" s="401" t="s">
        <v>657</v>
      </c>
      <c r="D16" s="401" t="s">
        <v>657</v>
      </c>
      <c r="E16" s="663">
        <v>301</v>
      </c>
      <c r="F16" s="487" t="s">
        <v>2</v>
      </c>
      <c r="G16" s="493" t="s">
        <v>2</v>
      </c>
      <c r="H16" s="482"/>
      <c r="I16" s="493"/>
      <c r="J16" s="529"/>
      <c r="L16" s="38"/>
      <c r="T16" s="38"/>
    </row>
    <row r="17" spans="1:13" ht="22.65" customHeight="1">
      <c r="A17" s="46" t="s">
        <v>5</v>
      </c>
      <c r="B17" s="47" t="s">
        <v>12</v>
      </c>
      <c r="C17" s="47" t="s">
        <v>12</v>
      </c>
      <c r="D17" s="47" t="s">
        <v>12</v>
      </c>
      <c r="E17" s="47" t="s">
        <v>12</v>
      </c>
      <c r="F17" s="487" t="s">
        <v>2</v>
      </c>
      <c r="G17" s="493" t="s">
        <v>2</v>
      </c>
      <c r="H17" s="480"/>
      <c r="I17" s="493"/>
      <c r="J17" s="530"/>
      <c r="K17" s="531"/>
      <c r="L17" s="38"/>
    </row>
    <row r="18" spans="1:13" ht="22.65" customHeight="1">
      <c r="A18" s="46" t="s">
        <v>201</v>
      </c>
      <c r="B18" s="47" t="s">
        <v>21</v>
      </c>
      <c r="C18" s="47"/>
      <c r="D18" s="47"/>
      <c r="E18" s="47" t="str">
        <f>+B18</f>
        <v>(***)</v>
      </c>
      <c r="F18" s="487" t="s">
        <v>2</v>
      </c>
      <c r="G18" s="493" t="s">
        <v>2</v>
      </c>
      <c r="H18" s="480"/>
      <c r="I18" s="493"/>
      <c r="J18" s="38"/>
      <c r="K18" s="657"/>
      <c r="L18" s="38"/>
    </row>
    <row r="19" spans="1:13" ht="22.65" customHeight="1">
      <c r="A19" s="46" t="s">
        <v>7</v>
      </c>
      <c r="B19" s="47" t="s">
        <v>202</v>
      </c>
      <c r="C19" s="47"/>
      <c r="D19" s="47"/>
      <c r="E19" s="47"/>
      <c r="F19" s="488" t="s">
        <v>2</v>
      </c>
      <c r="G19" s="494" t="s">
        <v>2</v>
      </c>
      <c r="H19" s="481"/>
      <c r="I19" s="494"/>
      <c r="J19" s="532"/>
      <c r="K19" s="38"/>
    </row>
    <row r="20" spans="1:13" ht="22.65" customHeight="1">
      <c r="A20" s="46" t="s">
        <v>206</v>
      </c>
      <c r="B20" s="47" t="s">
        <v>21</v>
      </c>
      <c r="C20" s="48"/>
      <c r="D20" s="48"/>
      <c r="E20" s="47" t="str">
        <f>+B20</f>
        <v>(***)</v>
      </c>
      <c r="F20" s="487" t="s">
        <v>2</v>
      </c>
      <c r="G20" s="493" t="s">
        <v>2</v>
      </c>
      <c r="H20" s="485"/>
      <c r="I20" s="493"/>
      <c r="J20" s="533"/>
      <c r="K20" s="657"/>
      <c r="L20" s="38"/>
      <c r="M20" s="662"/>
    </row>
    <row r="21" spans="1:13" ht="22.65" customHeight="1" thickBot="1">
      <c r="A21" s="51" t="s">
        <v>9</v>
      </c>
      <c r="B21" s="52" t="s">
        <v>12</v>
      </c>
      <c r="C21" s="52" t="s">
        <v>12</v>
      </c>
      <c r="D21" s="52" t="s">
        <v>12</v>
      </c>
      <c r="E21" s="52" t="s">
        <v>12</v>
      </c>
      <c r="F21" s="483" t="s">
        <v>2</v>
      </c>
      <c r="G21" s="495" t="s">
        <v>2</v>
      </c>
      <c r="H21" s="553"/>
      <c r="I21" s="495"/>
      <c r="J21" s="529"/>
      <c r="K21" s="657"/>
      <c r="L21" s="38"/>
      <c r="M21" s="662"/>
    </row>
    <row r="22" spans="1:13" ht="21.75" customHeight="1" thickTop="1">
      <c r="A22" s="835"/>
      <c r="B22" s="836"/>
      <c r="C22" s="836"/>
      <c r="D22" s="836"/>
      <c r="E22" s="836"/>
      <c r="F22" s="836"/>
      <c r="G22" s="836"/>
      <c r="H22" s="544"/>
      <c r="J22" s="38"/>
      <c r="K22" s="657"/>
      <c r="L22" s="38"/>
    </row>
    <row r="23" spans="1:13" s="44" customFormat="1" ht="41.4" customHeight="1">
      <c r="A23" s="837" t="s">
        <v>686</v>
      </c>
      <c r="B23" s="837"/>
      <c r="C23" s="837"/>
      <c r="D23" s="837"/>
      <c r="E23" s="837"/>
      <c r="F23" s="837"/>
      <c r="G23" s="837"/>
      <c r="H23" s="837"/>
      <c r="I23" s="837"/>
    </row>
    <row r="24" spans="1:13" s="44" customFormat="1" ht="11.25" customHeight="1">
      <c r="A24" s="850"/>
      <c r="B24" s="850"/>
      <c r="C24" s="850"/>
      <c r="D24" s="850"/>
      <c r="E24" s="850"/>
      <c r="F24" s="850"/>
      <c r="G24" s="850"/>
      <c r="H24" s="850"/>
      <c r="I24" s="850"/>
    </row>
    <row r="25" spans="1:13" s="44" customFormat="1" ht="31.65" customHeight="1">
      <c r="A25" s="837" t="s">
        <v>197</v>
      </c>
      <c r="B25" s="837"/>
      <c r="C25" s="837"/>
      <c r="D25" s="837"/>
      <c r="E25" s="837"/>
      <c r="F25" s="837"/>
      <c r="G25" s="837"/>
      <c r="H25" s="837"/>
      <c r="I25" s="837"/>
    </row>
    <row r="26" spans="1:13" s="44" customFormat="1" ht="7.5" customHeight="1">
      <c r="A26" s="850"/>
      <c r="B26" s="850"/>
      <c r="C26" s="850"/>
      <c r="D26" s="850"/>
      <c r="E26" s="850"/>
      <c r="F26" s="850"/>
      <c r="G26" s="850"/>
      <c r="H26" s="850"/>
      <c r="I26" s="850"/>
    </row>
    <row r="27" spans="1:13" ht="43.5" customHeight="1">
      <c r="A27" s="838" t="s">
        <v>594</v>
      </c>
      <c r="B27" s="838"/>
      <c r="C27" s="838"/>
      <c r="D27" s="838"/>
      <c r="E27" s="838"/>
      <c r="F27" s="838"/>
      <c r="G27" s="838"/>
      <c r="H27" s="838"/>
      <c r="I27" s="838"/>
    </row>
    <row r="28" spans="1:13" s="7" customFormat="1" ht="8.4" customHeight="1">
      <c r="A28" s="850"/>
      <c r="B28" s="850"/>
      <c r="C28" s="850"/>
      <c r="D28" s="850"/>
      <c r="E28" s="850"/>
      <c r="F28" s="850"/>
      <c r="G28" s="850"/>
      <c r="H28" s="850"/>
      <c r="I28" s="850"/>
    </row>
    <row r="29" spans="1:13" ht="18" customHeight="1">
      <c r="A29" s="847" t="s">
        <v>198</v>
      </c>
      <c r="B29" s="847"/>
      <c r="C29" s="847"/>
      <c r="D29" s="847"/>
      <c r="E29" s="847"/>
      <c r="F29" s="847"/>
      <c r="G29" s="847"/>
      <c r="H29" s="847"/>
      <c r="I29" s="847"/>
    </row>
    <row r="30" spans="1:13" ht="7.5" customHeight="1">
      <c r="A30" s="849"/>
      <c r="B30" s="849"/>
      <c r="C30" s="849"/>
      <c r="D30" s="849"/>
      <c r="E30" s="849"/>
      <c r="F30" s="849"/>
      <c r="G30" s="849"/>
      <c r="H30" s="849"/>
      <c r="I30" s="849"/>
    </row>
    <row r="31" spans="1:13" ht="14.25" customHeight="1">
      <c r="A31" s="851" t="s">
        <v>254</v>
      </c>
      <c r="B31" s="851"/>
      <c r="C31" s="851"/>
      <c r="D31" s="851"/>
      <c r="E31" s="851"/>
      <c r="F31" s="851"/>
      <c r="G31" s="851"/>
      <c r="H31" s="851"/>
      <c r="I31" s="851"/>
    </row>
    <row r="32" spans="1:13" s="8" customFormat="1" ht="18" customHeight="1">
      <c r="A32" s="847" t="s">
        <v>261</v>
      </c>
      <c r="B32" s="847"/>
      <c r="C32" s="847"/>
      <c r="D32" s="847"/>
      <c r="E32" s="847"/>
      <c r="F32" s="847"/>
      <c r="G32" s="847"/>
      <c r="H32" s="847"/>
      <c r="I32" s="847"/>
    </row>
    <row r="33" spans="1:9" s="8" customFormat="1" ht="21.15" customHeight="1">
      <c r="A33" s="846" t="s">
        <v>596</v>
      </c>
      <c r="B33" s="846"/>
      <c r="C33" s="846"/>
      <c r="D33" s="846"/>
      <c r="E33" s="846"/>
      <c r="F33" s="846"/>
      <c r="G33" s="846"/>
      <c r="H33" s="846"/>
      <c r="I33" s="846"/>
    </row>
    <row r="34" spans="1:9" s="8" customFormat="1" ht="21.15" customHeight="1">
      <c r="A34" s="846" t="s">
        <v>595</v>
      </c>
      <c r="B34" s="846"/>
      <c r="C34" s="846"/>
      <c r="D34" s="846"/>
      <c r="E34" s="846"/>
      <c r="F34" s="846"/>
      <c r="G34" s="846"/>
      <c r="H34" s="846"/>
      <c r="I34" s="846"/>
    </row>
    <row r="35" spans="1:9" s="8" customFormat="1" ht="21.15" customHeight="1">
      <c r="A35" s="846" t="s">
        <v>590</v>
      </c>
      <c r="B35" s="846"/>
      <c r="C35" s="846"/>
      <c r="D35" s="846"/>
      <c r="E35" s="846"/>
      <c r="F35" s="846"/>
      <c r="G35" s="846"/>
      <c r="H35" s="846"/>
      <c r="I35" s="846"/>
    </row>
    <row r="36" spans="1:9" s="8" customFormat="1" ht="21.15" customHeight="1">
      <c r="A36" s="846" t="s">
        <v>591</v>
      </c>
      <c r="B36" s="846"/>
      <c r="C36" s="846"/>
      <c r="D36" s="846"/>
      <c r="E36" s="846"/>
      <c r="F36" s="846"/>
      <c r="G36" s="846"/>
      <c r="H36" s="846"/>
      <c r="I36" s="846"/>
    </row>
    <row r="37" spans="1:9" s="8" customFormat="1">
      <c r="A37" s="846"/>
      <c r="B37" s="846"/>
      <c r="C37" s="846"/>
      <c r="D37" s="846"/>
      <c r="E37" s="846"/>
      <c r="F37" s="846"/>
      <c r="G37" s="846"/>
      <c r="H37" s="846"/>
      <c r="I37" s="846"/>
    </row>
    <row r="38" spans="1:9" s="8" customFormat="1" ht="14.25" customHeight="1">
      <c r="A38" s="847" t="s">
        <v>585</v>
      </c>
      <c r="B38" s="847"/>
      <c r="C38" s="847"/>
      <c r="D38" s="847"/>
      <c r="E38" s="847"/>
      <c r="F38" s="847"/>
      <c r="G38" s="847"/>
      <c r="H38" s="847"/>
      <c r="I38" s="847"/>
    </row>
    <row r="39" spans="1:9" s="8" customFormat="1" ht="14.25" customHeight="1">
      <c r="A39" s="847"/>
      <c r="B39" s="847"/>
      <c r="C39" s="847"/>
      <c r="D39" s="847"/>
      <c r="E39" s="847"/>
      <c r="F39" s="847"/>
      <c r="G39" s="847"/>
      <c r="H39" s="847"/>
      <c r="I39" s="847"/>
    </row>
    <row r="40" spans="1:9" s="8" customFormat="1" ht="14.25" customHeight="1">
      <c r="A40" s="847"/>
      <c r="B40" s="847"/>
      <c r="C40" s="847"/>
      <c r="D40" s="847"/>
      <c r="E40" s="847"/>
      <c r="F40" s="847"/>
      <c r="G40" s="847"/>
      <c r="H40" s="847"/>
      <c r="I40" s="847"/>
    </row>
    <row r="41" spans="1:9" s="8" customFormat="1" ht="14.25" customHeight="1">
      <c r="A41" s="847"/>
      <c r="B41" s="847"/>
      <c r="C41" s="847"/>
      <c r="D41" s="847"/>
      <c r="E41" s="847"/>
      <c r="F41" s="847"/>
      <c r="G41" s="847"/>
      <c r="H41" s="847"/>
      <c r="I41" s="847"/>
    </row>
    <row r="42" spans="1:9" s="8" customFormat="1" ht="62.25" customHeight="1">
      <c r="A42" s="847" t="s">
        <v>587</v>
      </c>
      <c r="B42" s="847"/>
      <c r="C42" s="847"/>
      <c r="D42" s="847"/>
      <c r="E42" s="847"/>
      <c r="F42" s="847"/>
      <c r="G42" s="847"/>
      <c r="H42" s="847"/>
      <c r="I42" s="847"/>
    </row>
    <row r="43" spans="1:9" s="8" customFormat="1" ht="28.75" customHeight="1">
      <c r="A43" s="847" t="s">
        <v>586</v>
      </c>
      <c r="B43" s="847"/>
      <c r="C43" s="847"/>
      <c r="D43" s="847"/>
      <c r="E43" s="847"/>
      <c r="F43" s="847"/>
      <c r="G43" s="847"/>
      <c r="H43" s="847"/>
      <c r="I43" s="847"/>
    </row>
    <row r="44" spans="1:9" s="8" customFormat="1" ht="47.9" customHeight="1">
      <c r="A44" s="847" t="s">
        <v>687</v>
      </c>
      <c r="B44" s="847"/>
      <c r="C44" s="847"/>
      <c r="D44" s="847"/>
      <c r="E44" s="847"/>
      <c r="F44" s="847"/>
      <c r="G44" s="847"/>
      <c r="H44" s="847"/>
      <c r="I44" s="847"/>
    </row>
    <row r="45" spans="1:9" s="8" customFormat="1" ht="90" customHeight="1">
      <c r="A45" s="848" t="s">
        <v>262</v>
      </c>
      <c r="B45" s="848"/>
      <c r="C45" s="848"/>
      <c r="D45" s="848"/>
      <c r="E45" s="848"/>
      <c r="F45" s="848"/>
      <c r="G45" s="848"/>
      <c r="H45" s="848"/>
      <c r="I45" s="848"/>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10"/>
      <c r="B51" s="10"/>
      <c r="C51" s="10"/>
      <c r="D51" s="10"/>
      <c r="E51" s="10"/>
      <c r="F51" s="281"/>
      <c r="G51" s="10"/>
      <c r="H51" s="281"/>
    </row>
  </sheetData>
  <sheetProtection algorithmName="SHA-512" hashValue="WFXiwZFmdfJwytOOXPs+XhEBI0MeuLb4r1svaPMjjf/wVNkBvJg0pZY9d/GMM2GUZhQetjdcuvFMe60H7JpEwg==" saltValue="wkkXFGDUvQwCocfil/WwtA=="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30"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70" zoomScaleNormal="70" workbookViewId="0">
      <selection activeCell="O13" sqref="O13"/>
    </sheetView>
  </sheetViews>
  <sheetFormatPr baseColWidth="10" defaultColWidth="9.90625" defaultRowHeight="14"/>
  <cols>
    <col min="1" max="1" width="60.6328125" style="2" customWidth="1"/>
    <col min="2" max="2" width="24.36328125" style="2" customWidth="1"/>
    <col min="3" max="3" width="24.1796875" style="2" customWidth="1"/>
    <col min="4" max="4" width="20.1796875" style="2" hidden="1" customWidth="1"/>
    <col min="5" max="5" width="22.81640625" style="2" customWidth="1"/>
    <col min="6" max="6" width="20.1796875" style="6" hidden="1" customWidth="1"/>
    <col min="7" max="10" width="0" style="6" hidden="1" customWidth="1"/>
    <col min="11" max="16384" width="9.9062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52" t="str">
        <f>CONCATENATE("ESTRUCTURAS DE PRECIOS PARA GASOLINA MOTOR CORRIENTE OXIGENADA VIGENTES A PARTIR DE ",'COMBUSTIBLES '!$A$1)</f>
        <v>ESTRUCTURAS DE PRECIOS PARA GASOLINA MOTOR CORRIENTE OXIGENADA VIGENTES A PARTIR DE 01 DE ENERO 2022</v>
      </c>
      <c r="B2" s="853"/>
      <c r="C2" s="853"/>
      <c r="D2" s="853"/>
      <c r="E2" s="85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5" customHeight="1">
      <c r="A3" s="855" t="s">
        <v>0</v>
      </c>
      <c r="B3" s="856"/>
      <c r="C3" s="856"/>
      <c r="D3" s="856"/>
      <c r="E3" s="70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58" t="s">
        <v>1</v>
      </c>
      <c r="B4" s="857" t="s">
        <v>26</v>
      </c>
      <c r="C4" s="857" t="s">
        <v>539</v>
      </c>
      <c r="D4" s="379" t="s">
        <v>27</v>
      </c>
      <c r="E4" s="702"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39"/>
      <c r="B5" s="842"/>
      <c r="C5" s="842"/>
      <c r="D5" s="283">
        <v>0.04</v>
      </c>
      <c r="E5" s="283">
        <v>0.06</v>
      </c>
      <c r="F5" s="749" t="s">
        <v>713</v>
      </c>
      <c r="G5" s="40"/>
      <c r="H5" s="712"/>
      <c r="I5" s="40"/>
      <c r="J5" s="40"/>
      <c r="K5" s="40"/>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40"/>
      <c r="B6" s="163" t="str">
        <f>+'COMBUSTIBLES '!B6</f>
        <v>01 DE ENERO 2022</v>
      </c>
      <c r="C6" s="162" t="str">
        <f>'COMBUSTIBLES '!B6</f>
        <v>01 DE ENERO 2022</v>
      </c>
      <c r="D6" s="162" t="str">
        <f>+C6</f>
        <v>01 DE ENERO 2022</v>
      </c>
      <c r="E6" s="162" t="str">
        <f>+D6</f>
        <v>01 DE ENERO 2022</v>
      </c>
      <c r="F6" s="36"/>
      <c r="G6" s="40"/>
      <c r="H6" s="712" t="s">
        <v>712</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9">
        <v>10101.25</v>
      </c>
      <c r="C7" s="559">
        <f>+'COMBUSTIBLES '!B7</f>
        <v>5108.8999999999996</v>
      </c>
      <c r="D7" s="376"/>
      <c r="E7" s="376"/>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171</v>
      </c>
      <c r="B8" s="156"/>
      <c r="C8" s="50"/>
      <c r="D8" s="559">
        <f>ROUND($C$7*(1-D5),2)</f>
        <v>4904.54</v>
      </c>
      <c r="E8" s="562">
        <f>ROUND($C$7*(1-E5),2)</f>
        <v>4802.37</v>
      </c>
      <c r="F8" s="658">
        <f>+C7*0.94</f>
        <v>4802.3659999999991</v>
      </c>
      <c r="G8" s="6"/>
      <c r="H8" s="607" t="s">
        <v>603</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170</v>
      </c>
      <c r="B9" s="156"/>
      <c r="C9" s="50"/>
      <c r="D9" s="562">
        <f>+ROUND(B7*D5,2)</f>
        <v>404.05</v>
      </c>
      <c r="E9" s="562">
        <f>+ROUND(B7*E5,2)</f>
        <v>606.08000000000004</v>
      </c>
      <c r="F9" s="658">
        <f>+B7*0.06</f>
        <v>606.07499999999993</v>
      </c>
      <c r="G9" s="6"/>
      <c r="H9" s="607" t="s">
        <v>604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43</v>
      </c>
      <c r="B10" s="156"/>
      <c r="C10" s="50"/>
      <c r="D10" s="559">
        <f>D8+D9</f>
        <v>5308.59</v>
      </c>
      <c r="E10" s="559">
        <f>E8+E9</f>
        <v>5408.45</v>
      </c>
      <c r="F10" s="658">
        <f>+F8+F9</f>
        <v>5408.4409999999989</v>
      </c>
      <c r="G10" s="6"/>
      <c r="H10" s="607" t="s">
        <v>604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555.04999999999995</v>
      </c>
      <c r="D11" s="562">
        <f>+C11*(1-D5)</f>
        <v>532.84799999999996</v>
      </c>
      <c r="E11" s="562">
        <f>+C11*(1-E5)</f>
        <v>521.74699999999996</v>
      </c>
      <c r="F11" s="6"/>
      <c r="G11" s="6"/>
      <c r="H11" s="668" t="s">
        <v>604</v>
      </c>
      <c r="I11" s="6"/>
      <c r="J11" s="6"/>
      <c r="K11" s="6"/>
      <c r="L11" s="6"/>
      <c r="M11" s="6"/>
      <c r="N11" s="6"/>
      <c r="O11" s="6" t="s">
        <v>560</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8" t="str">
        <f>+'COMBUSTIBLES '!C12</f>
        <v>(3)</v>
      </c>
      <c r="D12" s="289" t="str">
        <f>+C12</f>
        <v>(3)</v>
      </c>
      <c r="E12" s="289" t="str">
        <f>+D12</f>
        <v>(3)</v>
      </c>
      <c r="F12" s="6"/>
      <c r="G12" s="6"/>
      <c r="H12" s="668"/>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159</v>
      </c>
      <c r="D13" s="559">
        <f>ROUND(C13*(1-D5),2)</f>
        <v>152.63999999999999</v>
      </c>
      <c r="E13" s="559">
        <f>ROUND(C13*(1-E5),2)</f>
        <v>149.46</v>
      </c>
      <c r="F13" s="6"/>
      <c r="G13" s="6" t="s">
        <v>148</v>
      </c>
      <c r="H13" s="668" t="s">
        <v>604</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48</v>
      </c>
      <c r="B14" s="156"/>
      <c r="C14" s="103">
        <f>'COMBUSTIBLES '!B8</f>
        <v>8.6314000000000011</v>
      </c>
      <c r="D14" s="559">
        <f>+C14</f>
        <v>8.6314000000000011</v>
      </c>
      <c r="E14" s="559">
        <f>+D14</f>
        <v>8.6314000000000011</v>
      </c>
      <c r="F14" s="6"/>
      <c r="G14" s="6"/>
      <c r="H14" s="668" t="s">
        <v>604</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172</v>
      </c>
      <c r="B15" s="156"/>
      <c r="C15" s="50"/>
      <c r="D15" s="377" t="s">
        <v>11</v>
      </c>
      <c r="E15" s="377" t="s">
        <v>11</v>
      </c>
      <c r="F15" s="6"/>
      <c r="G15" s="6"/>
      <c r="H15" s="668"/>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173</v>
      </c>
      <c r="B16" s="156"/>
      <c r="C16" s="59"/>
      <c r="D16" s="377" t="s">
        <v>12</v>
      </c>
      <c r="E16" s="377" t="s">
        <v>12</v>
      </c>
      <c r="F16" s="6"/>
      <c r="G16" s="6"/>
      <c r="H16" s="668"/>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199</v>
      </c>
      <c r="B17" s="156"/>
      <c r="C17" s="50">
        <f>'COMBUSTIBLES '!B10</f>
        <v>0</v>
      </c>
      <c r="D17" s="560">
        <f>+C17</f>
        <v>0</v>
      </c>
      <c r="E17" s="560">
        <f>+D17</f>
        <v>0</v>
      </c>
      <c r="F17" s="6"/>
      <c r="G17" s="6"/>
      <c r="H17" s="668" t="s">
        <v>604</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44</v>
      </c>
      <c r="B18" s="156"/>
      <c r="C18" s="50" t="s">
        <v>21</v>
      </c>
      <c r="D18" s="377" t="s">
        <v>21</v>
      </c>
      <c r="E18" s="377" t="s">
        <v>21</v>
      </c>
      <c r="F18" s="6"/>
      <c r="G18" s="6"/>
      <c r="H18" s="668"/>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655</v>
      </c>
      <c r="B19" s="156"/>
      <c r="C19" s="401" t="s">
        <v>657</v>
      </c>
      <c r="D19" s="401" t="s">
        <v>657</v>
      </c>
      <c r="E19" s="401" t="s">
        <v>657</v>
      </c>
      <c r="F19" s="6"/>
      <c r="G19" s="6"/>
      <c r="H19" s="668" t="s">
        <v>604</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41</v>
      </c>
      <c r="B20" s="156"/>
      <c r="C20" s="103" t="s">
        <v>148</v>
      </c>
      <c r="D20" s="377" t="s">
        <v>202</v>
      </c>
      <c r="E20" s="377" t="s">
        <v>202</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206</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59" t="s">
        <v>231</v>
      </c>
      <c r="B27" s="859"/>
      <c r="C27" s="859"/>
      <c r="D27" s="859"/>
      <c r="E27" s="703"/>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4" customHeight="1">
      <c r="A28" s="643"/>
      <c r="B28" s="643"/>
      <c r="C28" s="643"/>
      <c r="D28" s="643"/>
      <c r="E28" s="703"/>
    </row>
    <row r="29" spans="1:60" s="291" customFormat="1" ht="48.15" customHeight="1">
      <c r="A29" s="860" t="s">
        <v>232</v>
      </c>
      <c r="B29" s="860"/>
      <c r="C29" s="860"/>
      <c r="D29" s="860"/>
      <c r="E29" s="704"/>
    </row>
    <row r="30" spans="1:60" s="291" customFormat="1" ht="13">
      <c r="A30" s="644"/>
      <c r="B30" s="644"/>
      <c r="C30" s="645"/>
      <c r="D30" s="645"/>
      <c r="E30" s="645"/>
    </row>
    <row r="31" spans="1:60" s="291" customFormat="1" ht="35.4" customHeight="1">
      <c r="A31" s="860" t="s">
        <v>203</v>
      </c>
      <c r="B31" s="860"/>
      <c r="C31" s="860"/>
      <c r="D31" s="860"/>
      <c r="E31" s="704"/>
    </row>
    <row r="32" spans="1:60" s="291" customFormat="1" ht="13">
      <c r="A32" s="644"/>
      <c r="B32" s="644"/>
      <c r="C32" s="645"/>
      <c r="D32" s="645"/>
      <c r="E32" s="645"/>
    </row>
    <row r="33" spans="1:10" s="328" customFormat="1" ht="36.65" customHeight="1">
      <c r="A33" s="861" t="s">
        <v>204</v>
      </c>
      <c r="B33" s="861"/>
      <c r="C33" s="861"/>
      <c r="D33" s="861"/>
      <c r="E33" s="705"/>
    </row>
    <row r="34" spans="1:10" s="291" customFormat="1" ht="9.15" customHeight="1">
      <c r="A34" s="644"/>
      <c r="B34" s="644"/>
      <c r="C34" s="645"/>
      <c r="D34" s="645"/>
      <c r="E34" s="645"/>
    </row>
    <row r="35" spans="1:10" s="291" customFormat="1" ht="12.5">
      <c r="A35" s="860" t="s">
        <v>205</v>
      </c>
      <c r="B35" s="860"/>
      <c r="C35" s="860"/>
      <c r="D35" s="860"/>
      <c r="E35" s="704"/>
    </row>
    <row r="36" spans="1:10" s="291" customFormat="1" ht="17.75" customHeight="1">
      <c r="A36" s="642"/>
      <c r="B36" s="642"/>
      <c r="C36" s="642"/>
      <c r="D36" s="642"/>
      <c r="E36" s="707"/>
    </row>
    <row r="37" spans="1:10" s="291" customFormat="1" ht="12.75" customHeight="1">
      <c r="A37" s="854" t="s">
        <v>553</v>
      </c>
      <c r="B37" s="854"/>
      <c r="C37" s="854"/>
      <c r="D37" s="854"/>
      <c r="E37" s="701"/>
      <c r="F37" s="646"/>
      <c r="G37" s="646"/>
    </row>
    <row r="38" spans="1:10" s="291" customFormat="1" ht="12.5">
      <c r="A38" s="854"/>
      <c r="B38" s="854"/>
      <c r="C38" s="854"/>
      <c r="D38" s="854"/>
      <c r="E38" s="701"/>
      <c r="F38" s="646"/>
      <c r="G38" s="646"/>
    </row>
    <row r="39" spans="1:10">
      <c r="A39" s="854"/>
      <c r="B39" s="854"/>
      <c r="C39" s="854"/>
      <c r="D39" s="854"/>
      <c r="E39" s="701"/>
      <c r="F39" s="646"/>
      <c r="G39" s="646"/>
    </row>
    <row r="40" spans="1:10">
      <c r="A40" s="854"/>
      <c r="B40" s="854"/>
      <c r="C40" s="854"/>
      <c r="D40" s="854"/>
      <c r="E40" s="701"/>
      <c r="F40" s="646"/>
      <c r="G40" s="646"/>
    </row>
    <row r="41" spans="1:10" ht="25.5" customHeight="1">
      <c r="A41" s="854"/>
      <c r="B41" s="854"/>
      <c r="C41" s="854"/>
      <c r="D41" s="854"/>
      <c r="E41" s="701"/>
      <c r="F41" s="641"/>
      <c r="G41" s="641"/>
    </row>
    <row r="42" spans="1:10" ht="79.75" customHeight="1">
      <c r="A42" s="847" t="s">
        <v>658</v>
      </c>
      <c r="B42" s="847"/>
      <c r="C42" s="847"/>
      <c r="D42" s="847"/>
      <c r="F42" s="291"/>
      <c r="G42" s="291"/>
      <c r="H42" s="291"/>
      <c r="I42" s="291"/>
      <c r="J42" s="291"/>
    </row>
    <row r="43" spans="1:10" ht="113.25" customHeight="1">
      <c r="A43" s="848" t="s">
        <v>262</v>
      </c>
      <c r="B43" s="848"/>
      <c r="C43" s="848"/>
      <c r="D43" s="848"/>
    </row>
  </sheetData>
  <sheetProtection algorithmName="SHA-512" hashValue="xDd00XfqeVQ+uX+PLjtl0owiEW/BQcZt8FlOr4RMEC7bE+goJhgoZORXoMtXdpjXp60AcvYPfLS/8rq2WHS7Cg==" saltValue="FWcSG98qRYStQIlS0Lw+2A=="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30"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topLeftCell="A2" zoomScale="80" zoomScaleNormal="80" workbookViewId="0">
      <selection activeCell="G11" sqref="G11"/>
    </sheetView>
  </sheetViews>
  <sheetFormatPr baseColWidth="10" defaultRowHeight="12.5"/>
  <cols>
    <col min="1" max="1" width="53.36328125" customWidth="1"/>
    <col min="2" max="2" width="20.90625" customWidth="1"/>
    <col min="3" max="3" width="23.90625" customWidth="1"/>
    <col min="4" max="4" width="21.81640625" customWidth="1"/>
    <col min="5" max="5" width="21.1796875" customWidth="1"/>
    <col min="6" max="6" width="23" customWidth="1"/>
    <col min="7" max="7" width="18" customWidth="1"/>
    <col min="8" max="8" width="0" hidden="1" customWidth="1"/>
  </cols>
  <sheetData>
    <row r="2" spans="1:11" ht="16.5">
      <c r="A2" s="865" t="str">
        <f>CONCATENATE("ESTRUCTURAS DE PRECIOS PARA GASOLINA EXTRA OXIGENADA VIGENTES A PARTIR DE ",'COMBUSTIBLES '!$A$1)</f>
        <v>ESTRUCTURAS DE PRECIOS PARA GASOLINA EXTRA OXIGENADA VIGENTES A PARTIR DE 01 DE ENERO 2022</v>
      </c>
      <c r="B2" s="866"/>
      <c r="C2" s="866"/>
      <c r="D2" s="866"/>
      <c r="E2" s="866"/>
      <c r="F2" s="866"/>
    </row>
    <row r="3" spans="1:11" ht="16.5">
      <c r="A3" s="867" t="s">
        <v>0</v>
      </c>
      <c r="B3" s="868"/>
      <c r="C3" s="868"/>
      <c r="D3" s="868"/>
      <c r="E3" s="868"/>
      <c r="F3" s="868"/>
    </row>
    <row r="4" spans="1:11" ht="28">
      <c r="A4" s="858" t="s">
        <v>1</v>
      </c>
      <c r="B4" s="857" t="s">
        <v>26</v>
      </c>
      <c r="C4" s="857" t="s">
        <v>562</v>
      </c>
      <c r="D4" s="500" t="s">
        <v>28</v>
      </c>
      <c r="E4" s="869" t="s">
        <v>563</v>
      </c>
      <c r="F4" s="506" t="s">
        <v>28</v>
      </c>
      <c r="H4" s="371"/>
    </row>
    <row r="5" spans="1:11" ht="17.149999999999999" customHeight="1">
      <c r="A5" s="839"/>
      <c r="B5" s="842"/>
      <c r="C5" s="842"/>
      <c r="D5" s="501">
        <v>0.06</v>
      </c>
      <c r="E5" s="870"/>
      <c r="F5" s="507">
        <f>+D5</f>
        <v>0.06</v>
      </c>
      <c r="G5" s="708"/>
    </row>
    <row r="6" spans="1:11" ht="30.15" customHeight="1" thickBot="1">
      <c r="A6" s="840"/>
      <c r="B6" s="55" t="str">
        <f>+'GASOLINA CORRIENTE OXIGENADA'!B6</f>
        <v>01 DE ENERO 2022</v>
      </c>
      <c r="C6" s="55" t="str">
        <f>+B6</f>
        <v>01 DE ENERO 2022</v>
      </c>
      <c r="D6" s="55" t="str">
        <f>+C6</f>
        <v>01 DE ENERO 2022</v>
      </c>
      <c r="E6" s="55" t="str">
        <f>+B6</f>
        <v>01 DE ENERO 2022</v>
      </c>
      <c r="F6" s="56" t="str">
        <f>+B6</f>
        <v>01 DE ENERO 2022</v>
      </c>
      <c r="H6" s="712"/>
    </row>
    <row r="7" spans="1:11" ht="23.4" customHeight="1" thickTop="1">
      <c r="A7" s="54" t="s">
        <v>3</v>
      </c>
      <c r="B7" s="727">
        <f>+'GASOLINA CORRIENTE OXIGENADA'!B7</f>
        <v>10101.25</v>
      </c>
      <c r="C7" s="727">
        <f>+'COMBUSTIBLES '!C7</f>
        <v>9825.0400000000009</v>
      </c>
      <c r="D7" s="653">
        <f>+ROUND((C7*(1-D5))+($B$7*D5),2)</f>
        <v>9841.61</v>
      </c>
      <c r="E7" s="655">
        <f>+'COMBUSTIBLES '!D7</f>
        <v>9825.0400000000009</v>
      </c>
      <c r="F7" s="514">
        <f>+ROUND((E7*(1-F5))+($B$7*F5),2)</f>
        <v>9841.61</v>
      </c>
      <c r="G7" s="650"/>
      <c r="H7" s="712" t="str">
        <f>+'GASOLINA CORRIENTE OXIGENADA'!H6</f>
        <v>A PARTIR DE ENERO 6%</v>
      </c>
      <c r="K7" s="371"/>
    </row>
    <row r="8" spans="1:11" ht="23.4" customHeight="1">
      <c r="A8" s="46" t="s">
        <v>25</v>
      </c>
      <c r="B8" s="48"/>
      <c r="C8" s="48">
        <f>+'COMBUSTIBLES '!C8</f>
        <v>8.6314000000000011</v>
      </c>
      <c r="D8" s="482">
        <f>+C8</f>
        <v>8.6314000000000011</v>
      </c>
      <c r="E8" s="482">
        <f>+'COMBUSTIBLES '!E8</f>
        <v>8.6314000000000011</v>
      </c>
      <c r="F8" s="53">
        <f>+E8</f>
        <v>8.6314000000000011</v>
      </c>
      <c r="H8" s="371"/>
    </row>
    <row r="9" spans="1:11" ht="23.4" customHeight="1">
      <c r="A9" s="46" t="s">
        <v>209</v>
      </c>
      <c r="B9" s="50"/>
      <c r="C9" s="50" t="s">
        <v>11</v>
      </c>
      <c r="D9" s="502" t="s">
        <v>11</v>
      </c>
      <c r="E9" s="502" t="s">
        <v>11</v>
      </c>
      <c r="F9" s="58" t="s">
        <v>11</v>
      </c>
    </row>
    <row r="10" spans="1:11" ht="23.9" hidden="1" customHeight="1">
      <c r="A10" s="46" t="s">
        <v>207</v>
      </c>
      <c r="B10" s="50"/>
      <c r="C10" s="50">
        <f>+'COMBUSTIBLES '!C10</f>
        <v>0</v>
      </c>
      <c r="D10" s="502">
        <f>+C10</f>
        <v>0</v>
      </c>
      <c r="E10" s="502">
        <f>+'COMBUSTIBLES '!D10</f>
        <v>0</v>
      </c>
      <c r="F10" s="58">
        <f>+E10</f>
        <v>0</v>
      </c>
    </row>
    <row r="11" spans="1:11" ht="23.4" customHeight="1">
      <c r="A11" s="46" t="s">
        <v>237</v>
      </c>
      <c r="B11" s="48"/>
      <c r="C11" s="48">
        <f>+'COMBUSTIBLES '!C11</f>
        <v>1053.47</v>
      </c>
      <c r="D11" s="482">
        <f>+ROUND(+C11*(1-D5),2)</f>
        <v>990.26</v>
      </c>
      <c r="E11" s="48">
        <f>+'COMBUSTIBLES '!D11</f>
        <v>1053.47</v>
      </c>
      <c r="F11" s="509">
        <f>+ROUND(+E11*(1-F5),2)</f>
        <v>990.26</v>
      </c>
      <c r="G11" s="371"/>
      <c r="H11" s="617"/>
      <c r="I11" s="617"/>
    </row>
    <row r="12" spans="1:11" ht="23.4" customHeight="1">
      <c r="A12" s="46" t="s">
        <v>242</v>
      </c>
      <c r="B12" s="48"/>
      <c r="C12" s="386" t="s">
        <v>303</v>
      </c>
      <c r="D12" s="480" t="s">
        <v>303</v>
      </c>
      <c r="E12" s="386" t="s">
        <v>303</v>
      </c>
      <c r="F12" s="510" t="s">
        <v>303</v>
      </c>
    </row>
    <row r="13" spans="1:11" ht="23.4" customHeight="1">
      <c r="A13" s="46" t="s">
        <v>284</v>
      </c>
      <c r="B13" s="48"/>
      <c r="C13" s="48">
        <f>+'COMBUSTIBLES '!C13</f>
        <v>159</v>
      </c>
      <c r="D13" s="482">
        <f>+ROUND(+C13*(1-D5),2)</f>
        <v>149.46</v>
      </c>
      <c r="E13" s="48">
        <f>+'COMBUSTIBLES '!D13</f>
        <v>159</v>
      </c>
      <c r="F13" s="509">
        <f>+ROUND(+E13*(1-F5),2)</f>
        <v>149.46</v>
      </c>
    </row>
    <row r="14" spans="1:11" ht="23.4" customHeight="1">
      <c r="A14" s="46" t="s">
        <v>233</v>
      </c>
      <c r="B14" s="50"/>
      <c r="C14" s="50" t="s">
        <v>12</v>
      </c>
      <c r="D14" s="502" t="s">
        <v>12</v>
      </c>
      <c r="E14" s="50" t="s">
        <v>12</v>
      </c>
      <c r="F14" s="511" t="s">
        <v>12</v>
      </c>
    </row>
    <row r="15" spans="1:11" ht="23.4" customHeight="1">
      <c r="A15" s="46" t="s">
        <v>4</v>
      </c>
      <c r="B15" s="48"/>
      <c r="C15" s="76"/>
      <c r="D15" s="503"/>
      <c r="E15" s="76"/>
      <c r="F15" s="512"/>
    </row>
    <row r="16" spans="1:11" ht="23.4" customHeight="1">
      <c r="A16" s="46" t="s">
        <v>655</v>
      </c>
      <c r="B16" s="48"/>
      <c r="C16" s="386" t="str">
        <f>+'COMBUSTIBLES '!C16</f>
        <v>(5)</v>
      </c>
      <c r="D16" s="386" t="str">
        <f>+'COMBUSTIBLES '!D16</f>
        <v>(5)</v>
      </c>
      <c r="E16" s="386" t="str">
        <f>+'COMBUSTIBLES '!D16</f>
        <v>(5)</v>
      </c>
      <c r="F16" s="386" t="str">
        <f>+'COMBUSTIBLES '!D16</f>
        <v>(5)</v>
      </c>
    </row>
    <row r="17" spans="1:6" ht="23.4" customHeight="1">
      <c r="A17" s="46" t="s">
        <v>5</v>
      </c>
      <c r="B17" s="49"/>
      <c r="C17" s="49"/>
      <c r="D17" s="504"/>
      <c r="E17" s="49"/>
      <c r="F17" s="513"/>
    </row>
    <row r="18" spans="1:6" ht="23.4" customHeight="1">
      <c r="A18" s="46" t="s">
        <v>6</v>
      </c>
      <c r="B18" s="48"/>
      <c r="C18" s="76"/>
      <c r="D18" s="503"/>
      <c r="E18" s="76"/>
      <c r="F18" s="290"/>
    </row>
    <row r="19" spans="1:6" ht="23.4" customHeight="1">
      <c r="A19" s="46" t="s">
        <v>7</v>
      </c>
      <c r="B19" s="48"/>
      <c r="C19" s="48"/>
      <c r="D19" s="482"/>
      <c r="E19" s="48"/>
      <c r="F19" s="53"/>
    </row>
    <row r="20" spans="1:6" ht="23.4" customHeight="1">
      <c r="A20" s="46" t="s">
        <v>206</v>
      </c>
      <c r="B20" s="48"/>
      <c r="C20" s="48"/>
      <c r="D20" s="482"/>
      <c r="E20" s="48"/>
      <c r="F20" s="53"/>
    </row>
    <row r="21" spans="1:6" ht="23.4" customHeight="1" thickBot="1">
      <c r="A21" s="51" t="s">
        <v>9</v>
      </c>
      <c r="B21" s="61"/>
      <c r="C21" s="61" t="s">
        <v>12</v>
      </c>
      <c r="D21" s="505" t="s">
        <v>12</v>
      </c>
      <c r="E21" s="61" t="s">
        <v>12</v>
      </c>
      <c r="F21" s="62" t="s">
        <v>12</v>
      </c>
    </row>
    <row r="22" spans="1:6" ht="14.5" thickTop="1">
      <c r="A22" s="11"/>
      <c r="B22" s="12"/>
      <c r="C22" s="12"/>
      <c r="D22" s="12"/>
      <c r="E22" s="12"/>
      <c r="F22" s="12"/>
    </row>
    <row r="23" spans="1:6" ht="21" customHeight="1">
      <c r="A23" s="862" t="s">
        <v>688</v>
      </c>
      <c r="B23" s="862"/>
      <c r="C23" s="862"/>
      <c r="D23" s="862"/>
      <c r="E23" s="862"/>
      <c r="F23" s="862"/>
    </row>
    <row r="24" spans="1:6">
      <c r="A24" s="633"/>
      <c r="B24" s="633"/>
      <c r="C24" s="633"/>
      <c r="D24" s="633"/>
      <c r="E24" s="633"/>
      <c r="F24" s="508"/>
    </row>
    <row r="25" spans="1:6" ht="26.4" customHeight="1">
      <c r="A25" s="862" t="s">
        <v>208</v>
      </c>
      <c r="B25" s="862"/>
      <c r="C25" s="862"/>
      <c r="D25" s="862"/>
      <c r="E25" s="862"/>
      <c r="F25" s="6"/>
    </row>
    <row r="26" spans="1:6">
      <c r="A26" s="633"/>
      <c r="B26" s="633"/>
      <c r="C26" s="633"/>
      <c r="D26" s="633"/>
      <c r="E26" s="633"/>
      <c r="F26" s="508"/>
    </row>
    <row r="27" spans="1:6" ht="14.25" hidden="1" customHeight="1">
      <c r="A27" s="863" t="s">
        <v>254</v>
      </c>
      <c r="B27" s="863"/>
      <c r="C27" s="863"/>
      <c r="D27" s="863"/>
      <c r="E27" s="863"/>
      <c r="F27" s="6"/>
    </row>
    <row r="28" spans="1:6" ht="14.25" customHeight="1">
      <c r="A28" s="862" t="s">
        <v>647</v>
      </c>
      <c r="B28" s="862"/>
      <c r="C28" s="862"/>
      <c r="D28" s="862"/>
      <c r="E28" s="862"/>
      <c r="F28" s="862"/>
    </row>
    <row r="29" spans="1:6" ht="14.25" customHeight="1">
      <c r="A29" s="862"/>
      <c r="B29" s="862"/>
      <c r="C29" s="862"/>
      <c r="D29" s="862"/>
      <c r="E29" s="862"/>
      <c r="F29" s="862"/>
    </row>
    <row r="30" spans="1:6" ht="14.25" customHeight="1">
      <c r="A30" s="862"/>
      <c r="B30" s="862"/>
      <c r="C30" s="862"/>
      <c r="D30" s="862"/>
      <c r="E30" s="862"/>
      <c r="F30" s="862"/>
    </row>
    <row r="31" spans="1:6" ht="14.25" customHeight="1">
      <c r="A31" s="862"/>
      <c r="B31" s="862"/>
      <c r="C31" s="862"/>
      <c r="D31" s="862"/>
      <c r="E31" s="862"/>
      <c r="F31" s="862"/>
    </row>
    <row r="32" spans="1:6" ht="14.25" customHeight="1">
      <c r="A32" s="862"/>
      <c r="B32" s="862"/>
      <c r="C32" s="862"/>
      <c r="D32" s="862"/>
      <c r="E32" s="862"/>
      <c r="F32" s="862"/>
    </row>
    <row r="33" spans="1:9" ht="19.649999999999999" customHeight="1">
      <c r="A33" s="864" t="s">
        <v>656</v>
      </c>
      <c r="B33" s="864"/>
      <c r="C33" s="864"/>
      <c r="D33" s="864"/>
      <c r="E33" s="864"/>
      <c r="F33" s="864"/>
      <c r="G33" s="864"/>
      <c r="H33" s="864"/>
      <c r="I33" s="864"/>
    </row>
    <row r="34" spans="1:9" ht="138.15" customHeight="1">
      <c r="A34" s="848" t="s">
        <v>262</v>
      </c>
      <c r="B34" s="848"/>
      <c r="C34" s="848"/>
      <c r="D34" s="848"/>
      <c r="E34" s="6"/>
      <c r="F34" s="6"/>
    </row>
  </sheetData>
  <sheetProtection algorithmName="SHA-512" hashValue="kQT5lVtLzp7or3bbWCqySsWa7Gqhh5xvk1o4gNIR/R27B8j2ooxwY6C17dfDyZdjG0iHug1WUcESG0tkiDu2Aw==" saltValue="uq7W37XfaDcbOrTjQprdJw==" spinCount="100000" sheet="1" objects="1" scenarios="1"/>
  <mergeCells count="12">
    <mergeCell ref="A2:F2"/>
    <mergeCell ref="A3:F3"/>
    <mergeCell ref="A4:A6"/>
    <mergeCell ref="B4:B5"/>
    <mergeCell ref="C4:C5"/>
    <mergeCell ref="E4:E5"/>
    <mergeCell ref="A23:F23"/>
    <mergeCell ref="A34:D34"/>
    <mergeCell ref="A27:E27"/>
    <mergeCell ref="A25:E25"/>
    <mergeCell ref="A28:F32"/>
    <mergeCell ref="A33:I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topLeftCell="A4" zoomScale="70" zoomScaleNormal="70" workbookViewId="0">
      <selection activeCell="H13" sqref="H13"/>
    </sheetView>
  </sheetViews>
  <sheetFormatPr baseColWidth="10" defaultColWidth="9.90625" defaultRowHeight="14"/>
  <cols>
    <col min="1" max="1" width="58.81640625" style="13" customWidth="1"/>
    <col min="2" max="2" width="21.36328125" style="6" customWidth="1"/>
    <col min="3" max="3" width="19.81640625" style="6" customWidth="1"/>
    <col min="4" max="4" width="23.81640625" style="6" customWidth="1"/>
    <col min="5" max="5" width="23.36328125" style="6" customWidth="1"/>
    <col min="6" max="6" width="20.90625" style="6" hidden="1" customWidth="1"/>
    <col min="7" max="7" width="24.81640625" style="6" hidden="1" customWidth="1"/>
    <col min="8" max="8" width="23.08984375" style="6" customWidth="1"/>
    <col min="9" max="9" width="14.81640625" style="6" hidden="1" customWidth="1"/>
    <col min="10" max="10" width="10.1796875" style="6" hidden="1" customWidth="1"/>
    <col min="11" max="11" width="8.36328125" style="6" hidden="1" customWidth="1"/>
    <col min="12" max="12" width="16.1796875" style="6" hidden="1" customWidth="1"/>
    <col min="13" max="14" width="9.90625" style="6" hidden="1" customWidth="1"/>
    <col min="15" max="15" width="17.6328125" style="6" hidden="1" customWidth="1"/>
    <col min="16" max="16" width="3.453125" style="6" hidden="1" customWidth="1"/>
    <col min="17" max="17" width="20.08984375" style="6" hidden="1" customWidth="1"/>
    <col min="18" max="77" width="9.90625" style="6" customWidth="1"/>
    <col min="78" max="16384" width="9.90625" style="6"/>
  </cols>
  <sheetData>
    <row r="1" spans="1:77" s="38" customFormat="1" ht="14.5" thickBot="1">
      <c r="A1" s="37"/>
      <c r="F1" s="740"/>
    </row>
    <row r="2" spans="1:77" s="35" customFormat="1" ht="42.75" customHeight="1" thickTop="1">
      <c r="A2" s="872" t="str">
        <f>CONCATENATE("ESTRUCTURAS DE PRECIOS PARA LA MEZCLA DE BIOCOMBUSTIBLE PARA USO EN MOTORES DIESEL CON EL ACPM VIGENTES A PARTIR DE ",'COMBUSTIBLES '!$A$1)</f>
        <v>ESTRUCTURAS DE PRECIOS PARA LA MEZCLA DE BIOCOMBUSTIBLE PARA USO EN MOTORES DIESEL CON EL ACPM VIGENTES A PARTIR DE 01 DE ENERO 2022</v>
      </c>
      <c r="B2" s="873"/>
      <c r="C2" s="873"/>
      <c r="D2" s="873"/>
      <c r="E2" s="873"/>
      <c r="F2" s="873"/>
      <c r="G2" s="873"/>
      <c r="H2" s="713"/>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74" t="s">
        <v>0</v>
      </c>
      <c r="B3" s="875"/>
      <c r="C3" s="875"/>
      <c r="D3" s="875"/>
      <c r="E3" s="875"/>
      <c r="F3" s="875"/>
      <c r="G3" s="875"/>
      <c r="H3" s="720"/>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5" customHeight="1">
      <c r="A4" s="876" t="s">
        <v>1</v>
      </c>
      <c r="B4" s="66" t="s">
        <v>152</v>
      </c>
      <c r="C4" s="879" t="s">
        <v>654</v>
      </c>
      <c r="D4" s="879" t="s">
        <v>698</v>
      </c>
      <c r="E4" s="67" t="s">
        <v>554</v>
      </c>
      <c r="F4" s="67" t="s">
        <v>701</v>
      </c>
      <c r="G4" s="67" t="s">
        <v>646</v>
      </c>
      <c r="H4" s="67" t="s">
        <v>715</v>
      </c>
      <c r="I4" s="658">
        <f>+B7*0.02</f>
        <v>400.25419999999997</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 customHeight="1">
      <c r="A5" s="877"/>
      <c r="B5" s="68">
        <v>1</v>
      </c>
      <c r="C5" s="880"/>
      <c r="D5" s="880"/>
      <c r="E5" s="69">
        <v>0.02</v>
      </c>
      <c r="F5" s="69">
        <v>0.03</v>
      </c>
      <c r="G5" s="69">
        <v>0.12</v>
      </c>
      <c r="H5" s="69">
        <v>0.11</v>
      </c>
      <c r="I5" s="658"/>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4" customHeight="1" thickBot="1">
      <c r="A6" s="878"/>
      <c r="B6" s="158" t="str">
        <f>+'COMBUSTIBLES '!A1</f>
        <v>01 DE ENERO 2022</v>
      </c>
      <c r="C6" s="158" t="str">
        <f>+B6</f>
        <v>01 DE ENERO 2022</v>
      </c>
      <c r="D6" s="158" t="str">
        <f>+C6</f>
        <v>01 DE ENERO 2022</v>
      </c>
      <c r="E6" s="159" t="str">
        <f>+B6</f>
        <v>01 DE ENERO 2022</v>
      </c>
      <c r="F6" s="159" t="str">
        <f>+B6</f>
        <v>01 DE ENERO 2022</v>
      </c>
      <c r="G6" s="159" t="str">
        <f>+B6</f>
        <v>01 DE ENERO 2022</v>
      </c>
      <c r="H6" s="159" t="str">
        <f>+C6</f>
        <v>01 DE ENERO 2022</v>
      </c>
      <c r="I6" s="654"/>
      <c r="J6" s="654"/>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63">
        <v>20012.71</v>
      </c>
      <c r="C7" s="563">
        <f>+'COMBUSTIBLES '!E7</f>
        <v>4480.78</v>
      </c>
      <c r="D7" s="563">
        <f>+C7</f>
        <v>4480.78</v>
      </c>
      <c r="E7" s="106"/>
      <c r="F7" s="106"/>
      <c r="G7" s="106"/>
      <c r="H7" s="72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53</v>
      </c>
      <c r="B8" s="112"/>
      <c r="C8" s="71"/>
      <c r="D8" s="71"/>
      <c r="E8" s="70">
        <f>+ROUND(C7*(1-E5), 2)</f>
        <v>4391.16</v>
      </c>
      <c r="F8" s="70">
        <f>+ROUND(C7*(1-F5), 3)</f>
        <v>4346.357</v>
      </c>
      <c r="G8" s="70">
        <f>+ROUND(+C7*(1-G5),3)</f>
        <v>3943.0859999999998</v>
      </c>
      <c r="H8" s="70">
        <f>+ROUND(+D7*(1-H5),2)</f>
        <v>3987.89</v>
      </c>
      <c r="I8" s="107"/>
      <c r="J8" s="612" t="s">
        <v>605</v>
      </c>
      <c r="K8" s="107"/>
      <c r="L8" s="107"/>
      <c r="M8" s="107"/>
      <c r="N8" s="107"/>
      <c r="O8" s="717" t="s">
        <v>606</v>
      </c>
      <c r="P8" s="107"/>
      <c r="Q8" s="718" t="s">
        <v>697</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178</v>
      </c>
      <c r="B9" s="72"/>
      <c r="C9" s="72"/>
      <c r="D9" s="72"/>
      <c r="E9" s="70">
        <f>+ROUND($B$7*E5,2)</f>
        <v>400.25</v>
      </c>
      <c r="F9" s="70">
        <f>+ROUND($B$7*F5,3)</f>
        <v>600.38099999999997</v>
      </c>
      <c r="G9" s="70">
        <f>+ROUND($B$7*G5,3)</f>
        <v>2401.5250000000001</v>
      </c>
      <c r="H9" s="70">
        <f>+ROUND($B$7*H5,3)</f>
        <v>2201.3980000000001</v>
      </c>
      <c r="I9" s="107"/>
      <c r="J9" s="612" t="s">
        <v>604</v>
      </c>
      <c r="K9" s="548"/>
      <c r="L9" s="107"/>
      <c r="M9" s="107"/>
      <c r="N9" s="107"/>
      <c r="O9" s="107" t="s">
        <v>602</v>
      </c>
      <c r="P9" s="107"/>
      <c r="Q9" s="107" t="s">
        <v>602</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564</v>
      </c>
      <c r="B10" s="72"/>
      <c r="C10" s="72"/>
      <c r="D10" s="72"/>
      <c r="E10" s="70">
        <f>+E9+E8</f>
        <v>4791.41</v>
      </c>
      <c r="F10" s="70">
        <f>+F9+F8</f>
        <v>4946.7380000000003</v>
      </c>
      <c r="G10" s="70">
        <f>+G9+G8</f>
        <v>6344.6109999999999</v>
      </c>
      <c r="H10" s="70">
        <f>+H9+H8</f>
        <v>6189.2880000000005</v>
      </c>
      <c r="I10" s="107"/>
      <c r="J10" s="612" t="s">
        <v>604</v>
      </c>
      <c r="K10" s="554" t="s">
        <v>695</v>
      </c>
      <c r="L10" s="107"/>
      <c r="M10" s="107"/>
      <c r="N10" s="107"/>
      <c r="O10" s="710">
        <f>+B7*0.02+ROUND(C7*0.98,2)</f>
        <v>4791.4142000000002</v>
      </c>
      <c r="P10" s="107"/>
      <c r="Q10" s="555">
        <f>+B7*0.11+C7*0.89</f>
        <v>6189.2922999999992</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531.27</v>
      </c>
      <c r="D11" s="72">
        <f>+Variables!C30</f>
        <v>531.27</v>
      </c>
      <c r="E11" s="70">
        <f>+ROUND($C$11*(1-E5),2)</f>
        <v>520.64</v>
      </c>
      <c r="F11" s="70">
        <f>+ROUND($C$11*(1-F5),2)</f>
        <v>515.33000000000004</v>
      </c>
      <c r="G11" s="70">
        <f>+ROUND($D$11*(1-G5),2)</f>
        <v>467.52</v>
      </c>
      <c r="H11" s="70">
        <f>+ROUND($D$11*(1-H5),2)</f>
        <v>472.83</v>
      </c>
      <c r="I11" s="107"/>
      <c r="J11" s="612" t="s">
        <v>604</v>
      </c>
      <c r="K11" s="634" t="s">
        <v>643</v>
      </c>
      <c r="L11" s="107"/>
      <c r="M11" s="107"/>
      <c r="N11" s="107"/>
      <c r="O11" s="107">
        <f>+B7*0.02</f>
        <v>400.25419999999997</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179</v>
      </c>
      <c r="D13" s="72">
        <f>C13</f>
        <v>179</v>
      </c>
      <c r="E13" s="70">
        <f>ROUND(D13*(1-E5),2)</f>
        <v>175.42</v>
      </c>
      <c r="F13" s="70">
        <f>ROUND(D13*(1-F5),2)</f>
        <v>173.63</v>
      </c>
      <c r="G13" s="70">
        <f>ROUND(D13*(1-G5),2)</f>
        <v>157.52000000000001</v>
      </c>
      <c r="H13" s="70">
        <f>ROUND(D13*(1-H5),2)</f>
        <v>159.31</v>
      </c>
      <c r="I13" s="107"/>
      <c r="J13" s="612" t="s">
        <v>604</v>
      </c>
      <c r="K13" s="455"/>
      <c r="L13" s="107"/>
      <c r="M13" s="107"/>
      <c r="N13" s="107"/>
      <c r="O13" s="634">
        <f>+C13*0.98</f>
        <v>175.42</v>
      </c>
      <c r="P13" s="107"/>
      <c r="Q13" s="555">
        <f>+C13*0.9</f>
        <v>161.1</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48</v>
      </c>
      <c r="B14" s="72"/>
      <c r="C14" s="375">
        <f>+'COMBUSTIBLES '!E8</f>
        <v>8.6314000000000011</v>
      </c>
      <c r="D14" s="375">
        <f t="shared" ref="D14:F15" si="0">+C14</f>
        <v>8.6314000000000011</v>
      </c>
      <c r="E14" s="70">
        <f t="shared" si="0"/>
        <v>8.6314000000000011</v>
      </c>
      <c r="F14" s="70">
        <f t="shared" si="0"/>
        <v>8.6314000000000011</v>
      </c>
      <c r="G14" s="70">
        <f>+C14</f>
        <v>8.6314000000000011</v>
      </c>
      <c r="H14" s="70">
        <f>+D14</f>
        <v>8.6314000000000011</v>
      </c>
      <c r="I14" s="107"/>
      <c r="J14" s="612" t="s">
        <v>604</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210</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211</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199</v>
      </c>
      <c r="B17" s="72"/>
      <c r="C17" s="72">
        <f>'COMBUSTIBLES '!E10</f>
        <v>0</v>
      </c>
      <c r="D17" s="72">
        <f>+C17</f>
        <v>0</v>
      </c>
      <c r="E17" s="70">
        <f>+C17</f>
        <v>0</v>
      </c>
      <c r="F17" s="70">
        <f>+D17</f>
        <v>0</v>
      </c>
      <c r="G17" s="70">
        <f>+E17</f>
        <v>0</v>
      </c>
      <c r="H17" s="70">
        <f>+F17</f>
        <v>0</v>
      </c>
      <c r="I17" s="107"/>
      <c r="J17" s="612" t="s">
        <v>604</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41</v>
      </c>
      <c r="B19" s="110"/>
      <c r="C19" s="111"/>
      <c r="D19" s="111"/>
      <c r="E19" s="104" t="s">
        <v>148</v>
      </c>
      <c r="F19" s="104"/>
      <c r="G19" s="370" t="s">
        <v>202</v>
      </c>
      <c r="H19" s="370" t="s">
        <v>202</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42</v>
      </c>
      <c r="B21" s="110"/>
      <c r="C21" s="110"/>
      <c r="D21" s="110"/>
      <c r="E21" s="104" t="s">
        <v>148</v>
      </c>
      <c r="F21" s="104"/>
      <c r="G21" s="70" t="s">
        <v>202</v>
      </c>
      <c r="H21" s="70" t="s">
        <v>202</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213</v>
      </c>
      <c r="B22" s="110"/>
      <c r="C22" s="110"/>
      <c r="D22" s="110"/>
      <c r="E22" s="104" t="s">
        <v>148</v>
      </c>
      <c r="F22" s="104"/>
      <c r="G22" s="70" t="s">
        <v>202</v>
      </c>
      <c r="H22" s="70" t="s">
        <v>202</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2"/>
      <c r="D23" s="72"/>
      <c r="E23" s="70"/>
      <c r="F23" s="70"/>
      <c r="G23" s="665">
        <f>'COMBUSTIBLES '!E16</f>
        <v>301</v>
      </c>
      <c r="H23" s="665">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5"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711" t="s">
        <v>689</v>
      </c>
      <c r="B26" s="469"/>
      <c r="C26" s="469"/>
      <c r="D26" s="469"/>
      <c r="E26" s="470"/>
      <c r="F26" s="470"/>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 customHeight="1">
      <c r="A27" s="471"/>
      <c r="B27" s="470"/>
      <c r="C27" s="470"/>
      <c r="D27" s="470"/>
      <c r="E27" s="470"/>
      <c r="F27" s="470"/>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 customHeight="1">
      <c r="A28" s="711" t="s">
        <v>690</v>
      </c>
      <c r="B28" s="469"/>
      <c r="C28" s="469"/>
      <c r="D28" s="469"/>
      <c r="E28" s="470"/>
      <c r="F28" s="470"/>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 customHeight="1">
      <c r="A29" s="471"/>
      <c r="B29" s="470"/>
      <c r="C29" s="470"/>
      <c r="D29" s="470"/>
      <c r="E29" s="470"/>
      <c r="F29" s="470"/>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82" t="s">
        <v>685</v>
      </c>
      <c r="B30" s="882"/>
      <c r="C30" s="882"/>
      <c r="D30" s="882"/>
      <c r="E30" s="882"/>
      <c r="F30" s="882"/>
      <c r="G30" s="882"/>
      <c r="H30" s="716"/>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2"/>
      <c r="B31" s="472"/>
      <c r="C31" s="472"/>
      <c r="D31" s="472"/>
      <c r="E31" s="473"/>
      <c r="F31" s="473"/>
      <c r="G31" s="473"/>
      <c r="H31" s="706"/>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5" customFormat="1" ht="24.75" customHeight="1">
      <c r="A32" s="882" t="s">
        <v>684</v>
      </c>
      <c r="B32" s="882"/>
      <c r="C32" s="882"/>
      <c r="D32" s="882"/>
      <c r="E32" s="882"/>
      <c r="F32" s="882"/>
      <c r="G32" s="882"/>
      <c r="H32" s="716"/>
    </row>
    <row r="33" spans="1:8" s="475" customFormat="1" ht="11.25" customHeight="1">
      <c r="A33" s="476" t="s">
        <v>148</v>
      </c>
      <c r="B33" s="477"/>
      <c r="C33" s="477"/>
      <c r="D33" s="477"/>
      <c r="E33" s="474"/>
      <c r="F33" s="474"/>
      <c r="G33" s="474"/>
      <c r="H33" s="474"/>
    </row>
    <row r="34" spans="1:8" s="475" customFormat="1" ht="32.25" customHeight="1">
      <c r="A34" s="882" t="s">
        <v>212</v>
      </c>
      <c r="B34" s="882"/>
      <c r="C34" s="882"/>
      <c r="D34" s="882"/>
      <c r="E34" s="882"/>
      <c r="F34" s="882"/>
      <c r="G34" s="882"/>
      <c r="H34" s="716"/>
    </row>
    <row r="35" spans="1:8" s="475" customFormat="1" ht="10.5" customHeight="1">
      <c r="A35" s="472"/>
      <c r="B35" s="472"/>
      <c r="C35" s="472"/>
      <c r="D35" s="472"/>
      <c r="E35" s="474"/>
      <c r="F35" s="474"/>
      <c r="G35" s="474"/>
      <c r="H35" s="474"/>
    </row>
    <row r="36" spans="1:8" s="475" customFormat="1" ht="42.75" customHeight="1">
      <c r="A36" s="882" t="s">
        <v>204</v>
      </c>
      <c r="B36" s="882"/>
      <c r="C36" s="882"/>
      <c r="D36" s="882"/>
      <c r="E36" s="882"/>
      <c r="F36" s="882"/>
      <c r="G36" s="882"/>
      <c r="H36" s="716"/>
    </row>
    <row r="37" spans="1:8" s="475" customFormat="1" ht="17.75" customHeight="1">
      <c r="A37" s="476"/>
      <c r="B37" s="477"/>
      <c r="C37" s="477"/>
      <c r="D37" s="477"/>
      <c r="E37" s="474"/>
      <c r="F37" s="474"/>
      <c r="G37" s="474"/>
      <c r="H37" s="474"/>
    </row>
    <row r="38" spans="1:8" s="38" customFormat="1" ht="14.25" customHeight="1">
      <c r="A38" s="881" t="s">
        <v>553</v>
      </c>
      <c r="B38" s="881"/>
      <c r="C38" s="881"/>
      <c r="D38" s="881"/>
      <c r="E38" s="881"/>
      <c r="F38" s="881"/>
      <c r="G38" s="881"/>
      <c r="H38" s="715"/>
    </row>
    <row r="39" spans="1:8" s="38" customFormat="1">
      <c r="A39" s="881"/>
      <c r="B39" s="881"/>
      <c r="C39" s="881"/>
      <c r="D39" s="881"/>
      <c r="E39" s="881"/>
      <c r="F39" s="881"/>
      <c r="G39" s="881"/>
      <c r="H39" s="715"/>
    </row>
    <row r="40" spans="1:8" s="38" customFormat="1">
      <c r="A40" s="881"/>
      <c r="B40" s="881"/>
      <c r="C40" s="881"/>
      <c r="D40" s="881"/>
      <c r="E40" s="881"/>
      <c r="F40" s="881"/>
      <c r="G40" s="881"/>
      <c r="H40" s="715"/>
    </row>
    <row r="41" spans="1:8" s="38" customFormat="1">
      <c r="A41" s="881"/>
      <c r="B41" s="881"/>
      <c r="C41" s="881"/>
      <c r="D41" s="881"/>
      <c r="E41" s="881"/>
      <c r="F41" s="881"/>
      <c r="G41" s="881"/>
      <c r="H41" s="715"/>
    </row>
    <row r="42" spans="1:8" s="38" customFormat="1">
      <c r="A42" s="468"/>
      <c r="B42" s="468"/>
      <c r="C42" s="468"/>
      <c r="D42" s="468"/>
      <c r="E42" s="468"/>
      <c r="F42" s="468"/>
      <c r="G42" s="65"/>
      <c r="H42" s="65"/>
    </row>
    <row r="43" spans="1:8" s="38" customFormat="1">
      <c r="A43" s="881"/>
      <c r="B43" s="881"/>
      <c r="C43" s="881"/>
      <c r="D43" s="881"/>
      <c r="E43" s="881"/>
      <c r="F43" s="881"/>
      <c r="G43" s="65"/>
      <c r="H43" s="65"/>
    </row>
    <row r="44" spans="1:8" s="38" customFormat="1" ht="93.75" customHeight="1">
      <c r="A44" s="871" t="s">
        <v>262</v>
      </c>
      <c r="B44" s="871"/>
      <c r="C44" s="871"/>
      <c r="D44" s="871"/>
      <c r="E44" s="871"/>
      <c r="F44" s="871"/>
      <c r="G44" s="871"/>
      <c r="H44" s="714"/>
    </row>
  </sheetData>
  <sheetProtection algorithmName="SHA-512" hashValue="EGwrWzyKNok4P9U+qC9OcJFe1k2KvwmqvLsFa7lyUSUPtB8xrAYlbYf8uWA7GtTxkhMLy5tI4Ltn/hylb5Xt6Q==" saltValue="ItA6Nr9DciGXhihNsGRLiw=="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30"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40"/>
  <sheetViews>
    <sheetView showGridLines="0" zoomScale="60" zoomScaleNormal="60" workbookViewId="0">
      <selection activeCell="F19" sqref="F19"/>
    </sheetView>
  </sheetViews>
  <sheetFormatPr baseColWidth="10" defaultColWidth="9.90625" defaultRowHeight="14"/>
  <cols>
    <col min="1" max="1" width="9.90625" style="10"/>
    <col min="2" max="2" width="47.90625" style="10" customWidth="1"/>
    <col min="3" max="5" width="23.90625" style="10" customWidth="1"/>
    <col min="6" max="6" width="24.81640625" style="10" customWidth="1"/>
    <col min="7" max="7" width="25.08984375" style="281" hidden="1" customWidth="1"/>
    <col min="8" max="8" width="23.08984375" style="10" customWidth="1"/>
    <col min="9" max="9" width="22.36328125" style="281" customWidth="1"/>
    <col min="10" max="10" width="15.1796875" style="10" bestFit="1" customWidth="1"/>
    <col min="11" max="16384" width="9.90625" style="10"/>
  </cols>
  <sheetData>
    <row r="1" spans="2:17" s="41" customFormat="1" ht="20.149999999999999" customHeight="1">
      <c r="B1" s="883" t="s">
        <v>13</v>
      </c>
      <c r="C1" s="883"/>
      <c r="D1" s="883"/>
      <c r="E1" s="883"/>
      <c r="F1" s="883"/>
      <c r="G1" s="883"/>
      <c r="H1" s="883"/>
      <c r="J1" s="884" t="s">
        <v>580</v>
      </c>
      <c r="K1" s="884"/>
      <c r="L1" s="884"/>
      <c r="M1" s="884"/>
      <c r="N1" s="884"/>
      <c r="O1" s="534"/>
    </row>
    <row r="2" spans="2:17" s="41" customFormat="1" ht="20.149999999999999" customHeight="1">
      <c r="B2" s="883" t="s">
        <v>641</v>
      </c>
      <c r="C2" s="883"/>
      <c r="D2" s="883"/>
      <c r="E2" s="883"/>
      <c r="F2" s="883"/>
      <c r="G2" s="883"/>
      <c r="H2" s="883"/>
      <c r="J2" s="884"/>
      <c r="K2" s="884"/>
      <c r="L2" s="884"/>
      <c r="M2" s="884"/>
      <c r="N2" s="884"/>
      <c r="O2" s="534"/>
    </row>
    <row r="3" spans="2:17" s="41" customFormat="1" ht="20">
      <c r="B3" s="883" t="s">
        <v>14</v>
      </c>
      <c r="C3" s="883"/>
      <c r="D3" s="883"/>
      <c r="E3" s="883"/>
      <c r="F3" s="883"/>
      <c r="G3" s="883"/>
      <c r="H3" s="883"/>
      <c r="J3" s="534"/>
      <c r="K3" s="534"/>
      <c r="L3" s="534"/>
      <c r="M3" s="534"/>
      <c r="N3" s="534"/>
      <c r="O3" s="534"/>
    </row>
    <row r="4" spans="2:17">
      <c r="B4" s="24"/>
      <c r="C4" s="24"/>
      <c r="D4" s="24"/>
      <c r="E4" s="24"/>
      <c r="J4" s="611">
        <v>0</v>
      </c>
      <c r="K4" s="535" t="s">
        <v>578</v>
      </c>
      <c r="L4" s="535"/>
      <c r="M4" s="535"/>
      <c r="N4" s="535"/>
    </row>
    <row r="5" spans="2:17" ht="14.5" thickBot="1">
      <c r="B5" s="33"/>
      <c r="J5" s="611">
        <v>0</v>
      </c>
      <c r="K5" s="535" t="s">
        <v>579</v>
      </c>
      <c r="L5" s="535"/>
      <c r="M5" s="535"/>
      <c r="N5" s="535"/>
    </row>
    <row r="6" spans="2:17" ht="45.15" customHeight="1" thickTop="1">
      <c r="B6" s="78" t="s">
        <v>15</v>
      </c>
      <c r="C6" s="79" t="s">
        <v>16</v>
      </c>
      <c r="D6" s="79" t="s">
        <v>17</v>
      </c>
      <c r="E6" s="79" t="s">
        <v>18</v>
      </c>
      <c r="F6" s="80" t="s">
        <v>308</v>
      </c>
      <c r="G6" s="80" t="s">
        <v>702</v>
      </c>
      <c r="H6" s="80" t="s">
        <v>716</v>
      </c>
      <c r="I6" s="77"/>
      <c r="Q6" s="656"/>
    </row>
    <row r="7" spans="2:17" ht="30.15" customHeight="1" thickBot="1">
      <c r="B7" s="98"/>
      <c r="C7" s="55" t="str">
        <f>+'COMBUSTIBLES '!B6</f>
        <v>01 DE ENERO 2022</v>
      </c>
      <c r="D7" s="55" t="str">
        <f>+C7</f>
        <v>01 DE ENERO 2022</v>
      </c>
      <c r="E7" s="55" t="str">
        <f>+D7</f>
        <v>01 DE ENERO 2022</v>
      </c>
      <c r="F7" s="56" t="str">
        <f>+E7</f>
        <v>01 DE ENERO 2022</v>
      </c>
      <c r="G7" s="56" t="str">
        <f>+E7</f>
        <v>01 DE ENERO 2022</v>
      </c>
      <c r="H7" s="56" t="str">
        <f>+F7</f>
        <v>01 DE ENERO 2022</v>
      </c>
      <c r="I7" s="77"/>
    </row>
    <row r="8" spans="2:17" ht="27.15" customHeight="1" thickTop="1">
      <c r="B8" s="95" t="s">
        <v>19</v>
      </c>
      <c r="C8" s="96">
        <f>'COMBUSTIBLES '!B7-J4</f>
        <v>5108.8999999999996</v>
      </c>
      <c r="D8" s="96">
        <f>'COMBUSTIBLES '!D7</f>
        <v>9825.0400000000009</v>
      </c>
      <c r="E8" s="96">
        <f>'COMBUSTIBLES '!E7-J5</f>
        <v>4480.78</v>
      </c>
      <c r="F8" s="97">
        <f>+(E8*98%)+BIODIESEL!E9</f>
        <v>4791.4143999999997</v>
      </c>
      <c r="G8" s="741">
        <f>+(E8*97%)+BIODIESEL!F9</f>
        <v>4946.7376000000004</v>
      </c>
      <c r="H8" s="722">
        <f>+(E8*89%)+BIODIESEL!H9</f>
        <v>6189.2921999999999</v>
      </c>
      <c r="I8" s="77"/>
    </row>
    <row r="9" spans="2:17" ht="27.15" customHeight="1">
      <c r="B9" s="329" t="s">
        <v>215</v>
      </c>
      <c r="C9" s="82" t="s">
        <v>49</v>
      </c>
      <c r="D9" s="82" t="str">
        <f>+C9</f>
        <v>(*****)</v>
      </c>
      <c r="E9" s="82" t="str">
        <f>+C9</f>
        <v>(*****)</v>
      </c>
      <c r="F9" s="83" t="str">
        <f>+D9</f>
        <v>(*****)</v>
      </c>
      <c r="G9" s="742" t="str">
        <f>+F9</f>
        <v>(*****)</v>
      </c>
      <c r="H9" s="86" t="s">
        <v>49</v>
      </c>
      <c r="I9" s="77"/>
      <c r="K9" s="281"/>
      <c r="L9" s="281"/>
    </row>
    <row r="10" spans="2:17" ht="27.15" customHeight="1">
      <c r="B10" s="81" t="s">
        <v>252</v>
      </c>
      <c r="C10" s="82">
        <f>+'COMBUSTIBLES '!B8</f>
        <v>8.6314000000000011</v>
      </c>
      <c r="D10" s="82">
        <f>+C10</f>
        <v>8.6314000000000011</v>
      </c>
      <c r="E10" s="82">
        <f>+'COMBUSTIBLES '!E8</f>
        <v>8.6314000000000011</v>
      </c>
      <c r="F10" s="83">
        <f>+BIODIESEL!F14</f>
        <v>8.6314000000000011</v>
      </c>
      <c r="G10" s="742">
        <f>+F10</f>
        <v>8.6314000000000011</v>
      </c>
      <c r="H10" s="86">
        <f>+F10</f>
        <v>8.6314000000000011</v>
      </c>
      <c r="I10" s="77"/>
    </row>
    <row r="11" spans="2:17" ht="27.15" hidden="1" customHeight="1">
      <c r="B11" s="84" t="s">
        <v>216</v>
      </c>
      <c r="C11" s="82">
        <f>'COMBUSTIBLES '!B10</f>
        <v>0</v>
      </c>
      <c r="D11" s="82">
        <f>'COMBUSTIBLES '!B10</f>
        <v>0</v>
      </c>
      <c r="E11" s="82">
        <f>'COMBUSTIBLES '!E10</f>
        <v>0</v>
      </c>
      <c r="F11" s="83">
        <f>+E11</f>
        <v>0</v>
      </c>
      <c r="G11" s="742"/>
      <c r="H11" s="86">
        <v>0</v>
      </c>
      <c r="I11" s="77"/>
      <c r="J11" s="330">
        <f>+E8*0.98</f>
        <v>4391.1643999999997</v>
      </c>
    </row>
    <row r="12" spans="2:17" ht="27.15" customHeight="1">
      <c r="B12" s="81" t="s">
        <v>297</v>
      </c>
      <c r="C12" s="82">
        <f>Variables!C24</f>
        <v>1093.3800000000001</v>
      </c>
      <c r="D12" s="82">
        <f>Variables!C25</f>
        <v>1156.9000000000001</v>
      </c>
      <c r="E12" s="82">
        <f>Variables!C34</f>
        <v>724.42</v>
      </c>
      <c r="F12" s="83">
        <f>E12*98%</f>
        <v>709.9316</v>
      </c>
      <c r="G12" s="742">
        <f>E12*97%</f>
        <v>702.68739999999991</v>
      </c>
      <c r="H12" s="86">
        <f>+E12*0.89</f>
        <v>644.73379999999997</v>
      </c>
      <c r="I12" s="77"/>
      <c r="J12" s="524">
        <f>+BIODIESEL!E9</f>
        <v>400.25</v>
      </c>
    </row>
    <row r="13" spans="2:17" s="281" customFormat="1" ht="27.15" customHeight="1">
      <c r="B13" s="81" t="s">
        <v>242</v>
      </c>
      <c r="C13" s="85"/>
      <c r="D13" s="85"/>
      <c r="E13" s="85"/>
      <c r="F13" s="86"/>
      <c r="G13" s="742"/>
      <c r="H13" s="86"/>
      <c r="I13" s="77"/>
      <c r="J13" s="524">
        <f>+J11+J12</f>
        <v>4791.4143999999997</v>
      </c>
    </row>
    <row r="14" spans="2:17" s="281" customFormat="1" ht="27.15" customHeight="1">
      <c r="B14" s="81" t="s">
        <v>284</v>
      </c>
      <c r="C14" s="85">
        <f>'COMBUSTIBLES '!B13</f>
        <v>159</v>
      </c>
      <c r="D14" s="85">
        <f>'COMBUSTIBLES '!C13</f>
        <v>159</v>
      </c>
      <c r="E14" s="85">
        <f>'COMBUSTIBLES '!E13</f>
        <v>179</v>
      </c>
      <c r="F14" s="86">
        <f>+BIODIESEL!E13</f>
        <v>175.42</v>
      </c>
      <c r="G14" s="742">
        <f>+BIODIESEL!F13</f>
        <v>173.63</v>
      </c>
      <c r="H14" s="86">
        <f>+BIODIESEL!H13</f>
        <v>159.31</v>
      </c>
      <c r="I14" s="77"/>
    </row>
    <row r="15" spans="2:17" ht="44.4" customHeight="1">
      <c r="B15" s="87" t="s">
        <v>22</v>
      </c>
      <c r="C15" s="88">
        <f>SUM(C8:C14)</f>
        <v>6369.9114</v>
      </c>
      <c r="D15" s="88">
        <f>SUM(D8:D14)</f>
        <v>11149.571400000001</v>
      </c>
      <c r="E15" s="88">
        <f>SUM(E8:E14)</f>
        <v>5392.8314</v>
      </c>
      <c r="F15" s="89">
        <f>SUM(F8:F14)</f>
        <v>5685.3973999999998</v>
      </c>
      <c r="G15" s="89">
        <f>SUM(G8:G14)</f>
        <v>5831.6864000000005</v>
      </c>
      <c r="H15" s="89">
        <v>5931.8880000000008</v>
      </c>
      <c r="I15" s="77"/>
      <c r="J15"/>
      <c r="K15"/>
    </row>
    <row r="16" spans="2:17" ht="32.25" customHeight="1">
      <c r="B16" s="81" t="s">
        <v>4</v>
      </c>
      <c r="C16" s="90" t="s">
        <v>12</v>
      </c>
      <c r="D16" s="82"/>
      <c r="E16" s="90" t="str">
        <f>+C16</f>
        <v>(**)</v>
      </c>
      <c r="F16" s="91" t="str">
        <f t="shared" ref="F16:G18" si="0">+E16</f>
        <v>(**)</v>
      </c>
      <c r="G16" s="91" t="str">
        <f t="shared" si="0"/>
        <v>(**)</v>
      </c>
      <c r="H16" s="723" t="s">
        <v>12</v>
      </c>
      <c r="I16" s="77"/>
      <c r="J16"/>
    </row>
    <row r="17" spans="2:20" s="34" customFormat="1" ht="29.25" customHeight="1">
      <c r="B17" s="116" t="s">
        <v>220</v>
      </c>
      <c r="C17" s="90" t="s">
        <v>21</v>
      </c>
      <c r="D17" s="90" t="str">
        <f>+C17</f>
        <v>(***)</v>
      </c>
      <c r="E17" s="90" t="str">
        <f>+D17</f>
        <v>(***)</v>
      </c>
      <c r="F17" s="91" t="str">
        <f t="shared" si="0"/>
        <v>(***)</v>
      </c>
      <c r="G17" s="91" t="str">
        <f t="shared" si="0"/>
        <v>(***)</v>
      </c>
      <c r="H17" s="723" t="s">
        <v>21</v>
      </c>
      <c r="I17" s="77"/>
      <c r="T17" s="13"/>
    </row>
    <row r="18" spans="2:20" s="281" customFormat="1" ht="30.15" customHeight="1" thickBot="1">
      <c r="B18" s="92" t="s">
        <v>195</v>
      </c>
      <c r="C18" s="93" t="s">
        <v>202</v>
      </c>
      <c r="D18" s="93" t="str">
        <f>+C18</f>
        <v>(****)</v>
      </c>
      <c r="E18" s="93" t="str">
        <f>+D18</f>
        <v>(****)</v>
      </c>
      <c r="F18" s="94" t="str">
        <f t="shared" si="0"/>
        <v>(****)</v>
      </c>
      <c r="G18" s="94" t="str">
        <f t="shared" si="0"/>
        <v>(****)</v>
      </c>
      <c r="H18" s="724" t="s">
        <v>202</v>
      </c>
      <c r="I18" s="77"/>
    </row>
    <row r="19" spans="2:20" ht="14.5" thickTop="1">
      <c r="F19" s="64"/>
      <c r="G19" s="736"/>
    </row>
    <row r="20" spans="2:20" s="77" customFormat="1" ht="40.65" customHeight="1">
      <c r="B20" s="885" t="s">
        <v>214</v>
      </c>
      <c r="C20" s="885"/>
      <c r="D20" s="885"/>
      <c r="E20" s="885"/>
    </row>
    <row r="21" spans="2:20" s="77" customFormat="1" ht="30.75" customHeight="1">
      <c r="B21" s="886" t="s">
        <v>251</v>
      </c>
      <c r="C21" s="886"/>
      <c r="D21" s="886"/>
      <c r="E21" s="886"/>
    </row>
    <row r="22" spans="2:20" s="77" customFormat="1" ht="5.4" customHeight="1">
      <c r="B22" s="293"/>
      <c r="C22" s="293"/>
      <c r="D22" s="293"/>
      <c r="E22" s="293"/>
    </row>
    <row r="23" spans="2:20" s="77" customFormat="1" ht="17.399999999999999" customHeight="1">
      <c r="B23" s="885" t="s">
        <v>217</v>
      </c>
      <c r="C23" s="885"/>
      <c r="D23" s="885"/>
      <c r="E23" s="885"/>
    </row>
    <row r="24" spans="2:20" s="77" customFormat="1" ht="3.75" customHeight="1">
      <c r="B24" s="282"/>
      <c r="C24" s="282"/>
      <c r="D24" s="282"/>
      <c r="E24" s="282"/>
    </row>
    <row r="25" spans="2:20" s="77" customFormat="1" ht="17.399999999999999" customHeight="1">
      <c r="B25" s="885" t="s">
        <v>234</v>
      </c>
      <c r="C25" s="885"/>
      <c r="D25" s="885"/>
      <c r="E25" s="885"/>
    </row>
    <row r="26" spans="2:20" s="77" customFormat="1" ht="8.4" customHeight="1">
      <c r="B26" s="282"/>
      <c r="C26" s="282"/>
      <c r="D26" s="282"/>
      <c r="E26" s="282"/>
    </row>
    <row r="27" spans="2:20" s="77" customFormat="1" ht="25.5" customHeight="1">
      <c r="B27" s="885" t="s">
        <v>218</v>
      </c>
      <c r="C27" s="885"/>
      <c r="D27" s="885"/>
      <c r="E27" s="885"/>
    </row>
    <row r="28" spans="2:20" ht="7.5" customHeight="1">
      <c r="B28" s="284"/>
      <c r="C28" s="284"/>
      <c r="D28" s="284"/>
      <c r="E28" s="284"/>
    </row>
    <row r="29" spans="2:20" s="281" customFormat="1" ht="45.65" customHeight="1">
      <c r="B29" s="881" t="s">
        <v>266</v>
      </c>
      <c r="C29" s="881"/>
      <c r="D29" s="881"/>
      <c r="E29" s="881"/>
    </row>
    <row r="30" spans="2:20" ht="11.25" customHeight="1"/>
    <row r="31" spans="2:20">
      <c r="B31" s="886" t="s">
        <v>253</v>
      </c>
      <c r="C31" s="886"/>
      <c r="D31" s="886"/>
      <c r="E31" s="886"/>
    </row>
    <row r="33" spans="2:7">
      <c r="B33" s="886" t="s">
        <v>692</v>
      </c>
      <c r="C33" s="886"/>
      <c r="D33" s="886"/>
      <c r="E33" s="886"/>
    </row>
    <row r="34" spans="2:7" s="281" customFormat="1">
      <c r="B34" s="400"/>
      <c r="C34" s="400"/>
      <c r="D34" s="400"/>
      <c r="E34" s="400"/>
    </row>
    <row r="35" spans="2:7" ht="86.25" customHeight="1">
      <c r="B35" s="848" t="s">
        <v>262</v>
      </c>
      <c r="C35" s="848"/>
      <c r="D35" s="848"/>
      <c r="E35" s="848"/>
      <c r="F35" s="848"/>
      <c r="G35" s="733"/>
    </row>
    <row r="40" spans="2:7">
      <c r="B40" s="881"/>
      <c r="C40" s="881"/>
      <c r="D40" s="881"/>
      <c r="E40" s="881"/>
    </row>
  </sheetData>
  <sheetProtection algorithmName="SHA-512" hashValue="bsI1e1MwanWCWiOsX2IqcS6+i3cCfpn5sC7xEzMO7mtKugBmW9jS8yX/9b4zr6bockTiM43C0XeYBayQv1P1Yg==" saltValue="/alL2UlhNvLSsgsE94dZwg==" spinCount="100000" sheet="1" objects="1" scenarios="1"/>
  <mergeCells count="14">
    <mergeCell ref="B3:H3"/>
    <mergeCell ref="J1:N2"/>
    <mergeCell ref="B40:E40"/>
    <mergeCell ref="B29:E29"/>
    <mergeCell ref="B35:F35"/>
    <mergeCell ref="B20:E20"/>
    <mergeCell ref="B21:E21"/>
    <mergeCell ref="B31:E31"/>
    <mergeCell ref="B23:E23"/>
    <mergeCell ref="B25:E25"/>
    <mergeCell ref="B27:E27"/>
    <mergeCell ref="B33:E33"/>
    <mergeCell ref="B1:H1"/>
    <mergeCell ref="B2:H2"/>
  </mergeCells>
  <phoneticPr fontId="30"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11</vt:i4>
      </vt:variant>
    </vt:vector>
  </HeadingPairs>
  <TitlesOfParts>
    <vt:vector size="23"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DIESEL MARINO B3</vt:lpstr>
      <vt:lpstr>GCINI</vt:lpstr>
      <vt:lpstr>BIODIESEL!Área_de_impresión</vt:lpstr>
      <vt:lpstr>'COMBUSTIBLES '!Área_de_impresión</vt:lpstr>
      <vt:lpstr>'DIESEL MARINO'!Área_de_impresión</vt:lpstr>
      <vt:lpstr>'DIESEL MARINO B3'!Área_de_impresión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Samuel Alfonso Florez</cp:lastModifiedBy>
  <cp:lastPrinted>2013-07-04T13:34:50Z</cp:lastPrinted>
  <dcterms:created xsi:type="dcterms:W3CDTF">2003-04-09T13:52:41Z</dcterms:created>
  <dcterms:modified xsi:type="dcterms:W3CDTF">2022-01-06T13:45:39Z</dcterms:modified>
</cp:coreProperties>
</file>