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2145" windowWidth="12030" windowHeight="2925" tabRatio="683" firstSheet="2" activeTab="2"/>
  </bookViews>
  <sheets>
    <sheet name="Variables" sheetId="106" state="hidden" r:id="rId1"/>
    <sheet name="TARIFAS DE TRANSPORTE" sheetId="61" state="hidden" r:id="rId2"/>
    <sheet name="COMBUSTIBLES " sheetId="1" r:id="rId3"/>
    <sheet name="GASOLINA CORRIENTE OXIGENADA" sheetId="46" r:id="rId4"/>
    <sheet name="SUSPENSIÓN DE MEZCLAS GASOLINA" sheetId="107" state="hidden" r:id="rId5"/>
    <sheet name="GASOLINA EXTRA OXIGENADA" sheetId="96" r:id="rId6"/>
    <sheet name="BIODIESEL" sheetId="95" r:id="rId7"/>
    <sheet name="SUSPENSIÓN DE MEZCLAS ACPM" sheetId="108" state="hidden" r:id="rId8"/>
    <sheet name="SAN-ANDRES + GENERACION" sheetId="4" r:id="rId9"/>
    <sheet name="DIESEL MARINO " sheetId="91" r:id="rId10"/>
    <sheet name="GCINI" sheetId="70" state="hidden" r:id="rId11"/>
    <sheet name="Hoja1" sheetId="109" state="hidden" r:id="rId12"/>
    <sheet name="Hoja2" sheetId="110" state="hidden" r:id="rId13"/>
    <sheet name="Hoja3" sheetId="111" state="hidden" r:id="rId14"/>
    <sheet name="Hoja4" sheetId="112"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A" localSheetId="6">#REF!</definedName>
    <definedName name="\A" localSheetId="2">#REF!</definedName>
    <definedName name="\A" localSheetId="3">#REF!</definedName>
    <definedName name="\A" localSheetId="5">#REF!</definedName>
    <definedName name="\A" localSheetId="7">#REF!</definedName>
    <definedName name="\A">#REF!</definedName>
    <definedName name="\L" localSheetId="6">#REF!</definedName>
    <definedName name="\L" localSheetId="2">#REF!</definedName>
    <definedName name="\L" localSheetId="3">#REF!</definedName>
    <definedName name="\L" localSheetId="5">#REF!</definedName>
    <definedName name="\L" localSheetId="7">#REF!</definedName>
    <definedName name="\L">#REF!</definedName>
    <definedName name="\P" localSheetId="6">#REF!</definedName>
    <definedName name="\P" localSheetId="2">#REF!</definedName>
    <definedName name="\P" localSheetId="3">#REF!</definedName>
    <definedName name="\P" localSheetId="5">#REF!</definedName>
    <definedName name="\P" localSheetId="7">#REF!</definedName>
    <definedName name="\P">#REF!</definedName>
    <definedName name="_xlnm._FilterDatabase" localSheetId="10" hidden="1">GCINI!$A$1:$A$9</definedName>
    <definedName name="_xlnm._FilterDatabase" localSheetId="1" hidden="1">'TARIFAS DE TRANSPORTE'!$A$1:$B$9</definedName>
    <definedName name="A_IMPRESIÓN_IM" localSheetId="6">#REF!</definedName>
    <definedName name="A_IMPRESIÓN_IM" localSheetId="2">#REF!</definedName>
    <definedName name="A_IMPRESIÓN_IM" localSheetId="3">#REF!</definedName>
    <definedName name="A_IMPRESIÓN_IM" localSheetId="5">#REF!</definedName>
    <definedName name="A_IMPRESIÓN_IM" localSheetId="7">#REF!</definedName>
    <definedName name="A_IMPRESIÓN_IM">#REF!</definedName>
    <definedName name="ADI" localSheetId="6">#REF!</definedName>
    <definedName name="ADI" localSheetId="2">#REF!</definedName>
    <definedName name="ADI" localSheetId="3">#REF!</definedName>
    <definedName name="ADI" localSheetId="5">#REF!</definedName>
    <definedName name="ADI" localSheetId="7">#REF!</definedName>
    <definedName name="ADI">#REF!</definedName>
    <definedName name="_xlnm.Print_Area" localSheetId="6">BIODIESEL!$A$4:$I$24</definedName>
    <definedName name="_xlnm.Print_Area" localSheetId="2">'COMBUSTIBLES '!$A$2:$F$21</definedName>
    <definedName name="_xlnm.Print_Area" localSheetId="9">'DIESEL MARINO '!$C$25:$H$44</definedName>
    <definedName name="_xlnm.Print_Area" localSheetId="3">'GASOLINA CORRIENTE OXIGENADA'!$A$2:$E$25</definedName>
    <definedName name="_xlnm.Print_Area" localSheetId="5">'GASOLINA EXTRA OXIGENADA'!$A$2:$D$21</definedName>
    <definedName name="_xlnm.Print_Area" localSheetId="10">GCINI!$A$1:$H$18</definedName>
    <definedName name="_xlnm.Print_Area" localSheetId="8">'SAN-ANDRES + GENERACION'!$B$1:$F$34</definedName>
    <definedName name="_xlnm.Print_Area" localSheetId="1">'TARIFAS DE TRANSPORTE'!$A$1:$C$34</definedName>
    <definedName name="base" localSheetId="7">#REF!</definedName>
    <definedName name="base">#REF!</definedName>
    <definedName name="base_VaR" localSheetId="7">#REF!</definedName>
    <definedName name="base_VaR">#REF!</definedName>
    <definedName name="CONTADO" localSheetId="7">#REF!</definedName>
    <definedName name="CONTADO">#REF!</definedName>
    <definedName name="CREDITO" localSheetId="7">#REF!</definedName>
    <definedName name="CREDITO">#REF!</definedName>
    <definedName name="DAT" localSheetId="6">#REF!</definedName>
    <definedName name="DAT" localSheetId="2">#REF!</definedName>
    <definedName name="DAT" localSheetId="3">#REF!</definedName>
    <definedName name="DAT" localSheetId="5">#REF!</definedName>
    <definedName name="DAT" localSheetId="7">#REF!</definedName>
    <definedName name="DAT">#REF!</definedName>
    <definedName name="E_03" localSheetId="7">#REF!</definedName>
    <definedName name="E_03">#REF!</definedName>
    <definedName name="ERR" localSheetId="6">[1]TARIF2002!#REF!</definedName>
    <definedName name="ERR" localSheetId="3">[1]TARIF2002!#REF!</definedName>
    <definedName name="ERR" localSheetId="5">[1]TARIF2002!#REF!</definedName>
    <definedName name="ERR" localSheetId="7">[2]TARIF2002!#REF!</definedName>
    <definedName name="ERR">[2]TARIF2002!#REF!</definedName>
    <definedName name="ERROR" localSheetId="6">#REF!</definedName>
    <definedName name="ERROR" localSheetId="3">#REF!</definedName>
    <definedName name="ERROR" localSheetId="5">#REF!</definedName>
    <definedName name="ERROR" localSheetId="7">#REF!</definedName>
    <definedName name="ERROR">#REF!</definedName>
    <definedName name="ERROR1" localSheetId="6">#REF!</definedName>
    <definedName name="ERROR1" localSheetId="3">#REF!</definedName>
    <definedName name="ERROR1" localSheetId="5">#REF!</definedName>
    <definedName name="ERROR1" localSheetId="7">#REF!</definedName>
    <definedName name="ERROR1">#REF!</definedName>
    <definedName name="ERROR2" localSheetId="6">#REF!</definedName>
    <definedName name="ERROR2" localSheetId="3">#REF!</definedName>
    <definedName name="ERROR2" localSheetId="5">#REF!</definedName>
    <definedName name="ERROR2" localSheetId="7">#REF!</definedName>
    <definedName name="ERROR2">#REF!</definedName>
    <definedName name="ERROR3" localSheetId="6">[1]TARIF2002!#REF!</definedName>
    <definedName name="ERROR3" localSheetId="3">[1]TARIF2002!#REF!</definedName>
    <definedName name="ERROR3" localSheetId="5">[1]TARIF2002!#REF!</definedName>
    <definedName name="ERROR3" localSheetId="7">[2]TARIF2002!#REF!</definedName>
    <definedName name="ERROR3">[2]TARIF2002!#REF!</definedName>
    <definedName name="ERROR5" localSheetId="6">[1]TARIF2002!#REF!</definedName>
    <definedName name="ERROR5" localSheetId="3">[1]TARIF2002!#REF!</definedName>
    <definedName name="ERROR5" localSheetId="5">[1]TARIF2002!#REF!</definedName>
    <definedName name="ERROR5" localSheetId="7">[2]TARIF2002!#REF!</definedName>
    <definedName name="ERROR5">[2]TARIF2002!#REF!</definedName>
    <definedName name="j" localSheetId="6">#REF!</definedName>
    <definedName name="j" localSheetId="3">#REF!</definedName>
    <definedName name="j" localSheetId="5">#REF!</definedName>
    <definedName name="j" localSheetId="7">#REF!</definedName>
    <definedName name="j">#REF!</definedName>
    <definedName name="JA" localSheetId="7">#REF!</definedName>
    <definedName name="JA">#REF!</definedName>
    <definedName name="MATRIZRICS" localSheetId="6">'[3]RICS NUEVA HOJA DIARIA'!$A$1:$AB$42</definedName>
    <definedName name="MATRIZRICS" localSheetId="3">'[3]RICS NUEVA HOJA DIARIA'!$A$1:$AB$42</definedName>
    <definedName name="MATRIZRICS" localSheetId="5">'[3]RICS NUEVA HOJA DIARIA'!$A$1:$AB$42</definedName>
    <definedName name="MATRIZRICS">'[4]RICS NUEVA HOJA DIARIA'!$A$1:$AB$42</definedName>
    <definedName name="MES" localSheetId="6">#REF!</definedName>
    <definedName name="MES" localSheetId="2">#REF!</definedName>
    <definedName name="MES" localSheetId="3">#REF!</definedName>
    <definedName name="MES" localSheetId="5">#REF!</definedName>
    <definedName name="MES" localSheetId="7">#REF!</definedName>
    <definedName name="MES">#REF!</definedName>
    <definedName name="Q" localSheetId="6">[5]TARIF2002!#REF!</definedName>
    <definedName name="Q" localSheetId="3">[5]TARIF2002!#REF!</definedName>
    <definedName name="Q" localSheetId="5">[5]TARIF2002!#REF!</definedName>
    <definedName name="Q" localSheetId="7">[6]TARIF2002!#REF!</definedName>
    <definedName name="Q">[6]TARIF2002!#REF!</definedName>
    <definedName name="QE" localSheetId="6">[7]TARIF2002!#REF!</definedName>
    <definedName name="QE" localSheetId="2">[8]TARIF2002!#REF!</definedName>
    <definedName name="QE" localSheetId="3">[7]TARIF2002!#REF!</definedName>
    <definedName name="QE" localSheetId="5">[7]TARIF2002!#REF!</definedName>
    <definedName name="QE" localSheetId="7">[2]TARIF2002!#REF!</definedName>
    <definedName name="QE">[2]TARIF2002!#REF!</definedName>
    <definedName name="QE_TE" localSheetId="6">[7]TARIF2002!#REF!</definedName>
    <definedName name="QE_TE" localSheetId="2">[8]TARIF2002!#REF!</definedName>
    <definedName name="QE_TE" localSheetId="3">[7]TARIF2002!#REF!</definedName>
    <definedName name="QE_TE" localSheetId="5">[7]TARIF2002!#REF!</definedName>
    <definedName name="QE_TE" localSheetId="7">[2]TARIF2002!#REF!</definedName>
    <definedName name="QE_TE">[2]TARIF2002!#REF!</definedName>
    <definedName name="QI" localSheetId="6">[7]TARIF2002!#REF!</definedName>
    <definedName name="QI" localSheetId="2">[8]TARIF2002!#REF!</definedName>
    <definedName name="QI" localSheetId="3">[7]TARIF2002!#REF!</definedName>
    <definedName name="QI" localSheetId="5">[7]TARIF2002!#REF!</definedName>
    <definedName name="QI" localSheetId="7">[2]TARIF2002!#REF!</definedName>
    <definedName name="QI">[2]TARIF2002!#REF!</definedName>
    <definedName name="QI_TI" localSheetId="6">[7]TARIF2002!#REF!</definedName>
    <definedName name="QI_TI" localSheetId="2">[8]TARIF2002!#REF!</definedName>
    <definedName name="QI_TI" localSheetId="3">[7]TARIF2002!#REF!</definedName>
    <definedName name="QI_TI" localSheetId="5">[7]TARIF2002!#REF!</definedName>
    <definedName name="QI_TI" localSheetId="7">[2]TARIF2002!#REF!</definedName>
    <definedName name="QI_TI">[2]TARIF2002!#REF!</definedName>
    <definedName name="QN" localSheetId="6">[7]TARIF2002!#REF!</definedName>
    <definedName name="QN" localSheetId="2">[8]TARIF2002!#REF!</definedName>
    <definedName name="QN" localSheetId="3">[7]TARIF2002!#REF!</definedName>
    <definedName name="QN" localSheetId="5">[7]TARIF2002!#REF!</definedName>
    <definedName name="QN" localSheetId="7">[2]TARIF2002!#REF!</definedName>
    <definedName name="QN">[2]TARIF2002!#REF!</definedName>
    <definedName name="QN_QI" localSheetId="6">[7]TARIF2002!#REF!</definedName>
    <definedName name="QN_QI" localSheetId="2">[8]TARIF2002!#REF!</definedName>
    <definedName name="QN_QI" localSheetId="3">[7]TARIF2002!#REF!</definedName>
    <definedName name="QN_QI" localSheetId="5">[7]TARIF2002!#REF!</definedName>
    <definedName name="QN_QI" localSheetId="7">[2]TARIF2002!#REF!</definedName>
    <definedName name="QN_QI">[2]TARIF2002!#REF!</definedName>
    <definedName name="QNS" localSheetId="6">[5]TARIF2002!#REF!</definedName>
    <definedName name="QNS" localSheetId="3">[5]TARIF2002!#REF!</definedName>
    <definedName name="QNS" localSheetId="5">[5]TARIF2002!#REF!</definedName>
    <definedName name="QNS" localSheetId="7">[6]TARIF2002!#REF!</definedName>
    <definedName name="QNS">[6]TARIF2002!#REF!</definedName>
    <definedName name="REG" localSheetId="6">#REF!</definedName>
    <definedName name="REG" localSheetId="2">#REF!</definedName>
    <definedName name="REG" localSheetId="3">#REF!</definedName>
    <definedName name="REG" localSheetId="5">#REF!</definedName>
    <definedName name="REG" localSheetId="7">#REF!</definedName>
    <definedName name="REG">#REF!</definedName>
    <definedName name="REGULAR" localSheetId="6">#REF!</definedName>
    <definedName name="REGULAR" localSheetId="2">#REF!</definedName>
    <definedName name="REGULAR" localSheetId="3">#REF!</definedName>
    <definedName name="REGULAR" localSheetId="5">#REF!</definedName>
    <definedName name="REGULAR" localSheetId="7">#REF!</definedName>
    <definedName name="REGULAR">#REF!</definedName>
    <definedName name="SOL" localSheetId="6">#REF!</definedName>
    <definedName name="SOL" localSheetId="2">#REF!</definedName>
    <definedName name="SOL" localSheetId="3">#REF!</definedName>
    <definedName name="SOL" localSheetId="5">#REF!</definedName>
    <definedName name="SOL" localSheetId="7">#REF!</definedName>
    <definedName name="SOL">#REF!</definedName>
    <definedName name="TABLE" localSheetId="6">BIODIESEL!$A$2:$A$24</definedName>
    <definedName name="TABLE" localSheetId="2">'COMBUSTIBLES '!$A$2:$F$21</definedName>
    <definedName name="TABLE" localSheetId="3">'GASOLINA CORRIENTE OXIGENADA'!$A$2:$E$23</definedName>
    <definedName name="TABLE" localSheetId="5">'GASOLINA EXTRA OXIGENADA'!$A$2:$A$21</definedName>
    <definedName name="TE" localSheetId="6">[7]TARIF2002!#REF!</definedName>
    <definedName name="TE" localSheetId="2">[8]TARIF2002!#REF!</definedName>
    <definedName name="TE" localSheetId="3">[7]TARIF2002!#REF!</definedName>
    <definedName name="TE" localSheetId="5">[7]TARIF2002!#REF!</definedName>
    <definedName name="TE" localSheetId="7">[2]TARIF2002!#REF!</definedName>
    <definedName name="TE">[2]TARIF2002!#REF!</definedName>
    <definedName name="TI" localSheetId="6">[7]TARIF2002!#REF!</definedName>
    <definedName name="TI" localSheetId="2">[8]TARIF2002!#REF!</definedName>
    <definedName name="TI" localSheetId="3">[7]TARIF2002!#REF!</definedName>
    <definedName name="TI" localSheetId="5">[7]TARIF2002!#REF!</definedName>
    <definedName name="TI" localSheetId="7">[2]TARIF2002!#REF!</definedName>
    <definedName name="TI">[2]TARIF2002!#REF!</definedName>
    <definedName name="TITU" localSheetId="6">#REF!</definedName>
    <definedName name="TITU" localSheetId="2">#REF!</definedName>
    <definedName name="TITU" localSheetId="3">#REF!</definedName>
    <definedName name="TITU" localSheetId="5">#REF!</definedName>
    <definedName name="TITU" localSheetId="7">#REF!</definedName>
    <definedName name="TITU">#REF!</definedName>
    <definedName name="TOT" localSheetId="6">#REF!</definedName>
    <definedName name="TOT" localSheetId="2">#REF!</definedName>
    <definedName name="TOT" localSheetId="3">#REF!</definedName>
    <definedName name="TOT" localSheetId="5">#REF!</definedName>
    <definedName name="TOT" localSheetId="7">#REF!</definedName>
    <definedName name="TOT">#REF!</definedName>
  </definedNames>
  <calcPr calcId="145621"/>
</workbook>
</file>

<file path=xl/calcChain.xml><?xml version="1.0" encoding="utf-8"?>
<calcChain xmlns="http://schemas.openxmlformats.org/spreadsheetml/2006/main">
  <c r="E16" i="70" l="1"/>
  <c r="E9" i="91"/>
  <c r="E14" i="70" l="1"/>
  <c r="F14" i="70"/>
  <c r="G14" i="70"/>
  <c r="I14" i="70" s="1"/>
  <c r="H14" i="70"/>
  <c r="J14" i="70" s="1"/>
  <c r="D14" i="70"/>
  <c r="B14" i="70"/>
  <c r="D55" i="91"/>
  <c r="E55" i="91" s="1"/>
  <c r="F55" i="91" s="1"/>
  <c r="C12" i="95"/>
  <c r="D12" i="95" s="1"/>
  <c r="E12" i="95" s="1"/>
  <c r="F12" i="95" s="1"/>
  <c r="G12" i="95" s="1"/>
  <c r="H12" i="95" s="1"/>
  <c r="C12" i="96"/>
  <c r="D12" i="96" s="1"/>
  <c r="E12" i="96" s="1"/>
  <c r="F12" i="96" s="1"/>
  <c r="C12" i="46"/>
  <c r="D12" i="46" s="1"/>
  <c r="E12" i="46" s="1"/>
  <c r="F12" i="46" s="1"/>
  <c r="B8" i="1" l="1"/>
  <c r="E7" i="91"/>
  <c r="C32" i="106"/>
  <c r="C33" i="106" l="1"/>
  <c r="F7" i="91" l="1"/>
  <c r="J7" i="70" l="1"/>
  <c r="I7" i="70"/>
  <c r="D31" i="91" l="1"/>
  <c r="E31" i="91" s="1"/>
  <c r="F31" i="91" s="1"/>
  <c r="F12" i="4"/>
  <c r="C47" i="106" l="1"/>
  <c r="C46" i="106"/>
  <c r="C45" i="106"/>
  <c r="C44" i="106"/>
  <c r="C19" i="106"/>
  <c r="A13" i="95" l="1"/>
  <c r="A12" i="95"/>
  <c r="A13" i="96"/>
  <c r="A12" i="96"/>
  <c r="A12" i="46"/>
  <c r="C8" i="91" s="1"/>
  <c r="C32" i="91" s="1"/>
  <c r="C55" i="91" s="1"/>
  <c r="A13" i="46"/>
  <c r="C9" i="91" s="1"/>
  <c r="C33" i="91" s="1"/>
  <c r="C56" i="91" s="1"/>
  <c r="E8" i="91" l="1"/>
  <c r="F8" i="91" s="1"/>
  <c r="I8" i="91" s="1"/>
  <c r="J8" i="91" s="1"/>
  <c r="D8" i="91"/>
  <c r="A5" i="70"/>
  <c r="E9" i="46"/>
  <c r="F9" i="46"/>
  <c r="F7" i="70"/>
  <c r="F9" i="70" s="1"/>
  <c r="C8" i="70"/>
  <c r="E8" i="70" s="1"/>
  <c r="E9" i="70" s="1"/>
  <c r="I8" i="70"/>
  <c r="J8" i="70"/>
  <c r="B9" i="70"/>
  <c r="D9" i="70"/>
  <c r="G9" i="70"/>
  <c r="C11" i="70"/>
  <c r="D11" i="70"/>
  <c r="E11" i="70"/>
  <c r="F11" i="70"/>
  <c r="G11" i="70"/>
  <c r="H11" i="70"/>
  <c r="A13" i="70"/>
  <c r="D16" i="70"/>
  <c r="I16" i="70" s="1"/>
  <c r="C17" i="70"/>
  <c r="D17" i="70" s="1"/>
  <c r="F22" i="46"/>
  <c r="F24" i="46" s="1"/>
  <c r="F53" i="91"/>
  <c r="C14" i="46"/>
  <c r="D14" i="46" s="1"/>
  <c r="E14" i="46" s="1"/>
  <c r="AR81" i="61"/>
  <c r="AU81" i="61" s="1"/>
  <c r="AX81" i="61" s="1"/>
  <c r="BA81" i="61" s="1"/>
  <c r="D9" i="46"/>
  <c r="D7" i="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c r="AY73" i="61" s="1"/>
  <c r="BB73" i="61" s="1"/>
  <c r="AT73" i="61"/>
  <c r="AW73" i="61" s="1"/>
  <c r="AZ73" i="61" s="1"/>
  <c r="BC73" i="61" s="1"/>
  <c r="AR73" i="61"/>
  <c r="AU73" i="61" s="1"/>
  <c r="AX73" i="61" s="1"/>
  <c r="BA73" i="61" s="1"/>
  <c r="AR8" i="61"/>
  <c r="AU8" i="61" s="1"/>
  <c r="AX8" i="61" s="1"/>
  <c r="BA8" i="61" s="1"/>
  <c r="AS8" i="61"/>
  <c r="AV8" i="61"/>
  <c r="AY8" i="61" s="1"/>
  <c r="BB8" i="61" s="1"/>
  <c r="AT8" i="61"/>
  <c r="AW8" i="61" s="1"/>
  <c r="AZ8" i="61" s="1"/>
  <c r="BC8" i="61" s="1"/>
  <c r="AR9" i="61"/>
  <c r="AU9" i="6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c r="BA36" i="61" s="1"/>
  <c r="AS36" i="61"/>
  <c r="AV36" i="61" s="1"/>
  <c r="AY36" i="61" s="1"/>
  <c r="BB36" i="61" s="1"/>
  <c r="AT36" i="61"/>
  <c r="AW36" i="6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c r="BC38" i="61" s="1"/>
  <c r="AR39" i="61"/>
  <c r="AU39" i="61" s="1"/>
  <c r="AX39" i="61" s="1"/>
  <c r="BA39" i="61" s="1"/>
  <c r="AS39" i="61"/>
  <c r="AV39" i="6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c r="AY55" i="61" s="1"/>
  <c r="BB55" i="61" s="1"/>
  <c r="AT55" i="61"/>
  <c r="AW55" i="61" s="1"/>
  <c r="AZ55" i="61" s="1"/>
  <c r="BC55" i="61" s="1"/>
  <c r="AR56" i="61"/>
  <c r="AU56" i="6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E22" i="46"/>
  <c r="E24" i="46"/>
  <c r="G9" i="95"/>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A2" i="95"/>
  <c r="A2" i="96"/>
  <c r="A2" i="46"/>
  <c r="A2" i="1"/>
  <c r="C7" i="95"/>
  <c r="H9" i="95"/>
  <c r="I9" i="95"/>
  <c r="B11" i="107"/>
  <c r="D11" i="107" s="1"/>
  <c r="F11" i="107" s="1"/>
  <c r="H11" i="107" s="1"/>
  <c r="J11" i="107" s="1"/>
  <c r="L11" i="107" s="1"/>
  <c r="N11" i="107" s="1"/>
  <c r="A8" i="107"/>
  <c r="F9" i="95"/>
  <c r="D9" i="108" s="1"/>
  <c r="D10" i="108" s="1"/>
  <c r="E58" i="91"/>
  <c r="F58" i="91" s="1"/>
  <c r="I18" i="106"/>
  <c r="F29" i="91"/>
  <c r="E29" i="91"/>
  <c r="D29" i="91"/>
  <c r="A11" i="95"/>
  <c r="A11" i="96"/>
  <c r="A11" i="46"/>
  <c r="C7" i="91" s="1"/>
  <c r="C31" i="91" s="1"/>
  <c r="C54" i="91" s="1"/>
  <c r="I16" i="95"/>
  <c r="E16" i="95" s="1"/>
  <c r="B14" i="108" s="1"/>
  <c r="C14" i="108" s="1"/>
  <c r="D14" i="108" s="1"/>
  <c r="E14" i="108" s="1"/>
  <c r="F14" i="108" s="1"/>
  <c r="G14" i="108" s="1"/>
  <c r="H14" i="108" s="1"/>
  <c r="I14" i="108" s="1"/>
  <c r="J14" i="108" s="1"/>
  <c r="K14" i="108" s="1"/>
  <c r="L14" i="108" s="1"/>
  <c r="M14" i="108" s="1"/>
  <c r="N14" i="108" s="1"/>
  <c r="O14" i="108" s="1"/>
  <c r="P14" i="108" s="1"/>
  <c r="I15" i="95"/>
  <c r="G15" i="95"/>
  <c r="C7" i="46"/>
  <c r="F8" i="46" s="1"/>
  <c r="F10" i="46" s="1"/>
  <c r="E16" i="4"/>
  <c r="F16" i="4" s="1"/>
  <c r="D15" i="95"/>
  <c r="E15" i="95" s="1"/>
  <c r="F15" i="95" s="1"/>
  <c r="H15" i="95"/>
  <c r="B7" i="96"/>
  <c r="E20" i="1"/>
  <c r="E15" i="1"/>
  <c r="E18" i="1"/>
  <c r="AG76" i="61"/>
  <c r="AJ76" i="61" s="1"/>
  <c r="AD75" i="61"/>
  <c r="AE75" i="61" s="1"/>
  <c r="AF75" i="61" s="1"/>
  <c r="AH70" i="61"/>
  <c r="AK70" i="61"/>
  <c r="AL70" i="61" s="1"/>
  <c r="AG70" i="61"/>
  <c r="AJ70" i="61" s="1"/>
  <c r="AF70" i="61"/>
  <c r="AH68" i="61"/>
  <c r="AG68" i="61"/>
  <c r="AJ68" i="61" s="1"/>
  <c r="AF68" i="61"/>
  <c r="AJ59" i="61"/>
  <c r="AJ58" i="61"/>
  <c r="AH57" i="61"/>
  <c r="AI57" i="6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H49" i="61" s="1"/>
  <c r="AI49" i="61" s="1"/>
  <c r="AG48" i="61"/>
  <c r="AJ48" i="61" s="1"/>
  <c r="AF48" i="61"/>
  <c r="AH47" i="61"/>
  <c r="AK47" i="61" s="1"/>
  <c r="AL47" i="61"/>
  <c r="AG47" i="61"/>
  <c r="AJ47" i="61" s="1"/>
  <c r="AF47" i="61"/>
  <c r="AH46" i="61"/>
  <c r="AK46" i="61"/>
  <c r="AL46" i="61" s="1"/>
  <c r="AG46" i="61"/>
  <c r="AJ46" i="61" s="1"/>
  <c r="AF46" i="61"/>
  <c r="AH45" i="61"/>
  <c r="AI45" i="61" s="1"/>
  <c r="AK45" i="61"/>
  <c r="AL45" i="61" s="1"/>
  <c r="AG45" i="61"/>
  <c r="AJ45" i="61" s="1"/>
  <c r="AF45" i="61"/>
  <c r="AH44" i="61"/>
  <c r="AG44" i="61"/>
  <c r="AJ44" i="61" s="1"/>
  <c r="AF44" i="61"/>
  <c r="AH43" i="61"/>
  <c r="AK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c r="AF35" i="61"/>
  <c r="AH34" i="61"/>
  <c r="AK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K26" i="61"/>
  <c r="AL26" i="61" s="1"/>
  <c r="AG26" i="61"/>
  <c r="AJ26" i="61" s="1"/>
  <c r="AF26" i="61"/>
  <c r="AH25" i="61"/>
  <c r="AI25" i="61" s="1"/>
  <c r="AG25" i="61"/>
  <c r="AJ25" i="61" s="1"/>
  <c r="AF25" i="61"/>
  <c r="AH24" i="61"/>
  <c r="AI24" i="61" s="1"/>
  <c r="AG24" i="61"/>
  <c r="AJ24" i="61" s="1"/>
  <c r="AF24" i="61"/>
  <c r="AH23" i="61"/>
  <c r="AG23" i="61"/>
  <c r="AJ23" i="61"/>
  <c r="AF23" i="61"/>
  <c r="AH22" i="61"/>
  <c r="AK22" i="61" s="1"/>
  <c r="AG22" i="61"/>
  <c r="AJ22" i="61" s="1"/>
  <c r="AF22" i="61"/>
  <c r="AH21" i="61"/>
  <c r="AK21" i="61" s="1"/>
  <c r="AL21" i="61" s="1"/>
  <c r="AG21" i="61"/>
  <c r="AJ21" i="61" s="1"/>
  <c r="AF21" i="61"/>
  <c r="AH20" i="61"/>
  <c r="AK20" i="61" s="1"/>
  <c r="AL20" i="61" s="1"/>
  <c r="AG20" i="61"/>
  <c r="AJ20" i="61" s="1"/>
  <c r="AF20" i="61"/>
  <c r="AH19" i="61"/>
  <c r="AK19" i="61" s="1"/>
  <c r="AL19" i="61" s="1"/>
  <c r="AG19" i="61"/>
  <c r="AJ19" i="61"/>
  <c r="AF19" i="61"/>
  <c r="AH18" i="61"/>
  <c r="AG18" i="61"/>
  <c r="AJ18" i="61"/>
  <c r="AF18" i="61"/>
  <c r="AH17" i="61"/>
  <c r="AK17" i="61" s="1"/>
  <c r="AL17" i="6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F10" i="61"/>
  <c r="AE9" i="61"/>
  <c r="AD9" i="61"/>
  <c r="AG9" i="61" s="1"/>
  <c r="AJ9" i="61" s="1"/>
  <c r="AH8" i="61"/>
  <c r="AI8" i="61" s="1"/>
  <c r="AG8" i="61"/>
  <c r="AJ8" i="61" s="1"/>
  <c r="AF8" i="61"/>
  <c r="AH7" i="61"/>
  <c r="AK7" i="61"/>
  <c r="AL7" i="61" s="1"/>
  <c r="AG7" i="61"/>
  <c r="AJ7" i="61" s="1"/>
  <c r="AF7" i="61"/>
  <c r="AI56" i="61"/>
  <c r="D80" i="91"/>
  <c r="E80" i="91" s="1"/>
  <c r="F80" i="91" s="1"/>
  <c r="B6" i="1"/>
  <c r="C8" i="1"/>
  <c r="D8" i="1" s="1"/>
  <c r="E8" i="1" s="1"/>
  <c r="C10" i="1"/>
  <c r="D10" i="1"/>
  <c r="E10" i="1"/>
  <c r="B12" i="70"/>
  <c r="C12" i="70" s="1"/>
  <c r="D12" i="70" s="1"/>
  <c r="E12" i="70" s="1"/>
  <c r="F12" i="70" s="1"/>
  <c r="B16" i="1"/>
  <c r="C16" i="1"/>
  <c r="D16" i="1" s="1"/>
  <c r="E16" i="1"/>
  <c r="B16" i="106"/>
  <c r="B41" i="106" s="1"/>
  <c r="G27" i="106"/>
  <c r="G28" i="106" s="1"/>
  <c r="G29" i="106" s="1"/>
  <c r="G30" i="106" s="1"/>
  <c r="F27" i="106"/>
  <c r="F28" i="106" s="1"/>
  <c r="F29" i="106" s="1"/>
  <c r="F30" i="106" s="1"/>
  <c r="E27" i="106"/>
  <c r="E28" i="106" s="1"/>
  <c r="E29" i="106" s="1"/>
  <c r="E30" i="106" s="1"/>
  <c r="G20" i="106"/>
  <c r="G21" i="106"/>
  <c r="F20" i="106"/>
  <c r="F21" i="106" s="1"/>
  <c r="E20" i="106"/>
  <c r="E21" i="106" s="1"/>
  <c r="D17" i="4"/>
  <c r="E17" i="4"/>
  <c r="F17" i="4" s="1"/>
  <c r="D18" i="4"/>
  <c r="E18" i="4" s="1"/>
  <c r="F18" i="4" s="1"/>
  <c r="E9" i="95"/>
  <c r="E37" i="91"/>
  <c r="F37" i="91" s="1"/>
  <c r="G37" i="91" s="1"/>
  <c r="H37" i="91" s="1"/>
  <c r="D11" i="4"/>
  <c r="C11" i="4"/>
  <c r="C10" i="96"/>
  <c r="D10" i="96" s="1"/>
  <c r="E10" i="96" s="1"/>
  <c r="F10" i="96" s="1"/>
  <c r="C17" i="46"/>
  <c r="D6" i="91"/>
  <c r="C8" i="4"/>
  <c r="E8" i="4"/>
  <c r="C10" i="4"/>
  <c r="D10" i="4" s="1"/>
  <c r="D77" i="91"/>
  <c r="E77" i="91" s="1"/>
  <c r="F77" i="91" s="1"/>
  <c r="D11" i="91"/>
  <c r="D35" i="91" s="1"/>
  <c r="D59" i="91" s="1"/>
  <c r="D79" i="91" s="1"/>
  <c r="E38" i="91"/>
  <c r="F38" i="91" s="1"/>
  <c r="G38" i="91" s="1"/>
  <c r="H38" i="91" s="1"/>
  <c r="D94" i="91"/>
  <c r="C7" i="96"/>
  <c r="AI41" i="61"/>
  <c r="AI48" i="61"/>
  <c r="AI40" i="61"/>
  <c r="AI14" i="61"/>
  <c r="AK25" i="61"/>
  <c r="AL25" i="61" s="1"/>
  <c r="AI70" i="61"/>
  <c r="AI7" i="61"/>
  <c r="AH58" i="61"/>
  <c r="AK31" i="61"/>
  <c r="AL31" i="61" s="1"/>
  <c r="AI46" i="61"/>
  <c r="AK15" i="61"/>
  <c r="AL15" i="61" s="1"/>
  <c r="AK57" i="61"/>
  <c r="AL57" i="61" s="1"/>
  <c r="AK13" i="61"/>
  <c r="AL13" i="61" s="1"/>
  <c r="AI26" i="61"/>
  <c r="AK24" i="61"/>
  <c r="AL24" i="61" s="1"/>
  <c r="E11" i="4"/>
  <c r="F11" i="4" s="1"/>
  <c r="C17" i="95"/>
  <c r="E17" i="95" s="1"/>
  <c r="AL34" i="61"/>
  <c r="AL43" i="61"/>
  <c r="AL22" i="61"/>
  <c r="AJ10" i="61"/>
  <c r="AI17" i="61"/>
  <c r="AI20" i="61"/>
  <c r="AI34" i="61"/>
  <c r="D10" i="91"/>
  <c r="D34" i="91" s="1"/>
  <c r="E34" i="91" s="1"/>
  <c r="F34" i="91" s="1"/>
  <c r="G34" i="91" s="1"/>
  <c r="H34" i="91" s="1"/>
  <c r="AI43" i="61"/>
  <c r="D22" i="46"/>
  <c r="D24" i="46" s="1"/>
  <c r="D92" i="91"/>
  <c r="J10" i="91"/>
  <c r="D9" i="4"/>
  <c r="F9" i="4" s="1"/>
  <c r="E9" i="4"/>
  <c r="C8" i="96" l="1"/>
  <c r="C14" i="95" s="1"/>
  <c r="H14" i="95" s="1"/>
  <c r="D91" i="91"/>
  <c r="D96" i="91" s="1"/>
  <c r="AK40" i="61"/>
  <c r="AK12" i="61"/>
  <c r="AL12" i="61" s="1"/>
  <c r="AI52" i="61"/>
  <c r="AI38" i="61"/>
  <c r="D57" i="91"/>
  <c r="E57" i="91" s="1"/>
  <c r="F57" i="91" s="1"/>
  <c r="J9" i="70"/>
  <c r="G17" i="95"/>
  <c r="AK27" i="61"/>
  <c r="AL27" i="61" s="1"/>
  <c r="AI47" i="61"/>
  <c r="AK42" i="61"/>
  <c r="AL42" i="61" s="1"/>
  <c r="AK53" i="61"/>
  <c r="AL53" i="61" s="1"/>
  <c r="AI21" i="61"/>
  <c r="AI39" i="61"/>
  <c r="G23" i="95"/>
  <c r="H23" i="95"/>
  <c r="B21" i="108" s="1"/>
  <c r="AK54" i="61"/>
  <c r="AI37" i="61"/>
  <c r="AK32" i="61"/>
  <c r="AL32" i="61" s="1"/>
  <c r="AH55" i="61"/>
  <c r="AI55" i="61" s="1"/>
  <c r="AK58" i="61"/>
  <c r="AI28" i="61"/>
  <c r="AK29" i="61"/>
  <c r="AL29" i="61" s="1"/>
  <c r="AI19" i="61"/>
  <c r="D13" i="91"/>
  <c r="C6" i="1"/>
  <c r="C6" i="96" s="1"/>
  <c r="C7" i="4"/>
  <c r="C4" i="91" s="1"/>
  <c r="C28" i="91" s="1"/>
  <c r="C51" i="91" s="1"/>
  <c r="C74" i="91" s="1"/>
  <c r="C89" i="91" s="1"/>
  <c r="AK10" i="61"/>
  <c r="AL10" i="61" s="1"/>
  <c r="AI10" i="61"/>
  <c r="AI30" i="61"/>
  <c r="AI68" i="61"/>
  <c r="AK68" i="61"/>
  <c r="AL68" i="61" s="1"/>
  <c r="AI23" i="61"/>
  <c r="AK23" i="61"/>
  <c r="AL23" i="61" s="1"/>
  <c r="E17" i="70"/>
  <c r="F17" i="70" s="1"/>
  <c r="I17" i="70"/>
  <c r="AK33" i="61"/>
  <c r="AL33" i="61" s="1"/>
  <c r="AK11" i="61"/>
  <c r="AL11" i="61" s="1"/>
  <c r="AK35" i="61"/>
  <c r="AL35" i="61" s="1"/>
  <c r="AI35" i="61"/>
  <c r="AI44" i="61"/>
  <c r="AK44" i="61"/>
  <c r="AL44" i="61" s="1"/>
  <c r="AH50" i="61"/>
  <c r="AI50" i="61" s="1"/>
  <c r="AK48" i="61"/>
  <c r="D8" i="4"/>
  <c r="F8" i="95"/>
  <c r="E8" i="95"/>
  <c r="F16" i="70"/>
  <c r="G16" i="70" s="1"/>
  <c r="C9" i="70"/>
  <c r="C14" i="70" s="1"/>
  <c r="D8" i="46"/>
  <c r="D7" i="96"/>
  <c r="F110" i="91"/>
  <c r="B18" i="70"/>
  <c r="E18" i="70" s="1"/>
  <c r="G18" i="70" s="1"/>
  <c r="D30" i="91"/>
  <c r="F30" i="91" s="1"/>
  <c r="F6" i="91" s="1"/>
  <c r="E6" i="91"/>
  <c r="E109" i="91" s="1"/>
  <c r="D76" i="91"/>
  <c r="F76" i="91" s="1"/>
  <c r="F81" i="91" s="1"/>
  <c r="F82" i="91" s="1"/>
  <c r="E10" i="91"/>
  <c r="F10" i="91" s="1"/>
  <c r="H17" i="95"/>
  <c r="F15" i="108" s="1"/>
  <c r="L15" i="108" s="1"/>
  <c r="B15" i="108"/>
  <c r="D15" i="108" s="1"/>
  <c r="E15" i="108" s="1"/>
  <c r="K15" i="108" s="1"/>
  <c r="E9" i="108"/>
  <c r="E10" i="108" s="1"/>
  <c r="D8" i="96"/>
  <c r="E8" i="96" s="1"/>
  <c r="F8" i="96" s="1"/>
  <c r="D14" i="95"/>
  <c r="E14" i="95" s="1"/>
  <c r="B12" i="108" s="1"/>
  <c r="D40" i="91"/>
  <c r="D62" i="91" s="1"/>
  <c r="D95" i="91"/>
  <c r="C16" i="96"/>
  <c r="E16" i="96" s="1"/>
  <c r="E11" i="91"/>
  <c r="F10" i="95"/>
  <c r="F8" i="4" s="1"/>
  <c r="F7" i="96"/>
  <c r="E7" i="96"/>
  <c r="G12" i="70"/>
  <c r="H12" i="70"/>
  <c r="E76" i="91"/>
  <c r="E81" i="91" s="1"/>
  <c r="E82" i="91" s="1"/>
  <c r="E10" i="4"/>
  <c r="B10" i="70"/>
  <c r="D10" i="70"/>
  <c r="AI51" i="61"/>
  <c r="AK51" i="61"/>
  <c r="AL51" i="61" s="1"/>
  <c r="F10" i="70"/>
  <c r="AI22" i="61"/>
  <c r="AK8" i="61"/>
  <c r="AL8" i="61" s="1"/>
  <c r="F17" i="46"/>
  <c r="D17" i="46"/>
  <c r="E17" i="46" s="1"/>
  <c r="I12" i="70"/>
  <c r="J12" i="70"/>
  <c r="AI16" i="61"/>
  <c r="AK16" i="61"/>
  <c r="AL16" i="61" s="1"/>
  <c r="B9" i="108"/>
  <c r="AI18" i="61"/>
  <c r="AK18" i="61"/>
  <c r="AL18" i="61" s="1"/>
  <c r="D17" i="95"/>
  <c r="F17" i="95" s="1"/>
  <c r="C15" i="108" s="1"/>
  <c r="I15" i="108" s="1"/>
  <c r="O15" i="108" s="1"/>
  <c r="I17" i="95"/>
  <c r="G15" i="108" s="1"/>
  <c r="AH59" i="61"/>
  <c r="AI59" i="61" s="1"/>
  <c r="AI58" i="61"/>
  <c r="B13" i="107"/>
  <c r="C19" i="46"/>
  <c r="F19" i="46" s="1"/>
  <c r="AH9" i="61"/>
  <c r="AF9" i="61"/>
  <c r="AI36" i="61"/>
  <c r="AK36" i="61"/>
  <c r="AL36" i="61" s="1"/>
  <c r="F16" i="95"/>
  <c r="H16" i="95"/>
  <c r="E8" i="46"/>
  <c r="C11" i="107"/>
  <c r="E11" i="107" s="1"/>
  <c r="G11" i="107" s="1"/>
  <c r="I11" i="107" s="1"/>
  <c r="K11" i="107" s="1"/>
  <c r="M11" i="107" s="1"/>
  <c r="D7" i="95"/>
  <c r="H8" i="95"/>
  <c r="G17" i="70"/>
  <c r="H17" i="70"/>
  <c r="F14" i="46"/>
  <c r="I9" i="70"/>
  <c r="I11" i="70"/>
  <c r="J11" i="70"/>
  <c r="H8" i="70"/>
  <c r="H9" i="70" s="1"/>
  <c r="B6" i="46"/>
  <c r="F6" i="46" s="1"/>
  <c r="C6" i="46"/>
  <c r="D6" i="46" s="1"/>
  <c r="E6" i="46" s="1"/>
  <c r="D81" i="91" l="1"/>
  <c r="D82" i="91" s="1"/>
  <c r="J15" i="108"/>
  <c r="E10" i="95"/>
  <c r="H16" i="70"/>
  <c r="B6" i="95"/>
  <c r="C6" i="95" s="1"/>
  <c r="D6" i="95" s="1"/>
  <c r="G6" i="95" s="1"/>
  <c r="E6" i="95" s="1"/>
  <c r="AK55" i="61"/>
  <c r="AL55" i="61" s="1"/>
  <c r="AL54" i="61"/>
  <c r="AJ75" i="61"/>
  <c r="AK75" i="61" s="1"/>
  <c r="AL75" i="61" s="1"/>
  <c r="AL40" i="61"/>
  <c r="D6" i="1"/>
  <c r="E6" i="1" s="1"/>
  <c r="F6" i="1"/>
  <c r="D18" i="70"/>
  <c r="F18" i="70" s="1"/>
  <c r="H18" i="70" s="1"/>
  <c r="C18" i="70"/>
  <c r="AK59" i="61"/>
  <c r="AL59" i="61" s="1"/>
  <c r="AL58" i="61"/>
  <c r="AK50" i="61"/>
  <c r="AL50" i="61" s="1"/>
  <c r="AK49" i="61"/>
  <c r="AL49" i="61" s="1"/>
  <c r="AL48" i="61"/>
  <c r="H10" i="95"/>
  <c r="J6" i="91"/>
  <c r="F112" i="91" s="1"/>
  <c r="I6" i="91"/>
  <c r="F111" i="91" s="1"/>
  <c r="F109" i="91"/>
  <c r="I109" i="91" s="1"/>
  <c r="E30" i="91"/>
  <c r="D21" i="108"/>
  <c r="F21" i="108"/>
  <c r="E10" i="46"/>
  <c r="D10" i="46"/>
  <c r="H10" i="70"/>
  <c r="H15" i="108"/>
  <c r="N15" i="108" s="1"/>
  <c r="F14" i="95"/>
  <c r="E10" i="70"/>
  <c r="G10" i="70" s="1"/>
  <c r="F16" i="96"/>
  <c r="D16" i="96"/>
  <c r="D83" i="91"/>
  <c r="E111" i="91"/>
  <c r="E35" i="91"/>
  <c r="E59" i="91" s="1"/>
  <c r="E79" i="91" s="1"/>
  <c r="F11" i="9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H12" i="108"/>
  <c r="P12" i="108"/>
  <c r="G12" i="108"/>
  <c r="J12" i="108"/>
  <c r="C12" i="108"/>
  <c r="K12" i="108"/>
  <c r="L12" i="108"/>
  <c r="F12" i="108"/>
  <c r="E19" i="46"/>
  <c r="D19" i="46"/>
  <c r="G8" i="95"/>
  <c r="I8" i="95"/>
  <c r="I10" i="95" s="1"/>
  <c r="D13" i="107"/>
  <c r="F13" i="107" s="1"/>
  <c r="H13" i="107" s="1"/>
  <c r="J13" i="107" s="1"/>
  <c r="L13" i="107" s="1"/>
  <c r="N13" i="107" s="1"/>
  <c r="C13" i="107"/>
  <c r="E13" i="107" s="1"/>
  <c r="G13" i="107" s="1"/>
  <c r="I13" i="107" s="1"/>
  <c r="K13" i="107" s="1"/>
  <c r="M13" i="107" s="1"/>
  <c r="D53" i="91"/>
  <c r="E112" i="91"/>
  <c r="B6" i="96"/>
  <c r="E6" i="96"/>
  <c r="H6" i="95" l="1"/>
  <c r="F6" i="95" s="1"/>
  <c r="I111" i="91"/>
  <c r="I112" i="91"/>
  <c r="I6" i="95"/>
  <c r="I18" i="70"/>
  <c r="J21" i="108"/>
  <c r="I21" i="108"/>
  <c r="M21" i="108" s="1"/>
  <c r="E21" i="108"/>
  <c r="H21" i="108" s="1"/>
  <c r="L21" i="108" s="1"/>
  <c r="G21" i="108"/>
  <c r="K21" i="108" s="1"/>
  <c r="O21" i="108" s="1"/>
  <c r="G10" i="95"/>
  <c r="C10" i="70"/>
  <c r="F10" i="4"/>
  <c r="G14" i="95"/>
  <c r="F35" i="91"/>
  <c r="I11" i="91"/>
  <c r="E53" i="91"/>
  <c r="P13" i="107"/>
  <c r="O13" i="107"/>
  <c r="M9" i="108"/>
  <c r="C10" i="108"/>
  <c r="I9" i="108"/>
  <c r="I10" i="108" s="1"/>
  <c r="I12" i="108"/>
  <c r="M12" i="108"/>
  <c r="N12" i="108" s="1"/>
  <c r="O12" i="108" s="1"/>
  <c r="D6" i="96"/>
  <c r="F6" i="96" s="1"/>
  <c r="D7" i="4"/>
  <c r="E7" i="4" s="1"/>
  <c r="F7" i="4" s="1"/>
  <c r="N21" i="108" l="1"/>
  <c r="P21" i="108"/>
  <c r="G35" i="91"/>
  <c r="J11" i="91"/>
  <c r="F59" i="91"/>
  <c r="N9" i="108"/>
  <c r="M10" i="108"/>
  <c r="E110" i="91"/>
  <c r="I110" i="91" s="1"/>
  <c r="H35" i="91" l="1"/>
  <c r="F79" i="91"/>
  <c r="O9" i="108"/>
  <c r="O10" i="108" s="1"/>
  <c r="N10" i="108"/>
  <c r="C20" i="106" l="1"/>
  <c r="B11" i="1"/>
  <c r="B8" i="107" s="1"/>
  <c r="C8" i="107" l="1"/>
  <c r="E8" i="107" s="1"/>
  <c r="G8" i="107" s="1"/>
  <c r="I8" i="107" s="1"/>
  <c r="K8" i="107" s="1"/>
  <c r="M8" i="107" s="1"/>
  <c r="D8" i="107"/>
  <c r="F8" i="107" s="1"/>
  <c r="H8" i="107" s="1"/>
  <c r="J8" i="107" s="1"/>
  <c r="L8" i="107" s="1"/>
  <c r="N8" i="107" s="1"/>
  <c r="C11" i="46"/>
  <c r="H20" i="106"/>
  <c r="I20" i="106" s="1"/>
  <c r="C21" i="106"/>
  <c r="H21" i="106" s="1"/>
  <c r="I21" i="106" s="1"/>
  <c r="F11" i="46" l="1"/>
  <c r="D11" i="46"/>
  <c r="E11" i="46"/>
  <c r="O8" i="107"/>
  <c r="P8" i="107"/>
  <c r="C26" i="106"/>
  <c r="E11" i="1" s="1"/>
  <c r="J7" i="91" l="1"/>
  <c r="E54" i="91" s="1"/>
  <c r="I7" i="91"/>
  <c r="J13" i="70"/>
  <c r="D13" i="70"/>
  <c r="B13" i="70"/>
  <c r="F13" i="70"/>
  <c r="G13" i="70" s="1"/>
  <c r="C31" i="106"/>
  <c r="D7" i="91" s="1"/>
  <c r="C27" i="106"/>
  <c r="C28" i="106" s="1"/>
  <c r="H31" i="91" l="1"/>
  <c r="H36" i="91" s="1"/>
  <c r="H39" i="91" s="1"/>
  <c r="I13" i="70"/>
  <c r="D54" i="91"/>
  <c r="D78" i="91"/>
  <c r="D93" i="91" s="1"/>
  <c r="C29" i="106"/>
  <c r="H30" i="106"/>
  <c r="H29" i="106" l="1"/>
  <c r="I29" i="106"/>
  <c r="D11" i="95"/>
  <c r="H11" i="95" s="1"/>
  <c r="C30" i="106"/>
  <c r="G31" i="91"/>
  <c r="G36" i="91" s="1"/>
  <c r="G39" i="91" s="1"/>
  <c r="F54" i="91"/>
  <c r="I30" i="106" l="1"/>
  <c r="C11" i="95"/>
  <c r="F11" i="95" l="1"/>
  <c r="I11" i="95"/>
  <c r="G11" i="95"/>
  <c r="E11" i="95"/>
  <c r="E13" i="70" l="1"/>
  <c r="B11" i="108"/>
  <c r="H13" i="70"/>
  <c r="D11" i="108"/>
  <c r="C11" i="108"/>
  <c r="C13" i="70"/>
  <c r="N11" i="108" l="1"/>
  <c r="E11" i="108"/>
  <c r="O11" i="108" s="1"/>
  <c r="F11" i="108"/>
  <c r="J11" i="108"/>
  <c r="L11" i="108"/>
  <c r="G11" i="108"/>
  <c r="K11" i="108"/>
  <c r="H11" i="108"/>
  <c r="P11" i="108"/>
  <c r="I11" i="108"/>
  <c r="M11" i="108"/>
  <c r="C22" i="106"/>
  <c r="I22" i="106" s="1"/>
  <c r="H22" i="106" l="1"/>
  <c r="C11" i="1"/>
  <c r="C11" i="96" l="1"/>
  <c r="D11" i="1"/>
  <c r="D11" i="96" l="1"/>
  <c r="E11" i="96"/>
  <c r="F11" i="96"/>
  <c r="C23" i="106"/>
  <c r="C24" i="106"/>
  <c r="E13" i="1"/>
  <c r="F9" i="91" l="1"/>
  <c r="D9" i="91"/>
  <c r="E14" i="4"/>
  <c r="E15" i="4" s="1"/>
  <c r="B15" i="70"/>
  <c r="D15" i="70" s="1"/>
  <c r="I15" i="70" s="1"/>
  <c r="J15" i="70" s="1"/>
  <c r="C13" i="95"/>
  <c r="D13" i="95" s="1"/>
  <c r="D33" i="91" l="1"/>
  <c r="D36" i="91" s="1"/>
  <c r="D39" i="91" s="1"/>
  <c r="D56" i="91"/>
  <c r="D60" i="91" s="1"/>
  <c r="D61" i="91" s="1"/>
  <c r="D12" i="91"/>
  <c r="H13" i="95"/>
  <c r="E13" i="95"/>
  <c r="E15" i="70" s="1"/>
  <c r="H15" i="70" s="1"/>
  <c r="G13" i="95"/>
  <c r="F13" i="95"/>
  <c r="F14" i="4" s="1"/>
  <c r="F15" i="4" s="1"/>
  <c r="E12" i="91"/>
  <c r="E33" i="91"/>
  <c r="J9" i="91"/>
  <c r="J12" i="91" s="1"/>
  <c r="I9" i="91"/>
  <c r="I12" i="91" s="1"/>
  <c r="F12" i="91"/>
  <c r="F33" i="91"/>
  <c r="F36" i="91" s="1"/>
  <c r="F39" i="91" s="1"/>
  <c r="E36" i="91" l="1"/>
  <c r="E39" i="91" s="1"/>
  <c r="E56" i="91"/>
  <c r="E60" i="91" l="1"/>
  <c r="E61" i="91" s="1"/>
  <c r="F56" i="91"/>
  <c r="F60" i="91" s="1"/>
  <c r="F61" i="91" s="1"/>
  <c r="C13" i="1"/>
  <c r="D14" i="4" s="1"/>
  <c r="D15" i="4" s="1"/>
  <c r="D13" i="1"/>
  <c r="C13" i="96" l="1"/>
  <c r="C13" i="46"/>
  <c r="B13" i="1"/>
  <c r="C14" i="4" s="1"/>
  <c r="C15" i="4" s="1"/>
  <c r="E13" i="46" l="1"/>
  <c r="F13" i="46"/>
  <c r="D13" i="46"/>
  <c r="E13" i="96"/>
  <c r="D13" i="96"/>
  <c r="F13" i="96"/>
</calcChain>
</file>

<file path=xl/comments1.xml><?xml version="1.0" encoding="utf-8"?>
<comments xmlns="http://schemas.openxmlformats.org/spreadsheetml/2006/main">
  <authors>
    <author>Daniel Hernando Devis Chaparro</author>
    <author>Administrador</author>
  </authors>
  <commentList>
    <comment ref="C31" authorId="0">
      <text>
        <r>
          <rPr>
            <b/>
            <sz val="9"/>
            <color indexed="81"/>
            <rFont val="Tahoma"/>
            <family val="2"/>
          </rPr>
          <t>De acuerdo con el Decreto 0568 del 21032013</t>
        </r>
      </text>
    </comment>
    <comment ref="B35"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<sst xmlns="http://schemas.openxmlformats.org/spreadsheetml/2006/main" count="885" uniqueCount="406">
  <si>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</si>
  <si>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</si>
  <si>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</si>
  <si>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</si>
  <si>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</si>
  <si>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</si>
  <si>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</si>
  <si>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</si>
  <si>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</si>
  <si>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</si>
  <si>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</si>
  <si>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</si>
  <si>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</si>
  <si>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</si>
  <si>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</si>
  <si>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</si>
  <si>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</si>
  <si>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</si>
  <si>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</si>
  <si>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</si>
  <si>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</si>
  <si>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</si>
  <si>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</si>
  <si>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</si>
  <si>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</si>
  <si>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</si>
  <si>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</si>
  <si>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</si>
  <si>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</si>
  <si>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</si>
  <si>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</si>
  <si>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</si>
  <si>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</si>
  <si>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</si>
  <si>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</si>
  <si>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</si>
  <si>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</si>
  <si>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</si>
  <si>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</si>
  <si>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</si>
  <si>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</si>
  <si>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</si>
  <si>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</si>
  <si>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</si>
  <si>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</si>
  <si>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</si>
  <si>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</si>
  <si>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</si>
  <si>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</si>
  <si>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</si>
  <si>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</si>
  <si>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</si>
  <si>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</si>
  <si>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</si>
  <si>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</si>
  <si>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</si>
  <si>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</si>
  <si>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</si>
  <si>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</si>
  <si>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</si>
  <si>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</si>
  <si>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</si>
  <si>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</si>
  <si>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</si>
  <si>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</si>
  <si>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</si>
  <si>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</si>
  <si>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</si>
  <si>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</si>
  <si>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</si>
  <si>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</si>
  <si>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</si>
  <si>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</si>
  <si>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</si>
  <si>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</si>
  <si>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</si>
  <si>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</si>
  <si>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</si>
  <si>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</si>
  <si>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</si>
  <si>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</si>
  <si>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</si>
  <si>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</si>
  <si>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</si>
  <si>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</si>
  <si>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</si>
  <si>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</si>
  <si>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</si>
  <si>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</si>
  <si>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</si>
  <si>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</si>
  <si>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</si>
  <si>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</si>
  <si>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</si>
  <si>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</si>
  <si>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</si>
  <si>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</si>
  <si>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</si>
  <si>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</si>
  <si>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</si>
  <si>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</si>
  <si>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</si>
  <si>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</si>
  <si>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</si>
  <si>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</si>
  <si>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</si>
  <si>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</si>
  <si>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</si>
  <si>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</si>
  <si>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</si>
  <si>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</si>
  <si>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</si>
  <si>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</si>
  <si>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</si>
  <si>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</si>
  <si>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</si>
  <si>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</si>
  <si>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</si>
  <si>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</si>
  <si>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</si>
  <si>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</si>
  <si>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</si>
  <si>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</si>
  <si>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</si>
  <si>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</si>
  <si>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</si>
  <si>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</si>
  <si>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</si>
  <si>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</si>
  <si>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</si>
  <si>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</si>
  <si>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</si>
  <si>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</si>
  <si>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</si>
  <si>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</si>
  <si>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</si>
  <si>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</si>
  <si>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</si>
  <si>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</si>
  <si>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</si>
  <si>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</si>
  <si>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</si>
  <si>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</si>
  <si>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</si>
  <si>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</si>
  <si>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</si>
  <si>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</si>
  <si>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</si>
  <si>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</si>
  <si>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</si>
  <si>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</si>
  <si>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</si>
  <si>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</si>
  <si>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</si>
  <si>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</si>
  <si>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</si>
  <si>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</si>
  <si>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</si>
  <si>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</si>
  <si>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</si>
  <si>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</si>
  <si>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</si>
  <si>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</si>
  <si>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</si>
  <si>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</si>
  <si>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</si>
  <si>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</si>
  <si>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</si>
  <si>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</si>
  <si>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</si>
  <si>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</si>
  <si>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</si>
  <si>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</si>
  <si>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</si>
  <si>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</si>
  <si>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</si>
  <si>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</si>
  <si>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</si>
  <si>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</si>
  <si>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</si>
  <si>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</si>
  <si>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</si>
  <si>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</si>
  <si>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</si>
  <si>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</si>
  <si>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</si>
  <si>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Gasolina Corriente Base para Oxigenar 8%</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</si>
  <si>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</si>
  <si>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</si>
  <si>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</si>
  <si>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</si>
  <si>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</si>
  <si>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</si>
  <si>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</si>
  <si>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</si>
  <si>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</si>
  <si>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</si>
  <si>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</si>
  <si>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</si>
  <si>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</si>
  <si>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</si>
  <si>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</si>
  <si>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</si>
  <si>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</si>
  <si>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</si>
  <si>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</si>
  <si>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</si>
  <si>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</si>
  <si>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</si>
  <si>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</si>
  <si>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</si>
  <si>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PRODCUTO</t>
  </si>
  <si>
    <t>DIESEL</t>
  </si>
  <si>
    <t>B2 SIN DESTINO A MEZCLA</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</si>
  <si>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</si>
  <si>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</si>
  <si>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</si>
  <si>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</si>
  <si>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</si>
  <si>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</si>
  <si>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</si>
  <si>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</si>
  <si>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</si>
  <si>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</si>
  <si>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</si>
  <si>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</si>
  <si>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</si>
  <si>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</si>
  <si>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</si>
  <si>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</si>
  <si>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</si>
  <si>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</si>
  <si>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</si>
  <si>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</si>
  <si>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</si>
  <si>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</si>
  <si>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</si>
  <si>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</si>
  <si>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</si>
  <si>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</si>
  <si>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</si>
  <si>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</si>
  <si>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</si>
  <si>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</si>
  <si>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</si>
  <si>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</si>
  <si>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</si>
  <si>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</si>
  <si>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</si>
  <si>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</si>
  <si>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</si>
  <si>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</si>
  <si>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</si>
  <si>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</si>
  <si>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</si>
  <si>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</si>
  <si>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</si>
  <si>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</si>
  <si>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</si>
  <si>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</si>
  <si>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</si>
  <si>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</si>
  <si>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</si>
  <si>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</si>
  <si>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</si>
  <si>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</si>
  <si>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</si>
  <si>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</si>
  <si>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</si>
  <si>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</si>
  <si>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</si>
  <si>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</si>
  <si>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</si>
  <si>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</si>
  <si>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</si>
  <si>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</si>
  <si>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</si>
  <si>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</si>
  <si>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</si>
  <si>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</si>
  <si>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</si>
  <si>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</si>
  <si>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</si>
  <si>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</si>
  <si>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</si>
  <si>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</si>
  <si>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</si>
  <si>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</si>
  <si>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</si>
  <si>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</si>
  <si>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</si>
  <si>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</si>
  <si>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</si>
  <si>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</si>
  <si>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</si>
  <si>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</si>
  <si>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</si>
  <si>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Biodiesel B2 Para Mezclas de B8</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</si>
  <si>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</si>
  <si>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</si>
  <si>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</si>
  <si>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</si>
  <si>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</si>
  <si>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</si>
  <si>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</si>
  <si>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</si>
  <si>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</si>
  <si>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</si>
  <si>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</si>
  <si>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</si>
  <si>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</si>
  <si>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</si>
  <si>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</si>
  <si>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</si>
  <si>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</si>
  <si>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</si>
  <si>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</si>
  <si>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</si>
  <si>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</si>
  <si>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</si>
  <si>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</si>
  <si>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</si>
  <si>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</si>
  <si>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</si>
  <si>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</si>
  <si>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</si>
  <si>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</si>
  <si>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</si>
  <si>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</si>
  <si>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</si>
  <si>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</si>
  <si>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</si>
  <si>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</si>
  <si>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</si>
  <si>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</si>
  <si>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</si>
  <si>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</si>
  <si>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</si>
  <si>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</si>
  <si>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</si>
  <si>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</si>
  <si>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</si>
  <si>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</si>
  <si>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</si>
  <si>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</si>
  <si>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</si>
  <si>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</si>
  <si>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</si>
  <si>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</si>
  <si>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</si>
  <si>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</si>
  <si>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</si>
  <si>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</si>
  <si>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</si>
  <si>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</si>
  <si>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</si>
  <si>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</si>
  <si>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</si>
  <si>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</si>
  <si>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</si>
  <si>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</si>
  <si>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</si>
  <si>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</si>
  <si>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</si>
  <si>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Inflación</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</si>
  <si>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</si>
  <si>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</si>
  <si>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</si>
  <si>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</si>
  <si>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</si>
  <si>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</si>
  <si>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</si>
  <si>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</si>
  <si>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</si>
  <si>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</si>
  <si>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</si>
  <si>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</si>
  <si>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</si>
  <si>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</si>
  <si>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</si>
  <si>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</si>
  <si>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</si>
  <si>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Para el 2017 no hay ajuste Reforma Tributaria 29 dic 2016</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</si>
  <si>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</si>
  <si>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</si>
  <si>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</si>
  <si>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</si>
  <si>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</si>
  <si>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</si>
  <si>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</si>
  <si>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</si>
  <si>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</si>
  <si>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</si>
  <si>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</si>
  <si>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</si>
  <si>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</si>
  <si>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</si>
  <si>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</si>
  <si>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</si>
  <si>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</si>
  <si>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</si>
  <si>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</si>
  <si>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</si>
  <si>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</si>
  <si>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</si>
  <si>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t>1° DE ABRIL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</si>
</sst>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quot;-&quot;??_);_(@_)"/>
    <numFmt numFmtId="165" formatCode="_-* #,##0.00_-;\-* #,##0.00_-;_-* &quot;-&quot;??_-;_-@_-"/>
    <numFmt numFmtId="166" formatCode="#,##0.0000"/>
    <numFmt numFmtId="167" formatCode="General_)"/>
    <numFmt numFmtId="168" formatCode="_-* #,##0.0000_-;\-* #,##0.0000_-;_-* &quot;-&quot;??_-;_-@_-"/>
    <numFmt numFmtId="169" formatCode=";;;"/>
    <numFmt numFmtId="170" formatCode="#,##0.00000000"/>
    <numFmt numFmtId="171" formatCode="#,##0.00000000000"/>
    <numFmt numFmtId="172" formatCode="#,##0.00\ &quot;(*****)&quot;"/>
    <numFmt numFmtId="173" formatCode="_-* #,##0.0_-;\-* #,##0.0_-;_-* &quot;-&quot;??_-;_-@_-"/>
    <numFmt numFmtId="174" formatCode="_(* #,##0.00000_);_(* \(#,##0.00000\);_(* &quot;-&quot;??_);_(@_)"/>
    <numFmt numFmtId="175" formatCode="0.0000"/>
  </numFmts>
  <fonts count="69">
    <font>
      <sz val="10"/>
      <name val="Arial"/>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b/>
      <sz val="11"/>
      <color theme="1"/>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s>
  <fills count="2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theme="0" tint="-4.9989318521683403E-2"/>
        <bgColor indexed="64"/>
      </patternFill>
    </fill>
  </fills>
  <borders count="105">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s>
  <cellStyleXfs count="30">
    <xf numFmtId="0" fontId="0" fillId="0" borderId="0"/>
    <xf numFmtId="0" fontId="2" fillId="0" borderId="0"/>
    <xf numFmtId="0" fontId="3" fillId="0" borderId="0"/>
    <xf numFmtId="0" fontId="2" fillId="0" borderId="0"/>
    <xf numFmtId="0" fontId="3" fillId="0" borderId="0"/>
    <xf numFmtId="0" fontId="4" fillId="0" borderId="0">
      <protection locked="0"/>
    </xf>
    <xf numFmtId="0" fontId="5" fillId="0" borderId="0">
      <protection locked="0"/>
    </xf>
    <xf numFmtId="0" fontId="5"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165" fontId="1" fillId="0" borderId="0" applyFont="0" applyFill="0" applyBorder="0" applyAlignment="0" applyProtection="0"/>
    <xf numFmtId="0" fontId="1" fillId="0" borderId="0" applyFont="0" applyFill="0" applyBorder="0" applyAlignment="0" applyProtection="0"/>
    <xf numFmtId="0" fontId="4" fillId="0" borderId="0">
      <protection locked="0"/>
    </xf>
    <xf numFmtId="37" fontId="6" fillId="0" borderId="0"/>
    <xf numFmtId="0" fontId="1" fillId="0" borderId="0"/>
    <xf numFmtId="0" fontId="1" fillId="0" borderId="0"/>
    <xf numFmtId="0" fontId="22" fillId="0" borderId="0"/>
    <xf numFmtId="167" fontId="11" fillId="0" borderId="0"/>
    <xf numFmtId="9" fontId="1" fillId="0" borderId="0" applyFont="0" applyFill="0" applyBorder="0" applyAlignment="0" applyProtection="0"/>
    <xf numFmtId="9" fontId="1" fillId="0" borderId="0" applyFont="0" applyFill="0" applyBorder="0" applyAlignment="0" applyProtection="0"/>
    <xf numFmtId="167" fontId="8" fillId="0" borderId="0">
      <alignment horizontal="left"/>
    </xf>
    <xf numFmtId="38" fontId="7" fillId="0" borderId="0"/>
    <xf numFmtId="0" fontId="4" fillId="0" borderId="1">
      <protection locked="0"/>
    </xf>
  </cellStyleXfs>
  <cellXfs count="647">
    <xf numFmtId="0" fontId="0" fillId="0" borderId="0" xfId="0"/>
    <xf numFmtId="0" fontId="34" fillId="2" borderId="0" xfId="0" applyFont="1" applyFill="1" applyAlignment="1" applyProtection="1">
      <alignment vertical="center"/>
      <protection hidden="1"/>
    </xf>
    <xf numFmtId="0" fontId="34" fillId="2" borderId="0" xfId="0" quotePrefix="1" applyFont="1" applyFill="1" applyAlignment="1" applyProtection="1">
      <alignment vertical="center"/>
      <protection hidden="1"/>
    </xf>
    <xf numFmtId="0" fontId="35" fillId="2" borderId="0" xfId="0" applyFont="1" applyFill="1" applyAlignment="1" applyProtection="1">
      <alignment horizontal="left" vertical="center"/>
      <protection hidden="1"/>
    </xf>
    <xf numFmtId="0" fontId="36" fillId="2" borderId="0" xfId="0" applyFont="1" applyFill="1" applyAlignment="1" applyProtection="1">
      <alignment vertical="center"/>
      <protection hidden="1"/>
    </xf>
    <xf numFmtId="0" fontId="12" fillId="2" borderId="0" xfId="0" applyFont="1" applyFill="1" applyAlignment="1" applyProtection="1">
      <alignment vertical="center"/>
      <protection hidden="1"/>
    </xf>
    <xf numFmtId="164" fontId="12" fillId="2" borderId="0" xfId="0" applyNumberFormat="1" applyFont="1" applyFill="1" applyAlignment="1" applyProtection="1">
      <alignment vertical="center"/>
      <protection hidden="1"/>
    </xf>
    <xf numFmtId="2" fontId="12" fillId="2" borderId="0" xfId="0" applyNumberFormat="1" applyFont="1" applyFill="1" applyAlignment="1" applyProtection="1">
      <alignment vertical="center"/>
      <protection hidden="1"/>
    </xf>
    <xf numFmtId="0" fontId="12" fillId="0" borderId="0" xfId="0" applyFont="1" applyBorder="1" applyAlignment="1" applyProtection="1">
      <alignment vertical="center"/>
      <protection hidden="1"/>
    </xf>
    <xf numFmtId="0" fontId="12" fillId="12" borderId="0" xfId="0" applyFont="1" applyFill="1" applyBorder="1" applyAlignment="1" applyProtection="1">
      <alignment vertical="center"/>
      <protection hidden="1"/>
    </xf>
    <xf numFmtId="0" fontId="13" fillId="2" borderId="0" xfId="0" applyFont="1" applyFill="1" applyAlignment="1" applyProtection="1">
      <alignment vertical="center"/>
      <protection hidden="1"/>
    </xf>
    <xf numFmtId="0" fontId="13" fillId="2" borderId="0" xfId="0" applyFont="1" applyFill="1" applyBorder="1" applyAlignment="1" applyProtection="1">
      <alignment vertical="center"/>
      <protection hidden="1"/>
    </xf>
    <xf numFmtId="0" fontId="20" fillId="0" borderId="0" xfId="0" applyFont="1" applyBorder="1" applyAlignment="1" applyProtection="1">
      <alignment vertical="center"/>
      <protection hidden="1"/>
    </xf>
    <xf numFmtId="0" fontId="20" fillId="0" borderId="0" xfId="0" applyFont="1" applyAlignment="1" applyProtection="1">
      <alignment vertical="center"/>
      <protection hidden="1"/>
    </xf>
    <xf numFmtId="0" fontId="12" fillId="0" borderId="0" xfId="0" applyFont="1" applyAlignment="1" applyProtection="1">
      <alignment vertical="center"/>
      <protection hidden="1"/>
    </xf>
    <xf numFmtId="0" fontId="21" fillId="2" borderId="0" xfId="0" quotePrefix="1" applyFont="1" applyFill="1" applyAlignment="1" applyProtection="1">
      <alignment horizontal="left" vertical="center"/>
      <protection hidden="1"/>
    </xf>
    <xf numFmtId="0" fontId="13" fillId="0" borderId="0" xfId="0" applyFont="1" applyBorder="1" applyAlignment="1" applyProtection="1">
      <alignment horizontal="left" vertical="center" wrapText="1"/>
      <protection hidden="1"/>
    </xf>
    <xf numFmtId="165" fontId="13" fillId="2" borderId="0" xfId="17" applyFont="1" applyFill="1" applyBorder="1" applyAlignment="1" applyProtection="1">
      <alignment vertical="center" wrapText="1"/>
      <protection hidden="1"/>
    </xf>
    <xf numFmtId="0" fontId="12" fillId="12" borderId="0" xfId="0" applyFont="1" applyFill="1" applyAlignment="1" applyProtection="1">
      <alignment vertical="center"/>
      <protection hidden="1"/>
    </xf>
    <xf numFmtId="9" fontId="12" fillId="12" borderId="0" xfId="0" applyNumberFormat="1" applyFont="1" applyFill="1" applyBorder="1" applyAlignment="1" applyProtection="1">
      <alignment vertical="center"/>
      <protection hidden="1"/>
    </xf>
    <xf numFmtId="0" fontId="9" fillId="0" borderId="0" xfId="0" applyFont="1" applyAlignment="1" applyProtection="1">
      <alignment vertical="center"/>
      <protection hidden="1"/>
    </xf>
    <xf numFmtId="0" fontId="34"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34" fillId="0" borderId="0" xfId="0" applyFont="1" applyFill="1" applyAlignment="1" applyProtection="1">
      <alignment horizontal="left" vertical="center"/>
      <protection hidden="1"/>
    </xf>
    <xf numFmtId="0" fontId="34" fillId="0" borderId="0" xfId="0" quotePrefix="1" applyFont="1" applyFill="1" applyAlignment="1" applyProtection="1">
      <alignment horizontal="left" vertical="center"/>
      <protection hidden="1"/>
    </xf>
    <xf numFmtId="0" fontId="13" fillId="2" borderId="0" xfId="0" applyFont="1" applyFill="1" applyBorder="1" applyAlignment="1" applyProtection="1">
      <alignment horizontal="left" vertical="center" wrapText="1"/>
      <protection hidden="1"/>
    </xf>
    <xf numFmtId="165" fontId="13" fillId="2" borderId="0" xfId="17" applyNumberFormat="1" applyFont="1" applyFill="1" applyBorder="1" applyAlignment="1" applyProtection="1">
      <alignment vertical="center" wrapText="1"/>
      <protection hidden="1"/>
    </xf>
    <xf numFmtId="165" fontId="13" fillId="2" borderId="0" xfId="17" applyFont="1" applyFill="1" applyBorder="1" applyAlignment="1" applyProtection="1">
      <alignment horizontal="center" vertical="center" wrapText="1"/>
      <protection hidden="1"/>
    </xf>
    <xf numFmtId="0" fontId="38" fillId="0" borderId="0" xfId="0" quotePrefix="1" applyFont="1" applyAlignment="1" applyProtection="1">
      <alignment horizontal="left" vertical="center"/>
      <protection hidden="1"/>
    </xf>
    <xf numFmtId="0" fontId="36" fillId="2" borderId="0" xfId="0" quotePrefix="1" applyFont="1" applyFill="1" applyBorder="1" applyAlignment="1" applyProtection="1">
      <alignment horizontal="left" vertical="center"/>
      <protection hidden="1"/>
    </xf>
    <xf numFmtId="4" fontId="35" fillId="2" borderId="0" xfId="0" applyNumberFormat="1" applyFont="1" applyFill="1" applyBorder="1" applyAlignment="1" applyProtection="1">
      <alignment horizontal="right" vertical="center"/>
      <protection hidden="1"/>
    </xf>
    <xf numFmtId="0" fontId="13" fillId="0" borderId="0" xfId="0" applyFont="1" applyAlignment="1" applyProtection="1">
      <alignment horizontal="center" vertical="center"/>
      <protection hidden="1"/>
    </xf>
    <xf numFmtId="4" fontId="12" fillId="2" borderId="35" xfId="0" applyNumberFormat="1" applyFont="1" applyFill="1" applyBorder="1" applyAlignment="1" applyProtection="1">
      <alignment horizontal="right" vertical="center"/>
      <protection hidden="1"/>
    </xf>
    <xf numFmtId="4" fontId="12" fillId="2" borderId="0" xfId="0" applyNumberFormat="1" applyFont="1" applyFill="1" applyBorder="1" applyAlignment="1" applyProtection="1">
      <alignment horizontal="right" vertical="center"/>
      <protection hidden="1"/>
    </xf>
    <xf numFmtId="167" fontId="38" fillId="2" borderId="0" xfId="24" applyFont="1" applyFill="1" applyAlignment="1" applyProtection="1">
      <alignment horizontal="centerContinuous" vertical="center"/>
      <protection hidden="1"/>
    </xf>
    <xf numFmtId="0" fontId="37" fillId="2" borderId="0" xfId="0" applyFont="1" applyFill="1" applyAlignment="1" applyProtection="1">
      <alignment horizontal="centerContinuous" vertical="center"/>
      <protection hidden="1"/>
    </xf>
    <xf numFmtId="0" fontId="34" fillId="2" borderId="0" xfId="0" applyFont="1" applyFill="1" applyAlignment="1" applyProtection="1">
      <alignment horizontal="centerContinuous" vertical="center"/>
      <protection hidden="1"/>
    </xf>
    <xf numFmtId="0" fontId="12" fillId="2" borderId="0" xfId="0" applyFont="1" applyFill="1" applyAlignment="1" applyProtection="1">
      <alignment horizontal="centerContinuous" vertical="center"/>
      <protection hidden="1"/>
    </xf>
    <xf numFmtId="0" fontId="38" fillId="5" borderId="32" xfId="0" quotePrefix="1" applyFont="1" applyFill="1" applyBorder="1" applyAlignment="1" applyProtection="1">
      <alignment horizontal="left" vertical="center" wrapText="1"/>
      <protection hidden="1"/>
    </xf>
    <xf numFmtId="4" fontId="12" fillId="2" borderId="0" xfId="0" applyNumberFormat="1" applyFont="1" applyFill="1" applyAlignment="1" applyProtection="1">
      <alignment vertical="center"/>
      <protection hidden="1"/>
    </xf>
    <xf numFmtId="4" fontId="12" fillId="2" borderId="37" xfId="0" applyNumberFormat="1" applyFont="1" applyFill="1" applyBorder="1" applyAlignment="1" applyProtection="1">
      <alignment horizontal="right" vertical="center"/>
      <protection hidden="1"/>
    </xf>
    <xf numFmtId="0" fontId="34" fillId="2" borderId="0" xfId="0" applyFont="1" applyFill="1" applyAlignment="1" applyProtection="1">
      <alignment horizontal="fill" vertical="center" wrapText="1"/>
      <protection hidden="1"/>
    </xf>
    <xf numFmtId="0" fontId="12" fillId="2" borderId="0" xfId="0" applyFont="1" applyFill="1" applyAlignment="1" applyProtection="1">
      <alignment horizontal="fill" vertical="center" wrapText="1"/>
      <protection hidden="1"/>
    </xf>
    <xf numFmtId="0" fontId="39" fillId="12" borderId="0" xfId="0" applyFont="1" applyFill="1" applyBorder="1" applyAlignment="1" applyProtection="1">
      <alignment horizontal="left" vertical="center" wrapText="1"/>
      <protection hidden="1"/>
    </xf>
    <xf numFmtId="0" fontId="39" fillId="12" borderId="0" xfId="0" quotePrefix="1" applyFont="1" applyFill="1" applyBorder="1" applyAlignment="1" applyProtection="1">
      <alignment horizontal="left" vertical="center" wrapText="1"/>
      <protection hidden="1"/>
    </xf>
    <xf numFmtId="4" fontId="38" fillId="5" borderId="31" xfId="0" applyNumberFormat="1" applyFont="1" applyFill="1" applyBorder="1" applyAlignment="1" applyProtection="1">
      <alignment horizontal="right" vertical="center"/>
      <protection hidden="1"/>
    </xf>
    <xf numFmtId="4" fontId="38" fillId="5" borderId="36" xfId="0" applyNumberFormat="1" applyFont="1" applyFill="1" applyBorder="1" applyAlignment="1" applyProtection="1">
      <alignment horizontal="right" vertical="center"/>
      <protection hidden="1"/>
    </xf>
    <xf numFmtId="167" fontId="38" fillId="2" borderId="0" xfId="24" quotePrefix="1" applyFont="1" applyFill="1" applyAlignment="1" applyProtection="1">
      <alignment horizontal="centerContinuous" vertical="center"/>
      <protection hidden="1"/>
    </xf>
    <xf numFmtId="0" fontId="38" fillId="2" borderId="0" xfId="0" applyFont="1" applyFill="1" applyAlignment="1" applyProtection="1">
      <alignment horizontal="centerContinuous" vertical="center"/>
      <protection hidden="1"/>
    </xf>
    <xf numFmtId="0" fontId="38" fillId="2" borderId="0" xfId="0" applyFont="1" applyFill="1" applyBorder="1" applyAlignment="1" applyProtection="1">
      <alignment horizontal="centerContinuous" vertical="center"/>
      <protection hidden="1"/>
    </xf>
    <xf numFmtId="0" fontId="13" fillId="2" borderId="0" xfId="0" applyFont="1" applyFill="1" applyAlignment="1" applyProtection="1">
      <alignment horizontal="left" vertical="center"/>
      <protection hidden="1"/>
    </xf>
    <xf numFmtId="0" fontId="38" fillId="5" borderId="34" xfId="0" quotePrefix="1" applyFont="1" applyFill="1" applyBorder="1" applyAlignment="1" applyProtection="1">
      <alignment horizontal="left" vertical="center" wrapText="1"/>
      <protection hidden="1"/>
    </xf>
    <xf numFmtId="4" fontId="38" fillId="5" borderId="37" xfId="0" applyNumberFormat="1" applyFont="1" applyFill="1" applyBorder="1" applyAlignment="1" applyProtection="1">
      <alignment horizontal="right" vertical="center"/>
      <protection hidden="1"/>
    </xf>
    <xf numFmtId="15" fontId="38" fillId="0" borderId="0" xfId="0" quotePrefix="1" applyNumberFormat="1" applyFont="1" applyAlignment="1" applyProtection="1">
      <alignment horizontal="left" vertical="center"/>
      <protection hidden="1"/>
    </xf>
    <xf numFmtId="0" fontId="39" fillId="12" borderId="0" xfId="0" applyFont="1" applyFill="1" applyAlignment="1" applyProtection="1">
      <alignment vertical="center"/>
      <protection hidden="1"/>
    </xf>
    <xf numFmtId="0" fontId="36" fillId="0" borderId="0" xfId="0" applyFont="1" applyBorder="1" applyAlignment="1" applyProtection="1">
      <alignment vertical="center"/>
      <protection hidden="1"/>
    </xf>
    <xf numFmtId="0" fontId="36" fillId="12" borderId="0" xfId="0" applyFont="1" applyFill="1" applyBorder="1" applyAlignment="1" applyProtection="1">
      <alignment vertical="center"/>
      <protection hidden="1"/>
    </xf>
    <xf numFmtId="0" fontId="36" fillId="6" borderId="38" xfId="0" applyFont="1" applyFill="1" applyBorder="1" applyAlignment="1" applyProtection="1">
      <alignment horizontal="center" vertical="center"/>
      <protection hidden="1"/>
    </xf>
    <xf numFmtId="17" fontId="36" fillId="6" borderId="40" xfId="0" applyNumberFormat="1" applyFont="1" applyFill="1" applyBorder="1" applyAlignment="1" applyProtection="1">
      <alignment horizontal="center" vertical="center" wrapText="1"/>
      <protection hidden="1"/>
    </xf>
    <xf numFmtId="0" fontId="21" fillId="0" borderId="0" xfId="0" quotePrefix="1" applyFont="1" applyFill="1" applyAlignment="1" applyProtection="1">
      <alignment horizontal="left" vertical="center"/>
      <protection hidden="1"/>
    </xf>
    <xf numFmtId="0" fontId="12" fillId="0" borderId="0" xfId="0" applyFont="1" applyFill="1" applyBorder="1" applyAlignment="1" applyProtection="1">
      <alignment vertical="center"/>
      <protection hidden="1"/>
    </xf>
    <xf numFmtId="0" fontId="40" fillId="0" borderId="0" xfId="0" applyFont="1" applyBorder="1" applyAlignment="1" applyProtection="1">
      <alignment vertical="center"/>
      <protection hidden="1"/>
    </xf>
    <xf numFmtId="0" fontId="40" fillId="12" borderId="0" xfId="0" applyFont="1" applyFill="1" applyBorder="1" applyAlignment="1" applyProtection="1">
      <alignment vertical="center"/>
      <protection hidden="1"/>
    </xf>
    <xf numFmtId="0" fontId="24" fillId="12" borderId="0" xfId="0" applyFont="1" applyFill="1" applyBorder="1" applyAlignment="1" applyProtection="1">
      <alignment vertical="center"/>
      <protection hidden="1"/>
    </xf>
    <xf numFmtId="0" fontId="24" fillId="0" borderId="0" xfId="0" applyFont="1" applyBorder="1" applyAlignment="1" applyProtection="1">
      <alignment vertical="center"/>
      <protection hidden="1"/>
    </xf>
    <xf numFmtId="0" fontId="25" fillId="0" borderId="0" xfId="0" applyFont="1" applyAlignment="1" applyProtection="1">
      <alignment vertical="center"/>
      <protection hidden="1"/>
    </xf>
    <xf numFmtId="0" fontId="12" fillId="0" borderId="0" xfId="0" applyFont="1" applyBorder="1" applyAlignment="1" applyProtection="1">
      <alignment horizontal="center" vertical="center"/>
      <protection hidden="1"/>
    </xf>
    <xf numFmtId="0" fontId="12" fillId="12" borderId="0" xfId="0" applyFont="1" applyFill="1" applyBorder="1" applyAlignment="1" applyProtection="1">
      <alignment horizontal="center" vertical="center"/>
      <protection hidden="1"/>
    </xf>
    <xf numFmtId="0" fontId="12" fillId="2" borderId="34" xfId="0" quotePrefix="1" applyFont="1" applyFill="1" applyBorder="1" applyAlignment="1" applyProtection="1">
      <alignment horizontal="left" vertical="center" wrapText="1"/>
      <protection hidden="1"/>
    </xf>
    <xf numFmtId="0" fontId="34" fillId="0" borderId="0" xfId="0" applyFont="1" applyFill="1" applyBorder="1" applyAlignment="1" applyProtection="1">
      <alignment vertical="center"/>
      <protection hidden="1"/>
    </xf>
    <xf numFmtId="0" fontId="35" fillId="5" borderId="41" xfId="0" applyFont="1" applyFill="1" applyBorder="1" applyAlignment="1" applyProtection="1">
      <alignment horizontal="center" vertical="center" wrapText="1"/>
      <protection hidden="1"/>
    </xf>
    <xf numFmtId="0" fontId="13" fillId="0" borderId="42" xfId="0" applyFont="1" applyBorder="1" applyAlignment="1" applyProtection="1">
      <alignment horizontal="left" vertical="center" wrapText="1"/>
      <protection hidden="1"/>
    </xf>
    <xf numFmtId="2" fontId="37" fillId="0" borderId="41" xfId="0" applyNumberFormat="1" applyFont="1" applyFill="1" applyBorder="1" applyAlignment="1" applyProtection="1">
      <alignment horizontal="right" vertical="center" wrapText="1"/>
      <protection hidden="1"/>
    </xf>
    <xf numFmtId="165" fontId="13" fillId="0" borderId="41" xfId="17" applyFont="1" applyFill="1" applyBorder="1" applyAlignment="1" applyProtection="1">
      <alignment vertical="center" wrapText="1"/>
      <protection hidden="1"/>
    </xf>
    <xf numFmtId="2" fontId="13" fillId="0" borderId="41" xfId="0" quotePrefix="1" applyNumberFormat="1" applyFont="1" applyFill="1" applyBorder="1" applyAlignment="1" applyProtection="1">
      <alignment horizontal="right" vertical="center" wrapText="1"/>
      <protection hidden="1"/>
    </xf>
    <xf numFmtId="165" fontId="13" fillId="0" borderId="41" xfId="17" applyFont="1" applyFill="1" applyBorder="1" applyAlignment="1" applyProtection="1">
      <alignment horizontal="right" vertical="center" wrapText="1"/>
      <protection hidden="1"/>
    </xf>
    <xf numFmtId="0" fontId="13" fillId="0" borderId="43" xfId="0" applyFont="1" applyBorder="1" applyAlignment="1" applyProtection="1">
      <alignment horizontal="left" vertical="center" wrapText="1"/>
      <protection hidden="1"/>
    </xf>
    <xf numFmtId="2" fontId="37" fillId="0" borderId="44" xfId="0" applyNumberFormat="1" applyFont="1" applyFill="1" applyBorder="1" applyAlignment="1" applyProtection="1">
      <alignment horizontal="right" vertical="center" wrapText="1"/>
      <protection hidden="1"/>
    </xf>
    <xf numFmtId="165" fontId="13" fillId="0" borderId="45" xfId="17" applyFont="1" applyFill="1" applyBorder="1" applyAlignment="1" applyProtection="1">
      <alignment vertical="center" wrapText="1"/>
      <protection hidden="1"/>
    </xf>
    <xf numFmtId="0" fontId="13" fillId="0" borderId="46" xfId="0" applyFont="1" applyBorder="1" applyAlignment="1" applyProtection="1">
      <alignment horizontal="left" vertical="center" wrapText="1"/>
      <protection hidden="1"/>
    </xf>
    <xf numFmtId="15" fontId="36" fillId="5" borderId="44" xfId="0" quotePrefix="1" applyNumberFormat="1" applyFont="1" applyFill="1" applyBorder="1" applyAlignment="1" applyProtection="1">
      <alignment horizontal="center" vertical="center" wrapText="1"/>
      <protection hidden="1"/>
    </xf>
    <xf numFmtId="15" fontId="36" fillId="5" borderId="47" xfId="0" quotePrefix="1" applyNumberFormat="1" applyFont="1" applyFill="1" applyBorder="1" applyAlignment="1" applyProtection="1">
      <alignment horizontal="center" vertical="center" wrapText="1"/>
      <protection hidden="1"/>
    </xf>
    <xf numFmtId="0" fontId="13" fillId="0" borderId="42" xfId="0" applyFont="1" applyFill="1" applyBorder="1" applyAlignment="1" applyProtection="1">
      <alignment horizontal="left" vertical="center" wrapText="1"/>
      <protection hidden="1"/>
    </xf>
    <xf numFmtId="165" fontId="13" fillId="0" borderId="45" xfId="17" applyFont="1" applyFill="1" applyBorder="1" applyAlignment="1" applyProtection="1">
      <alignment horizontal="right" vertical="center" wrapText="1"/>
      <protection hidden="1"/>
    </xf>
    <xf numFmtId="0" fontId="12" fillId="0" borderId="41" xfId="0" applyFont="1" applyFill="1" applyBorder="1" applyAlignment="1" applyProtection="1">
      <alignment vertical="center"/>
      <protection hidden="1"/>
    </xf>
    <xf numFmtId="0" fontId="13" fillId="0" borderId="43" xfId="0" applyFont="1" applyFill="1" applyBorder="1" applyAlignment="1" applyProtection="1">
      <alignment horizontal="left" vertical="center" wrapText="1"/>
      <protection hidden="1"/>
    </xf>
    <xf numFmtId="165" fontId="13" fillId="0" borderId="44" xfId="17" applyFont="1" applyFill="1" applyBorder="1" applyAlignment="1" applyProtection="1">
      <alignment horizontal="right" vertical="center" wrapText="1"/>
      <protection hidden="1"/>
    </xf>
    <xf numFmtId="165" fontId="13" fillId="0" borderId="47" xfId="17" applyFont="1" applyFill="1" applyBorder="1" applyAlignment="1" applyProtection="1">
      <alignment horizontal="right" vertical="center" wrapText="1"/>
      <protection hidden="1"/>
    </xf>
    <xf numFmtId="0" fontId="13" fillId="0" borderId="46" xfId="0" applyFont="1" applyFill="1" applyBorder="1" applyAlignment="1" applyProtection="1">
      <alignment horizontal="left" vertical="center" wrapText="1"/>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horizontal="left" vertical="center" wrapText="1"/>
      <protection hidden="1"/>
    </xf>
    <xf numFmtId="0" fontId="41" fillId="5" borderId="49" xfId="0" applyFont="1" applyFill="1" applyBorder="1" applyAlignment="1" applyProtection="1">
      <alignment horizontal="center" vertical="center" wrapText="1"/>
      <protection hidden="1"/>
    </xf>
    <xf numFmtId="0" fontId="35" fillId="16" borderId="49" xfId="0" applyFont="1" applyFill="1" applyBorder="1" applyAlignment="1" applyProtection="1">
      <alignment horizontal="center" vertical="center" wrapText="1"/>
      <protection hidden="1"/>
    </xf>
    <xf numFmtId="9" fontId="36" fillId="5" borderId="49" xfId="0" quotePrefix="1" applyNumberFormat="1" applyFont="1" applyFill="1" applyBorder="1" applyAlignment="1" applyProtection="1">
      <alignment horizontal="center" vertical="center" wrapText="1"/>
      <protection hidden="1"/>
    </xf>
    <xf numFmtId="9" fontId="36" fillId="16" borderId="49" xfId="0" quotePrefix="1" applyNumberFormat="1" applyFont="1" applyFill="1" applyBorder="1" applyAlignment="1" applyProtection="1">
      <alignment horizontal="center" vertical="center" wrapText="1"/>
      <protection hidden="1"/>
    </xf>
    <xf numFmtId="165" fontId="13" fillId="13" borderId="49" xfId="17" applyNumberFormat="1" applyFont="1" applyFill="1" applyBorder="1" applyAlignment="1" applyProtection="1">
      <alignment horizontal="center" vertical="center" wrapText="1"/>
      <protection hidden="1"/>
    </xf>
    <xf numFmtId="165" fontId="13" fillId="12" borderId="49" xfId="17" applyNumberFormat="1" applyFont="1" applyFill="1" applyBorder="1" applyAlignment="1" applyProtection="1">
      <alignment horizontal="center" vertical="center" wrapText="1"/>
      <protection hidden="1"/>
    </xf>
    <xf numFmtId="165" fontId="13" fillId="2" borderId="49" xfId="17" applyNumberFormat="1" applyFont="1" applyFill="1" applyBorder="1" applyAlignment="1" applyProtection="1">
      <alignment horizontal="center" vertical="center" wrapText="1"/>
      <protection hidden="1"/>
    </xf>
    <xf numFmtId="0" fontId="13" fillId="0" borderId="50" xfId="0" applyFont="1" applyBorder="1" applyAlignment="1" applyProtection="1">
      <alignment horizontal="left" vertical="center" wrapText="1"/>
      <protection hidden="1"/>
    </xf>
    <xf numFmtId="165" fontId="13" fillId="2" borderId="51" xfId="17" applyFont="1" applyFill="1" applyBorder="1" applyAlignment="1" applyProtection="1">
      <alignment horizontal="center" vertical="center" wrapText="1"/>
      <protection hidden="1"/>
    </xf>
    <xf numFmtId="165" fontId="13" fillId="13" borderId="51" xfId="17" applyFont="1" applyFill="1" applyBorder="1" applyAlignment="1" applyProtection="1">
      <alignment horizontal="center" vertical="center" wrapText="1"/>
      <protection hidden="1"/>
    </xf>
    <xf numFmtId="0" fontId="35" fillId="5" borderId="45" xfId="0" quotePrefix="1" applyFont="1" applyFill="1" applyBorder="1" applyAlignment="1" applyProtection="1">
      <alignment horizontal="center" vertical="center" wrapText="1"/>
      <protection hidden="1"/>
    </xf>
    <xf numFmtId="9" fontId="35" fillId="5" borderId="45" xfId="0" quotePrefix="1" applyNumberFormat="1" applyFont="1" applyFill="1" applyBorder="1" applyAlignment="1" applyProtection="1">
      <alignment horizontal="center" vertical="center" wrapText="1"/>
      <protection hidden="1"/>
    </xf>
    <xf numFmtId="165" fontId="14" fillId="0" borderId="41" xfId="17" applyFont="1" applyFill="1" applyBorder="1" applyAlignment="1" applyProtection="1">
      <alignment vertical="center" wrapText="1"/>
      <protection hidden="1"/>
    </xf>
    <xf numFmtId="2" fontId="13" fillId="0" borderId="45" xfId="0" quotePrefix="1" applyNumberFormat="1" applyFont="1" applyFill="1" applyBorder="1" applyAlignment="1" applyProtection="1">
      <alignment horizontal="right" vertical="center" wrapText="1"/>
      <protection hidden="1"/>
    </xf>
    <xf numFmtId="165" fontId="13" fillId="0" borderId="52" xfId="17" applyFont="1" applyFill="1" applyBorder="1" applyAlignment="1" applyProtection="1">
      <alignment vertical="center" wrapText="1"/>
      <protection hidden="1"/>
    </xf>
    <xf numFmtId="165" fontId="13" fillId="0" borderId="48" xfId="17" applyFont="1" applyFill="1" applyBorder="1" applyAlignment="1" applyProtection="1">
      <alignment vertical="center" wrapText="1"/>
      <protection hidden="1"/>
    </xf>
    <xf numFmtId="0" fontId="26" fillId="0" borderId="0" xfId="0" applyFont="1" applyFill="1" applyAlignment="1" applyProtection="1">
      <alignment vertical="center"/>
      <protection hidden="1"/>
    </xf>
    <xf numFmtId="0" fontId="36" fillId="6" borderId="53" xfId="0" applyFont="1" applyFill="1" applyBorder="1" applyAlignment="1" applyProtection="1">
      <alignment horizontal="center" vertical="center" wrapText="1"/>
      <protection hidden="1"/>
    </xf>
    <xf numFmtId="0" fontId="36" fillId="6" borderId="54" xfId="0" applyFont="1" applyFill="1" applyBorder="1" applyAlignment="1" applyProtection="1">
      <alignment horizontal="center" vertical="center" wrapText="1"/>
      <protection hidden="1"/>
    </xf>
    <xf numFmtId="0" fontId="36" fillId="6" borderId="55" xfId="0" applyFont="1" applyFill="1" applyBorder="1" applyAlignment="1" applyProtection="1">
      <alignment horizontal="center" vertical="center" wrapText="1"/>
      <protection hidden="1"/>
    </xf>
    <xf numFmtId="4" fontId="12" fillId="0" borderId="42" xfId="0" applyNumberFormat="1" applyFont="1" applyBorder="1" applyAlignment="1" applyProtection="1">
      <alignment vertical="center"/>
      <protection hidden="1"/>
    </xf>
    <xf numFmtId="4" fontId="12" fillId="0" borderId="41" xfId="0" applyNumberFormat="1" applyFont="1" applyFill="1" applyBorder="1" applyAlignment="1" applyProtection="1">
      <alignment horizontal="center" vertical="center"/>
      <protection hidden="1"/>
    </xf>
    <xf numFmtId="4" fontId="12" fillId="0" borderId="45" xfId="0" applyNumberFormat="1" applyFont="1" applyFill="1" applyBorder="1" applyAlignment="1" applyProtection="1">
      <alignment horizontal="center" vertical="center"/>
      <protection hidden="1"/>
    </xf>
    <xf numFmtId="0" fontId="12" fillId="0" borderId="42" xfId="0" applyFont="1" applyBorder="1" applyAlignment="1" applyProtection="1">
      <alignment horizontal="left" vertical="center" wrapText="1"/>
      <protection hidden="1"/>
    </xf>
    <xf numFmtId="4" fontId="12" fillId="0" borderId="41" xfId="0" applyNumberFormat="1" applyFont="1" applyBorder="1" applyAlignment="1" applyProtection="1">
      <alignment horizontal="center" vertical="center"/>
      <protection hidden="1"/>
    </xf>
    <xf numFmtId="4" fontId="12" fillId="0" borderId="45" xfId="0" applyNumberFormat="1" applyFont="1" applyBorder="1" applyAlignment="1" applyProtection="1">
      <alignment horizontal="center" vertical="center"/>
      <protection hidden="1"/>
    </xf>
    <xf numFmtId="4" fontId="35" fillId="17" borderId="42" xfId="0" applyNumberFormat="1" applyFont="1" applyFill="1" applyBorder="1" applyAlignment="1" applyProtection="1">
      <alignment horizontal="left" vertical="center" wrapText="1"/>
      <protection hidden="1"/>
    </xf>
    <xf numFmtId="4" fontId="35" fillId="17" borderId="41" xfId="0" applyNumberFormat="1" applyFont="1" applyFill="1" applyBorder="1" applyAlignment="1" applyProtection="1">
      <alignment horizontal="center" vertical="center" wrapText="1"/>
      <protection hidden="1"/>
    </xf>
    <xf numFmtId="4" fontId="35" fillId="17" borderId="45" xfId="0" applyNumberFormat="1" applyFont="1" applyFill="1" applyBorder="1" applyAlignment="1" applyProtection="1">
      <alignment horizontal="center" vertical="center" wrapText="1"/>
      <protection hidden="1"/>
    </xf>
    <xf numFmtId="4" fontId="13" fillId="0" borderId="41" xfId="0" applyNumberFormat="1" applyFont="1" applyFill="1" applyBorder="1" applyAlignment="1" applyProtection="1">
      <alignment horizontal="center" vertical="center"/>
      <protection hidden="1"/>
    </xf>
    <xf numFmtId="4" fontId="13" fillId="0" borderId="45" xfId="0" applyNumberFormat="1" applyFont="1" applyFill="1" applyBorder="1" applyAlignment="1" applyProtection="1">
      <alignment horizontal="center" vertical="center"/>
      <protection hidden="1"/>
    </xf>
    <xf numFmtId="4" fontId="12" fillId="0" borderId="43" xfId="0" applyNumberFormat="1" applyFont="1" applyBorder="1" applyAlignment="1" applyProtection="1">
      <alignment vertical="center"/>
      <protection hidden="1"/>
    </xf>
    <xf numFmtId="4" fontId="13" fillId="0" borderId="44" xfId="0" applyNumberFormat="1" applyFont="1" applyFill="1" applyBorder="1" applyAlignment="1" applyProtection="1">
      <alignment horizontal="center" vertical="center"/>
      <protection hidden="1"/>
    </xf>
    <xf numFmtId="4" fontId="13" fillId="0" borderId="47" xfId="0" applyNumberFormat="1" applyFont="1" applyFill="1" applyBorder="1" applyAlignment="1" applyProtection="1">
      <alignment horizontal="center" vertical="center"/>
      <protection hidden="1"/>
    </xf>
    <xf numFmtId="4" fontId="12" fillId="0" borderId="46" xfId="0" applyNumberFormat="1" applyFont="1" applyBorder="1" applyAlignment="1" applyProtection="1">
      <alignment vertical="center"/>
      <protection hidden="1"/>
    </xf>
    <xf numFmtId="4" fontId="12" fillId="0" borderId="52" xfId="0" applyNumberFormat="1" applyFont="1" applyFill="1" applyBorder="1" applyAlignment="1" applyProtection="1">
      <alignment horizontal="center" vertical="center"/>
      <protection hidden="1"/>
    </xf>
    <xf numFmtId="4" fontId="12" fillId="0" borderId="48" xfId="0" applyNumberFormat="1" applyFont="1" applyFill="1" applyBorder="1" applyAlignment="1" applyProtection="1">
      <alignment horizontal="center" vertical="center"/>
      <protection hidden="1"/>
    </xf>
    <xf numFmtId="15" fontId="36" fillId="5" borderId="43" xfId="0" quotePrefix="1" applyNumberFormat="1" applyFont="1" applyFill="1" applyBorder="1" applyAlignment="1" applyProtection="1">
      <alignment horizontal="center" vertical="center" wrapText="1"/>
      <protection hidden="1"/>
    </xf>
    <xf numFmtId="0" fontId="12" fillId="0" borderId="42" xfId="0" applyFont="1" applyBorder="1" applyAlignment="1" applyProtection="1">
      <alignment vertical="center"/>
      <protection hidden="1"/>
    </xf>
    <xf numFmtId="0" fontId="36" fillId="6" borderId="53" xfId="0" applyFont="1" applyFill="1" applyBorder="1" applyAlignment="1" applyProtection="1">
      <alignment horizontal="center" vertical="center"/>
      <protection hidden="1"/>
    </xf>
    <xf numFmtId="4" fontId="12" fillId="0" borderId="45" xfId="0" applyNumberFormat="1" applyFont="1" applyFill="1" applyBorder="1" applyAlignment="1" applyProtection="1">
      <alignment vertical="center"/>
      <protection hidden="1"/>
    </xf>
    <xf numFmtId="0" fontId="12" fillId="12" borderId="42" xfId="0" quotePrefix="1" applyFont="1" applyFill="1" applyBorder="1" applyAlignment="1" applyProtection="1">
      <alignment horizontal="left" vertical="center"/>
      <protection hidden="1"/>
    </xf>
    <xf numFmtId="165" fontId="13" fillId="0" borderId="41" xfId="17" applyNumberFormat="1" applyFont="1" applyFill="1" applyBorder="1" applyAlignment="1" applyProtection="1">
      <alignment horizontal="right" vertical="center" wrapText="1"/>
      <protection hidden="1"/>
    </xf>
    <xf numFmtId="168" fontId="13" fillId="13" borderId="49" xfId="17" applyNumberFormat="1" applyFont="1" applyFill="1" applyBorder="1" applyAlignment="1" applyProtection="1">
      <alignment horizontal="center" vertical="center" wrapText="1"/>
      <protection hidden="1"/>
    </xf>
    <xf numFmtId="168" fontId="13" fillId="0" borderId="56" xfId="17" applyNumberFormat="1" applyFont="1" applyBorder="1" applyAlignment="1" applyProtection="1">
      <alignment horizontal="left" vertical="center" wrapText="1"/>
      <protection hidden="1"/>
    </xf>
    <xf numFmtId="168" fontId="13" fillId="13" borderId="57" xfId="17" applyNumberFormat="1" applyFont="1" applyFill="1" applyBorder="1" applyAlignment="1" applyProtection="1">
      <alignment horizontal="center" vertical="center" wrapText="1"/>
      <protection hidden="1"/>
    </xf>
    <xf numFmtId="168" fontId="12" fillId="12" borderId="0" xfId="17" applyNumberFormat="1" applyFont="1" applyFill="1" applyBorder="1" applyAlignment="1" applyProtection="1">
      <alignment horizontal="center" vertical="center"/>
      <protection hidden="1"/>
    </xf>
    <xf numFmtId="168" fontId="12" fillId="0" borderId="0" xfId="17" applyNumberFormat="1" applyFont="1" applyBorder="1" applyAlignment="1" applyProtection="1">
      <alignment horizontal="center" vertical="center"/>
      <protection hidden="1"/>
    </xf>
    <xf numFmtId="168" fontId="13" fillId="0" borderId="58" xfId="17" applyNumberFormat="1" applyFont="1" applyBorder="1" applyAlignment="1" applyProtection="1">
      <alignment horizontal="left" vertical="center" wrapText="1"/>
      <protection hidden="1"/>
    </xf>
    <xf numFmtId="168" fontId="13" fillId="2" borderId="49" xfId="17" applyNumberFormat="1" applyFont="1" applyFill="1" applyBorder="1" applyAlignment="1" applyProtection="1">
      <alignment horizontal="center" vertical="center" wrapText="1"/>
      <protection hidden="1"/>
    </xf>
    <xf numFmtId="168" fontId="13" fillId="0" borderId="49" xfId="17" applyNumberFormat="1" applyFont="1" applyFill="1" applyBorder="1" applyAlignment="1" applyProtection="1">
      <alignment horizontal="center" vertical="center" wrapText="1"/>
      <protection hidden="1"/>
    </xf>
    <xf numFmtId="165" fontId="13" fillId="13" borderId="57" xfId="17" applyNumberFormat="1" applyFont="1" applyFill="1" applyBorder="1" applyAlignment="1" applyProtection="1">
      <alignment horizontal="center" vertical="center" wrapText="1"/>
      <protection hidden="1"/>
    </xf>
    <xf numFmtId="165" fontId="13" fillId="12" borderId="49" xfId="17" applyNumberFormat="1" applyFont="1" applyFill="1" applyBorder="1" applyAlignment="1" applyProtection="1">
      <alignment horizontal="center" wrapText="1"/>
      <protection hidden="1"/>
    </xf>
    <xf numFmtId="165" fontId="13" fillId="0" borderId="58" xfId="17" applyNumberFormat="1" applyFont="1" applyBorder="1" applyAlignment="1" applyProtection="1">
      <alignment horizontal="left" vertical="center" wrapText="1"/>
      <protection hidden="1"/>
    </xf>
    <xf numFmtId="165" fontId="12" fillId="12" borderId="0" xfId="17" applyNumberFormat="1" applyFont="1" applyFill="1" applyBorder="1" applyAlignment="1" applyProtection="1">
      <alignment horizontal="center" vertical="center"/>
      <protection hidden="1"/>
    </xf>
    <xf numFmtId="165" fontId="12" fillId="0" borderId="0" xfId="17" applyNumberFormat="1" applyFont="1" applyBorder="1" applyAlignment="1" applyProtection="1">
      <alignment horizontal="center" vertical="center"/>
      <protection hidden="1"/>
    </xf>
    <xf numFmtId="4" fontId="12" fillId="12" borderId="42" xfId="0" applyNumberFormat="1" applyFont="1" applyFill="1" applyBorder="1" applyAlignment="1" applyProtection="1">
      <alignment vertical="center" wrapText="1"/>
      <protection hidden="1"/>
    </xf>
    <xf numFmtId="0" fontId="12" fillId="12" borderId="0" xfId="21" applyFont="1" applyFill="1" applyProtection="1">
      <protection hidden="1"/>
    </xf>
    <xf numFmtId="0" fontId="28" fillId="0" borderId="0" xfId="0" applyFont="1" applyAlignment="1">
      <alignment horizontal="center" vertical="center"/>
    </xf>
    <xf numFmtId="0" fontId="28" fillId="0" borderId="0" xfId="0" applyFont="1" applyAlignment="1">
      <alignment vertical="center"/>
    </xf>
    <xf numFmtId="165" fontId="0" fillId="0" borderId="0" xfId="17" applyFont="1" applyAlignment="1">
      <alignment horizontal="center" vertical="center"/>
    </xf>
    <xf numFmtId="0" fontId="0" fillId="0" borderId="0" xfId="0" applyAlignment="1">
      <alignment vertical="center"/>
    </xf>
    <xf numFmtId="0" fontId="28" fillId="0" borderId="2" xfId="0" applyFont="1" applyBorder="1" applyAlignment="1">
      <alignment vertical="center"/>
    </xf>
    <xf numFmtId="165" fontId="0" fillId="0" borderId="2" xfId="17" applyFont="1" applyBorder="1" applyAlignment="1">
      <alignment horizontal="center" vertical="center"/>
    </xf>
    <xf numFmtId="165" fontId="1" fillId="0" borderId="2" xfId="17" applyFont="1" applyBorder="1" applyAlignment="1">
      <alignment horizontal="center" vertical="center"/>
    </xf>
    <xf numFmtId="0" fontId="43" fillId="18" borderId="2" xfId="0" applyFont="1" applyFill="1" applyBorder="1" applyAlignment="1">
      <alignment horizontal="center" vertical="center"/>
    </xf>
    <xf numFmtId="0" fontId="44" fillId="18" borderId="2" xfId="0" applyFont="1" applyFill="1" applyBorder="1" applyAlignment="1">
      <alignment horizontal="center" vertical="center"/>
    </xf>
    <xf numFmtId="0" fontId="32" fillId="0" borderId="0" xfId="0" applyFont="1" applyAlignment="1">
      <alignment horizontal="center" vertical="center"/>
    </xf>
    <xf numFmtId="0" fontId="44" fillId="19" borderId="2" xfId="0" applyFont="1" applyFill="1" applyBorder="1" applyAlignment="1">
      <alignment horizontal="center" vertical="center"/>
    </xf>
    <xf numFmtId="37" fontId="12" fillId="0" borderId="3" xfId="23" applyNumberFormat="1" applyFont="1" applyBorder="1" applyProtection="1"/>
    <xf numFmtId="37" fontId="12" fillId="0" borderId="4" xfId="23" applyNumberFormat="1" applyFont="1" applyBorder="1" applyProtection="1"/>
    <xf numFmtId="37" fontId="12" fillId="7" borderId="4" xfId="23" applyNumberFormat="1" applyFont="1" applyFill="1" applyBorder="1" applyProtection="1"/>
    <xf numFmtId="0" fontId="10" fillId="0" borderId="5" xfId="23" applyNumberFormat="1" applyFont="1" applyBorder="1" applyAlignment="1" applyProtection="1">
      <alignment horizontal="center"/>
    </xf>
    <xf numFmtId="4" fontId="1" fillId="3" borderId="5" xfId="21" applyNumberFormat="1" applyFill="1" applyBorder="1"/>
    <xf numFmtId="4" fontId="1" fillId="0" borderId="6" xfId="21" applyNumberFormat="1" applyBorder="1"/>
    <xf numFmtId="4" fontId="1" fillId="0" borderId="3" xfId="21" applyNumberFormat="1" applyBorder="1"/>
    <xf numFmtId="4" fontId="1" fillId="4" borderId="5" xfId="21" applyNumberFormat="1" applyFill="1" applyBorder="1"/>
    <xf numFmtId="4" fontId="1" fillId="0" borderId="5" xfId="21" applyNumberFormat="1" applyBorder="1"/>
    <xf numFmtId="4" fontId="1" fillId="20" borderId="6" xfId="21" applyNumberFormat="1" applyFill="1" applyBorder="1"/>
    <xf numFmtId="0" fontId="10" fillId="0" borderId="7" xfId="23" applyNumberFormat="1" applyFont="1" applyBorder="1" applyAlignment="1" applyProtection="1">
      <alignment horizontal="center"/>
    </xf>
    <xf numFmtId="4" fontId="1" fillId="3" borderId="7" xfId="21" applyNumberFormat="1" applyFill="1" applyBorder="1"/>
    <xf numFmtId="4" fontId="1" fillId="0" borderId="0" xfId="21" applyNumberFormat="1" applyBorder="1"/>
    <xf numFmtId="4" fontId="1" fillId="0" borderId="4" xfId="21" applyNumberFormat="1" applyBorder="1"/>
    <xf numFmtId="4" fontId="1" fillId="4" borderId="7" xfId="21" applyNumberFormat="1" applyFill="1" applyBorder="1"/>
    <xf numFmtId="4" fontId="1" fillId="0" borderId="7" xfId="21" applyNumberFormat="1" applyBorder="1"/>
    <xf numFmtId="4" fontId="1" fillId="20" borderId="0" xfId="21" applyNumberFormat="1" applyFill="1" applyBorder="1"/>
    <xf numFmtId="0" fontId="10" fillId="7" borderId="7" xfId="23" applyNumberFormat="1" applyFont="1" applyFill="1" applyBorder="1" applyAlignment="1" applyProtection="1">
      <alignment horizontal="center"/>
    </xf>
    <xf numFmtId="4" fontId="1" fillId="7" borderId="7" xfId="21" applyNumberFormat="1" applyFill="1" applyBorder="1"/>
    <xf numFmtId="4" fontId="1" fillId="7" borderId="0" xfId="21" applyNumberFormat="1" applyFill="1" applyBorder="1"/>
    <xf numFmtId="4" fontId="1" fillId="7" borderId="4" xfId="21" applyNumberFormat="1" applyFill="1" applyBorder="1"/>
    <xf numFmtId="4" fontId="1" fillId="3" borderId="0" xfId="21" applyNumberFormat="1" applyFill="1" applyBorder="1"/>
    <xf numFmtId="0" fontId="1" fillId="7" borderId="0" xfId="21" applyFill="1"/>
    <xf numFmtId="0" fontId="1" fillId="7" borderId="0" xfId="21" applyFill="1" applyAlignment="1">
      <alignment horizontal="left"/>
    </xf>
    <xf numFmtId="0" fontId="1" fillId="8" borderId="0" xfId="21" applyFill="1"/>
    <xf numFmtId="4" fontId="1" fillId="4" borderId="0" xfId="21" applyNumberFormat="1" applyFill="1" applyBorder="1"/>
    <xf numFmtId="4" fontId="1" fillId="19" borderId="0" xfId="21" applyNumberFormat="1" applyFill="1" applyBorder="1"/>
    <xf numFmtId="0" fontId="13" fillId="0" borderId="64" xfId="0" applyFont="1" applyFill="1" applyBorder="1" applyAlignment="1" applyProtection="1">
      <alignment horizontal="left" vertical="center" wrapText="1"/>
      <protection hidden="1"/>
    </xf>
    <xf numFmtId="0" fontId="13" fillId="0" borderId="65" xfId="0" applyFont="1" applyFill="1" applyBorder="1" applyAlignment="1" applyProtection="1">
      <alignment horizontal="left" vertical="center" wrapText="1"/>
      <protection hidden="1"/>
    </xf>
    <xf numFmtId="165" fontId="13" fillId="0" borderId="52" xfId="17" applyFont="1" applyFill="1" applyBorder="1" applyAlignment="1" applyProtection="1">
      <alignment horizontal="center" vertical="center" wrapText="1"/>
      <protection hidden="1"/>
    </xf>
    <xf numFmtId="15" fontId="45" fillId="5" borderId="51" xfId="0" quotePrefix="1" applyNumberFormat="1" applyFont="1" applyFill="1" applyBorder="1" applyAlignment="1" applyProtection="1">
      <alignment horizontal="center" vertical="center" wrapText="1"/>
      <protection hidden="1"/>
    </xf>
    <xf numFmtId="15" fontId="45" fillId="16" borderId="51" xfId="0" quotePrefix="1" applyNumberFormat="1" applyFont="1" applyFill="1" applyBorder="1" applyAlignment="1" applyProtection="1">
      <alignment horizontal="center" vertical="center" wrapText="1"/>
      <protection hidden="1"/>
    </xf>
    <xf numFmtId="0" fontId="40" fillId="6" borderId="0" xfId="0" applyFont="1" applyFill="1" applyBorder="1" applyAlignment="1" applyProtection="1">
      <alignment horizontal="center" vertical="center"/>
      <protection hidden="1"/>
    </xf>
    <xf numFmtId="15" fontId="46" fillId="5" borderId="44" xfId="0" applyNumberFormat="1" applyFont="1" applyFill="1" applyBorder="1" applyAlignment="1" applyProtection="1">
      <alignment horizontal="center" vertical="center" wrapText="1"/>
      <protection hidden="1"/>
    </xf>
    <xf numFmtId="15" fontId="46" fillId="5" borderId="44" xfId="0" quotePrefix="1" applyNumberFormat="1" applyFont="1" applyFill="1" applyBorder="1" applyAlignment="1" applyProtection="1">
      <alignment horizontal="center" vertical="center" wrapText="1"/>
      <protection hidden="1"/>
    </xf>
    <xf numFmtId="15" fontId="46" fillId="5" borderId="66" xfId="0" applyNumberFormat="1" applyFont="1" applyFill="1" applyBorder="1" applyAlignment="1" applyProtection="1">
      <alignment horizontal="center" vertical="center" wrapText="1"/>
      <protection hidden="1"/>
    </xf>
    <xf numFmtId="0" fontId="47" fillId="0" borderId="0" xfId="0" applyFont="1"/>
    <xf numFmtId="9" fontId="48" fillId="0" borderId="0" xfId="25" applyFont="1" applyFill="1" applyBorder="1" applyAlignment="1" applyProtection="1">
      <alignment horizontal="center" vertical="center"/>
      <protection hidden="1"/>
    </xf>
    <xf numFmtId="9" fontId="48" fillId="0" borderId="0" xfId="0" applyNumberFormat="1" applyFont="1" applyFill="1" applyAlignment="1" applyProtection="1">
      <alignment horizontal="center" vertical="center"/>
      <protection hidden="1"/>
    </xf>
    <xf numFmtId="169" fontId="9" fillId="2" borderId="7" xfId="23" applyNumberFormat="1" applyFont="1" applyFill="1" applyBorder="1" applyProtection="1"/>
    <xf numFmtId="0" fontId="9" fillId="2" borderId="0" xfId="23" applyFont="1" applyFill="1" applyBorder="1"/>
    <xf numFmtId="0" fontId="1" fillId="2" borderId="0" xfId="21" applyFill="1" applyBorder="1"/>
    <xf numFmtId="0" fontId="1" fillId="12" borderId="0" xfId="21" applyFill="1"/>
    <xf numFmtId="0" fontId="1" fillId="0" borderId="0" xfId="21"/>
    <xf numFmtId="37" fontId="23" fillId="9" borderId="0" xfId="23" applyNumberFormat="1" applyFont="1" applyFill="1" applyBorder="1" applyAlignment="1" applyProtection="1">
      <alignment horizontal="centerContinuous"/>
    </xf>
    <xf numFmtId="0" fontId="1" fillId="2" borderId="0" xfId="21" applyFill="1" applyAlignment="1">
      <alignment horizontal="centerContinuous"/>
    </xf>
    <xf numFmtId="0" fontId="29" fillId="10" borderId="5" xfId="21" applyFont="1" applyFill="1" applyBorder="1"/>
    <xf numFmtId="0" fontId="30" fillId="10" borderId="6" xfId="21" applyFont="1" applyFill="1" applyBorder="1" applyAlignment="1">
      <alignment horizontal="right"/>
    </xf>
    <xf numFmtId="10" fontId="30" fillId="10" borderId="3" xfId="26" applyNumberFormat="1" applyFont="1" applyFill="1" applyBorder="1" applyAlignment="1">
      <alignment horizontal="center"/>
    </xf>
    <xf numFmtId="0" fontId="30" fillId="10" borderId="6" xfId="21" quotePrefix="1" applyFont="1" applyFill="1" applyBorder="1" applyAlignment="1">
      <alignment horizontal="right"/>
    </xf>
    <xf numFmtId="0" fontId="1" fillId="0" borderId="8" xfId="21" applyBorder="1"/>
    <xf numFmtId="0" fontId="1" fillId="0" borderId="9" xfId="21" applyBorder="1"/>
    <xf numFmtId="49" fontId="31" fillId="11" borderId="10" xfId="21" applyNumberFormat="1" applyFont="1" applyFill="1" applyBorder="1" applyAlignment="1">
      <alignment horizontal="center" wrapText="1"/>
    </xf>
    <xf numFmtId="49" fontId="31" fillId="0" borderId="10" xfId="21" applyNumberFormat="1" applyFont="1" applyBorder="1" applyAlignment="1">
      <alignment horizontal="center" wrapText="1"/>
    </xf>
    <xf numFmtId="49" fontId="31" fillId="20" borderId="10" xfId="21" applyNumberFormat="1" applyFont="1" applyFill="1" applyBorder="1" applyAlignment="1">
      <alignment horizontal="center" wrapText="1"/>
    </xf>
    <xf numFmtId="169" fontId="9" fillId="0" borderId="5" xfId="23" applyNumberFormat="1" applyFont="1" applyBorder="1" applyProtection="1"/>
    <xf numFmtId="37" fontId="12" fillId="0" borderId="3" xfId="23" quotePrefix="1" applyNumberFormat="1" applyFont="1" applyBorder="1" applyAlignment="1" applyProtection="1">
      <alignment horizontal="left"/>
    </xf>
    <xf numFmtId="37" fontId="12" fillId="0" borderId="4" xfId="23" quotePrefix="1" applyNumberFormat="1" applyFont="1" applyBorder="1" applyAlignment="1" applyProtection="1">
      <alignment horizontal="left"/>
    </xf>
    <xf numFmtId="0" fontId="10" fillId="0" borderId="11" xfId="23" applyNumberFormat="1" applyFont="1" applyBorder="1" applyAlignment="1" applyProtection="1">
      <alignment horizontal="center"/>
    </xf>
    <xf numFmtId="37" fontId="12" fillId="0" borderId="12" xfId="23" applyNumberFormat="1" applyFont="1" applyFill="1" applyBorder="1" applyProtection="1"/>
    <xf numFmtId="4" fontId="1" fillId="3" borderId="11" xfId="21" applyNumberFormat="1" applyFill="1" applyBorder="1"/>
    <xf numFmtId="4" fontId="1" fillId="0" borderId="13" xfId="21" applyNumberFormat="1" applyBorder="1"/>
    <xf numFmtId="4" fontId="1" fillId="0" borderId="12" xfId="21" applyNumberFormat="1" applyBorder="1"/>
    <xf numFmtId="4" fontId="1" fillId="4" borderId="11" xfId="21" applyNumberFormat="1" applyFill="1" applyBorder="1"/>
    <xf numFmtId="4" fontId="1" fillId="20" borderId="13" xfId="21" applyNumberFormat="1" applyFill="1" applyBorder="1"/>
    <xf numFmtId="169" fontId="9" fillId="0" borderId="7" xfId="23" applyNumberFormat="1" applyFont="1" applyBorder="1" applyProtection="1"/>
    <xf numFmtId="37" fontId="12" fillId="0" borderId="4" xfId="23" applyNumberFormat="1" applyFont="1" applyFill="1" applyBorder="1" applyProtection="1"/>
    <xf numFmtId="169" fontId="9" fillId="0" borderId="11" xfId="23" applyNumberFormat="1" applyFont="1" applyBorder="1" applyProtection="1"/>
    <xf numFmtId="4" fontId="1" fillId="0" borderId="11" xfId="21" applyNumberFormat="1" applyBorder="1"/>
    <xf numFmtId="0" fontId="10" fillId="7" borderId="11" xfId="23" applyNumberFormat="1" applyFont="1" applyFill="1" applyBorder="1" applyAlignment="1" applyProtection="1">
      <alignment horizontal="center"/>
    </xf>
    <xf numFmtId="37" fontId="12" fillId="7" borderId="12" xfId="23" applyNumberFormat="1" applyFont="1" applyFill="1" applyBorder="1" applyProtection="1"/>
    <xf numFmtId="4" fontId="1" fillId="7" borderId="11" xfId="21" applyNumberFormat="1" applyFill="1" applyBorder="1"/>
    <xf numFmtId="4" fontId="1" fillId="7" borderId="13" xfId="21" applyNumberFormat="1" applyFill="1" applyBorder="1"/>
    <xf numFmtId="4" fontId="1" fillId="7" borderId="12" xfId="21" applyNumberFormat="1" applyFill="1" applyBorder="1"/>
    <xf numFmtId="4" fontId="1" fillId="4" borderId="6" xfId="21" applyNumberFormat="1" applyFill="1" applyBorder="1"/>
    <xf numFmtId="37" fontId="12" fillId="0" borderId="12" xfId="23" quotePrefix="1" applyNumberFormat="1" applyFont="1" applyFill="1" applyBorder="1" applyAlignment="1" applyProtection="1">
      <alignment horizontal="left"/>
    </xf>
    <xf numFmtId="4" fontId="1" fillId="4" borderId="13" xfId="21" applyNumberFormat="1" applyFill="1" applyBorder="1"/>
    <xf numFmtId="4" fontId="1" fillId="0" borderId="0" xfId="21" applyNumberFormat="1"/>
    <xf numFmtId="37" fontId="12" fillId="0" borderId="12" xfId="23" applyNumberFormat="1" applyFont="1" applyBorder="1" applyProtection="1"/>
    <xf numFmtId="0" fontId="10" fillId="0" borderId="7" xfId="23" applyNumberFormat="1" applyFont="1" applyFill="1" applyBorder="1" applyAlignment="1" applyProtection="1">
      <alignment horizontal="center"/>
    </xf>
    <xf numFmtId="4" fontId="1" fillId="0" borderId="7" xfId="21" applyNumberFormat="1" applyFill="1" applyBorder="1"/>
    <xf numFmtId="4" fontId="1" fillId="0" borderId="0" xfId="21" applyNumberFormat="1" applyFill="1" applyBorder="1"/>
    <xf numFmtId="4" fontId="1" fillId="0" borderId="4" xfId="21" applyNumberFormat="1" applyFill="1" applyBorder="1"/>
    <xf numFmtId="4" fontId="1" fillId="0" borderId="11" xfId="21" applyNumberFormat="1" applyFill="1" applyBorder="1"/>
    <xf numFmtId="4" fontId="1" fillId="0" borderId="13" xfId="21" applyNumberFormat="1" applyFill="1" applyBorder="1"/>
    <xf numFmtId="4" fontId="1" fillId="0" borderId="12" xfId="21" applyNumberFormat="1" applyFill="1" applyBorder="1"/>
    <xf numFmtId="4" fontId="1" fillId="2" borderId="0" xfId="21" applyNumberFormat="1" applyFill="1" applyBorder="1"/>
    <xf numFmtId="37" fontId="12" fillId="2" borderId="0" xfId="23" applyNumberFormat="1" applyFont="1" applyFill="1" applyBorder="1" applyProtection="1"/>
    <xf numFmtId="4" fontId="1" fillId="21" borderId="0" xfId="21" applyNumberFormat="1" applyFill="1" applyBorder="1"/>
    <xf numFmtId="0" fontId="10" fillId="2" borderId="8" xfId="23" applyNumberFormat="1" applyFont="1" applyFill="1" applyBorder="1" applyAlignment="1" applyProtection="1">
      <alignment horizontal="center"/>
    </xf>
    <xf numFmtId="37" fontId="13" fillId="2" borderId="9" xfId="23" applyNumberFormat="1" applyFont="1" applyFill="1" applyBorder="1" applyProtection="1"/>
    <xf numFmtId="0" fontId="1" fillId="2" borderId="9" xfId="21" applyFill="1" applyBorder="1"/>
    <xf numFmtId="10" fontId="32" fillId="2" borderId="0" xfId="26" applyNumberFormat="1" applyFont="1" applyFill="1" applyAlignment="1">
      <alignment horizontal="center"/>
    </xf>
    <xf numFmtId="0" fontId="32" fillId="2" borderId="0" xfId="21" quotePrefix="1" applyFont="1" applyFill="1" applyAlignment="1">
      <alignment horizontal="right"/>
    </xf>
    <xf numFmtId="0" fontId="32" fillId="2" borderId="0" xfId="21" applyFont="1" applyFill="1" applyAlignment="1">
      <alignment horizontal="left"/>
    </xf>
    <xf numFmtId="10" fontId="1" fillId="0" borderId="0" xfId="21" applyNumberFormat="1"/>
    <xf numFmtId="0" fontId="1" fillId="2" borderId="14" xfId="21" applyFill="1" applyBorder="1"/>
    <xf numFmtId="0" fontId="28" fillId="2" borderId="10" xfId="21" applyFont="1" applyFill="1" applyBorder="1" applyAlignment="1">
      <alignment horizontal="center"/>
    </xf>
    <xf numFmtId="0" fontId="26" fillId="2" borderId="10" xfId="21" applyFont="1" applyFill="1" applyBorder="1"/>
    <xf numFmtId="0" fontId="1" fillId="2" borderId="10" xfId="21" applyFill="1" applyBorder="1"/>
    <xf numFmtId="0" fontId="26" fillId="2" borderId="10" xfId="21" applyFont="1" applyFill="1" applyBorder="1" applyAlignment="1">
      <alignment horizontal="centerContinuous"/>
    </xf>
    <xf numFmtId="0" fontId="1" fillId="2" borderId="10" xfId="21" applyFill="1" applyBorder="1" applyAlignment="1">
      <alignment horizontal="centerContinuous"/>
    </xf>
    <xf numFmtId="0" fontId="26" fillId="2" borderId="10" xfId="21" applyFont="1" applyFill="1" applyBorder="1" applyAlignment="1">
      <alignment horizontal="left"/>
    </xf>
    <xf numFmtId="0" fontId="1" fillId="2" borderId="8" xfId="21" applyFill="1" applyBorder="1" applyAlignment="1">
      <alignment horizontal="centerContinuous"/>
    </xf>
    <xf numFmtId="0" fontId="1" fillId="2" borderId="15" xfId="21" applyFill="1" applyBorder="1" applyAlignment="1">
      <alignment horizontal="centerContinuous"/>
    </xf>
    <xf numFmtId="0" fontId="1" fillId="2" borderId="9" xfId="21" applyFill="1" applyBorder="1" applyAlignment="1">
      <alignment horizontal="centerContinuous"/>
    </xf>
    <xf numFmtId="0" fontId="1" fillId="2" borderId="16" xfId="21" applyFill="1" applyBorder="1"/>
    <xf numFmtId="4" fontId="1" fillId="2" borderId="10" xfId="21" applyNumberFormat="1" applyFill="1" applyBorder="1"/>
    <xf numFmtId="0" fontId="1" fillId="2" borderId="8" xfId="21" applyFill="1" applyBorder="1"/>
    <xf numFmtId="4" fontId="1" fillId="2" borderId="15" xfId="21" applyNumberFormat="1" applyFill="1" applyBorder="1"/>
    <xf numFmtId="4" fontId="1" fillId="2" borderId="15" xfId="21" applyNumberFormat="1" applyFill="1" applyBorder="1" applyAlignment="1">
      <alignment horizontal="centerContinuous"/>
    </xf>
    <xf numFmtId="4" fontId="1" fillId="2" borderId="9" xfId="21" applyNumberFormat="1" applyFill="1" applyBorder="1" applyAlignment="1">
      <alignment horizontal="centerContinuous"/>
    </xf>
    <xf numFmtId="0" fontId="1" fillId="2" borderId="15" xfId="21" applyFill="1" applyBorder="1"/>
    <xf numFmtId="4" fontId="1" fillId="2" borderId="0" xfId="21" applyNumberFormat="1" applyFill="1"/>
    <xf numFmtId="0" fontId="1" fillId="2" borderId="17" xfId="21" applyFill="1" applyBorder="1"/>
    <xf numFmtId="0" fontId="28" fillId="2" borderId="17" xfId="21" applyFont="1" applyFill="1" applyBorder="1" applyAlignment="1">
      <alignment horizontal="center"/>
    </xf>
    <xf numFmtId="0" fontId="26" fillId="2" borderId="17" xfId="21" applyFont="1" applyFill="1" applyBorder="1"/>
    <xf numFmtId="4" fontId="1" fillId="2" borderId="17" xfId="21" applyNumberFormat="1" applyFill="1" applyBorder="1"/>
    <xf numFmtId="0" fontId="1" fillId="2" borderId="18" xfId="21" applyFill="1" applyBorder="1" applyAlignment="1">
      <alignment horizontal="centerContinuous"/>
    </xf>
    <xf numFmtId="0" fontId="1" fillId="2" borderId="19" xfId="21" applyFill="1" applyBorder="1" applyAlignment="1">
      <alignment horizontal="centerContinuous"/>
    </xf>
    <xf numFmtId="0" fontId="26" fillId="2" borderId="17" xfId="21" applyFont="1" applyFill="1" applyBorder="1" applyAlignment="1">
      <alignment horizontal="centerContinuous"/>
    </xf>
    <xf numFmtId="0" fontId="1" fillId="2" borderId="17" xfId="21" applyFill="1" applyBorder="1" applyAlignment="1">
      <alignment horizontal="centerContinuous"/>
    </xf>
    <xf numFmtId="2" fontId="1" fillId="12" borderId="0" xfId="21" applyNumberFormat="1" applyFill="1"/>
    <xf numFmtId="0" fontId="1" fillId="2" borderId="20" xfId="21" applyFill="1" applyBorder="1"/>
    <xf numFmtId="0" fontId="1" fillId="2" borderId="21" xfId="21" applyFill="1" applyBorder="1"/>
    <xf numFmtId="4" fontId="1" fillId="2" borderId="21" xfId="21" applyNumberFormat="1" applyFill="1" applyBorder="1"/>
    <xf numFmtId="0" fontId="1" fillId="2" borderId="22" xfId="21" applyFill="1" applyBorder="1"/>
    <xf numFmtId="0" fontId="1" fillId="2" borderId="23" xfId="21" applyFill="1" applyBorder="1"/>
    <xf numFmtId="0" fontId="26" fillId="2" borderId="21" xfId="21" applyFont="1" applyFill="1" applyBorder="1" applyAlignment="1">
      <alignment horizontal="centerContinuous"/>
    </xf>
    <xf numFmtId="4" fontId="1" fillId="2" borderId="24" xfId="21" applyNumberFormat="1" applyFill="1" applyBorder="1" applyAlignment="1">
      <alignment horizontal="centerContinuous"/>
    </xf>
    <xf numFmtId="4" fontId="1" fillId="2" borderId="25" xfId="21" applyNumberFormat="1" applyFill="1" applyBorder="1" applyAlignment="1">
      <alignment horizontal="centerContinuous"/>
    </xf>
    <xf numFmtId="0" fontId="26" fillId="2" borderId="21" xfId="21" applyFont="1" applyFill="1" applyBorder="1" applyAlignment="1">
      <alignment horizontal="left"/>
    </xf>
    <xf numFmtId="0" fontId="1" fillId="2" borderId="26" xfId="21" applyFill="1" applyBorder="1"/>
    <xf numFmtId="0" fontId="1" fillId="2" borderId="27" xfId="21" applyFill="1" applyBorder="1"/>
    <xf numFmtId="0" fontId="1" fillId="2" borderId="28" xfId="21" applyFill="1" applyBorder="1"/>
    <xf numFmtId="4" fontId="1" fillId="2" borderId="28" xfId="21" applyNumberFormat="1" applyFill="1" applyBorder="1"/>
    <xf numFmtId="4" fontId="1" fillId="2" borderId="29" xfId="21" applyNumberFormat="1" applyFill="1" applyBorder="1"/>
    <xf numFmtId="4" fontId="1" fillId="2" borderId="30" xfId="21" applyNumberFormat="1" applyFill="1" applyBorder="1"/>
    <xf numFmtId="0" fontId="28" fillId="2" borderId="0" xfId="21" quotePrefix="1" applyFont="1" applyFill="1" applyAlignment="1">
      <alignment horizontal="left"/>
    </xf>
    <xf numFmtId="0" fontId="1" fillId="2" borderId="0" xfId="21" quotePrefix="1" applyFill="1" applyAlignment="1">
      <alignment horizontal="left"/>
    </xf>
    <xf numFmtId="2" fontId="1" fillId="0" borderId="0" xfId="21" applyNumberFormat="1" applyFill="1"/>
    <xf numFmtId="0" fontId="10" fillId="2" borderId="0" xfId="21" applyFont="1" applyFill="1"/>
    <xf numFmtId="170" fontId="1" fillId="2" borderId="0" xfId="21" applyNumberFormat="1" applyFill="1"/>
    <xf numFmtId="171" fontId="1" fillId="2" borderId="0" xfId="21" applyNumberFormat="1" applyFill="1"/>
    <xf numFmtId="9" fontId="1" fillId="12" borderId="0" xfId="25" applyFont="1" applyFill="1"/>
    <xf numFmtId="0" fontId="33" fillId="0" borderId="0" xfId="21" applyFont="1" applyAlignment="1">
      <alignment wrapText="1"/>
    </xf>
    <xf numFmtId="165" fontId="0" fillId="0" borderId="0" xfId="17" applyFont="1" applyAlignment="1">
      <alignment vertical="center"/>
    </xf>
    <xf numFmtId="165" fontId="0" fillId="0" borderId="0" xfId="17" applyNumberFormat="1" applyFont="1" applyAlignment="1">
      <alignment vertical="center"/>
    </xf>
    <xf numFmtId="0" fontId="12" fillId="2" borderId="2" xfId="0" applyFont="1" applyFill="1" applyBorder="1" applyAlignment="1" applyProtection="1">
      <alignment vertical="center"/>
      <protection hidden="1"/>
    </xf>
    <xf numFmtId="4" fontId="12" fillId="2" borderId="2" xfId="0" applyNumberFormat="1" applyFont="1" applyFill="1" applyBorder="1" applyAlignment="1" applyProtection="1">
      <alignment vertical="center"/>
      <protection hidden="1"/>
    </xf>
    <xf numFmtId="0" fontId="12" fillId="20" borderId="2" xfId="0" applyFont="1" applyFill="1" applyBorder="1" applyAlignment="1" applyProtection="1">
      <alignment horizontal="center" vertical="center"/>
      <protection hidden="1"/>
    </xf>
    <xf numFmtId="165" fontId="9" fillId="0" borderId="0" xfId="17" applyFont="1"/>
    <xf numFmtId="0" fontId="0" fillId="0" borderId="0" xfId="0" applyAlignment="1">
      <alignment vertical="top" wrapText="1"/>
    </xf>
    <xf numFmtId="17" fontId="36" fillId="6" borderId="39" xfId="0" applyNumberFormat="1" applyFont="1" applyFill="1" applyBorder="1" applyAlignment="1" applyProtection="1">
      <alignment horizontal="center" vertical="center" wrapText="1"/>
      <protection hidden="1"/>
    </xf>
    <xf numFmtId="167" fontId="38" fillId="2" borderId="0" xfId="24" applyFont="1" applyFill="1" applyAlignment="1" applyProtection="1">
      <alignment horizontal="left" vertical="center"/>
      <protection hidden="1"/>
    </xf>
    <xf numFmtId="165" fontId="13" fillId="12" borderId="52" xfId="17" applyFont="1" applyFill="1" applyBorder="1" applyAlignment="1" applyProtection="1">
      <alignment horizontal="right" vertical="center" wrapText="1"/>
      <protection hidden="1"/>
    </xf>
    <xf numFmtId="0" fontId="12" fillId="0" borderId="0" xfId="0" applyFont="1" applyAlignment="1" applyProtection="1">
      <alignment vertical="center"/>
      <protection hidden="1"/>
    </xf>
    <xf numFmtId="0" fontId="42" fillId="0" borderId="0" xfId="0" applyFont="1" applyFill="1" applyBorder="1" applyAlignment="1" applyProtection="1">
      <alignment horizontal="left" vertical="center" wrapText="1"/>
      <protection hidden="1"/>
    </xf>
    <xf numFmtId="9" fontId="35" fillId="5" borderId="52" xfId="25" quotePrefix="1" applyFont="1" applyFill="1" applyBorder="1" applyAlignment="1" applyProtection="1">
      <alignment horizontal="center" vertical="center" wrapText="1"/>
      <protection hidden="1"/>
    </xf>
    <xf numFmtId="0" fontId="1" fillId="0" borderId="0" xfId="0" applyFont="1" applyAlignment="1" applyProtection="1">
      <alignment vertical="center"/>
      <protection hidden="1"/>
    </xf>
    <xf numFmtId="0" fontId="12" fillId="14" borderId="32" xfId="0" quotePrefix="1" applyFont="1" applyFill="1" applyBorder="1" applyAlignment="1" applyProtection="1">
      <alignment horizontal="left" vertical="center"/>
      <protection hidden="1"/>
    </xf>
    <xf numFmtId="4" fontId="12" fillId="14" borderId="31" xfId="0" applyNumberFormat="1" applyFont="1" applyFill="1" applyBorder="1" applyAlignment="1" applyProtection="1">
      <alignment vertical="center"/>
      <protection hidden="1"/>
    </xf>
    <xf numFmtId="4" fontId="12" fillId="14" borderId="36" xfId="0" applyNumberFormat="1" applyFont="1" applyFill="1" applyBorder="1" applyAlignment="1" applyProtection="1">
      <alignment vertical="center"/>
      <protection hidden="1"/>
    </xf>
    <xf numFmtId="0" fontId="12" fillId="14" borderId="32" xfId="0" applyFont="1" applyFill="1" applyBorder="1" applyAlignment="1" applyProtection="1">
      <alignment horizontal="left" vertical="center"/>
      <protection hidden="1"/>
    </xf>
    <xf numFmtId="0" fontId="12" fillId="14" borderId="33" xfId="0" applyFont="1" applyFill="1" applyBorder="1" applyAlignment="1" applyProtection="1">
      <alignment horizontal="left" vertical="center" wrapText="1"/>
      <protection hidden="1"/>
    </xf>
    <xf numFmtId="4" fontId="12" fillId="14" borderId="31" xfId="0" applyNumberFormat="1" applyFont="1" applyFill="1" applyBorder="1" applyAlignment="1" applyProtection="1">
      <alignment horizontal="right" vertical="center"/>
      <protection hidden="1"/>
    </xf>
    <xf numFmtId="4" fontId="12" fillId="14" borderId="36" xfId="0" applyNumberFormat="1" applyFont="1" applyFill="1" applyBorder="1" applyAlignment="1" applyProtection="1">
      <alignment horizontal="right" vertical="center"/>
      <protection hidden="1"/>
    </xf>
    <xf numFmtId="4" fontId="13" fillId="14" borderId="31" xfId="0" applyNumberFormat="1" applyFont="1" applyFill="1" applyBorder="1" applyAlignment="1" applyProtection="1">
      <alignment vertical="center"/>
      <protection hidden="1"/>
    </xf>
    <xf numFmtId="4" fontId="13" fillId="14" borderId="36" xfId="0" applyNumberFormat="1" applyFont="1" applyFill="1" applyBorder="1" applyAlignment="1" applyProtection="1">
      <alignment vertical="center"/>
      <protection hidden="1"/>
    </xf>
    <xf numFmtId="0" fontId="42" fillId="0" borderId="0" xfId="0" applyFont="1" applyBorder="1" applyAlignment="1" applyProtection="1">
      <alignment horizontal="justify" vertical="top" wrapText="1"/>
      <protection hidden="1"/>
    </xf>
    <xf numFmtId="2" fontId="37" fillId="0" borderId="0" xfId="0" applyNumberFormat="1" applyFont="1" applyFill="1" applyBorder="1" applyAlignment="1" applyProtection="1">
      <alignment horizontal="right" vertical="center" wrapText="1"/>
      <protection hidden="1"/>
    </xf>
    <xf numFmtId="0" fontId="42" fillId="0" borderId="0" xfId="0" applyFont="1" applyBorder="1" applyAlignment="1" applyProtection="1">
      <alignment horizontal="left" vertical="top" wrapText="1"/>
      <protection hidden="1"/>
    </xf>
    <xf numFmtId="0" fontId="40" fillId="6" borderId="62" xfId="0" applyFont="1" applyFill="1" applyBorder="1" applyAlignment="1" applyProtection="1">
      <alignment horizontal="center" vertical="center" wrapText="1"/>
      <protection hidden="1"/>
    </xf>
    <xf numFmtId="0" fontId="40" fillId="6" borderId="63" xfId="0" applyFont="1" applyFill="1" applyBorder="1" applyAlignment="1" applyProtection="1">
      <alignment horizontal="center" vertical="center"/>
      <protection hidden="1"/>
    </xf>
    <xf numFmtId="0" fontId="35" fillId="5" borderId="48" xfId="0" applyFont="1" applyFill="1" applyBorder="1" applyAlignment="1" applyProtection="1">
      <alignment horizontal="center" vertical="center" wrapText="1"/>
      <protection hidden="1"/>
    </xf>
    <xf numFmtId="0" fontId="35" fillId="5" borderId="45" xfId="0" applyFont="1" applyFill="1" applyBorder="1" applyAlignment="1" applyProtection="1">
      <alignment horizontal="center" vertical="center" wrapText="1"/>
      <protection hidden="1"/>
    </xf>
    <xf numFmtId="15" fontId="46" fillId="5" borderId="47" xfId="0" applyNumberFormat="1" applyFont="1" applyFill="1" applyBorder="1" applyAlignment="1" applyProtection="1">
      <alignment horizontal="center" vertical="center" wrapText="1"/>
      <protection hidden="1"/>
    </xf>
    <xf numFmtId="165" fontId="13" fillId="12" borderId="45" xfId="17" applyFont="1" applyFill="1" applyBorder="1" applyAlignment="1" applyProtection="1">
      <alignment horizontal="center" vertical="center" wrapText="1"/>
      <protection hidden="1"/>
    </xf>
    <xf numFmtId="2" fontId="37" fillId="0" borderId="45" xfId="0" applyNumberFormat="1" applyFont="1" applyFill="1" applyBorder="1" applyAlignment="1" applyProtection="1">
      <alignment horizontal="right" vertical="center" wrapText="1"/>
      <protection hidden="1"/>
    </xf>
    <xf numFmtId="2" fontId="13" fillId="0" borderId="45" xfId="0" applyNumberFormat="1" applyFont="1" applyFill="1" applyBorder="1" applyAlignment="1" applyProtection="1">
      <alignment horizontal="center" vertical="center" wrapText="1"/>
      <protection hidden="1"/>
    </xf>
    <xf numFmtId="2" fontId="12" fillId="0" borderId="45" xfId="0" applyNumberFormat="1" applyFont="1" applyFill="1" applyBorder="1" applyAlignment="1" applyProtection="1">
      <alignment horizontal="center" vertical="center" wrapText="1"/>
      <protection hidden="1"/>
    </xf>
    <xf numFmtId="2" fontId="17" fillId="0" borderId="45" xfId="0" applyNumberFormat="1" applyFont="1" applyFill="1" applyBorder="1" applyAlignment="1" applyProtection="1">
      <alignment horizontal="center" vertical="center" wrapText="1"/>
      <protection hidden="1"/>
    </xf>
    <xf numFmtId="2" fontId="37" fillId="0" borderId="45" xfId="0" applyNumberFormat="1" applyFont="1" applyFill="1" applyBorder="1" applyAlignment="1" applyProtection="1">
      <alignment horizontal="center" vertical="center" wrapText="1"/>
      <protection hidden="1"/>
    </xf>
    <xf numFmtId="2" fontId="37" fillId="0" borderId="47" xfId="0" applyNumberFormat="1" applyFont="1" applyFill="1" applyBorder="1" applyAlignment="1" applyProtection="1">
      <alignment horizontal="right" vertical="center" wrapText="1"/>
      <protection hidden="1"/>
    </xf>
    <xf numFmtId="165" fontId="14" fillId="0" borderId="45" xfId="17" applyFont="1" applyFill="1" applyBorder="1" applyAlignment="1" applyProtection="1">
      <alignment vertical="center" wrapText="1"/>
      <protection hidden="1"/>
    </xf>
    <xf numFmtId="0" fontId="42" fillId="0" borderId="0" xfId="0" applyFont="1" applyBorder="1" applyAlignment="1" applyProtection="1">
      <alignment vertical="top" wrapText="1"/>
      <protection hidden="1"/>
    </xf>
    <xf numFmtId="0" fontId="34" fillId="2" borderId="0" xfId="0" quotePrefix="1" applyFont="1" applyFill="1" applyAlignment="1" applyProtection="1">
      <alignment horizontal="justify" vertical="center"/>
      <protection hidden="1"/>
    </xf>
    <xf numFmtId="0" fontId="12" fillId="12" borderId="0" xfId="0" applyFont="1" applyFill="1" applyBorder="1" applyAlignment="1" applyProtection="1">
      <alignment horizontal="justify" vertical="center"/>
      <protection hidden="1"/>
    </xf>
    <xf numFmtId="0" fontId="12" fillId="0" borderId="0" xfId="0" applyFont="1" applyBorder="1" applyAlignment="1" applyProtection="1">
      <alignment horizontal="justify" vertical="center"/>
      <protection hidden="1"/>
    </xf>
    <xf numFmtId="0" fontId="1" fillId="12" borderId="0"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42" fillId="0" borderId="0" xfId="0" applyFont="1" applyFill="1" applyBorder="1" applyAlignment="1" applyProtection="1">
      <alignment horizontal="justify" vertical="center" wrapText="1"/>
      <protection hidden="1"/>
    </xf>
    <xf numFmtId="0" fontId="28" fillId="0" borderId="0" xfId="0" applyFont="1" applyFill="1" applyBorder="1" applyAlignment="1" applyProtection="1">
      <alignment horizontal="left" vertical="center" wrapText="1"/>
      <protection hidden="1"/>
    </xf>
    <xf numFmtId="165" fontId="28" fillId="0" borderId="0" xfId="17" applyFont="1" applyFill="1" applyBorder="1" applyAlignment="1" applyProtection="1">
      <alignment horizontal="right" vertical="center" wrapText="1"/>
      <protection hidden="1"/>
    </xf>
    <xf numFmtId="0" fontId="42" fillId="0" borderId="0" xfId="0" applyFont="1" applyFill="1" applyAlignment="1" applyProtection="1">
      <alignment horizontal="justify" vertical="center" wrapText="1"/>
      <protection hidden="1"/>
    </xf>
    <xf numFmtId="0" fontId="12" fillId="2" borderId="0" xfId="0" quotePrefix="1" applyFont="1" applyFill="1" applyBorder="1" applyAlignment="1" applyProtection="1">
      <alignment horizontal="left" vertical="center" wrapText="1"/>
      <protection hidden="1"/>
    </xf>
    <xf numFmtId="4" fontId="12" fillId="2" borderId="41" xfId="0" applyNumberFormat="1" applyFont="1" applyFill="1" applyBorder="1" applyAlignment="1" applyProtection="1">
      <alignment vertical="center"/>
      <protection hidden="1"/>
    </xf>
    <xf numFmtId="4" fontId="12" fillId="23" borderId="41" xfId="0" applyNumberFormat="1" applyFont="1" applyFill="1" applyBorder="1" applyAlignment="1" applyProtection="1">
      <alignment vertical="center"/>
      <protection hidden="1"/>
    </xf>
    <xf numFmtId="4" fontId="12" fillId="0" borderId="41" xfId="0" applyNumberFormat="1" applyFont="1" applyFill="1" applyBorder="1" applyAlignment="1" applyProtection="1">
      <alignment horizontal="right" vertical="center"/>
      <protection hidden="1"/>
    </xf>
    <xf numFmtId="4" fontId="12" fillId="0" borderId="41" xfId="0" applyNumberFormat="1" applyFont="1" applyFill="1" applyBorder="1" applyAlignment="1" applyProtection="1">
      <alignment vertical="center"/>
      <protection hidden="1"/>
    </xf>
    <xf numFmtId="4" fontId="38" fillId="5" borderId="41" xfId="0" applyNumberFormat="1" applyFont="1" applyFill="1" applyBorder="1" applyAlignment="1" applyProtection="1">
      <alignment vertical="center"/>
      <protection hidden="1"/>
    </xf>
    <xf numFmtId="17" fontId="36" fillId="6" borderId="54" xfId="0" applyNumberFormat="1" applyFont="1" applyFill="1" applyBorder="1" applyAlignment="1" applyProtection="1">
      <alignment horizontal="center" vertical="center" wrapText="1"/>
      <protection hidden="1"/>
    </xf>
    <xf numFmtId="17" fontId="36" fillId="6" borderId="55" xfId="0" applyNumberFormat="1" applyFont="1" applyFill="1" applyBorder="1" applyAlignment="1" applyProtection="1">
      <alignment horizontal="center" vertical="center" wrapText="1"/>
      <protection hidden="1"/>
    </xf>
    <xf numFmtId="0" fontId="12" fillId="2" borderId="42" xfId="0" quotePrefix="1" applyFont="1" applyFill="1" applyBorder="1" applyAlignment="1" applyProtection="1">
      <alignment horizontal="left" vertical="center"/>
      <protection hidden="1"/>
    </xf>
    <xf numFmtId="4" fontId="12" fillId="23" borderId="45" xfId="0" applyNumberFormat="1" applyFont="1" applyFill="1" applyBorder="1" applyAlignment="1" applyProtection="1">
      <alignment vertical="center"/>
      <protection hidden="1"/>
    </xf>
    <xf numFmtId="4" fontId="12" fillId="2" borderId="45" xfId="0" applyNumberFormat="1" applyFont="1" applyFill="1" applyBorder="1" applyAlignment="1" applyProtection="1">
      <alignment vertical="center"/>
      <protection hidden="1"/>
    </xf>
    <xf numFmtId="0" fontId="12" fillId="2" borderId="42" xfId="0" applyFont="1" applyFill="1" applyBorder="1" applyAlignment="1" applyProtection="1">
      <alignment horizontal="left" vertical="center"/>
      <protection hidden="1"/>
    </xf>
    <xf numFmtId="0" fontId="38" fillId="5" borderId="42" xfId="0" quotePrefix="1" applyFont="1" applyFill="1" applyBorder="1" applyAlignment="1" applyProtection="1">
      <alignment horizontal="left" vertical="center" wrapText="1"/>
      <protection hidden="1"/>
    </xf>
    <xf numFmtId="4" fontId="38" fillId="5" borderId="45" xfId="0" applyNumberFormat="1" applyFont="1" applyFill="1" applyBorder="1" applyAlignment="1" applyProtection="1">
      <alignment vertical="center"/>
      <protection hidden="1"/>
    </xf>
    <xf numFmtId="0" fontId="12" fillId="2" borderId="43" xfId="0" quotePrefix="1" applyFont="1" applyFill="1" applyBorder="1" applyAlignment="1" applyProtection="1">
      <alignment horizontal="left" vertical="center" wrapText="1"/>
      <protection hidden="1"/>
    </xf>
    <xf numFmtId="4" fontId="12" fillId="2" borderId="44" xfId="0" applyNumberFormat="1" applyFont="1" applyFill="1" applyBorder="1" applyAlignment="1" applyProtection="1">
      <alignment horizontal="right" vertical="center"/>
      <protection hidden="1"/>
    </xf>
    <xf numFmtId="4" fontId="12" fillId="2" borderId="47" xfId="0" applyNumberFormat="1" applyFont="1" applyFill="1" applyBorder="1" applyAlignment="1" applyProtection="1">
      <alignment horizontal="right" vertical="center"/>
      <protection hidden="1"/>
    </xf>
    <xf numFmtId="0" fontId="34" fillId="2" borderId="0" xfId="0" applyNumberFormat="1" applyFont="1" applyFill="1" applyAlignment="1" applyProtection="1">
      <alignment horizontal="justify" vertical="center" wrapText="1"/>
      <protection hidden="1"/>
    </xf>
    <xf numFmtId="0" fontId="38" fillId="5" borderId="42" xfId="0" quotePrefix="1" applyFont="1" applyFill="1" applyBorder="1" applyAlignment="1" applyProtection="1">
      <alignment horizontal="left" vertical="center"/>
      <protection hidden="1"/>
    </xf>
    <xf numFmtId="4" fontId="13" fillId="2" borderId="41" xfId="0" applyNumberFormat="1" applyFont="1" applyFill="1" applyBorder="1" applyAlignment="1" applyProtection="1">
      <alignment vertical="center"/>
      <protection hidden="1"/>
    </xf>
    <xf numFmtId="4" fontId="13" fillId="2" borderId="45" xfId="0" applyNumberFormat="1" applyFont="1" applyFill="1" applyBorder="1" applyAlignment="1" applyProtection="1">
      <alignment vertical="center"/>
      <protection hidden="1"/>
    </xf>
    <xf numFmtId="4" fontId="38" fillId="5" borderId="41" xfId="0" applyNumberFormat="1" applyFont="1" applyFill="1" applyBorder="1" applyAlignment="1" applyProtection="1">
      <alignment horizontal="right" vertical="center"/>
      <protection hidden="1"/>
    </xf>
    <xf numFmtId="4" fontId="38" fillId="5" borderId="45" xfId="0" applyNumberFormat="1" applyFont="1" applyFill="1" applyBorder="1" applyAlignment="1" applyProtection="1">
      <alignment horizontal="right" vertical="center"/>
      <protection hidden="1"/>
    </xf>
    <xf numFmtId="0" fontId="35" fillId="15" borderId="53" xfId="0" applyFont="1" applyFill="1" applyBorder="1" applyAlignment="1" applyProtection="1">
      <alignment horizontal="center" vertical="center" wrapText="1"/>
      <protection hidden="1"/>
    </xf>
    <xf numFmtId="17" fontId="35" fillId="15" borderId="54" xfId="0" applyNumberFormat="1" applyFont="1" applyFill="1" applyBorder="1" applyAlignment="1" applyProtection="1">
      <alignment horizontal="center" vertical="center" wrapText="1"/>
      <protection hidden="1"/>
    </xf>
    <xf numFmtId="17" fontId="35" fillId="15" borderId="55" xfId="0" applyNumberFormat="1" applyFont="1" applyFill="1" applyBorder="1" applyAlignment="1" applyProtection="1">
      <alignment horizontal="center" vertical="center" wrapText="1"/>
      <protection hidden="1"/>
    </xf>
    <xf numFmtId="165" fontId="12" fillId="2" borderId="41" xfId="17" applyFont="1" applyFill="1" applyBorder="1" applyAlignment="1" applyProtection="1">
      <alignment horizontal="right" vertical="center"/>
      <protection hidden="1"/>
    </xf>
    <xf numFmtId="4" fontId="12" fillId="2" borderId="41" xfId="0" applyNumberFormat="1" applyFont="1" applyFill="1" applyBorder="1" applyAlignment="1" applyProtection="1">
      <alignment horizontal="right" vertical="center"/>
      <protection hidden="1"/>
    </xf>
    <xf numFmtId="165" fontId="12" fillId="2" borderId="45" xfId="17" applyFont="1" applyFill="1" applyBorder="1" applyAlignment="1" applyProtection="1">
      <alignment horizontal="right" vertical="center"/>
      <protection hidden="1"/>
    </xf>
    <xf numFmtId="0" fontId="13" fillId="2" borderId="42" xfId="0" applyFont="1" applyFill="1" applyBorder="1" applyAlignment="1" applyProtection="1">
      <alignment horizontal="left" vertical="center" wrapText="1"/>
      <protection hidden="1"/>
    </xf>
    <xf numFmtId="4" fontId="13" fillId="2" borderId="41" xfId="0" applyNumberFormat="1" applyFont="1" applyFill="1" applyBorder="1" applyAlignment="1" applyProtection="1">
      <alignment horizontal="right" vertical="center"/>
      <protection hidden="1"/>
    </xf>
    <xf numFmtId="4" fontId="13" fillId="2" borderId="45" xfId="0" applyNumberFormat="1" applyFont="1" applyFill="1" applyBorder="1" applyAlignment="1" applyProtection="1">
      <alignment horizontal="right" vertical="center"/>
      <protection hidden="1"/>
    </xf>
    <xf numFmtId="4" fontId="12" fillId="2" borderId="45" xfId="0" applyNumberFormat="1" applyFont="1" applyFill="1" applyBorder="1" applyAlignment="1" applyProtection="1">
      <alignment horizontal="right" vertical="center"/>
      <protection hidden="1"/>
    </xf>
    <xf numFmtId="4" fontId="12" fillId="12" borderId="41" xfId="0" applyNumberFormat="1" applyFont="1" applyFill="1" applyBorder="1" applyAlignment="1" applyProtection="1">
      <alignment horizontal="right" vertical="center"/>
      <protection hidden="1"/>
    </xf>
    <xf numFmtId="0" fontId="12" fillId="2" borderId="43" xfId="0" quotePrefix="1" applyFont="1" applyFill="1" applyBorder="1" applyAlignment="1" applyProtection="1">
      <alignment horizontal="left" vertical="center"/>
      <protection hidden="1"/>
    </xf>
    <xf numFmtId="0" fontId="42" fillId="0" borderId="0" xfId="0" applyFont="1" applyAlignment="1" applyProtection="1">
      <alignment horizontal="left" vertical="center"/>
      <protection hidden="1"/>
    </xf>
    <xf numFmtId="0" fontId="42" fillId="2" borderId="0" xfId="0" quotePrefix="1" applyFont="1" applyFill="1" applyBorder="1" applyAlignment="1" applyProtection="1">
      <alignment horizontal="left" vertical="center"/>
      <protection hidden="1"/>
    </xf>
    <xf numFmtId="0" fontId="1" fillId="12" borderId="0" xfId="0" applyFont="1" applyFill="1" applyBorder="1" applyAlignment="1" applyProtection="1">
      <alignment vertical="top"/>
      <protection hidden="1"/>
    </xf>
    <xf numFmtId="0" fontId="42" fillId="12" borderId="0" xfId="0" applyFont="1" applyFill="1" applyAlignment="1" applyProtection="1">
      <alignment vertical="top" wrapText="1"/>
      <protection hidden="1"/>
    </xf>
    <xf numFmtId="0" fontId="1" fillId="0" borderId="0" xfId="0" applyFont="1" applyAlignment="1">
      <alignment vertical="top" wrapText="1"/>
    </xf>
    <xf numFmtId="0" fontId="42" fillId="0" borderId="0" xfId="0" applyFont="1" applyBorder="1" applyAlignment="1" applyProtection="1">
      <alignment horizontal="left" vertical="top" wrapText="1"/>
      <protection hidden="1"/>
    </xf>
    <xf numFmtId="4" fontId="12" fillId="0" borderId="42" xfId="0" applyNumberFormat="1" applyFont="1" applyBorder="1" applyAlignment="1" applyProtection="1">
      <alignment vertical="center" wrapText="1"/>
      <protection hidden="1"/>
    </xf>
    <xf numFmtId="0" fontId="34" fillId="2" borderId="0" xfId="0" applyFont="1" applyFill="1" applyAlignment="1" applyProtection="1">
      <alignment horizontal="left" vertical="center"/>
      <protection hidden="1"/>
    </xf>
    <xf numFmtId="0" fontId="34" fillId="2" borderId="0" xfId="0" quotePrefix="1" applyFont="1" applyFill="1" applyAlignment="1" applyProtection="1">
      <alignment horizontal="left" vertical="center"/>
      <protection hidden="1"/>
    </xf>
    <xf numFmtId="0" fontId="12" fillId="0" borderId="0" xfId="0" applyFont="1" applyFill="1" applyAlignment="1" applyProtection="1">
      <alignment horizontal="left" vertical="center"/>
      <protection hidden="1"/>
    </xf>
    <xf numFmtId="0" fontId="35" fillId="5" borderId="72" xfId="0" quotePrefix="1" applyFont="1" applyFill="1" applyBorder="1" applyAlignment="1" applyProtection="1">
      <alignment horizontal="center" vertical="center" wrapText="1"/>
      <protection hidden="1"/>
    </xf>
    <xf numFmtId="0" fontId="36" fillId="0" borderId="0" xfId="0" applyFont="1" applyAlignment="1" applyProtection="1">
      <alignment vertical="center"/>
      <protection hidden="1"/>
    </xf>
    <xf numFmtId="0" fontId="42" fillId="2" borderId="0" xfId="0" applyFont="1" applyFill="1" applyAlignment="1" applyProtection="1">
      <alignment vertical="center"/>
      <protection hidden="1"/>
    </xf>
    <xf numFmtId="0" fontId="42" fillId="0" borderId="0" xfId="0" applyFont="1" applyBorder="1" applyAlignment="1" applyProtection="1">
      <alignment vertical="top"/>
      <protection hidden="1"/>
    </xf>
    <xf numFmtId="0" fontId="42" fillId="0" borderId="0" xfId="0" applyFont="1" applyBorder="1" applyAlignment="1" applyProtection="1">
      <alignment horizontal="left" vertical="top"/>
      <protection hidden="1"/>
    </xf>
    <xf numFmtId="37" fontId="12" fillId="12" borderId="3" xfId="23" quotePrefix="1" applyNumberFormat="1" applyFont="1" applyFill="1" applyBorder="1" applyAlignment="1" applyProtection="1">
      <alignment horizontal="left"/>
    </xf>
    <xf numFmtId="37" fontId="12" fillId="12" borderId="4" xfId="23" quotePrefix="1" applyNumberFormat="1" applyFont="1" applyFill="1" applyBorder="1" applyAlignment="1" applyProtection="1">
      <alignment horizontal="left"/>
    </xf>
    <xf numFmtId="37" fontId="12" fillId="12" borderId="12" xfId="23" applyNumberFormat="1" applyFont="1" applyFill="1" applyBorder="1" applyProtection="1"/>
    <xf numFmtId="37" fontId="12" fillId="12" borderId="4" xfId="23" applyNumberFormat="1" applyFont="1" applyFill="1" applyBorder="1" applyProtection="1"/>
    <xf numFmtId="37" fontId="12" fillId="12" borderId="12" xfId="23" applyNumberFormat="1" applyFont="1" applyFill="1" applyBorder="1" applyAlignment="1" applyProtection="1">
      <alignment horizontal="left" indent="1"/>
    </xf>
    <xf numFmtId="37" fontId="12" fillId="12" borderId="12" xfId="23" quotePrefix="1" applyNumberFormat="1" applyFont="1" applyFill="1" applyBorder="1" applyAlignment="1" applyProtection="1">
      <alignment horizontal="left"/>
    </xf>
    <xf numFmtId="37" fontId="12" fillId="12" borderId="3" xfId="23" applyNumberFormat="1" applyFont="1" applyFill="1" applyBorder="1" applyProtection="1"/>
    <xf numFmtId="37" fontId="12" fillId="12" borderId="15" xfId="23" applyNumberFormat="1" applyFont="1" applyFill="1" applyBorder="1" applyProtection="1"/>
    <xf numFmtId="4" fontId="1" fillId="26" borderId="0" xfId="21" applyNumberFormat="1" applyFill="1" applyBorder="1"/>
    <xf numFmtId="37" fontId="57" fillId="2" borderId="10" xfId="23" applyNumberFormat="1" applyFont="1" applyFill="1" applyBorder="1" applyAlignment="1" applyProtection="1">
      <alignment wrapText="1"/>
    </xf>
    <xf numFmtId="0" fontId="28" fillId="2" borderId="86" xfId="21" applyFont="1" applyFill="1" applyBorder="1" applyAlignment="1">
      <alignment horizontal="center"/>
    </xf>
    <xf numFmtId="0" fontId="1" fillId="2" borderId="87" xfId="21" applyFill="1" applyBorder="1"/>
    <xf numFmtId="0" fontId="28" fillId="2" borderId="87" xfId="21" applyFont="1" applyFill="1" applyBorder="1" applyAlignment="1">
      <alignment horizontal="center"/>
    </xf>
    <xf numFmtId="0" fontId="1" fillId="2" borderId="88" xfId="21" quotePrefix="1" applyFill="1" applyBorder="1" applyAlignment="1">
      <alignment horizontal="left"/>
    </xf>
    <xf numFmtId="37" fontId="56" fillId="25" borderId="3" xfId="23" applyNumberFormat="1" applyFont="1" applyFill="1" applyBorder="1" applyAlignment="1" applyProtection="1">
      <alignment vertical="center" wrapText="1"/>
    </xf>
    <xf numFmtId="37" fontId="56" fillId="25" borderId="4" xfId="23" applyNumberFormat="1" applyFont="1" applyFill="1" applyBorder="1" applyAlignment="1" applyProtection="1">
      <alignment vertical="center" wrapText="1"/>
    </xf>
    <xf numFmtId="37" fontId="56" fillId="25" borderId="12" xfId="23" applyNumberFormat="1" applyFont="1" applyFill="1" applyBorder="1" applyAlignment="1" applyProtection="1">
      <alignment vertical="center" wrapText="1"/>
    </xf>
    <xf numFmtId="49" fontId="57" fillId="25" borderId="16" xfId="21" applyNumberFormat="1" applyFont="1" applyFill="1" applyBorder="1" applyAlignment="1">
      <alignment horizontal="center" vertical="center" wrapText="1"/>
    </xf>
    <xf numFmtId="4" fontId="1" fillId="12" borderId="5" xfId="21" applyNumberFormat="1" applyFill="1" applyBorder="1"/>
    <xf numFmtId="4" fontId="1" fillId="12" borderId="6" xfId="21" applyNumberFormat="1" applyFill="1" applyBorder="1"/>
    <xf numFmtId="4" fontId="1" fillId="12" borderId="3" xfId="21" applyNumberFormat="1" applyFill="1" applyBorder="1"/>
    <xf numFmtId="4" fontId="1" fillId="12" borderId="7" xfId="21" applyNumberFormat="1" applyFill="1" applyBorder="1"/>
    <xf numFmtId="4" fontId="1" fillId="12" borderId="0" xfId="21" applyNumberFormat="1" applyFill="1" applyBorder="1"/>
    <xf numFmtId="4" fontId="1" fillId="12" borderId="4" xfId="21" applyNumberFormat="1" applyFill="1" applyBorder="1"/>
    <xf numFmtId="4" fontId="1" fillId="12" borderId="11" xfId="21" applyNumberFormat="1" applyFill="1" applyBorder="1"/>
    <xf numFmtId="4" fontId="1" fillId="12" borderId="13" xfId="21" applyNumberFormat="1" applyFill="1" applyBorder="1"/>
    <xf numFmtId="4" fontId="1" fillId="12" borderId="12" xfId="21" applyNumberFormat="1" applyFill="1" applyBorder="1"/>
    <xf numFmtId="166" fontId="1" fillId="12" borderId="13" xfId="21" applyNumberFormat="1" applyFill="1" applyBorder="1"/>
    <xf numFmtId="4" fontId="1" fillId="12" borderId="8" xfId="21" applyNumberFormat="1" applyFill="1" applyBorder="1"/>
    <xf numFmtId="4" fontId="1" fillId="12" borderId="9" xfId="21" applyNumberFormat="1" applyFill="1" applyBorder="1"/>
    <xf numFmtId="0" fontId="57" fillId="2" borderId="8" xfId="21" applyFont="1" applyFill="1" applyBorder="1" applyAlignment="1">
      <alignment horizontal="left" vertical="center"/>
    </xf>
    <xf numFmtId="0" fontId="57" fillId="0" borderId="9" xfId="21" applyFont="1" applyBorder="1" applyAlignment="1">
      <alignment vertical="center"/>
    </xf>
    <xf numFmtId="10" fontId="57" fillId="0" borderId="15" xfId="21" applyNumberFormat="1" applyFont="1" applyBorder="1" applyAlignment="1">
      <alignment vertical="center"/>
    </xf>
    <xf numFmtId="4" fontId="1" fillId="2" borderId="2" xfId="21" applyNumberFormat="1" applyFill="1" applyBorder="1"/>
    <xf numFmtId="4" fontId="1" fillId="2" borderId="91" xfId="21" applyNumberFormat="1" applyFill="1" applyBorder="1"/>
    <xf numFmtId="4" fontId="1" fillId="24" borderId="0" xfId="21" applyNumberFormat="1" applyFill="1" applyBorder="1"/>
    <xf numFmtId="2" fontId="1" fillId="24" borderId="0" xfId="21" applyNumberFormat="1" applyFill="1"/>
    <xf numFmtId="2" fontId="1" fillId="24" borderId="99" xfId="21" applyNumberFormat="1" applyFill="1" applyBorder="1"/>
    <xf numFmtId="4" fontId="12" fillId="0" borderId="45" xfId="0" applyNumberFormat="1" applyFont="1" applyFill="1" applyBorder="1" applyAlignment="1" applyProtection="1">
      <alignment horizontal="right" vertical="center"/>
      <protection hidden="1"/>
    </xf>
    <xf numFmtId="0" fontId="42" fillId="0" borderId="0" xfId="0" applyFont="1" applyBorder="1" applyAlignment="1" applyProtection="1">
      <alignment horizontal="left" vertical="top" wrapText="1"/>
      <protection hidden="1"/>
    </xf>
    <xf numFmtId="0" fontId="35" fillId="5" borderId="72" xfId="0" quotePrefix="1" applyFont="1" applyFill="1" applyBorder="1" applyAlignment="1" applyProtection="1">
      <alignment horizontal="center" vertical="center" wrapText="1"/>
      <protection hidden="1"/>
    </xf>
    <xf numFmtId="0" fontId="35" fillId="5" borderId="73" xfId="0" applyFont="1" applyFill="1" applyBorder="1" applyAlignment="1" applyProtection="1">
      <alignment horizontal="center" vertical="center" wrapText="1"/>
      <protection hidden="1"/>
    </xf>
    <xf numFmtId="0" fontId="60" fillId="0" borderId="0" xfId="0" applyFont="1"/>
    <xf numFmtId="0" fontId="35" fillId="5" borderId="102" xfId="0" quotePrefix="1" applyFont="1" applyFill="1" applyBorder="1" applyAlignment="1" applyProtection="1">
      <alignment horizontal="center" vertical="center" wrapText="1"/>
      <protection hidden="1"/>
    </xf>
    <xf numFmtId="165" fontId="12" fillId="12" borderId="52" xfId="17" applyFont="1" applyFill="1" applyBorder="1" applyAlignment="1" applyProtection="1">
      <alignment horizontal="right" vertical="center" wrapText="1"/>
      <protection hidden="1"/>
    </xf>
    <xf numFmtId="165" fontId="12" fillId="12" borderId="48" xfId="17" applyFont="1" applyFill="1" applyBorder="1" applyAlignment="1" applyProtection="1">
      <alignment horizontal="right" vertical="center" wrapText="1"/>
      <protection hidden="1"/>
    </xf>
    <xf numFmtId="165" fontId="12" fillId="0" borderId="41" xfId="17" applyNumberFormat="1" applyFont="1" applyFill="1" applyBorder="1" applyAlignment="1" applyProtection="1">
      <alignment horizontal="right" vertical="center" wrapText="1"/>
      <protection hidden="1"/>
    </xf>
    <xf numFmtId="165" fontId="12" fillId="0" borderId="45" xfId="17" applyNumberFormat="1" applyFont="1" applyFill="1" applyBorder="1" applyAlignment="1" applyProtection="1">
      <alignment horizontal="right" vertical="center" wrapText="1"/>
      <protection hidden="1"/>
    </xf>
    <xf numFmtId="165" fontId="12" fillId="0" borderId="41" xfId="17" applyFont="1" applyFill="1" applyBorder="1" applyAlignment="1" applyProtection="1">
      <alignment horizontal="right" vertical="center" wrapText="1"/>
      <protection hidden="1"/>
    </xf>
    <xf numFmtId="165" fontId="12" fillId="0" borderId="45" xfId="17" applyFont="1" applyFill="1" applyBorder="1" applyAlignment="1" applyProtection="1">
      <alignment horizontal="right" vertical="center" wrapText="1"/>
      <protection hidden="1"/>
    </xf>
    <xf numFmtId="164" fontId="12" fillId="0" borderId="41" xfId="17" applyNumberFormat="1" applyFont="1" applyFill="1" applyBorder="1" applyAlignment="1" applyProtection="1">
      <alignment horizontal="right" vertical="center" wrapText="1"/>
      <protection hidden="1"/>
    </xf>
    <xf numFmtId="164" fontId="12" fillId="0" borderId="45" xfId="17" applyNumberFormat="1" applyFont="1" applyFill="1" applyBorder="1" applyAlignment="1" applyProtection="1">
      <alignment horizontal="right" vertical="center" wrapText="1"/>
      <protection hidden="1"/>
    </xf>
    <xf numFmtId="2" fontId="12" fillId="0" borderId="44" xfId="17" applyNumberFormat="1" applyFont="1" applyFill="1" applyBorder="1" applyAlignment="1" applyProtection="1">
      <alignment horizontal="right" vertical="center" wrapText="1"/>
      <protection hidden="1"/>
    </xf>
    <xf numFmtId="2" fontId="12" fillId="0" borderId="47" xfId="17" applyNumberFormat="1" applyFont="1" applyFill="1" applyBorder="1" applyAlignment="1" applyProtection="1">
      <alignment horizontal="right" vertical="center" wrapText="1"/>
      <protection hidden="1"/>
    </xf>
    <xf numFmtId="165" fontId="12" fillId="0" borderId="44" xfId="17" applyFont="1" applyFill="1" applyBorder="1" applyAlignment="1" applyProtection="1">
      <alignment horizontal="right" vertical="center" wrapText="1"/>
      <protection hidden="1"/>
    </xf>
    <xf numFmtId="165" fontId="12" fillId="0" borderId="47" xfId="17" applyFont="1" applyFill="1" applyBorder="1" applyAlignment="1" applyProtection="1">
      <alignment horizontal="right" vertical="center" wrapText="1"/>
      <protection hidden="1"/>
    </xf>
    <xf numFmtId="165" fontId="13" fillId="13" borderId="41" xfId="17" applyFont="1" applyFill="1" applyBorder="1" applyAlignment="1" applyProtection="1">
      <alignment horizontal="center" vertical="center" wrapText="1"/>
      <protection hidden="1"/>
    </xf>
    <xf numFmtId="165" fontId="13" fillId="27" borderId="49" xfId="17" applyNumberFormat="1" applyFont="1" applyFill="1" applyBorder="1" applyAlignment="1" applyProtection="1">
      <alignment horizontal="center" vertical="center" wrapText="1"/>
      <protection hidden="1"/>
    </xf>
    <xf numFmtId="165" fontId="13" fillId="27" borderId="41" xfId="17" applyFont="1" applyFill="1" applyBorder="1" applyAlignment="1" applyProtection="1">
      <alignment horizontal="center" vertical="center" wrapText="1"/>
      <protection hidden="1"/>
    </xf>
    <xf numFmtId="168" fontId="13" fillId="27" borderId="49" xfId="17" applyNumberFormat="1" applyFont="1" applyFill="1" applyBorder="1" applyAlignment="1" applyProtection="1">
      <alignment horizontal="center" vertical="center" wrapText="1"/>
      <protection hidden="1"/>
    </xf>
    <xf numFmtId="165" fontId="13" fillId="27" borderId="51" xfId="17" applyFont="1" applyFill="1" applyBorder="1" applyAlignment="1" applyProtection="1">
      <alignment horizontal="center" vertical="center" wrapText="1"/>
      <protection hidden="1"/>
    </xf>
    <xf numFmtId="165" fontId="12" fillId="12" borderId="103" xfId="17" applyFont="1" applyFill="1" applyBorder="1" applyAlignment="1" applyProtection="1">
      <alignment horizontal="right" vertical="center" wrapText="1"/>
      <protection hidden="1"/>
    </xf>
    <xf numFmtId="165" fontId="0" fillId="0" borderId="0" xfId="0" applyNumberFormat="1"/>
    <xf numFmtId="165" fontId="63" fillId="0" borderId="41" xfId="17" applyFont="1" applyFill="1" applyBorder="1" applyAlignment="1" applyProtection="1">
      <alignment horizontal="right" vertical="center" wrapText="1"/>
      <protection hidden="1"/>
    </xf>
    <xf numFmtId="168" fontId="13" fillId="14" borderId="57" xfId="17" applyNumberFormat="1" applyFont="1" applyFill="1" applyBorder="1" applyAlignment="1" applyProtection="1">
      <alignment horizontal="center" vertical="center" wrapText="1"/>
      <protection hidden="1"/>
    </xf>
    <xf numFmtId="4" fontId="39" fillId="2" borderId="0" xfId="0" applyNumberFormat="1" applyFont="1" applyFill="1" applyAlignment="1" applyProtection="1">
      <alignment vertical="center"/>
      <protection hidden="1"/>
    </xf>
    <xf numFmtId="165" fontId="13" fillId="0" borderId="57" xfId="17" applyNumberFormat="1" applyFont="1" applyFill="1" applyBorder="1" applyAlignment="1" applyProtection="1">
      <alignment horizontal="center" vertical="center" wrapText="1"/>
      <protection hidden="1"/>
    </xf>
    <xf numFmtId="4" fontId="13" fillId="0" borderId="41" xfId="0" applyNumberFormat="1" applyFont="1" applyFill="1" applyBorder="1" applyAlignment="1" applyProtection="1">
      <alignment horizontal="right" vertical="center"/>
      <protection hidden="1"/>
    </xf>
    <xf numFmtId="4" fontId="13" fillId="0" borderId="45" xfId="0" applyNumberFormat="1" applyFont="1" applyFill="1" applyBorder="1" applyAlignment="1" applyProtection="1">
      <alignment horizontal="right" vertical="center"/>
      <protection hidden="1"/>
    </xf>
    <xf numFmtId="165" fontId="13" fillId="0" borderId="49" xfId="17" applyNumberFormat="1" applyFont="1" applyFill="1" applyBorder="1" applyAlignment="1" applyProtection="1">
      <alignment horizontal="center" vertical="center" wrapText="1"/>
      <protection hidden="1"/>
    </xf>
    <xf numFmtId="4" fontId="12" fillId="12" borderId="41" xfId="0" applyNumberFormat="1" applyFont="1" applyFill="1" applyBorder="1" applyAlignment="1" applyProtection="1">
      <alignment vertical="center"/>
      <protection hidden="1"/>
    </xf>
    <xf numFmtId="172" fontId="13" fillId="12" borderId="48" xfId="17" applyNumberFormat="1" applyFont="1" applyFill="1" applyBorder="1" applyAlignment="1" applyProtection="1">
      <alignment horizontal="center" vertical="center" wrapText="1"/>
      <protection hidden="1"/>
    </xf>
    <xf numFmtId="0" fontId="42" fillId="0" borderId="0" xfId="0" applyFont="1" applyBorder="1" applyAlignment="1" applyProtection="1">
      <alignment horizontal="justify" vertical="top" wrapText="1"/>
      <protection hidden="1"/>
    </xf>
    <xf numFmtId="0" fontId="42" fillId="0" borderId="0" xfId="0" applyFont="1" applyBorder="1" applyAlignment="1" applyProtection="1">
      <alignment horizontal="left" vertical="top" wrapText="1"/>
      <protection hidden="1"/>
    </xf>
    <xf numFmtId="0" fontId="35" fillId="5" borderId="72" xfId="0" quotePrefix="1" applyFont="1" applyFill="1" applyBorder="1" applyAlignment="1" applyProtection="1">
      <alignment horizontal="center" vertical="center" wrapText="1"/>
      <protection hidden="1"/>
    </xf>
    <xf numFmtId="0" fontId="35" fillId="5" borderId="72" xfId="0" quotePrefix="1" applyFont="1" applyFill="1" applyBorder="1" applyAlignment="1" applyProtection="1">
      <alignment horizontal="center" vertical="center" wrapText="1"/>
      <protection hidden="1"/>
    </xf>
    <xf numFmtId="0" fontId="61"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35" fillId="5" borderId="104" xfId="0" quotePrefix="1" applyFont="1" applyFill="1" applyBorder="1" applyAlignment="1" applyProtection="1">
      <alignment horizontal="center" vertical="center" wrapText="1"/>
      <protection hidden="1"/>
    </xf>
    <xf numFmtId="165" fontId="12" fillId="12" borderId="68" xfId="17" applyFont="1" applyFill="1" applyBorder="1" applyAlignment="1" applyProtection="1">
      <alignment horizontal="right" vertical="center" wrapText="1"/>
      <protection hidden="1"/>
    </xf>
    <xf numFmtId="173" fontId="12" fillId="0" borderId="41" xfId="17" applyNumberFormat="1" applyFont="1" applyFill="1" applyBorder="1" applyAlignment="1" applyProtection="1">
      <alignment horizontal="right" vertical="center" wrapText="1"/>
      <protection hidden="1"/>
    </xf>
    <xf numFmtId="173" fontId="12" fillId="0" borderId="45" xfId="17" applyNumberFormat="1" applyFont="1" applyFill="1" applyBorder="1" applyAlignment="1" applyProtection="1">
      <alignment horizontal="right" vertical="center" wrapText="1"/>
      <protection hidden="1"/>
    </xf>
    <xf numFmtId="165" fontId="12" fillId="12" borderId="0" xfId="17" applyFont="1" applyFill="1" applyBorder="1" applyAlignment="1" applyProtection="1">
      <alignment horizontal="right" vertical="center" wrapText="1"/>
      <protection hidden="1"/>
    </xf>
    <xf numFmtId="9" fontId="65" fillId="0" borderId="0" xfId="0" applyNumberFormat="1" applyFont="1"/>
    <xf numFmtId="165" fontId="13" fillId="12" borderId="45" xfId="17" applyFont="1" applyFill="1" applyBorder="1" applyAlignment="1" applyProtection="1">
      <alignment horizontal="right" vertical="center" wrapText="1"/>
      <protection hidden="1"/>
    </xf>
    <xf numFmtId="2" fontId="13" fillId="0" borderId="47" xfId="0" applyNumberFormat="1" applyFont="1" applyFill="1" applyBorder="1" applyAlignment="1" applyProtection="1">
      <alignment horizontal="right" vertical="center" wrapText="1"/>
      <protection hidden="1"/>
    </xf>
    <xf numFmtId="0" fontId="42" fillId="0" borderId="0" xfId="0" applyFont="1" applyBorder="1" applyAlignment="1" applyProtection="1">
      <alignment horizontal="justify" vertical="top" wrapText="1"/>
      <protection hidden="1"/>
    </xf>
    <xf numFmtId="0" fontId="35" fillId="5" borderId="72" xfId="0" quotePrefix="1" applyFont="1" applyFill="1" applyBorder="1" applyAlignment="1" applyProtection="1">
      <alignment horizontal="center" vertical="center" wrapText="1"/>
      <protection hidden="1"/>
    </xf>
    <xf numFmtId="0" fontId="42" fillId="0" borderId="0" xfId="0" applyFont="1" applyFill="1" applyAlignment="1" applyProtection="1">
      <alignment horizontal="justify" vertical="center" wrapText="1"/>
      <protection hidden="1"/>
    </xf>
    <xf numFmtId="0" fontId="42" fillId="0" borderId="0" xfId="0" applyFont="1" applyFill="1" applyBorder="1" applyAlignment="1" applyProtection="1">
      <alignment horizontal="justify" vertical="center" wrapText="1"/>
      <protection hidden="1"/>
    </xf>
    <xf numFmtId="0" fontId="36" fillId="0" borderId="0" xfId="0" applyFont="1" applyFill="1" applyAlignment="1" applyProtection="1">
      <alignment vertical="center"/>
      <protection hidden="1"/>
    </xf>
    <xf numFmtId="4" fontId="36" fillId="0" borderId="0" xfId="0" applyNumberFormat="1" applyFont="1" applyFill="1" applyBorder="1" applyAlignment="1" applyProtection="1">
      <alignment horizontal="right" vertical="center"/>
      <protection hidden="1"/>
    </xf>
    <xf numFmtId="37" fontId="56" fillId="24" borderId="3" xfId="23" applyNumberFormat="1" applyFont="1" applyFill="1" applyBorder="1" applyAlignment="1" applyProtection="1">
      <alignment vertical="center" wrapText="1"/>
    </xf>
    <xf numFmtId="37" fontId="56" fillId="24" borderId="4" xfId="23" applyNumberFormat="1" applyFont="1" applyFill="1" applyBorder="1" applyAlignment="1" applyProtection="1">
      <alignment vertical="center" wrapText="1"/>
    </xf>
    <xf numFmtId="37" fontId="56" fillId="24" borderId="12" xfId="23" applyNumberFormat="1" applyFont="1" applyFill="1" applyBorder="1" applyAlignment="1" applyProtection="1">
      <alignment vertical="center" wrapText="1"/>
    </xf>
    <xf numFmtId="49" fontId="57" fillId="24" borderId="16" xfId="21" applyNumberFormat="1" applyFont="1" applyFill="1" applyBorder="1" applyAlignment="1">
      <alignment horizontal="center" vertical="center" wrapText="1"/>
    </xf>
    <xf numFmtId="165" fontId="0" fillId="14" borderId="2" xfId="17" applyFont="1" applyFill="1" applyBorder="1" applyAlignment="1">
      <alignment horizontal="center" vertical="center"/>
    </xf>
    <xf numFmtId="165" fontId="1" fillId="14" borderId="2" xfId="17" applyFont="1" applyFill="1" applyBorder="1" applyAlignment="1">
      <alignment horizontal="center" vertical="center"/>
    </xf>
    <xf numFmtId="165" fontId="13" fillId="0" borderId="41" xfId="17" applyFont="1" applyFill="1" applyBorder="1" applyAlignment="1" applyProtection="1">
      <alignment horizontal="center" vertical="center" wrapText="1"/>
      <protection hidden="1"/>
    </xf>
    <xf numFmtId="165" fontId="13" fillId="0" borderId="41" xfId="17" applyNumberFormat="1" applyFont="1" applyFill="1" applyBorder="1" applyAlignment="1" applyProtection="1">
      <alignment vertical="center" wrapText="1"/>
      <protection hidden="1"/>
    </xf>
    <xf numFmtId="165" fontId="64" fillId="0" borderId="52" xfId="17" applyFont="1" applyFill="1" applyBorder="1" applyAlignment="1" applyProtection="1">
      <alignment horizontal="center" vertical="center" wrapText="1"/>
      <protection hidden="1"/>
    </xf>
    <xf numFmtId="4" fontId="12" fillId="28" borderId="41" xfId="0" applyNumberFormat="1" applyFont="1" applyFill="1" applyBorder="1" applyAlignment="1" applyProtection="1">
      <alignment vertical="center"/>
      <protection hidden="1"/>
    </xf>
    <xf numFmtId="174" fontId="9" fillId="0" borderId="0" xfId="0" applyNumberFormat="1" applyFont="1" applyAlignment="1" applyProtection="1">
      <alignment vertical="center"/>
      <protection hidden="1"/>
    </xf>
    <xf numFmtId="164" fontId="12" fillId="0" borderId="0" xfId="0" applyNumberFormat="1" applyFont="1" applyBorder="1" applyAlignment="1" applyProtection="1">
      <alignment vertical="center"/>
      <protection hidden="1"/>
    </xf>
    <xf numFmtId="0" fontId="28" fillId="0" borderId="0" xfId="0" applyFont="1" applyAlignment="1">
      <alignment horizontal="right" vertical="center"/>
    </xf>
    <xf numFmtId="0" fontId="57" fillId="0" borderId="0" xfId="0" applyFont="1" applyAlignment="1">
      <alignment horizontal="right" vertical="center"/>
    </xf>
    <xf numFmtId="165" fontId="26" fillId="0" borderId="0" xfId="17" applyFont="1" applyFill="1" applyBorder="1" applyAlignment="1">
      <alignment horizontal="center" vertical="center"/>
    </xf>
    <xf numFmtId="165" fontId="0" fillId="0" borderId="0" xfId="17" applyFont="1" applyBorder="1" applyAlignment="1">
      <alignment horizontal="center" vertical="center"/>
    </xf>
    <xf numFmtId="0" fontId="68" fillId="2" borderId="0" xfId="0" quotePrefix="1" applyFont="1" applyFill="1" applyBorder="1" applyAlignment="1" applyProtection="1">
      <alignment horizontal="left" vertical="center"/>
      <protection hidden="1"/>
    </xf>
    <xf numFmtId="0" fontId="35" fillId="5" borderId="72" xfId="0" quotePrefix="1" applyFont="1" applyFill="1" applyBorder="1" applyAlignment="1" applyProtection="1">
      <alignment horizontal="center" vertical="center" wrapText="1"/>
      <protection hidden="1"/>
    </xf>
    <xf numFmtId="0" fontId="42" fillId="0" borderId="0" xfId="0" applyFont="1" applyFill="1" applyBorder="1" applyAlignment="1" applyProtection="1">
      <alignment horizontal="justify" vertical="center" wrapText="1"/>
      <protection hidden="1"/>
    </xf>
    <xf numFmtId="0" fontId="42" fillId="0" borderId="0" xfId="0" applyFont="1" applyFill="1" applyAlignment="1" applyProtection="1">
      <alignment horizontal="justify" vertical="center" wrapText="1"/>
      <protection hidden="1"/>
    </xf>
    <xf numFmtId="167" fontId="38" fillId="2" borderId="0" xfId="24" applyFont="1" applyFill="1" applyAlignment="1" applyProtection="1">
      <alignment horizontal="center" vertical="center"/>
      <protection hidden="1"/>
    </xf>
    <xf numFmtId="0" fontId="42" fillId="0" borderId="0" xfId="0" applyFont="1" applyAlignment="1" applyProtection="1">
      <alignment horizontal="left" vertical="center" wrapText="1"/>
      <protection hidden="1"/>
    </xf>
    <xf numFmtId="167" fontId="50" fillId="2" borderId="0" xfId="24" applyFont="1" applyFill="1" applyAlignment="1" applyProtection="1">
      <alignment horizontal="center" vertical="center"/>
      <protection hidden="1"/>
    </xf>
    <xf numFmtId="167" fontId="50" fillId="2" borderId="0" xfId="24" applyFont="1" applyFill="1" applyAlignment="1" applyProtection="1">
      <alignment horizontal="center" vertical="center" wrapText="1"/>
      <protection hidden="1"/>
    </xf>
    <xf numFmtId="0" fontId="42" fillId="0" borderId="0" xfId="0" applyFont="1" applyAlignment="1" applyProtection="1">
      <alignment horizontal="justify" vertical="center" wrapText="1"/>
      <protection hidden="1"/>
    </xf>
    <xf numFmtId="0" fontId="43" fillId="18" borderId="2" xfId="0" applyFont="1" applyFill="1" applyBorder="1" applyAlignment="1">
      <alignment horizontal="center" vertical="center"/>
    </xf>
    <xf numFmtId="0" fontId="44" fillId="18" borderId="2" xfId="0" applyFont="1" applyFill="1" applyBorder="1" applyAlignment="1">
      <alignment horizontal="center" vertical="center"/>
    </xf>
    <xf numFmtId="10" fontId="26" fillId="14" borderId="0" xfId="0" applyNumberFormat="1" applyFont="1" applyFill="1" applyAlignment="1">
      <alignment vertical="center"/>
    </xf>
    <xf numFmtId="0" fontId="10" fillId="0" borderId="0" xfId="0" applyFont="1" applyAlignment="1">
      <alignment vertical="center"/>
    </xf>
    <xf numFmtId="0" fontId="0" fillId="0" borderId="2" xfId="0" applyBorder="1" applyAlignment="1">
      <alignment vertical="center"/>
    </xf>
    <xf numFmtId="165" fontId="13" fillId="0" borderId="41" xfId="17" applyNumberFormat="1" applyFont="1" applyFill="1" applyBorder="1" applyAlignment="1" applyProtection="1">
      <alignment horizontal="center" vertical="center" wrapText="1"/>
      <protection hidden="1"/>
    </xf>
    <xf numFmtId="175" fontId="12" fillId="0" borderId="0" xfId="0" applyNumberFormat="1" applyFont="1" applyAlignment="1" applyProtection="1">
      <alignment vertical="center"/>
      <protection hidden="1"/>
    </xf>
    <xf numFmtId="0" fontId="42" fillId="0" borderId="0" xfId="0" applyFont="1" applyBorder="1" applyAlignment="1" applyProtection="1">
      <alignment horizontal="justify" vertical="top" wrapText="1"/>
      <protection hidden="1"/>
    </xf>
    <xf numFmtId="0" fontId="42" fillId="0" borderId="0" xfId="0" applyFont="1" applyBorder="1" applyAlignment="1" applyProtection="1">
      <alignment horizontal="left" vertical="top" wrapText="1"/>
      <protection hidden="1"/>
    </xf>
    <xf numFmtId="0" fontId="42" fillId="0" borderId="0" xfId="0" applyFont="1" applyFill="1" applyBorder="1" applyAlignment="1" applyProtection="1">
      <alignment horizontal="justify" vertical="center" wrapText="1"/>
      <protection hidden="1"/>
    </xf>
    <xf numFmtId="0" fontId="42" fillId="12" borderId="0" xfId="0" applyFont="1" applyFill="1" applyAlignment="1" applyProtection="1">
      <alignment horizontal="left" vertical="top" wrapText="1"/>
      <protection hidden="1"/>
    </xf>
    <xf numFmtId="165" fontId="13" fillId="0" borderId="41" xfId="17" quotePrefix="1" applyFont="1" applyFill="1" applyBorder="1" applyAlignment="1" applyProtection="1">
      <alignment horizontal="center" vertical="center" wrapText="1"/>
      <protection hidden="1"/>
    </xf>
    <xf numFmtId="165" fontId="13" fillId="0" borderId="45" xfId="17" applyFont="1" applyFill="1" applyBorder="1" applyAlignment="1" applyProtection="1">
      <alignment horizontal="center" vertical="center" wrapText="1"/>
      <protection hidden="1"/>
    </xf>
    <xf numFmtId="4" fontId="12" fillId="2" borderId="41" xfId="0" applyNumberFormat="1" applyFont="1" applyFill="1" applyBorder="1" applyAlignment="1" applyProtection="1">
      <alignment horizontal="center" vertical="center"/>
      <protection hidden="1"/>
    </xf>
    <xf numFmtId="0" fontId="12" fillId="2" borderId="0" xfId="0" applyFont="1" applyFill="1" applyAlignment="1" applyProtection="1">
      <alignment horizontal="center" vertical="center"/>
      <protection hidden="1"/>
    </xf>
    <xf numFmtId="4" fontId="12" fillId="2" borderId="45" xfId="0" applyNumberFormat="1" applyFont="1" applyFill="1" applyBorder="1" applyAlignment="1" applyProtection="1">
      <alignment horizontal="center" vertical="center"/>
      <protection hidden="1"/>
    </xf>
    <xf numFmtId="0" fontId="43" fillId="18" borderId="2" xfId="0" applyFont="1" applyFill="1" applyBorder="1" applyAlignment="1">
      <alignment horizontal="center" vertical="center"/>
    </xf>
    <xf numFmtId="0" fontId="44" fillId="18" borderId="2" xfId="0" applyFont="1" applyFill="1" applyBorder="1" applyAlignment="1">
      <alignment horizontal="center" vertical="center"/>
    </xf>
    <xf numFmtId="0" fontId="1" fillId="0" borderId="92" xfId="21" applyBorder="1" applyAlignment="1">
      <alignment horizontal="center"/>
    </xf>
    <xf numFmtId="0" fontId="1" fillId="0" borderId="93" xfId="21" applyBorder="1" applyAlignment="1">
      <alignment horizontal="center"/>
    </xf>
    <xf numFmtId="0" fontId="1" fillId="0" borderId="94" xfId="21" applyBorder="1" applyAlignment="1">
      <alignment horizontal="center"/>
    </xf>
    <xf numFmtId="0" fontId="1" fillId="0" borderId="95" xfId="21" applyBorder="1" applyAlignment="1">
      <alignment horizontal="center"/>
    </xf>
    <xf numFmtId="0" fontId="1" fillId="0" borderId="0" xfId="21" applyBorder="1" applyAlignment="1">
      <alignment horizontal="center"/>
    </xf>
    <xf numFmtId="0" fontId="1" fillId="0" borderId="4" xfId="21" applyBorder="1" applyAlignment="1">
      <alignment horizontal="center"/>
    </xf>
    <xf numFmtId="0" fontId="1" fillId="0" borderId="96" xfId="21" applyBorder="1" applyAlignment="1">
      <alignment horizontal="center"/>
    </xf>
    <xf numFmtId="0" fontId="1" fillId="0" borderId="97" xfId="21" applyBorder="1" applyAlignment="1">
      <alignment horizontal="center"/>
    </xf>
    <xf numFmtId="0" fontId="1" fillId="0" borderId="98" xfId="21" applyBorder="1" applyAlignment="1">
      <alignment horizontal="center"/>
    </xf>
    <xf numFmtId="0" fontId="26" fillId="2" borderId="2" xfId="21" applyFont="1" applyFill="1" applyBorder="1" applyAlignment="1">
      <alignment horizontal="center"/>
    </xf>
    <xf numFmtId="0" fontId="26" fillId="2" borderId="91" xfId="21" applyFont="1" applyFill="1" applyBorder="1" applyAlignment="1">
      <alignment horizontal="center"/>
    </xf>
    <xf numFmtId="0" fontId="1" fillId="0" borderId="100" xfId="21" applyBorder="1" applyAlignment="1">
      <alignment horizontal="center"/>
    </xf>
    <xf numFmtId="0" fontId="1" fillId="0" borderId="101" xfId="21" applyBorder="1" applyAlignment="1">
      <alignment horizontal="center"/>
    </xf>
    <xf numFmtId="0" fontId="28" fillId="24" borderId="8" xfId="21" applyFont="1" applyFill="1" applyBorder="1" applyAlignment="1">
      <alignment horizontal="center"/>
    </xf>
    <xf numFmtId="0" fontId="28" fillId="24" borderId="9" xfId="21" applyFont="1" applyFill="1" applyBorder="1" applyAlignment="1">
      <alignment horizontal="center"/>
    </xf>
    <xf numFmtId="0" fontId="28" fillId="24" borderId="15" xfId="21" applyFont="1" applyFill="1" applyBorder="1" applyAlignment="1">
      <alignment horizontal="center"/>
    </xf>
    <xf numFmtId="0" fontId="28" fillId="24" borderId="5" xfId="21" applyFont="1" applyFill="1" applyBorder="1" applyAlignment="1">
      <alignment horizontal="center" vertical="center" wrapText="1"/>
    </xf>
    <xf numFmtId="0" fontId="28" fillId="24" borderId="6" xfId="21" applyFont="1" applyFill="1" applyBorder="1" applyAlignment="1">
      <alignment horizontal="center" vertical="center" wrapText="1"/>
    </xf>
    <xf numFmtId="0" fontId="28" fillId="24" borderId="11" xfId="21" applyFont="1" applyFill="1" applyBorder="1" applyAlignment="1">
      <alignment horizontal="center" vertical="center" wrapText="1"/>
    </xf>
    <xf numFmtId="0" fontId="28" fillId="24" borderId="13" xfId="21" applyFont="1" applyFill="1" applyBorder="1" applyAlignment="1">
      <alignment horizontal="center" vertical="center" wrapText="1"/>
    </xf>
    <xf numFmtId="10" fontId="28" fillId="24" borderId="3" xfId="26" applyNumberFormat="1" applyFont="1" applyFill="1" applyBorder="1" applyAlignment="1">
      <alignment horizontal="center" vertical="center"/>
    </xf>
    <xf numFmtId="10" fontId="28" fillId="24" borderId="12" xfId="26" applyNumberFormat="1" applyFont="1" applyFill="1" applyBorder="1" applyAlignment="1">
      <alignment horizontal="center" vertical="center"/>
    </xf>
    <xf numFmtId="0" fontId="26" fillId="2" borderId="89" xfId="21" applyFont="1" applyFill="1" applyBorder="1" applyAlignment="1">
      <alignment horizontal="center"/>
    </xf>
    <xf numFmtId="0" fontId="26" fillId="2" borderId="90" xfId="21" applyFont="1" applyFill="1" applyBorder="1" applyAlignment="1">
      <alignment horizontal="center"/>
    </xf>
    <xf numFmtId="0" fontId="28" fillId="12" borderId="0" xfId="21" applyFont="1" applyFill="1" applyBorder="1" applyAlignment="1">
      <alignment horizontal="center"/>
    </xf>
    <xf numFmtId="0" fontId="28" fillId="25" borderId="5" xfId="21" applyFont="1" applyFill="1" applyBorder="1" applyAlignment="1">
      <alignment horizontal="center" vertical="center" wrapText="1"/>
    </xf>
    <xf numFmtId="0" fontId="28" fillId="25" borderId="6" xfId="21" applyFont="1" applyFill="1" applyBorder="1" applyAlignment="1">
      <alignment horizontal="center" vertical="center" wrapText="1"/>
    </xf>
    <xf numFmtId="0" fontId="28" fillId="25" borderId="11" xfId="21" applyFont="1" applyFill="1" applyBorder="1" applyAlignment="1">
      <alignment horizontal="center" vertical="center" wrapText="1"/>
    </xf>
    <xf numFmtId="0" fontId="28" fillId="25" borderId="13" xfId="21" applyFont="1" applyFill="1" applyBorder="1" applyAlignment="1">
      <alignment horizontal="center" vertical="center" wrapText="1"/>
    </xf>
    <xf numFmtId="10" fontId="28" fillId="25" borderId="3" xfId="26" applyNumberFormat="1" applyFont="1" applyFill="1" applyBorder="1" applyAlignment="1">
      <alignment horizontal="center" vertical="center"/>
    </xf>
    <xf numFmtId="10" fontId="28" fillId="25" borderId="12" xfId="26" applyNumberFormat="1" applyFont="1" applyFill="1" applyBorder="1" applyAlignment="1">
      <alignment horizontal="center" vertical="center"/>
    </xf>
    <xf numFmtId="0" fontId="51" fillId="0" borderId="0" xfId="21" applyFont="1" applyAlignment="1">
      <alignment horizontal="justify" wrapText="1"/>
    </xf>
    <xf numFmtId="0" fontId="28" fillId="12" borderId="13" xfId="21" applyFont="1" applyFill="1" applyBorder="1" applyAlignment="1">
      <alignment horizontal="center"/>
    </xf>
    <xf numFmtId="49" fontId="27" fillId="10" borderId="11" xfId="23" quotePrefix="1" applyNumberFormat="1" applyFont="1" applyFill="1" applyBorder="1" applyAlignment="1" applyProtection="1">
      <alignment horizontal="center" vertical="center" wrapText="1"/>
    </xf>
    <xf numFmtId="49" fontId="27" fillId="10" borderId="13" xfId="23" quotePrefix="1" applyNumberFormat="1" applyFont="1" applyFill="1" applyBorder="1" applyAlignment="1" applyProtection="1">
      <alignment horizontal="center" vertical="center" wrapText="1"/>
    </xf>
    <xf numFmtId="49" fontId="27" fillId="10" borderId="12" xfId="23" quotePrefix="1" applyNumberFormat="1" applyFont="1" applyFill="1" applyBorder="1" applyAlignment="1" applyProtection="1">
      <alignment horizontal="center" vertical="center" wrapText="1"/>
    </xf>
    <xf numFmtId="0" fontId="52" fillId="0" borderId="0" xfId="21" applyFont="1" applyAlignment="1">
      <alignment horizontal="left" wrapText="1"/>
    </xf>
    <xf numFmtId="37" fontId="23" fillId="9" borderId="5" xfId="23" applyNumberFormat="1" applyFont="1" applyFill="1" applyBorder="1" applyAlignment="1" applyProtection="1">
      <alignment horizontal="center" vertical="center" wrapText="1"/>
    </xf>
    <xf numFmtId="37" fontId="23" fillId="9" borderId="3" xfId="23" applyNumberFormat="1" applyFont="1" applyFill="1" applyBorder="1" applyAlignment="1" applyProtection="1">
      <alignment horizontal="center" vertical="center" wrapText="1"/>
    </xf>
    <xf numFmtId="37" fontId="23" fillId="9" borderId="11" xfId="23" applyNumberFormat="1" applyFont="1" applyFill="1" applyBorder="1" applyAlignment="1" applyProtection="1">
      <alignment horizontal="center" vertical="center" wrapText="1"/>
    </xf>
    <xf numFmtId="37" fontId="23" fillId="9" borderId="12" xfId="23" applyNumberFormat="1" applyFont="1" applyFill="1" applyBorder="1" applyAlignment="1" applyProtection="1">
      <alignment horizontal="center" vertical="center" wrapText="1"/>
    </xf>
    <xf numFmtId="0" fontId="42" fillId="0" borderId="0" xfId="0" applyFont="1" applyBorder="1" applyAlignment="1" applyProtection="1">
      <alignment horizontal="justify" vertical="top" wrapText="1"/>
      <protection hidden="1"/>
    </xf>
    <xf numFmtId="0" fontId="40" fillId="15" borderId="59" xfId="0" applyFont="1" applyFill="1" applyBorder="1" applyAlignment="1" applyProtection="1">
      <alignment horizontal="left" vertical="center"/>
      <protection hidden="1"/>
    </xf>
    <xf numFmtId="0" fontId="40" fillId="15" borderId="60" xfId="0" applyFont="1" applyFill="1" applyBorder="1" applyAlignment="1" applyProtection="1">
      <alignment horizontal="left" vertical="center"/>
      <protection hidden="1"/>
    </xf>
    <xf numFmtId="0" fontId="40" fillId="15" borderId="61" xfId="0" applyFont="1" applyFill="1" applyBorder="1" applyAlignment="1" applyProtection="1">
      <alignment horizontal="left" vertical="center"/>
      <protection hidden="1"/>
    </xf>
    <xf numFmtId="0" fontId="42" fillId="0" borderId="0" xfId="0" applyFont="1" applyBorder="1" applyAlignment="1" applyProtection="1">
      <alignment horizontal="left" vertical="top" wrapText="1"/>
      <protection hidden="1"/>
    </xf>
    <xf numFmtId="0" fontId="14" fillId="2" borderId="0" xfId="0" applyFont="1" applyFill="1" applyBorder="1" applyAlignment="1" applyProtection="1">
      <alignment horizontal="left" vertical="center" wrapText="1"/>
      <protection hidden="1"/>
    </xf>
    <xf numFmtId="0" fontId="14" fillId="2" borderId="0" xfId="0" quotePrefix="1" applyFont="1" applyFill="1" applyBorder="1" applyAlignment="1" applyProtection="1">
      <alignment horizontal="left" vertical="center" wrapText="1"/>
      <protection hidden="1"/>
    </xf>
    <xf numFmtId="0" fontId="35" fillId="5" borderId="70" xfId="0" applyFont="1" applyFill="1" applyBorder="1" applyAlignment="1" applyProtection="1">
      <alignment horizontal="center" vertical="center" wrapText="1"/>
      <protection hidden="1"/>
    </xf>
    <xf numFmtId="0" fontId="35" fillId="5" borderId="71" xfId="0" applyFont="1" applyFill="1" applyBorder="1" applyAlignment="1" applyProtection="1">
      <alignment horizontal="center" vertical="center" wrapText="1"/>
      <protection hidden="1"/>
    </xf>
    <xf numFmtId="0" fontId="35" fillId="5" borderId="67" xfId="0" quotePrefix="1" applyFont="1" applyFill="1" applyBorder="1" applyAlignment="1" applyProtection="1">
      <alignment horizontal="center" vertical="center" wrapText="1"/>
      <protection hidden="1"/>
    </xf>
    <xf numFmtId="0" fontId="35" fillId="5" borderId="52" xfId="0" quotePrefix="1" applyFont="1" applyFill="1" applyBorder="1" applyAlignment="1" applyProtection="1">
      <alignment horizontal="center" vertical="center" wrapText="1"/>
      <protection hidden="1"/>
    </xf>
    <xf numFmtId="0" fontId="35" fillId="5" borderId="68" xfId="0" applyFont="1" applyFill="1" applyBorder="1" applyAlignment="1" applyProtection="1">
      <alignment horizontal="center" vertical="center" wrapText="1"/>
      <protection hidden="1"/>
    </xf>
    <xf numFmtId="0" fontId="35" fillId="5" borderId="69" xfId="0" applyFont="1" applyFill="1" applyBorder="1" applyAlignment="1" applyProtection="1">
      <alignment horizontal="center" vertical="center" wrapText="1"/>
      <protection hidden="1"/>
    </xf>
    <xf numFmtId="0" fontId="66" fillId="0" borderId="0" xfId="21" applyFont="1" applyAlignment="1" applyProtection="1">
      <alignment horizontal="left" vertical="center" wrapText="1"/>
      <protection hidden="1"/>
    </xf>
    <xf numFmtId="0" fontId="55" fillId="15" borderId="62" xfId="0" applyFont="1" applyFill="1" applyBorder="1" applyAlignment="1" applyProtection="1">
      <alignment horizontal="center" vertical="center" wrapText="1"/>
      <protection hidden="1"/>
    </xf>
    <xf numFmtId="0" fontId="55" fillId="15" borderId="0" xfId="0" applyFont="1" applyFill="1" applyBorder="1" applyAlignment="1" applyProtection="1">
      <alignment horizontal="center" vertical="center" wrapText="1"/>
      <protection hidden="1"/>
    </xf>
    <xf numFmtId="0" fontId="40" fillId="6" borderId="74" xfId="0" applyFont="1" applyFill="1" applyBorder="1" applyAlignment="1" applyProtection="1">
      <alignment horizontal="center" vertical="center"/>
      <protection hidden="1"/>
    </xf>
    <xf numFmtId="0" fontId="40" fillId="6" borderId="75" xfId="0" applyFont="1" applyFill="1" applyBorder="1" applyAlignment="1" applyProtection="1">
      <alignment horizontal="center" vertical="center"/>
      <protection hidden="1"/>
    </xf>
    <xf numFmtId="0" fontId="35" fillId="5" borderId="72" xfId="0" quotePrefix="1" applyFont="1" applyFill="1" applyBorder="1" applyAlignment="1" applyProtection="1">
      <alignment horizontal="center" vertical="center" wrapText="1"/>
      <protection hidden="1"/>
    </xf>
    <xf numFmtId="0" fontId="35" fillId="5" borderId="73" xfId="0" applyFont="1" applyFill="1" applyBorder="1" applyAlignment="1" applyProtection="1">
      <alignment horizontal="center" vertical="center" wrapText="1"/>
      <protection hidden="1"/>
    </xf>
    <xf numFmtId="0" fontId="42" fillId="0" borderId="0" xfId="0" applyFont="1" applyFill="1" applyBorder="1" applyAlignment="1" applyProtection="1">
      <alignment horizontal="justify" vertical="center" wrapText="1"/>
      <protection hidden="1"/>
    </xf>
    <xf numFmtId="0" fontId="42" fillId="0" borderId="0" xfId="0" applyFont="1" applyFill="1" applyAlignment="1" applyProtection="1">
      <alignment horizontal="justify" vertical="center" wrapText="1"/>
      <protection hidden="1"/>
    </xf>
    <xf numFmtId="0" fontId="42" fillId="0" borderId="0" xfId="0" applyFont="1" applyFill="1" applyAlignment="1" applyProtection="1">
      <alignment horizontal="justify" vertical="top" wrapText="1"/>
      <protection hidden="1"/>
    </xf>
    <xf numFmtId="0" fontId="55" fillId="15" borderId="59" xfId="0" applyFont="1" applyFill="1" applyBorder="1" applyAlignment="1" applyProtection="1">
      <alignment horizontal="center" vertical="center" wrapText="1"/>
      <protection hidden="1"/>
    </xf>
    <xf numFmtId="0" fontId="55" fillId="15" borderId="60" xfId="0" applyFont="1" applyFill="1" applyBorder="1" applyAlignment="1" applyProtection="1">
      <alignment horizontal="center" vertical="center" wrapText="1"/>
      <protection hidden="1"/>
    </xf>
    <xf numFmtId="0" fontId="55" fillId="15" borderId="61" xfId="0" applyFont="1" applyFill="1" applyBorder="1" applyAlignment="1" applyProtection="1">
      <alignment horizontal="center" vertical="center" wrapText="1"/>
      <protection hidden="1"/>
    </xf>
    <xf numFmtId="0" fontId="55" fillId="15" borderId="74" xfId="0" applyFont="1" applyFill="1" applyBorder="1" applyAlignment="1" applyProtection="1">
      <alignment horizontal="center" vertical="center" wrapText="1"/>
      <protection hidden="1"/>
    </xf>
    <xf numFmtId="0" fontId="55" fillId="15" borderId="75" xfId="0" applyFont="1" applyFill="1" applyBorder="1" applyAlignment="1" applyProtection="1">
      <alignment horizontal="center" vertical="center" wrapText="1"/>
      <protection hidden="1"/>
    </xf>
    <xf numFmtId="0" fontId="55" fillId="15" borderId="76"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49" fillId="15" borderId="62" xfId="0" quotePrefix="1" applyFont="1" applyFill="1" applyBorder="1" applyAlignment="1" applyProtection="1">
      <alignment horizontal="center" vertical="center" wrapText="1"/>
      <protection hidden="1"/>
    </xf>
    <xf numFmtId="0" fontId="49" fillId="15" borderId="0" xfId="0" quotePrefix="1" applyFont="1" applyFill="1" applyBorder="1" applyAlignment="1" applyProtection="1">
      <alignment horizontal="center" vertical="center" wrapText="1"/>
      <protection hidden="1"/>
    </xf>
    <xf numFmtId="0" fontId="49" fillId="15" borderId="74" xfId="0" applyFont="1" applyFill="1" applyBorder="1" applyAlignment="1" applyProtection="1">
      <alignment horizontal="center" vertical="center" wrapText="1"/>
      <protection hidden="1"/>
    </xf>
    <xf numFmtId="0" fontId="49" fillId="15" borderId="75" xfId="0" applyFont="1" applyFill="1" applyBorder="1" applyAlignment="1" applyProtection="1">
      <alignment horizontal="center" vertical="center" wrapText="1"/>
      <protection hidden="1"/>
    </xf>
    <xf numFmtId="0" fontId="49" fillId="6" borderId="77" xfId="0" applyFont="1" applyFill="1" applyBorder="1" applyAlignment="1" applyProtection="1">
      <alignment horizontal="center" vertical="center" wrapText="1"/>
      <protection hidden="1"/>
    </xf>
    <xf numFmtId="0" fontId="49" fillId="6" borderId="78" xfId="0" applyFont="1" applyFill="1" applyBorder="1" applyAlignment="1" applyProtection="1">
      <alignment horizontal="center" vertical="center" wrapText="1"/>
      <protection hidden="1"/>
    </xf>
    <xf numFmtId="0" fontId="49" fillId="6" borderId="83" xfId="0" applyFont="1" applyFill="1" applyBorder="1" applyAlignment="1" applyProtection="1">
      <alignment horizontal="center" vertical="center" wrapText="1"/>
      <protection hidden="1"/>
    </xf>
    <xf numFmtId="0" fontId="49" fillId="6" borderId="84" xfId="0" applyFont="1" applyFill="1" applyBorder="1" applyAlignment="1" applyProtection="1">
      <alignment horizontal="center" vertical="center" wrapText="1"/>
      <protection hidden="1"/>
    </xf>
    <xf numFmtId="0" fontId="35" fillId="5" borderId="80" xfId="0" applyFont="1" applyFill="1" applyBorder="1" applyAlignment="1" applyProtection="1">
      <alignment horizontal="center" vertical="center" wrapText="1"/>
      <protection hidden="1"/>
    </xf>
    <xf numFmtId="0" fontId="35" fillId="5"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35" fillId="5" borderId="85" xfId="0" applyFont="1" applyFill="1" applyBorder="1" applyAlignment="1" applyProtection="1">
      <alignment horizontal="center" vertical="center" wrapText="1"/>
      <protection hidden="1"/>
    </xf>
    <xf numFmtId="0" fontId="35" fillId="5" borderId="57" xfId="0" applyFont="1" applyFill="1" applyBorder="1" applyAlignment="1" applyProtection="1">
      <alignment horizontal="center" vertical="center" wrapText="1"/>
      <protection hidden="1"/>
    </xf>
    <xf numFmtId="0" fontId="36" fillId="15" borderId="59" xfId="0" applyFont="1" applyFill="1" applyBorder="1" applyAlignment="1" applyProtection="1">
      <alignment horizontal="center" vertical="center" wrapText="1"/>
      <protection hidden="1"/>
    </xf>
    <xf numFmtId="0" fontId="36" fillId="15" borderId="60" xfId="0" applyFont="1" applyFill="1" applyBorder="1" applyAlignment="1" applyProtection="1">
      <alignment horizontal="center" vertical="center" wrapText="1"/>
      <protection hidden="1"/>
    </xf>
    <xf numFmtId="0" fontId="36" fillId="15" borderId="61" xfId="0" applyFont="1" applyFill="1" applyBorder="1" applyAlignment="1" applyProtection="1">
      <alignment horizontal="center" vertical="center" wrapText="1"/>
      <protection hidden="1"/>
    </xf>
    <xf numFmtId="0" fontId="36" fillId="15" borderId="74" xfId="0" applyFont="1" applyFill="1" applyBorder="1" applyAlignment="1" applyProtection="1">
      <alignment horizontal="center" vertical="center" wrapText="1"/>
      <protection hidden="1"/>
    </xf>
    <xf numFmtId="0" fontId="36" fillId="15" borderId="75" xfId="0" applyFont="1" applyFill="1" applyBorder="1" applyAlignment="1" applyProtection="1">
      <alignment horizontal="center" vertical="center" wrapText="1"/>
      <protection hidden="1"/>
    </xf>
    <xf numFmtId="0" fontId="36" fillId="15" borderId="76" xfId="0" applyFont="1" applyFill="1" applyBorder="1" applyAlignment="1" applyProtection="1">
      <alignment horizontal="center" vertical="center" wrapText="1"/>
      <protection hidden="1"/>
    </xf>
    <xf numFmtId="0" fontId="40" fillId="6" borderId="0" xfId="0" applyFont="1" applyFill="1" applyBorder="1" applyAlignment="1" applyProtection="1">
      <alignment horizontal="center" vertical="center" wrapText="1"/>
      <protection hidden="1"/>
    </xf>
    <xf numFmtId="0" fontId="42" fillId="0" borderId="0" xfId="0" applyFont="1" applyFill="1" applyBorder="1" applyAlignment="1" applyProtection="1">
      <alignment horizontal="left" vertical="center" wrapText="1"/>
      <protection hidden="1"/>
    </xf>
    <xf numFmtId="167" fontId="38" fillId="2" borderId="0" xfId="24" applyFont="1" applyFill="1" applyAlignment="1" applyProtection="1">
      <alignment horizontal="center" vertical="center"/>
      <protection hidden="1"/>
    </xf>
    <xf numFmtId="0" fontId="42" fillId="2" borderId="0" xfId="0" quotePrefix="1" applyFont="1" applyFill="1" applyBorder="1" applyAlignment="1" applyProtection="1">
      <alignment horizontal="left" vertical="center" wrapText="1"/>
      <protection hidden="1"/>
    </xf>
    <xf numFmtId="0" fontId="42" fillId="2" borderId="0" xfId="0" applyNumberFormat="1" applyFont="1" applyFill="1" applyAlignment="1" applyProtection="1">
      <alignment horizontal="justify" vertical="center" wrapText="1"/>
      <protection hidden="1"/>
    </xf>
    <xf numFmtId="0" fontId="45" fillId="0" borderId="0" xfId="0" applyFont="1" applyFill="1" applyBorder="1" applyAlignment="1" applyProtection="1">
      <alignment horizontal="center" vertical="center" wrapText="1"/>
      <protection hidden="1"/>
    </xf>
    <xf numFmtId="0" fontId="34" fillId="12" borderId="0" xfId="0" applyFont="1" applyFill="1" applyAlignment="1" applyProtection="1">
      <alignment horizontal="fill" vertical="center" wrapText="1"/>
      <protection hidden="1"/>
    </xf>
    <xf numFmtId="0" fontId="12" fillId="12" borderId="0" xfId="0" applyFont="1" applyFill="1" applyAlignment="1" applyProtection="1">
      <alignment vertical="center" wrapText="1"/>
      <protection hidden="1"/>
    </xf>
    <xf numFmtId="0" fontId="34" fillId="22" borderId="0" xfId="0" applyFont="1" applyFill="1" applyAlignment="1" applyProtection="1">
      <alignment horizontal="left" vertical="center" wrapText="1"/>
      <protection hidden="1"/>
    </xf>
    <xf numFmtId="0" fontId="34" fillId="0" borderId="79" xfId="0" applyFont="1" applyFill="1" applyBorder="1" applyAlignment="1" applyProtection="1">
      <alignment horizontal="left" vertical="center" wrapText="1"/>
      <protection hidden="1"/>
    </xf>
    <xf numFmtId="0" fontId="42" fillId="12" borderId="0" xfId="0" applyFont="1" applyFill="1" applyAlignment="1" applyProtection="1">
      <alignment horizontal="left" vertical="top" wrapText="1"/>
      <protection hidden="1"/>
    </xf>
    <xf numFmtId="0" fontId="42" fillId="0" borderId="0" xfId="0" applyFont="1" applyAlignment="1" applyProtection="1">
      <alignment horizontal="left" vertical="center" wrapText="1"/>
      <protection hidden="1"/>
    </xf>
    <xf numFmtId="167" fontId="50" fillId="2" borderId="0" xfId="24" applyFont="1" applyFill="1" applyAlignment="1" applyProtection="1">
      <alignment horizontal="center" vertical="center"/>
      <protection hidden="1"/>
    </xf>
    <xf numFmtId="167" fontId="50" fillId="2" borderId="0" xfId="24" applyFont="1" applyFill="1" applyAlignment="1" applyProtection="1">
      <alignment horizontal="center" vertical="center" wrapText="1"/>
      <protection hidden="1"/>
    </xf>
    <xf numFmtId="0" fontId="42" fillId="0" borderId="0" xfId="0" applyFont="1" applyAlignment="1" applyProtection="1">
      <alignment horizontal="justify" vertical="center" wrapText="1"/>
      <protection hidden="1"/>
    </xf>
  </cellXfs>
  <cellStyles count="30">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2" xfId="18"/>
    <cellStyle name="Monetario" xfId="19"/>
    <cellStyle name="no dec" xfId="20"/>
    <cellStyle name="Normal" xfId="0" builtinId="0"/>
    <cellStyle name="Normal 2" xfId="21"/>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C00000"/>
  </sheetPr>
  <dimension ref="B1:L47"/>
  <sheetViews>
    <sheetView showGridLines="0" topLeftCell="A39" zoomScale="140" zoomScaleNormal="140" workbookViewId="0">
      <selection activeCell="C9" sqref="C9"/>
    </sheetView>
  </sheetViews>
  <sheetFormatPr baseColWidth="10" defaultRowHeight="12.75" outlineLevelRow="1"/>
  <cols>
    <col min="1" max="1" width="4.5703125" style="153" customWidth="1"/>
    <col min="2" max="2" width="34.42578125" style="151" customWidth="1"/>
    <col min="3" max="3" width="16.28515625" style="153" customWidth="1"/>
    <col min="4" max="4" width="2.5703125" style="153" customWidth="1"/>
    <col min="5" max="7" width="14.28515625" style="153" customWidth="1"/>
    <col min="8" max="16384" width="11.42578125" style="153"/>
  </cols>
  <sheetData>
    <row r="1" spans="2:7">
      <c r="B1" s="511" t="s">
        <v>383</v>
      </c>
      <c r="C1" s="512">
        <v>490</v>
      </c>
    </row>
    <row r="2" spans="2:7">
      <c r="B2" s="511" t="s">
        <v>384</v>
      </c>
      <c r="C2" s="512">
        <v>469</v>
      </c>
    </row>
    <row r="3" spans="2:7">
      <c r="B3" s="511" t="s">
        <v>365</v>
      </c>
      <c r="C3" s="512">
        <v>930</v>
      </c>
    </row>
    <row r="4" spans="2:7" hidden="1" outlineLevel="1">
      <c r="B4" s="511" t="s">
        <v>366</v>
      </c>
      <c r="C4" s="512">
        <v>1109.5455419999998</v>
      </c>
    </row>
    <row r="5" spans="2:7" hidden="1" outlineLevel="1">
      <c r="B5" s="511" t="s">
        <v>367</v>
      </c>
      <c r="C5" s="512">
        <v>529.41173003999995</v>
      </c>
    </row>
    <row r="6" spans="2:7" collapsed="1">
      <c r="B6" s="511" t="s">
        <v>371</v>
      </c>
      <c r="C6" s="512">
        <v>965.24</v>
      </c>
    </row>
    <row r="7" spans="2:7">
      <c r="B7" s="511" t="s">
        <v>373</v>
      </c>
      <c r="C7" s="512">
        <v>1021.31</v>
      </c>
    </row>
    <row r="8" spans="2:7">
      <c r="B8" s="511" t="s">
        <v>372</v>
      </c>
      <c r="C8" s="512">
        <v>639.51</v>
      </c>
    </row>
    <row r="9" spans="2:7">
      <c r="B9" s="511" t="s">
        <v>399</v>
      </c>
      <c r="C9" s="512">
        <v>565.25</v>
      </c>
    </row>
    <row r="10" spans="2:7">
      <c r="B10" s="511" t="s">
        <v>386</v>
      </c>
      <c r="C10" s="512">
        <v>135</v>
      </c>
    </row>
    <row r="11" spans="2:7">
      <c r="B11" s="511" t="s">
        <v>387</v>
      </c>
      <c r="C11" s="512">
        <v>152</v>
      </c>
    </row>
    <row r="12" spans="2:7">
      <c r="B12" s="511" t="s">
        <v>388</v>
      </c>
      <c r="C12" s="512">
        <v>148</v>
      </c>
    </row>
    <row r="13" spans="2:7">
      <c r="B13" s="511" t="s">
        <v>389</v>
      </c>
      <c r="C13" s="512">
        <v>177</v>
      </c>
    </row>
    <row r="14" spans="2:7">
      <c r="B14" s="510" t="s">
        <v>400</v>
      </c>
      <c r="C14" s="525">
        <v>5.7500000000000002E-2</v>
      </c>
    </row>
    <row r="15" spans="2:7">
      <c r="B15" s="510" t="s">
        <v>364</v>
      </c>
      <c r="C15" s="525">
        <v>0</v>
      </c>
      <c r="D15" s="526" t="s">
        <v>382</v>
      </c>
    </row>
    <row r="16" spans="2:7" s="150" customFormat="1">
      <c r="B16" s="539" t="str">
        <f>+'COMBUSTIBLES '!A1</f>
        <v>1° DE ABRIL DE 2017</v>
      </c>
      <c r="C16" s="157" t="s">
        <v>280</v>
      </c>
      <c r="E16" s="539" t="s">
        <v>8</v>
      </c>
      <c r="F16" s="539"/>
      <c r="G16" s="539"/>
    </row>
    <row r="17" spans="2:12" s="150" customFormat="1">
      <c r="B17" s="539"/>
      <c r="C17" s="158" t="s">
        <v>178</v>
      </c>
      <c r="D17" s="159"/>
      <c r="E17" s="540" t="s">
        <v>178</v>
      </c>
      <c r="F17" s="540"/>
      <c r="G17" s="540"/>
    </row>
    <row r="18" spans="2:12" s="150" customFormat="1">
      <c r="B18" s="539"/>
      <c r="C18" s="160" t="s">
        <v>182</v>
      </c>
      <c r="D18" s="159"/>
      <c r="E18" s="160" t="s">
        <v>179</v>
      </c>
      <c r="F18" s="160" t="s">
        <v>180</v>
      </c>
      <c r="G18" s="160" t="s">
        <v>181</v>
      </c>
      <c r="I18" s="150">
        <f>1555*1.0244</f>
        <v>1592.942</v>
      </c>
    </row>
    <row r="19" spans="2:12" ht="15">
      <c r="B19" s="154" t="s">
        <v>25</v>
      </c>
      <c r="C19" s="502">
        <f>$C$1*(1+$C$15)</f>
        <v>490</v>
      </c>
      <c r="D19" s="152"/>
      <c r="E19" s="155">
        <v>5078.7700000000004</v>
      </c>
      <c r="F19" s="155">
        <v>1900</v>
      </c>
      <c r="G19" s="155">
        <v>1900</v>
      </c>
      <c r="H19" s="312"/>
      <c r="I19" s="307"/>
      <c r="J19" s="307"/>
      <c r="K19" s="307"/>
      <c r="L19" s="307"/>
    </row>
    <row r="20" spans="2:12" ht="15">
      <c r="B20" s="154" t="s">
        <v>191</v>
      </c>
      <c r="C20" s="502">
        <f>+C19</f>
        <v>490</v>
      </c>
      <c r="D20" s="152"/>
      <c r="E20" s="155">
        <f t="shared" ref="E20:G21" si="0">+E19</f>
        <v>5078.7700000000004</v>
      </c>
      <c r="F20" s="155">
        <f t="shared" si="0"/>
        <v>1900</v>
      </c>
      <c r="G20" s="155">
        <f t="shared" si="0"/>
        <v>1900</v>
      </c>
      <c r="H20" s="312">
        <f>+C20*16%</f>
        <v>78.400000000000006</v>
      </c>
      <c r="I20" s="307">
        <f>+H20*92%</f>
        <v>72.128000000000014</v>
      </c>
      <c r="J20" s="307"/>
      <c r="K20" s="307"/>
      <c r="L20" s="307"/>
    </row>
    <row r="21" spans="2:12" ht="15">
      <c r="B21" s="154" t="s">
        <v>192</v>
      </c>
      <c r="C21" s="502">
        <f>+C20</f>
        <v>490</v>
      </c>
      <c r="D21" s="152"/>
      <c r="E21" s="155">
        <f t="shared" si="0"/>
        <v>5078.7700000000004</v>
      </c>
      <c r="F21" s="155">
        <f t="shared" si="0"/>
        <v>1900</v>
      </c>
      <c r="G21" s="155">
        <f t="shared" si="0"/>
        <v>1900</v>
      </c>
      <c r="H21" s="312">
        <f>+C21*16%</f>
        <v>78.400000000000006</v>
      </c>
      <c r="I21" s="307">
        <f>+H21*92%</f>
        <v>72.128000000000014</v>
      </c>
      <c r="J21" s="307"/>
      <c r="K21" s="307"/>
      <c r="L21" s="307"/>
    </row>
    <row r="22" spans="2:12" ht="15">
      <c r="B22" s="154" t="s">
        <v>10</v>
      </c>
      <c r="C22" s="502">
        <f>$C$3*(1+$C$15)</f>
        <v>930</v>
      </c>
      <c r="D22" s="152"/>
      <c r="E22" s="155">
        <v>7107.81</v>
      </c>
      <c r="F22" s="155" t="s">
        <v>160</v>
      </c>
      <c r="G22" s="155" t="s">
        <v>160</v>
      </c>
      <c r="H22" s="312">
        <f>+C22*90%</f>
        <v>837</v>
      </c>
      <c r="I22" s="307">
        <f>+C22*92%</f>
        <v>855.6</v>
      </c>
      <c r="J22" s="307"/>
      <c r="K22" s="307"/>
      <c r="L22" s="307"/>
    </row>
    <row r="23" spans="2:12" ht="15">
      <c r="B23" s="154" t="s">
        <v>369</v>
      </c>
      <c r="C23" s="502">
        <f>$C$6*(1+$C$15)</f>
        <v>965.24</v>
      </c>
      <c r="D23" s="152"/>
      <c r="E23" s="513"/>
      <c r="F23" s="513"/>
      <c r="G23" s="513"/>
      <c r="H23" s="312"/>
      <c r="I23" s="307"/>
      <c r="J23" s="307"/>
      <c r="K23" s="307"/>
      <c r="L23" s="307"/>
    </row>
    <row r="24" spans="2:12" ht="15">
      <c r="B24" s="154" t="s">
        <v>374</v>
      </c>
      <c r="C24" s="502">
        <f>$C$7*(1+$C$15)</f>
        <v>1021.31</v>
      </c>
      <c r="D24" s="152"/>
      <c r="E24" s="513"/>
      <c r="F24" s="513"/>
      <c r="G24" s="513"/>
      <c r="H24" s="312"/>
      <c r="I24" s="307"/>
      <c r="J24" s="307"/>
      <c r="K24" s="307"/>
      <c r="L24" s="307"/>
    </row>
    <row r="25" spans="2:12" ht="6.75" customHeight="1">
      <c r="C25" s="152"/>
      <c r="D25" s="152"/>
      <c r="E25" s="152"/>
      <c r="F25" s="152"/>
      <c r="G25" s="152"/>
      <c r="H25" s="307"/>
      <c r="I25" s="307"/>
      <c r="J25" s="307"/>
      <c r="K25" s="307"/>
      <c r="L25" s="307"/>
    </row>
    <row r="26" spans="2:12" ht="15">
      <c r="B26" s="154" t="s">
        <v>173</v>
      </c>
      <c r="C26" s="502">
        <f>$C$2*(1+$C$15)</f>
        <v>469</v>
      </c>
      <c r="D26" s="152"/>
      <c r="E26" s="155">
        <v>5024.59</v>
      </c>
      <c r="F26" s="155">
        <v>1900</v>
      </c>
      <c r="G26" s="155">
        <v>3400</v>
      </c>
      <c r="H26" s="312"/>
      <c r="I26" s="307"/>
      <c r="J26" s="307"/>
      <c r="K26" s="307"/>
      <c r="L26" s="307"/>
    </row>
    <row r="27" spans="2:12">
      <c r="B27" s="154" t="s">
        <v>174</v>
      </c>
      <c r="C27" s="503">
        <f>+C26</f>
        <v>469</v>
      </c>
      <c r="D27" s="152"/>
      <c r="E27" s="155">
        <f t="shared" ref="E27:G30" si="1">+E26</f>
        <v>5024.59</v>
      </c>
      <c r="F27" s="155">
        <f t="shared" si="1"/>
        <v>1900</v>
      </c>
      <c r="G27" s="155">
        <f t="shared" si="1"/>
        <v>3400</v>
      </c>
      <c r="H27" s="307"/>
      <c r="I27" s="307"/>
      <c r="J27" s="307"/>
      <c r="K27" s="307"/>
      <c r="L27" s="307"/>
    </row>
    <row r="28" spans="2:12">
      <c r="B28" s="154" t="s">
        <v>175</v>
      </c>
      <c r="C28" s="503">
        <f t="shared" ref="C28:C30" si="2">+C27</f>
        <v>469</v>
      </c>
      <c r="D28" s="152"/>
      <c r="E28" s="155">
        <f t="shared" si="1"/>
        <v>5024.59</v>
      </c>
      <c r="F28" s="155">
        <f t="shared" si="1"/>
        <v>1900</v>
      </c>
      <c r="G28" s="155">
        <f t="shared" si="1"/>
        <v>3400</v>
      </c>
      <c r="J28" s="307"/>
      <c r="K28" s="307"/>
      <c r="L28" s="307"/>
    </row>
    <row r="29" spans="2:12">
      <c r="B29" s="154" t="s">
        <v>176</v>
      </c>
      <c r="C29" s="503">
        <f t="shared" si="2"/>
        <v>469</v>
      </c>
      <c r="D29" s="152"/>
      <c r="E29" s="155">
        <f t="shared" si="1"/>
        <v>5024.59</v>
      </c>
      <c r="F29" s="155">
        <f t="shared" si="1"/>
        <v>1900</v>
      </c>
      <c r="G29" s="155">
        <f t="shared" si="1"/>
        <v>3400</v>
      </c>
      <c r="H29" s="307">
        <f>+C29*98%</f>
        <v>459.62</v>
      </c>
      <c r="I29" s="307">
        <f>+C29*92%</f>
        <v>431.48</v>
      </c>
    </row>
    <row r="30" spans="2:12">
      <c r="B30" s="154" t="s">
        <v>177</v>
      </c>
      <c r="C30" s="503">
        <f t="shared" si="2"/>
        <v>469</v>
      </c>
      <c r="D30" s="152"/>
      <c r="E30" s="155">
        <f t="shared" si="1"/>
        <v>5024.59</v>
      </c>
      <c r="F30" s="155">
        <f t="shared" si="1"/>
        <v>1900</v>
      </c>
      <c r="G30" s="155">
        <f t="shared" si="1"/>
        <v>3400</v>
      </c>
      <c r="H30" s="307">
        <f>+C28*0.96</f>
        <v>450.24</v>
      </c>
      <c r="I30" s="307">
        <f>+C30*90%</f>
        <v>422.1</v>
      </c>
    </row>
    <row r="31" spans="2:12">
      <c r="B31" s="154" t="s">
        <v>316</v>
      </c>
      <c r="C31" s="503">
        <f>C26</f>
        <v>469</v>
      </c>
    </row>
    <row r="32" spans="2:12">
      <c r="B32" s="154" t="s">
        <v>368</v>
      </c>
      <c r="C32" s="502">
        <f>$C$9*(1+$C$14)</f>
        <v>597.75187500000004</v>
      </c>
    </row>
    <row r="33" spans="2:7">
      <c r="B33" s="154" t="s">
        <v>370</v>
      </c>
      <c r="C33" s="502">
        <f>$C$8*(1+$C$15)</f>
        <v>639.51</v>
      </c>
    </row>
    <row r="35" spans="2:7">
      <c r="B35" s="154" t="s">
        <v>193</v>
      </c>
      <c r="C35" s="156" t="s">
        <v>11</v>
      </c>
      <c r="D35" s="152"/>
      <c r="E35" s="155"/>
      <c r="F35" s="155"/>
      <c r="G35" s="155"/>
    </row>
    <row r="36" spans="2:7">
      <c r="B36" s="154" t="s">
        <v>194</v>
      </c>
      <c r="C36" s="156" t="s">
        <v>11</v>
      </c>
      <c r="D36" s="152"/>
      <c r="E36" s="155"/>
      <c r="F36" s="155"/>
      <c r="G36" s="155"/>
    </row>
    <row r="38" spans="2:7">
      <c r="B38" s="154" t="s">
        <v>283</v>
      </c>
      <c r="C38" s="155">
        <v>0.19</v>
      </c>
    </row>
    <row r="39" spans="2:7">
      <c r="C39" s="308"/>
    </row>
    <row r="40" spans="2:7">
      <c r="B40" s="510" t="s">
        <v>396</v>
      </c>
      <c r="C40" s="525">
        <v>0</v>
      </c>
    </row>
    <row r="41" spans="2:7">
      <c r="B41" s="539" t="str">
        <f>B16</f>
        <v>1° DE ABRIL DE 2017</v>
      </c>
      <c r="C41" s="523" t="s">
        <v>385</v>
      </c>
    </row>
    <row r="42" spans="2:7">
      <c r="B42" s="539"/>
      <c r="C42" s="524" t="s">
        <v>178</v>
      </c>
    </row>
    <row r="43" spans="2:7">
      <c r="B43" s="539"/>
      <c r="C43" s="160" t="s">
        <v>182</v>
      </c>
    </row>
    <row r="44" spans="2:7">
      <c r="B44" s="154" t="s">
        <v>390</v>
      </c>
      <c r="C44" s="527">
        <f>$C$10*(1+$C$40)</f>
        <v>135</v>
      </c>
    </row>
    <row r="45" spans="2:7">
      <c r="B45" s="154" t="s">
        <v>18</v>
      </c>
      <c r="C45" s="527">
        <f>$C$11*(1+$C$40)</f>
        <v>152</v>
      </c>
    </row>
    <row r="46" spans="2:7">
      <c r="B46" s="154" t="s">
        <v>391</v>
      </c>
      <c r="C46" s="527">
        <f>$C$12*(1+$C$40)</f>
        <v>148</v>
      </c>
    </row>
    <row r="47" spans="2:7">
      <c r="B47" s="154" t="s">
        <v>392</v>
      </c>
      <c r="C47" s="527">
        <f>$C$13*(1+$C$40)</f>
        <v>177</v>
      </c>
    </row>
  </sheetData>
  <mergeCells count="4">
    <mergeCell ref="E16:G16"/>
    <mergeCell ref="E17:G17"/>
    <mergeCell ref="B16:B18"/>
    <mergeCell ref="B41:B43"/>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6"/>
  <sheetViews>
    <sheetView showGridLines="0" zoomScale="70" zoomScaleNormal="70" workbookViewId="0">
      <selection activeCell="E9" sqref="E9"/>
    </sheetView>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634" t="s">
        <v>216</v>
      </c>
      <c r="D1" s="634"/>
      <c r="E1" s="634"/>
      <c r="F1" s="634"/>
      <c r="G1" s="634"/>
      <c r="H1" s="634"/>
    </row>
    <row r="2" spans="3:10" ht="15">
      <c r="C2" s="634" t="s">
        <v>33</v>
      </c>
      <c r="D2" s="634"/>
      <c r="E2" s="634"/>
      <c r="F2" s="634"/>
      <c r="G2" s="634"/>
      <c r="H2" s="634"/>
    </row>
    <row r="3" spans="3:10" ht="15">
      <c r="C3" s="634" t="s">
        <v>14</v>
      </c>
      <c r="D3" s="634"/>
      <c r="E3" s="634"/>
      <c r="F3" s="634"/>
      <c r="G3" s="634"/>
      <c r="H3" s="634"/>
    </row>
    <row r="4" spans="3:10" ht="24.75" customHeight="1" thickBot="1">
      <c r="C4" s="315" t="str">
        <f>'SAN-ANDRES + GENERACION'!C7</f>
        <v>1° DE ABRIL DE 2017</v>
      </c>
      <c r="D4" s="36"/>
      <c r="E4" s="37"/>
      <c r="F4" s="637"/>
      <c r="G4" s="637"/>
      <c r="H4" s="496"/>
      <c r="I4" s="496"/>
    </row>
    <row r="5" spans="3:10" ht="45" customHeight="1" thickTop="1">
      <c r="C5" s="131" t="s">
        <v>15</v>
      </c>
      <c r="D5" s="362" t="s">
        <v>221</v>
      </c>
      <c r="E5" s="362" t="s">
        <v>275</v>
      </c>
      <c r="F5" s="362" t="s">
        <v>356</v>
      </c>
      <c r="I5" s="362" t="s">
        <v>276</v>
      </c>
      <c r="J5" s="362" t="s">
        <v>277</v>
      </c>
    </row>
    <row r="6" spans="3:10" ht="22.5" customHeight="1">
      <c r="C6" s="364" t="s">
        <v>19</v>
      </c>
      <c r="D6" s="357">
        <f>'COMBUSTIBLES '!E7</f>
        <v>3999.53</v>
      </c>
      <c r="E6" s="357">
        <f>+D6</f>
        <v>3999.53</v>
      </c>
      <c r="F6" s="357">
        <f>F30</f>
        <v>3199.6240000000003</v>
      </c>
      <c r="I6" s="357">
        <f>+BIODIESEL!B7*4%+(F6)*96%</f>
        <v>3494.6350400000001</v>
      </c>
      <c r="J6" s="357">
        <f>+BIODIESEL!B7*2%+(F6)*98%</f>
        <v>3347.1295200000004</v>
      </c>
    </row>
    <row r="7" spans="3:10" ht="22.5" customHeight="1">
      <c r="C7" s="367" t="str">
        <f>+'GASOLINA CORRIENTE OXIGENADA'!A11</f>
        <v>Impuesto Nacional a la Gasolina y al ACPM</v>
      </c>
      <c r="D7" s="360">
        <f>Variables!C31</f>
        <v>469</v>
      </c>
      <c r="E7" s="360">
        <f>Variables!C32</f>
        <v>597.75187500000004</v>
      </c>
      <c r="F7" s="360">
        <f>+E7</f>
        <v>597.75187500000004</v>
      </c>
      <c r="G7" s="90"/>
      <c r="H7" s="90"/>
      <c r="I7" s="360">
        <f>ROUND(F7*96%,2)</f>
        <v>573.84</v>
      </c>
      <c r="J7" s="360">
        <f>ROUND(E7*98%,2)</f>
        <v>585.79999999999995</v>
      </c>
    </row>
    <row r="8" spans="3:10" ht="22.5" customHeight="1">
      <c r="C8" s="367" t="str">
        <f>+'GASOLINA CORRIENTE OXIGENADA'!A12</f>
        <v>Impuesto sobre las Ventas</v>
      </c>
      <c r="D8" s="536" t="str">
        <f>'COMBUSTIBLES '!E12</f>
        <v>(3)</v>
      </c>
      <c r="E8" s="536" t="str">
        <f>'COMBUSTIBLES '!E12</f>
        <v>(3)</v>
      </c>
      <c r="F8" s="536" t="str">
        <f>+E8</f>
        <v>(3)</v>
      </c>
      <c r="G8" s="537"/>
      <c r="H8" s="537"/>
      <c r="I8" s="536" t="str">
        <f>+F8</f>
        <v>(3)</v>
      </c>
      <c r="J8" s="536" t="str">
        <f>+I8</f>
        <v>(3)</v>
      </c>
    </row>
    <row r="9" spans="3:10" ht="22.5" customHeight="1">
      <c r="C9" s="367" t="str">
        <f>+'GASOLINA CORRIENTE OXIGENADA'!A13</f>
        <v>Impuesto al carbono</v>
      </c>
      <c r="D9" s="357">
        <f>'COMBUSTIBLES '!E13</f>
        <v>152</v>
      </c>
      <c r="E9" s="357">
        <f>'COMBUSTIBLES '!E13</f>
        <v>152</v>
      </c>
      <c r="F9" s="357">
        <f>'COMBUSTIBLES '!E13</f>
        <v>152</v>
      </c>
      <c r="I9" s="357">
        <f>ROUND(F9*96%,2)</f>
        <v>145.91999999999999</v>
      </c>
      <c r="J9" s="357">
        <f>ROUND(E9*98%,2)</f>
        <v>148.96</v>
      </c>
    </row>
    <row r="10" spans="3:10" ht="22.5" customHeight="1">
      <c r="C10" s="364" t="s">
        <v>251</v>
      </c>
      <c r="D10" s="359" t="str">
        <f>+BIODIESEL!G15</f>
        <v>(*)</v>
      </c>
      <c r="E10" s="359" t="str">
        <f t="shared" ref="E10:F11" si="0">+D10</f>
        <v>(*)</v>
      </c>
      <c r="F10" s="359" t="str">
        <f t="shared" si="0"/>
        <v>(*)</v>
      </c>
      <c r="I10" s="359" t="s">
        <v>11</v>
      </c>
      <c r="J10" s="359" t="str">
        <f>+I10</f>
        <v>(*)</v>
      </c>
    </row>
    <row r="11" spans="3:10" ht="22.5" customHeight="1">
      <c r="C11" s="115" t="s">
        <v>248</v>
      </c>
      <c r="D11" s="360">
        <f>'COMBUSTIBLES '!E10</f>
        <v>71.510000000000005</v>
      </c>
      <c r="E11" s="360">
        <f t="shared" si="0"/>
        <v>71.510000000000005</v>
      </c>
      <c r="F11" s="360">
        <f t="shared" si="0"/>
        <v>71.510000000000005</v>
      </c>
      <c r="I11" s="360">
        <f>+F11</f>
        <v>71.510000000000005</v>
      </c>
      <c r="J11" s="360">
        <f>+I11</f>
        <v>71.510000000000005</v>
      </c>
    </row>
    <row r="12" spans="3:10" ht="22.5" customHeight="1">
      <c r="C12" s="368" t="s">
        <v>224</v>
      </c>
      <c r="D12" s="361">
        <f>SUM(D6:D11)</f>
        <v>4692.0400000000009</v>
      </c>
      <c r="E12" s="361">
        <f>SUM(E6:E11)</f>
        <v>4820.7918750000008</v>
      </c>
      <c r="F12" s="361">
        <f>SUM(F6:F11)</f>
        <v>4020.8858750000004</v>
      </c>
      <c r="I12" s="361">
        <f>SUM(I6:I11)</f>
        <v>4285.9050400000006</v>
      </c>
      <c r="J12" s="361">
        <f>SUM(J6:J11)</f>
        <v>4153.3995200000008</v>
      </c>
    </row>
    <row r="13" spans="3:10" ht="22.5" customHeight="1" thickBot="1">
      <c r="C13" s="370" t="s">
        <v>8</v>
      </c>
      <c r="D13" s="371">
        <f>'COMBUSTIBLES '!E16</f>
        <v>301.48</v>
      </c>
      <c r="E13" s="371"/>
      <c r="F13" s="371"/>
      <c r="I13" s="371"/>
      <c r="J13" s="371"/>
    </row>
    <row r="14" spans="3:10" ht="12" customHeight="1" thickTop="1">
      <c r="C14" s="356"/>
      <c r="D14" s="34"/>
      <c r="E14" s="34"/>
      <c r="F14" s="497"/>
      <c r="G14" s="497"/>
      <c r="H14" s="497"/>
      <c r="I14" s="496"/>
    </row>
    <row r="15" spans="3:10" ht="18.75" customHeight="1">
      <c r="C15" s="635" t="s">
        <v>269</v>
      </c>
      <c r="D15" s="635"/>
      <c r="E15" s="635"/>
      <c r="F15" s="635"/>
      <c r="G15" s="635"/>
      <c r="H15" s="635"/>
    </row>
    <row r="16" spans="3:10" ht="49.5" customHeight="1">
      <c r="C16" s="636" t="s">
        <v>271</v>
      </c>
      <c r="D16" s="636"/>
      <c r="E16" s="636"/>
      <c r="F16" s="636"/>
      <c r="G16" s="636"/>
      <c r="H16" s="636"/>
    </row>
    <row r="17" spans="3:9" ht="34.5" customHeight="1">
      <c r="C17" s="582" t="s">
        <v>314</v>
      </c>
      <c r="D17" s="582"/>
      <c r="E17" s="582"/>
      <c r="F17" s="582"/>
      <c r="G17" s="582"/>
      <c r="H17" s="582"/>
    </row>
    <row r="18" spans="3:9">
      <c r="C18" s="582" t="s">
        <v>357</v>
      </c>
      <c r="D18" s="582"/>
      <c r="E18" s="582"/>
      <c r="F18" s="582"/>
      <c r="G18" s="582"/>
      <c r="H18" s="582"/>
    </row>
    <row r="19" spans="3:9" ht="28.5" customHeight="1">
      <c r="C19" s="373"/>
      <c r="D19" s="373"/>
      <c r="E19" s="373"/>
      <c r="F19" s="373"/>
      <c r="G19" s="373"/>
      <c r="H19" s="373"/>
    </row>
    <row r="20" spans="3:9">
      <c r="C20" s="586" t="s">
        <v>403</v>
      </c>
      <c r="D20" s="586"/>
      <c r="E20" s="586"/>
      <c r="F20" s="586"/>
      <c r="G20" s="586"/>
      <c r="H20" s="586"/>
      <c r="I20" s="586"/>
    </row>
    <row r="21" spans="3:9">
      <c r="C21" s="586" t="s">
        <v>401</v>
      </c>
      <c r="D21" s="586"/>
      <c r="E21" s="586"/>
      <c r="F21" s="586"/>
      <c r="G21" s="586"/>
      <c r="H21" s="586"/>
      <c r="I21" s="586"/>
    </row>
    <row r="22" spans="3:9">
      <c r="C22" s="586" t="s">
        <v>402</v>
      </c>
      <c r="D22" s="586"/>
      <c r="E22" s="586"/>
      <c r="F22" s="586"/>
      <c r="G22" s="586"/>
      <c r="H22" s="586"/>
      <c r="I22" s="586"/>
    </row>
    <row r="23" spans="3:9">
      <c r="C23" s="531"/>
      <c r="D23" s="531"/>
      <c r="E23" s="531"/>
      <c r="F23" s="531"/>
      <c r="G23" s="531"/>
      <c r="H23" s="531"/>
      <c r="I23" s="531"/>
    </row>
    <row r="24" spans="3:9">
      <c r="C24" s="531"/>
      <c r="D24" s="531"/>
      <c r="E24" s="531"/>
      <c r="F24" s="531"/>
      <c r="G24" s="531"/>
      <c r="H24" s="531"/>
      <c r="I24" s="531"/>
    </row>
    <row r="25" spans="3:9" ht="15">
      <c r="C25" s="634" t="s">
        <v>45</v>
      </c>
      <c r="D25" s="634"/>
      <c r="E25" s="634"/>
      <c r="F25" s="634"/>
      <c r="G25" s="634"/>
      <c r="H25" s="634"/>
    </row>
    <row r="26" spans="3:9" ht="15">
      <c r="C26" s="634" t="s">
        <v>37</v>
      </c>
      <c r="D26" s="634"/>
      <c r="E26" s="634"/>
      <c r="F26" s="634"/>
      <c r="G26" s="634"/>
      <c r="H26" s="634"/>
    </row>
    <row r="27" spans="3:9" ht="15">
      <c r="C27" s="634" t="s">
        <v>14</v>
      </c>
      <c r="D27" s="634"/>
      <c r="E27" s="634"/>
      <c r="F27" s="634"/>
      <c r="G27" s="634"/>
      <c r="H27" s="634"/>
    </row>
    <row r="28" spans="3:9" ht="15.75" thickBot="1">
      <c r="C28" s="315" t="str">
        <f>+C4</f>
        <v>1° DE ABRIL DE 2017</v>
      </c>
      <c r="D28" s="36"/>
      <c r="E28" s="37"/>
      <c r="F28"/>
    </row>
    <row r="29" spans="3:9" ht="45" customHeight="1" thickTop="1">
      <c r="C29" s="131" t="s">
        <v>15</v>
      </c>
      <c r="D29" s="362" t="str">
        <f>+D5</f>
        <v xml:space="preserve">DIESEL MARINO </v>
      </c>
      <c r="E29" s="362" t="str">
        <f>+E5</f>
        <v>DIESEL MARINO CON CUPO (ART 174 LEY 1607/12)</v>
      </c>
      <c r="F29" s="362" t="str">
        <f>+F5</f>
        <v>DIESEL MARINO CON CUPO (ART 174 LEY 1607/12) CON DESCUENTO****</v>
      </c>
      <c r="G29" s="362" t="s">
        <v>319</v>
      </c>
      <c r="H29" s="362" t="s">
        <v>320</v>
      </c>
    </row>
    <row r="30" spans="3:9" ht="23.25" customHeight="1">
      <c r="C30" s="364" t="s">
        <v>19</v>
      </c>
      <c r="D30" s="357">
        <f>+D6</f>
        <v>3999.53</v>
      </c>
      <c r="E30" s="357">
        <f>+D30</f>
        <v>3999.53</v>
      </c>
      <c r="F30" s="365">
        <f>+D30*80%</f>
        <v>3199.6240000000003</v>
      </c>
      <c r="G30" s="358">
        <v>1903.2</v>
      </c>
      <c r="H30" s="365">
        <v>1280.03</v>
      </c>
    </row>
    <row r="31" spans="3:9" ht="23.25" customHeight="1">
      <c r="C31" s="367" t="str">
        <f>+C7</f>
        <v>Impuesto Nacional a la Gasolina y al ACPM</v>
      </c>
      <c r="D31" s="360">
        <f>'SAN-ANDRES + GENERACION'!E12</f>
        <v>639.51</v>
      </c>
      <c r="E31" s="360">
        <f>D31</f>
        <v>639.51</v>
      </c>
      <c r="F31" s="132">
        <f>E31</f>
        <v>639.51</v>
      </c>
      <c r="G31" s="476">
        <f>+D31</f>
        <v>639.51</v>
      </c>
      <c r="H31" s="366">
        <f>+F31</f>
        <v>639.51</v>
      </c>
    </row>
    <row r="32" spans="3:9" ht="23.25" customHeight="1">
      <c r="C32" s="367" t="str">
        <f t="shared" ref="C32:F33" si="1">+C8</f>
        <v>Impuesto sobre las Ventas</v>
      </c>
      <c r="D32" s="357"/>
      <c r="E32" s="357"/>
      <c r="F32" s="366"/>
      <c r="G32" s="476"/>
      <c r="H32" s="366"/>
    </row>
    <row r="33" spans="1:9" ht="23.25" customHeight="1">
      <c r="C33" s="367" t="str">
        <f t="shared" si="1"/>
        <v>Impuesto al carbono</v>
      </c>
      <c r="D33" s="357">
        <f t="shared" si="1"/>
        <v>152</v>
      </c>
      <c r="E33" s="357">
        <f t="shared" si="1"/>
        <v>152</v>
      </c>
      <c r="F33" s="366">
        <f t="shared" si="1"/>
        <v>152</v>
      </c>
      <c r="G33" s="476"/>
      <c r="H33" s="366"/>
    </row>
    <row r="34" spans="1:9" ht="23.25" customHeight="1">
      <c r="C34" s="364" t="s">
        <v>21</v>
      </c>
      <c r="D34" s="360" t="str">
        <f>+D10</f>
        <v>(*)</v>
      </c>
      <c r="E34" s="360" t="str">
        <f>+D34</f>
        <v>(*)</v>
      </c>
      <c r="F34" s="132" t="str">
        <f>+E34</f>
        <v>(*)</v>
      </c>
      <c r="G34" s="360" t="str">
        <f>+F34</f>
        <v>(*)</v>
      </c>
      <c r="H34" s="132" t="str">
        <f>+G34</f>
        <v>(*)</v>
      </c>
    </row>
    <row r="35" spans="1:9" ht="23.25" customHeight="1">
      <c r="C35" s="115" t="s">
        <v>248</v>
      </c>
      <c r="D35" s="357">
        <f>+D11</f>
        <v>71.510000000000005</v>
      </c>
      <c r="E35" s="357">
        <f>+E11</f>
        <v>71.510000000000005</v>
      </c>
      <c r="F35" s="366">
        <f>+F11</f>
        <v>71.510000000000005</v>
      </c>
      <c r="G35" s="357">
        <f>+I11</f>
        <v>71.510000000000005</v>
      </c>
      <c r="H35" s="366">
        <f>+J11</f>
        <v>71.510000000000005</v>
      </c>
    </row>
    <row r="36" spans="1:9" ht="23.25" customHeight="1">
      <c r="C36" s="374" t="s">
        <v>38</v>
      </c>
      <c r="D36" s="361">
        <f>SUM(D30:D35)</f>
        <v>4862.55</v>
      </c>
      <c r="E36" s="361">
        <f>SUM(E30:E35)</f>
        <v>4862.55</v>
      </c>
      <c r="F36" s="369">
        <f>SUM(F30:F35)</f>
        <v>4062.6440000000002</v>
      </c>
      <c r="G36" s="361">
        <f>SUM(G30:G35)</f>
        <v>2614.2200000000003</v>
      </c>
      <c r="H36" s="369">
        <f>SUM(H30:H35)</f>
        <v>1991.05</v>
      </c>
    </row>
    <row r="37" spans="1:9" ht="23.25" customHeight="1">
      <c r="C37" s="133" t="s">
        <v>252</v>
      </c>
      <c r="D37" s="113" t="s">
        <v>11</v>
      </c>
      <c r="E37" s="113" t="str">
        <f>+D37</f>
        <v>(*)</v>
      </c>
      <c r="F37" s="114" t="str">
        <f>E37</f>
        <v>(*)</v>
      </c>
      <c r="G37" s="113" t="str">
        <f>+F37</f>
        <v>(*)</v>
      </c>
      <c r="H37" s="114" t="str">
        <f>G37</f>
        <v>(*)</v>
      </c>
    </row>
    <row r="38" spans="1:9" ht="23.25" customHeight="1">
      <c r="C38" s="133" t="s">
        <v>254</v>
      </c>
      <c r="D38" s="113" t="s">
        <v>12</v>
      </c>
      <c r="E38" s="113" t="str">
        <f>+D38</f>
        <v>(**)</v>
      </c>
      <c r="F38" s="114" t="str">
        <f>E38</f>
        <v>(**)</v>
      </c>
      <c r="G38" s="113" t="str">
        <f>+F38</f>
        <v>(**)</v>
      </c>
      <c r="H38" s="114" t="str">
        <f>G38</f>
        <v>(**)</v>
      </c>
      <c r="I38" s="40"/>
    </row>
    <row r="39" spans="1:9" ht="23.25" customHeight="1">
      <c r="C39" s="368" t="s">
        <v>39</v>
      </c>
      <c r="D39" s="361">
        <f>SUM(D36:D38)</f>
        <v>4862.55</v>
      </c>
      <c r="E39" s="361">
        <f>SUM(E36:E38)</f>
        <v>4862.55</v>
      </c>
      <c r="F39" s="369">
        <f>SUM(F36:F38)</f>
        <v>4062.6440000000002</v>
      </c>
      <c r="G39" s="361">
        <f>SUM(G36:G38)</f>
        <v>2614.2200000000003</v>
      </c>
      <c r="H39" s="369">
        <f>SUM(H36:H38)</f>
        <v>1991.05</v>
      </c>
    </row>
    <row r="40" spans="1:9" ht="23.25" customHeight="1" thickBot="1">
      <c r="C40" s="370" t="s">
        <v>8</v>
      </c>
      <c r="D40" s="371">
        <f>'COMBUSTIBLES '!E16</f>
        <v>301.48</v>
      </c>
      <c r="E40" s="371"/>
      <c r="F40" s="372"/>
      <c r="G40" s="371"/>
      <c r="H40" s="372"/>
    </row>
    <row r="41" spans="1:9" ht="15" thickTop="1">
      <c r="A41" s="5" t="s">
        <v>161</v>
      </c>
      <c r="C41" s="42" t="s">
        <v>161</v>
      </c>
      <c r="D41" s="43"/>
      <c r="E41" s="43"/>
      <c r="F41" s="90"/>
      <c r="G41" s="90"/>
      <c r="H41" s="90"/>
    </row>
    <row r="42" spans="1:9">
      <c r="C42" s="633" t="s">
        <v>270</v>
      </c>
      <c r="D42" s="633"/>
      <c r="E42" s="633"/>
      <c r="F42" s="633"/>
    </row>
    <row r="43" spans="1:9" ht="18" customHeight="1">
      <c r="C43" s="633" t="s">
        <v>253</v>
      </c>
      <c r="D43" s="633"/>
      <c r="E43" s="633"/>
      <c r="F43" s="633"/>
      <c r="G43" s="633"/>
      <c r="H43" s="633"/>
    </row>
    <row r="44" spans="1:9" ht="65.25" customHeight="1">
      <c r="C44" s="633" t="s">
        <v>321</v>
      </c>
      <c r="D44" s="633"/>
      <c r="E44" s="633"/>
      <c r="F44" s="633"/>
      <c r="G44" s="633"/>
      <c r="H44" s="633"/>
    </row>
    <row r="45" spans="1:9" ht="15" customHeight="1">
      <c r="C45" s="582" t="s">
        <v>357</v>
      </c>
      <c r="D45" s="582"/>
      <c r="E45" s="582"/>
      <c r="F45" s="582"/>
      <c r="G45" s="582"/>
      <c r="H45" s="582"/>
    </row>
    <row r="46" spans="1:9" s="18" customFormat="1" ht="13.5" customHeight="1">
      <c r="C46" s="44"/>
      <c r="D46" s="45"/>
      <c r="E46" s="45"/>
    </row>
    <row r="47" spans="1:9" ht="15">
      <c r="C47" s="35" t="s">
        <v>46</v>
      </c>
      <c r="D47" s="36"/>
      <c r="E47" s="37"/>
      <c r="F47" s="38"/>
    </row>
    <row r="48" spans="1:9" ht="15">
      <c r="C48" s="35" t="s">
        <v>40</v>
      </c>
      <c r="D48" s="36"/>
      <c r="E48" s="37"/>
      <c r="F48" s="38"/>
    </row>
    <row r="49" spans="3:10" ht="15">
      <c r="C49" s="35" t="s">
        <v>41</v>
      </c>
      <c r="D49" s="36"/>
      <c r="E49" s="37"/>
      <c r="F49" s="38"/>
    </row>
    <row r="50" spans="3:10" ht="15">
      <c r="C50" s="35" t="s">
        <v>14</v>
      </c>
      <c r="D50" s="36"/>
      <c r="E50" s="37"/>
      <c r="F50" s="38"/>
    </row>
    <row r="51" spans="3:10" ht="15.75" thickBot="1">
      <c r="C51" s="315" t="str">
        <f>+C28</f>
        <v>1° DE ABRIL DE 2017</v>
      </c>
      <c r="D51" s="36"/>
      <c r="E51" s="37"/>
      <c r="F51"/>
    </row>
    <row r="52" spans="3:10" ht="29.25" thickTop="1">
      <c r="C52" s="131" t="s">
        <v>15</v>
      </c>
      <c r="D52" s="362" t="s">
        <v>257</v>
      </c>
      <c r="E52" s="362" t="s">
        <v>278</v>
      </c>
      <c r="F52" s="363" t="s">
        <v>279</v>
      </c>
    </row>
    <row r="53" spans="3:10" ht="26.25" customHeight="1">
      <c r="C53" s="364" t="s">
        <v>258</v>
      </c>
      <c r="D53" s="357">
        <f>+BIODIESEL!E10</f>
        <v>4131.04</v>
      </c>
      <c r="E53" s="357">
        <f>+D53</f>
        <v>4131.04</v>
      </c>
      <c r="F53" s="365">
        <f>+BIODIESEL!B7*2%+('COMBUSTIBLES '!E7*80%)*98%</f>
        <v>3347.1295200000004</v>
      </c>
      <c r="G53" s="471"/>
      <c r="J53" s="40"/>
    </row>
    <row r="54" spans="3:10" ht="26.25" customHeight="1">
      <c r="C54" s="364" t="str">
        <f>+C31</f>
        <v>Impuesto Nacional a la Gasolina y al ACPM</v>
      </c>
      <c r="D54" s="360">
        <f>+D7*98%</f>
        <v>459.62</v>
      </c>
      <c r="E54" s="360">
        <f>+J7</f>
        <v>585.79999999999995</v>
      </c>
      <c r="F54" s="132">
        <f>E54</f>
        <v>585.79999999999995</v>
      </c>
      <c r="G54" s="40"/>
    </row>
    <row r="55" spans="3:10" ht="26.25" customHeight="1">
      <c r="C55" s="364" t="str">
        <f>+C32</f>
        <v>Impuesto sobre las Ventas</v>
      </c>
      <c r="D55" s="536" t="str">
        <f>+'COMBUSTIBLES '!C12</f>
        <v>(3)</v>
      </c>
      <c r="E55" s="536" t="str">
        <f>+D55</f>
        <v>(3)</v>
      </c>
      <c r="F55" s="538" t="str">
        <f>+E55</f>
        <v>(3)</v>
      </c>
      <c r="G55" s="40"/>
    </row>
    <row r="56" spans="3:10" ht="26.25" customHeight="1">
      <c r="C56" s="364" t="str">
        <f>+C33</f>
        <v>Impuesto al carbono</v>
      </c>
      <c r="D56" s="357">
        <f>+D9*98%</f>
        <v>148.96</v>
      </c>
      <c r="E56" s="357">
        <f>+E33*98%</f>
        <v>148.96</v>
      </c>
      <c r="F56" s="366">
        <f>E56</f>
        <v>148.96</v>
      </c>
      <c r="G56" s="40"/>
    </row>
    <row r="57" spans="3:10" ht="26.25" customHeight="1">
      <c r="C57" s="364" t="s">
        <v>255</v>
      </c>
      <c r="D57" s="507">
        <f>+'TARIFAS DE TRANSPORTE'!BB41+'TARIFAS DE TRANSPORTE'!BA81</f>
        <v>502.53160801604031</v>
      </c>
      <c r="E57" s="360">
        <f>+D57</f>
        <v>502.53160801604031</v>
      </c>
      <c r="F57" s="132">
        <f>+E57</f>
        <v>502.53160801604031</v>
      </c>
    </row>
    <row r="58" spans="3:10" ht="26.25" customHeight="1">
      <c r="C58" s="364" t="s">
        <v>243</v>
      </c>
      <c r="D58" s="507">
        <v>20.85</v>
      </c>
      <c r="E58" s="360">
        <f>+D58</f>
        <v>20.85</v>
      </c>
      <c r="F58" s="132">
        <f>+E58</f>
        <v>20.85</v>
      </c>
    </row>
    <row r="59" spans="3:10" ht="26.25" customHeight="1">
      <c r="C59" s="115" t="s">
        <v>248</v>
      </c>
      <c r="D59" s="357">
        <f>D35</f>
        <v>71.510000000000005</v>
      </c>
      <c r="E59" s="357">
        <f>E35</f>
        <v>71.510000000000005</v>
      </c>
      <c r="F59" s="366">
        <f>F35</f>
        <v>71.510000000000005</v>
      </c>
    </row>
    <row r="60" spans="3:10" ht="26.25" customHeight="1">
      <c r="C60" s="364" t="s">
        <v>36</v>
      </c>
      <c r="D60" s="375">
        <f>SUM(D53:D59)</f>
        <v>5334.5116080160406</v>
      </c>
      <c r="E60" s="375">
        <f>SUM(E53:E59)</f>
        <v>5460.6916080160408</v>
      </c>
      <c r="F60" s="376">
        <f>SUM(F53:F59)</f>
        <v>4676.7811280160413</v>
      </c>
      <c r="I60" s="40"/>
    </row>
    <row r="61" spans="3:10" ht="36.950000000000003" customHeight="1">
      <c r="C61" s="368" t="s">
        <v>43</v>
      </c>
      <c r="D61" s="377">
        <f>SUM(D60:D60)</f>
        <v>5334.5116080160406</v>
      </c>
      <c r="E61" s="377">
        <f>SUM(E60:E60)</f>
        <v>5460.6916080160408</v>
      </c>
      <c r="F61" s="378">
        <f>SUM(F60:F60)</f>
        <v>4676.7811280160413</v>
      </c>
    </row>
    <row r="62" spans="3:10" ht="36.950000000000003" customHeight="1" thickBot="1">
      <c r="C62" s="370" t="s">
        <v>55</v>
      </c>
      <c r="D62" s="371">
        <f>D40</f>
        <v>301.48</v>
      </c>
      <c r="E62" s="371"/>
      <c r="F62" s="372"/>
    </row>
    <row r="63" spans="3:10" ht="18.75" customHeight="1" thickTop="1">
      <c r="C63" s="638" t="s">
        <v>161</v>
      </c>
      <c r="D63" s="639"/>
      <c r="E63" s="639"/>
      <c r="F63" s="90"/>
    </row>
    <row r="64" spans="3:10" ht="18.75" customHeight="1">
      <c r="C64" s="394" t="s">
        <v>256</v>
      </c>
      <c r="D64" s="395"/>
      <c r="E64" s="395"/>
    </row>
    <row r="65" spans="3:9" ht="18.75" customHeight="1">
      <c r="C65" s="642" t="s">
        <v>393</v>
      </c>
      <c r="D65" s="642"/>
      <c r="E65" s="642"/>
      <c r="F65" s="642"/>
    </row>
    <row r="66" spans="3:9" ht="18.75" customHeight="1">
      <c r="C66" s="533"/>
      <c r="D66" s="533"/>
      <c r="E66" s="533"/>
      <c r="F66" s="533"/>
    </row>
    <row r="67" spans="3:9" ht="18.75" customHeight="1">
      <c r="C67" s="586" t="s">
        <v>403</v>
      </c>
      <c r="D67" s="586"/>
      <c r="E67" s="586"/>
      <c r="F67" s="586"/>
      <c r="G67" s="586"/>
      <c r="H67" s="586"/>
      <c r="I67" s="586"/>
    </row>
    <row r="68" spans="3:9" ht="18.75" customHeight="1">
      <c r="C68" s="586" t="s">
        <v>401</v>
      </c>
      <c r="D68" s="586"/>
      <c r="E68" s="586"/>
      <c r="F68" s="586"/>
      <c r="G68" s="586"/>
      <c r="H68" s="586"/>
      <c r="I68" s="586"/>
    </row>
    <row r="69" spans="3:9" ht="18.75" customHeight="1">
      <c r="C69" s="586" t="s">
        <v>402</v>
      </c>
      <c r="D69" s="586"/>
      <c r="E69" s="586"/>
      <c r="F69" s="586"/>
      <c r="G69" s="586"/>
      <c r="H69" s="586"/>
      <c r="I69" s="586"/>
    </row>
    <row r="70" spans="3:9" ht="18.75" hidden="1" customHeight="1">
      <c r="C70" s="313"/>
      <c r="D70" s="313"/>
      <c r="E70" s="313"/>
    </row>
    <row r="71" spans="3:9" ht="33" hidden="1" customHeight="1">
      <c r="C71" s="35" t="s">
        <v>46</v>
      </c>
      <c r="D71" s="36"/>
      <c r="E71" s="37"/>
      <c r="F71" s="38"/>
    </row>
    <row r="72" spans="3:9" ht="15" hidden="1">
      <c r="C72" s="35" t="s">
        <v>44</v>
      </c>
      <c r="D72" s="36"/>
      <c r="E72" s="37"/>
      <c r="F72" s="38"/>
    </row>
    <row r="73" spans="3:9" ht="15" hidden="1">
      <c r="C73" s="35" t="s">
        <v>14</v>
      </c>
      <c r="D73" s="36"/>
      <c r="E73" s="37"/>
      <c r="F73" s="38"/>
    </row>
    <row r="74" spans="3:9" ht="15.75" hidden="1" thickBot="1">
      <c r="C74" s="35" t="str">
        <f>+C51</f>
        <v>1° DE ABRIL DE 2017</v>
      </c>
      <c r="D74" s="36"/>
      <c r="E74" s="37"/>
      <c r="F74"/>
    </row>
    <row r="75" spans="3:9" ht="45" hidden="1" customHeight="1" thickTop="1">
      <c r="C75" s="58" t="s">
        <v>15</v>
      </c>
      <c r="D75" s="314" t="s">
        <v>221</v>
      </c>
      <c r="E75" s="59" t="s">
        <v>222</v>
      </c>
      <c r="F75" s="59" t="s">
        <v>223</v>
      </c>
      <c r="G75"/>
    </row>
    <row r="76" spans="3:9" ht="27.75" hidden="1" customHeight="1">
      <c r="C76" s="321" t="s">
        <v>19</v>
      </c>
      <c r="D76" s="322">
        <f>+D6</f>
        <v>3999.53</v>
      </c>
      <c r="E76" s="323">
        <f>+D76</f>
        <v>3999.53</v>
      </c>
      <c r="F76" s="323">
        <f>+D76*77%</f>
        <v>3079.6381000000001</v>
      </c>
      <c r="G76"/>
    </row>
    <row r="77" spans="3:9" ht="27.75" hidden="1" customHeight="1">
      <c r="C77" s="321" t="s">
        <v>34</v>
      </c>
      <c r="D77" s="322" t="e">
        <f>#REF!</f>
        <v>#REF!</v>
      </c>
      <c r="E77" s="323" t="e">
        <f>D77</f>
        <v>#REF!</v>
      </c>
      <c r="F77" s="323" t="e">
        <f>E77</f>
        <v>#REF!</v>
      </c>
      <c r="G77"/>
    </row>
    <row r="78" spans="3:9" ht="27.75" hidden="1" customHeight="1">
      <c r="C78" s="324" t="s">
        <v>20</v>
      </c>
      <c r="D78" s="322">
        <f>+D7</f>
        <v>469</v>
      </c>
      <c r="E78" s="323"/>
      <c r="F78" s="323"/>
      <c r="G78"/>
    </row>
    <row r="79" spans="3:9" ht="27.75" hidden="1" customHeight="1">
      <c r="C79" s="325" t="s">
        <v>58</v>
      </c>
      <c r="D79" s="322">
        <f>+D59</f>
        <v>71.510000000000005</v>
      </c>
      <c r="E79" s="323">
        <f>+E59</f>
        <v>71.510000000000005</v>
      </c>
      <c r="F79" s="323">
        <f>+F59</f>
        <v>71.510000000000005</v>
      </c>
      <c r="G79"/>
    </row>
    <row r="80" spans="3:9" ht="27.75" hidden="1" customHeight="1">
      <c r="C80" s="321" t="s">
        <v>35</v>
      </c>
      <c r="D80" s="326">
        <f>386.04*(1+4.48%)*(1+5.69%)*(1+7.67%)*(1+2%)*(1+3.96%)</f>
        <v>486.69907901536254</v>
      </c>
      <c r="E80" s="327">
        <f>+D80</f>
        <v>486.69907901536254</v>
      </c>
      <c r="F80" s="327">
        <f>E80</f>
        <v>486.69907901536254</v>
      </c>
      <c r="G80"/>
    </row>
    <row r="81" spans="1:7" ht="27.75" hidden="1" customHeight="1">
      <c r="C81" s="321" t="s">
        <v>36</v>
      </c>
      <c r="D81" s="328" t="e">
        <f>SUM(D76:D80)</f>
        <v>#REF!</v>
      </c>
      <c r="E81" s="329" t="e">
        <f>SUM(E76:E80)</f>
        <v>#REF!</v>
      </c>
      <c r="F81" s="329" t="e">
        <f>SUM(F76:F80)</f>
        <v>#REF!</v>
      </c>
      <c r="G81"/>
    </row>
    <row r="82" spans="1:7" ht="36.950000000000003" hidden="1" customHeight="1">
      <c r="C82" s="39" t="s">
        <v>43</v>
      </c>
      <c r="D82" s="46" t="e">
        <f>SUM(D81:D81)</f>
        <v>#REF!</v>
      </c>
      <c r="E82" s="47" t="e">
        <f>SUM(E81:E81)</f>
        <v>#REF!</v>
      </c>
      <c r="F82" s="47" t="e">
        <f>SUM(F81:F81)</f>
        <v>#REF!</v>
      </c>
      <c r="G82"/>
    </row>
    <row r="83" spans="1:7" ht="36.75" hidden="1" customHeight="1" thickBot="1">
      <c r="C83" s="69" t="s">
        <v>32</v>
      </c>
      <c r="D83" s="33">
        <f>D40</f>
        <v>301.48</v>
      </c>
      <c r="E83" s="41"/>
      <c r="F83" s="41"/>
      <c r="G83"/>
    </row>
    <row r="84" spans="1:7" ht="27.75" hidden="1" customHeight="1" thickTop="1">
      <c r="C84" s="641" t="s">
        <v>195</v>
      </c>
      <c r="D84" s="641"/>
      <c r="E84" s="641"/>
    </row>
    <row r="85" spans="1:7" hidden="1">
      <c r="C85" s="42"/>
    </row>
    <row r="86" spans="1:7" hidden="1"/>
    <row r="87" spans="1:7" ht="15" hidden="1">
      <c r="C87" s="48" t="s">
        <v>53</v>
      </c>
      <c r="D87" s="35"/>
      <c r="E87" s="43"/>
    </row>
    <row r="88" spans="1:7" ht="15" hidden="1">
      <c r="C88" s="49" t="s">
        <v>14</v>
      </c>
      <c r="D88" s="49"/>
    </row>
    <row r="89" spans="1:7" ht="15.75" hidden="1" thickBot="1">
      <c r="A89" s="10"/>
      <c r="B89" s="10"/>
      <c r="C89" s="50" t="str">
        <f>C74</f>
        <v>1° DE ABRIL DE 2017</v>
      </c>
      <c r="D89" s="50"/>
    </row>
    <row r="90" spans="1:7" ht="28.5" hidden="1" customHeight="1" thickTop="1">
      <c r="A90" s="51"/>
      <c r="B90" s="51"/>
      <c r="C90" s="58" t="s">
        <v>15</v>
      </c>
      <c r="D90" s="59" t="s">
        <v>54</v>
      </c>
    </row>
    <row r="91" spans="1:7" hidden="1">
      <c r="C91" s="321" t="s">
        <v>19</v>
      </c>
      <c r="D91" s="323">
        <f>+D6</f>
        <v>3999.53</v>
      </c>
    </row>
    <row r="92" spans="1:7" hidden="1">
      <c r="C92" s="321" t="s">
        <v>34</v>
      </c>
      <c r="D92" s="323" t="e">
        <f>#REF!</f>
        <v>#REF!</v>
      </c>
    </row>
    <row r="93" spans="1:7" hidden="1">
      <c r="C93" s="321" t="s">
        <v>20</v>
      </c>
      <c r="D93" s="323">
        <f>D78</f>
        <v>469</v>
      </c>
    </row>
    <row r="94" spans="1:7" hidden="1">
      <c r="C94" s="321" t="s">
        <v>42</v>
      </c>
      <c r="D94" s="323" t="str">
        <f>'COMBUSTIBLES '!E15</f>
        <v>(***)</v>
      </c>
    </row>
    <row r="95" spans="1:7" hidden="1">
      <c r="C95" s="321" t="s">
        <v>55</v>
      </c>
      <c r="D95" s="327">
        <f>'COMBUSTIBLES '!E16</f>
        <v>301.48</v>
      </c>
    </row>
    <row r="96" spans="1:7" ht="15.75" hidden="1" thickBot="1">
      <c r="C96" s="52" t="s">
        <v>43</v>
      </c>
      <c r="D96" s="53" t="e">
        <f>SUM(D91:D95)</f>
        <v>#REF!</v>
      </c>
    </row>
    <row r="97" spans="3:9" ht="15" hidden="1" thickTop="1"/>
    <row r="98" spans="3:9" hidden="1"/>
    <row r="99" spans="3:9" ht="40.5" hidden="1" customHeight="1">
      <c r="C99" s="640" t="s">
        <v>59</v>
      </c>
      <c r="D99" s="640"/>
    </row>
    <row r="100" spans="3:9" hidden="1"/>
    <row r="101" spans="3:9" hidden="1"/>
    <row r="102" spans="3:9" hidden="1"/>
    <row r="103" spans="3:9" hidden="1"/>
    <row r="104" spans="3:9" hidden="1"/>
    <row r="105" spans="3:9" hidden="1"/>
    <row r="106" spans="3:9" hidden="1"/>
    <row r="108" spans="3:9" ht="19.5" customHeight="1" outlineLevel="1">
      <c r="D108" s="311" t="s">
        <v>211</v>
      </c>
      <c r="E108" s="311" t="s">
        <v>208</v>
      </c>
      <c r="F108" s="311" t="s">
        <v>209</v>
      </c>
      <c r="I108" s="311" t="s">
        <v>210</v>
      </c>
    </row>
    <row r="109" spans="3:9" ht="19.5" customHeight="1" outlineLevel="1">
      <c r="D109" s="309" t="s">
        <v>212</v>
      </c>
      <c r="E109" s="310">
        <f>+E6</f>
        <v>3999.53</v>
      </c>
      <c r="F109" s="310">
        <f>+F6</f>
        <v>3199.6240000000003</v>
      </c>
      <c r="I109" s="310">
        <f>+E109-F109</f>
        <v>799.90599999999995</v>
      </c>
    </row>
    <row r="110" spans="3:9" ht="19.5" customHeight="1" outlineLevel="1">
      <c r="D110" s="309" t="s">
        <v>213</v>
      </c>
      <c r="E110" s="310">
        <f>+E53</f>
        <v>4131.04</v>
      </c>
      <c r="F110" s="310">
        <f>+F53</f>
        <v>3347.1295200000004</v>
      </c>
      <c r="I110" s="310">
        <f>+E110-F110</f>
        <v>783.91047999999955</v>
      </c>
    </row>
    <row r="111" spans="3:9" ht="19.5" customHeight="1" outlineLevel="1">
      <c r="D111" s="309" t="s">
        <v>214</v>
      </c>
      <c r="E111" s="309">
        <f>+BIODIESEL!F10</f>
        <v>4262.55</v>
      </c>
      <c r="F111" s="310">
        <f>+I6</f>
        <v>3494.6350400000001</v>
      </c>
      <c r="I111" s="310">
        <f>+E111-F111</f>
        <v>767.91496000000006</v>
      </c>
    </row>
    <row r="112" spans="3:9" ht="20.25" customHeight="1" outlineLevel="1">
      <c r="D112" s="309" t="s">
        <v>217</v>
      </c>
      <c r="E112" s="309">
        <f>+BIODIESEL!E10</f>
        <v>4131.04</v>
      </c>
      <c r="F112" s="310">
        <f>+J6</f>
        <v>3347.1295200000004</v>
      </c>
      <c r="I112" s="310">
        <f>+E112-F112</f>
        <v>783.91047999999955</v>
      </c>
    </row>
    <row r="116" spans="3:7" ht="93.75" customHeight="1">
      <c r="C116" s="595" t="s">
        <v>355</v>
      </c>
      <c r="D116" s="595"/>
      <c r="E116" s="595"/>
      <c r="F116" s="595"/>
      <c r="G116" s="595"/>
    </row>
  </sheetData>
  <mergeCells count="26">
    <mergeCell ref="C116:G116"/>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 ref="C1:H1"/>
    <mergeCell ref="C2:H2"/>
    <mergeCell ref="C3:H3"/>
    <mergeCell ref="C15:H15"/>
    <mergeCell ref="C16:H16"/>
    <mergeCell ref="C68:I68"/>
    <mergeCell ref="C20:I20"/>
    <mergeCell ref="C21:I21"/>
    <mergeCell ref="C22:I22"/>
    <mergeCell ref="C43:H43"/>
  </mergeCells>
  <phoneticPr fontId="10"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M36"/>
  <sheetViews>
    <sheetView showGridLines="0" zoomScale="80" zoomScaleNormal="80" zoomScaleSheetLayoutView="40" workbookViewId="0">
      <selection activeCell="E7" sqref="E7"/>
    </sheetView>
  </sheetViews>
  <sheetFormatPr baseColWidth="10" defaultColWidth="7.85546875" defaultRowHeight="14.25"/>
  <cols>
    <col min="1" max="1" width="56.42578125" style="317" customWidth="1"/>
    <col min="2" max="2" width="21.7109375" style="317" customWidth="1"/>
    <col min="3" max="3" width="16.42578125" style="317" hidden="1" customWidth="1"/>
    <col min="4" max="4" width="25.140625" style="317" customWidth="1"/>
    <col min="5" max="5" width="23.5703125" style="317" customWidth="1"/>
    <col min="6" max="6" width="19.28515625" style="317" hidden="1" customWidth="1"/>
    <col min="7" max="7" width="22.7109375" style="317" hidden="1" customWidth="1"/>
    <col min="8" max="8" width="25.140625" style="317" customWidth="1"/>
    <col min="9" max="9" width="21.7109375" style="317" customWidth="1"/>
    <col min="10" max="10" width="24.7109375" style="317" customWidth="1"/>
    <col min="11" max="11" width="7.85546875" style="317"/>
    <col min="12" max="12" width="10.5703125" style="317" bestFit="1" customWidth="1"/>
    <col min="13" max="13" width="11.7109375" style="317" bestFit="1" customWidth="1"/>
    <col min="14" max="16384" width="7.85546875" style="317"/>
  </cols>
  <sheetData>
    <row r="1" spans="1:13" s="20" customFormat="1" ht="18">
      <c r="A1" s="644" t="s">
        <v>31</v>
      </c>
      <c r="B1" s="644"/>
      <c r="C1" s="644"/>
      <c r="D1" s="644"/>
      <c r="E1" s="644"/>
      <c r="F1" s="644"/>
      <c r="G1" s="520"/>
    </row>
    <row r="2" spans="1:13" s="20" customFormat="1" ht="56.25" customHeight="1">
      <c r="A2" s="645" t="s">
        <v>377</v>
      </c>
      <c r="B2" s="645"/>
      <c r="C2" s="645"/>
      <c r="D2" s="645"/>
      <c r="E2" s="645"/>
      <c r="F2" s="645"/>
      <c r="G2" s="521"/>
      <c r="M2" s="508"/>
    </row>
    <row r="3" spans="1:13" ht="24.75" customHeight="1">
      <c r="A3" s="634" t="s">
        <v>24</v>
      </c>
      <c r="B3" s="634"/>
      <c r="C3" s="634"/>
      <c r="D3" s="634"/>
      <c r="E3" s="634"/>
      <c r="F3" s="634"/>
      <c r="G3" s="518"/>
      <c r="K3" s="197"/>
    </row>
    <row r="4" spans="1:13" ht="15">
      <c r="A4" s="32"/>
    </row>
    <row r="5" spans="1:13" ht="15.75" thickBot="1">
      <c r="A5" s="29" t="str">
        <f>+'COMBUSTIBLES '!A1</f>
        <v>1° DE ABRIL DE 2017</v>
      </c>
      <c r="B5" s="198">
        <v>0</v>
      </c>
      <c r="C5" s="198">
        <v>0.04</v>
      </c>
      <c r="D5" s="198">
        <v>0</v>
      </c>
      <c r="E5" s="199">
        <v>0.02</v>
      </c>
      <c r="F5" s="198">
        <v>0</v>
      </c>
      <c r="G5" s="198">
        <v>0</v>
      </c>
      <c r="H5" s="199">
        <v>0.02</v>
      </c>
      <c r="I5" s="198">
        <v>0</v>
      </c>
      <c r="J5" s="199">
        <v>0</v>
      </c>
    </row>
    <row r="6" spans="1:13" ht="47.25" customHeight="1" thickTop="1">
      <c r="A6" s="379" t="s">
        <v>15</v>
      </c>
      <c r="B6" s="380" t="s">
        <v>68</v>
      </c>
      <c r="C6" s="380" t="s">
        <v>167</v>
      </c>
      <c r="D6" s="380" t="s">
        <v>163</v>
      </c>
      <c r="E6" s="380" t="s">
        <v>281</v>
      </c>
      <c r="F6" s="380" t="s">
        <v>164</v>
      </c>
      <c r="G6" s="380" t="s">
        <v>363</v>
      </c>
      <c r="H6" s="380" t="s">
        <v>282</v>
      </c>
      <c r="I6" s="380" t="s">
        <v>318</v>
      </c>
      <c r="J6" s="381" t="s">
        <v>317</v>
      </c>
    </row>
    <row r="7" spans="1:13" ht="27.75" customHeight="1">
      <c r="A7" s="130" t="s">
        <v>260</v>
      </c>
      <c r="B7" s="359">
        <v>5126.5729096547366</v>
      </c>
      <c r="C7" s="359">
        <v>5151.5</v>
      </c>
      <c r="D7" s="359">
        <v>5126.5729096547366</v>
      </c>
      <c r="E7" s="359">
        <v>5196.5129096547362</v>
      </c>
      <c r="F7" s="359">
        <f>+E7</f>
        <v>5196.5129096547362</v>
      </c>
      <c r="G7" s="359">
        <v>5419.7625549540617</v>
      </c>
      <c r="H7" s="444">
        <v>5126.5729096547366</v>
      </c>
      <c r="I7" s="359">
        <f>+D7</f>
        <v>5126.5729096547366</v>
      </c>
      <c r="J7" s="444">
        <f>+D7</f>
        <v>5126.5729096547366</v>
      </c>
    </row>
    <row r="8" spans="1:13" ht="27.75" customHeight="1">
      <c r="A8" s="367" t="s">
        <v>69</v>
      </c>
      <c r="B8" s="382">
        <v>0</v>
      </c>
      <c r="C8" s="383">
        <f>+BIODIESEL!B7</f>
        <v>10574.9</v>
      </c>
      <c r="D8" s="382">
        <v>0</v>
      </c>
      <c r="E8" s="382">
        <f>+C8</f>
        <v>10574.9</v>
      </c>
      <c r="F8" s="382">
        <v>0</v>
      </c>
      <c r="G8" s="382">
        <v>0</v>
      </c>
      <c r="H8" s="384">
        <f>+E8</f>
        <v>10574.9</v>
      </c>
      <c r="I8" s="359">
        <f t="shared" ref="I8:I12" si="0">+D8</f>
        <v>0</v>
      </c>
      <c r="J8" s="444">
        <f t="shared" ref="J8:J12" si="1">+D8</f>
        <v>0</v>
      </c>
    </row>
    <row r="9" spans="1:13" ht="35.25" customHeight="1">
      <c r="A9" s="385" t="s">
        <v>162</v>
      </c>
      <c r="B9" s="386">
        <f t="shared" ref="B9:F9" si="2">+B8*B5+B7*(1-B5)</f>
        <v>5126.5729096547366</v>
      </c>
      <c r="C9" s="386">
        <f>+C8*C5+C7*(1-C5)</f>
        <v>5368.4359999999997</v>
      </c>
      <c r="D9" s="386">
        <f t="shared" si="2"/>
        <v>5126.5729096547366</v>
      </c>
      <c r="E9" s="386">
        <f>+E8*E5+E7*(1-E5)</f>
        <v>5304.0806514616406</v>
      </c>
      <c r="F9" s="386">
        <f t="shared" si="2"/>
        <v>5196.5129096547362</v>
      </c>
      <c r="G9" s="386">
        <f t="shared" ref="G9" si="3">+G8*G5+G7*(1-G5)</f>
        <v>5419.7625549540617</v>
      </c>
      <c r="H9" s="387">
        <f>+H8*H5+H7*(1-H5)</f>
        <v>5235.539451461641</v>
      </c>
      <c r="I9" s="473">
        <f t="shared" si="0"/>
        <v>5126.5729096547366</v>
      </c>
      <c r="J9" s="474">
        <f t="shared" si="1"/>
        <v>5126.5729096547366</v>
      </c>
    </row>
    <row r="10" spans="1:13" ht="27.75" customHeight="1">
      <c r="A10" s="367" t="s">
        <v>67</v>
      </c>
      <c r="B10" s="383">
        <f>+'COMBUSTIBLES '!E8</f>
        <v>7.45</v>
      </c>
      <c r="C10" s="383">
        <f>+BIODIESEL!F14</f>
        <v>7.45</v>
      </c>
      <c r="D10" s="383">
        <f>+'COMBUSTIBLES '!E8</f>
        <v>7.45</v>
      </c>
      <c r="E10" s="383">
        <f>+BIODIESEL!E14</f>
        <v>7.45</v>
      </c>
      <c r="F10" s="383">
        <f>'COMBUSTIBLES '!E8</f>
        <v>7.45</v>
      </c>
      <c r="G10" s="383">
        <f>E10</f>
        <v>7.45</v>
      </c>
      <c r="H10" s="388">
        <f>+BIODIESEL!E14</f>
        <v>7.45</v>
      </c>
      <c r="I10" s="359">
        <v>0</v>
      </c>
      <c r="J10" s="444">
        <v>0</v>
      </c>
    </row>
    <row r="11" spans="1:13" ht="27.75" customHeight="1">
      <c r="A11" s="367" t="s">
        <v>197</v>
      </c>
      <c r="B11" s="359">
        <v>19.649999999999999</v>
      </c>
      <c r="C11" s="383">
        <f>+B11</f>
        <v>19.649999999999999</v>
      </c>
      <c r="D11" s="383">
        <f>+B11</f>
        <v>19.649999999999999</v>
      </c>
      <c r="E11" s="383">
        <f>+B11</f>
        <v>19.649999999999999</v>
      </c>
      <c r="F11" s="383">
        <f>+B11</f>
        <v>19.649999999999999</v>
      </c>
      <c r="G11" s="383">
        <f>+C11</f>
        <v>19.649999999999999</v>
      </c>
      <c r="H11" s="388">
        <f>+B11</f>
        <v>19.649999999999999</v>
      </c>
      <c r="I11" s="359">
        <f t="shared" si="0"/>
        <v>19.649999999999999</v>
      </c>
      <c r="J11" s="444">
        <f t="shared" si="1"/>
        <v>19.649999999999999</v>
      </c>
    </row>
    <row r="12" spans="1:13" ht="27.75" customHeight="1">
      <c r="A12" s="115" t="s">
        <v>248</v>
      </c>
      <c r="B12" s="383">
        <f>+'COMBUSTIBLES '!E10</f>
        <v>71.510000000000005</v>
      </c>
      <c r="C12" s="383">
        <f>+B12</f>
        <v>71.510000000000005</v>
      </c>
      <c r="D12" s="383">
        <f>+C12</f>
        <v>71.510000000000005</v>
      </c>
      <c r="E12" s="383">
        <f>+D12</f>
        <v>71.510000000000005</v>
      </c>
      <c r="F12" s="383">
        <f>+E12</f>
        <v>71.510000000000005</v>
      </c>
      <c r="G12" s="383">
        <f>+F12</f>
        <v>71.510000000000005</v>
      </c>
      <c r="H12" s="388">
        <f>+F12</f>
        <v>71.510000000000005</v>
      </c>
      <c r="I12" s="359">
        <f t="shared" si="0"/>
        <v>71.510000000000005</v>
      </c>
      <c r="J12" s="444">
        <f t="shared" si="1"/>
        <v>71.510000000000005</v>
      </c>
    </row>
    <row r="13" spans="1:13" ht="27.75" customHeight="1">
      <c r="A13" s="367" t="str">
        <f>+'COMBUSTIBLES '!A11</f>
        <v>Impuesto Nacional a la Gasolina y al ACPM</v>
      </c>
      <c r="B13" s="383">
        <f>+'COMBUSTIBLES '!E11</f>
        <v>469</v>
      </c>
      <c r="C13" s="383">
        <f>+BIODIESEL!F11</f>
        <v>450.24</v>
      </c>
      <c r="D13" s="383">
        <f>+'COMBUSTIBLES '!E11</f>
        <v>469</v>
      </c>
      <c r="E13" s="383">
        <f>+BIODIESEL!E11</f>
        <v>459.62</v>
      </c>
      <c r="F13" s="383">
        <f>+'COMBUSTIBLES '!E11</f>
        <v>469</v>
      </c>
      <c r="G13" s="383">
        <f>+F13</f>
        <v>469</v>
      </c>
      <c r="H13" s="388">
        <f>+BIODIESEL!E11</f>
        <v>459.62</v>
      </c>
      <c r="I13" s="359">
        <f>'DIESEL MARINO '!D7</f>
        <v>469</v>
      </c>
      <c r="J13" s="444">
        <f>+'DIESEL MARINO '!F7</f>
        <v>597.75187500000004</v>
      </c>
    </row>
    <row r="14" spans="1:13" ht="27.75" customHeight="1">
      <c r="A14" s="367" t="s">
        <v>286</v>
      </c>
      <c r="B14" s="536" t="str">
        <f>+'COMBUSTIBLES '!C12</f>
        <v>(3)</v>
      </c>
      <c r="C14" s="536">
        <f t="shared" ref="C14" si="4">+C9*19%</f>
        <v>1020.00284</v>
      </c>
      <c r="D14" s="536" t="str">
        <f>+B14</f>
        <v>(3)</v>
      </c>
      <c r="E14" s="536" t="str">
        <f>+D14</f>
        <v>(3)</v>
      </c>
      <c r="F14" s="536" t="str">
        <f t="shared" ref="F14:J14" si="5">+D14</f>
        <v>(3)</v>
      </c>
      <c r="G14" s="536" t="str">
        <f t="shared" si="5"/>
        <v>(3)</v>
      </c>
      <c r="H14" s="538" t="str">
        <f t="shared" si="5"/>
        <v>(3)</v>
      </c>
      <c r="I14" s="536" t="str">
        <f t="shared" si="5"/>
        <v>(3)</v>
      </c>
      <c r="J14" s="114" t="str">
        <f t="shared" si="5"/>
        <v>(3)</v>
      </c>
    </row>
    <row r="15" spans="1:13" ht="27.75" customHeight="1">
      <c r="A15" s="317" t="s">
        <v>381</v>
      </c>
      <c r="B15" s="383">
        <f>+'COMBUSTIBLES '!E13</f>
        <v>152</v>
      </c>
      <c r="C15" s="383"/>
      <c r="D15" s="383">
        <f>+B15</f>
        <v>152</v>
      </c>
      <c r="E15" s="383">
        <f>+BIODIESEL!E13</f>
        <v>148.96</v>
      </c>
      <c r="F15" s="383"/>
      <c r="G15" s="383"/>
      <c r="H15" s="388">
        <f>+E15</f>
        <v>148.96</v>
      </c>
      <c r="I15" s="359">
        <f>+D15</f>
        <v>152</v>
      </c>
      <c r="J15" s="444">
        <f>+I15</f>
        <v>152</v>
      </c>
      <c r="L15" s="529"/>
    </row>
    <row r="16" spans="1:13" ht="27.75" customHeight="1">
      <c r="A16" s="367" t="s">
        <v>262</v>
      </c>
      <c r="B16" s="389" t="s">
        <v>22</v>
      </c>
      <c r="C16" s="383" t="s">
        <v>22</v>
      </c>
      <c r="D16" s="383" t="str">
        <f>+C16</f>
        <v>(***)</v>
      </c>
      <c r="E16" s="383" t="str">
        <f>+D16</f>
        <v>(***)</v>
      </c>
      <c r="F16" s="383" t="str">
        <f>+E16</f>
        <v>(***)</v>
      </c>
      <c r="G16" s="383" t="str">
        <f>+F16</f>
        <v>(***)</v>
      </c>
      <c r="H16" s="388" t="str">
        <f>+F16</f>
        <v>(***)</v>
      </c>
      <c r="I16" s="359" t="str">
        <f t="shared" ref="I16:I17" si="6">+D16</f>
        <v>(***)</v>
      </c>
      <c r="J16" s="444" t="s">
        <v>22</v>
      </c>
    </row>
    <row r="17" spans="1:10" ht="27.75" customHeight="1">
      <c r="A17" s="367" t="s">
        <v>261</v>
      </c>
      <c r="B17" s="383" t="s">
        <v>234</v>
      </c>
      <c r="C17" s="383" t="str">
        <f t="shared" ref="C17:E17" si="7">+B17</f>
        <v>(****)</v>
      </c>
      <c r="D17" s="383" t="str">
        <f t="shared" si="7"/>
        <v>(****)</v>
      </c>
      <c r="E17" s="383" t="str">
        <f t="shared" si="7"/>
        <v>(****)</v>
      </c>
      <c r="F17" s="383" t="str">
        <f>+E17</f>
        <v>(****)</v>
      </c>
      <c r="G17" s="383" t="str">
        <f>+F17</f>
        <v>(****)</v>
      </c>
      <c r="H17" s="388" t="str">
        <f>+F17</f>
        <v>(****)</v>
      </c>
      <c r="I17" s="359" t="str">
        <f t="shared" si="6"/>
        <v>(****)</v>
      </c>
      <c r="J17" s="444" t="s">
        <v>234</v>
      </c>
    </row>
    <row r="18" spans="1:10" ht="27.75" customHeight="1" thickBot="1">
      <c r="A18" s="390" t="s">
        <v>55</v>
      </c>
      <c r="B18" s="371">
        <f>+'COMBUSTIBLES '!E16</f>
        <v>301.48</v>
      </c>
      <c r="C18" s="371">
        <f>+B18</f>
        <v>301.48</v>
      </c>
      <c r="D18" s="371">
        <f>+B18</f>
        <v>301.48</v>
      </c>
      <c r="E18" s="371">
        <f>+B18</f>
        <v>301.48</v>
      </c>
      <c r="F18" s="371">
        <f>+D18</f>
        <v>301.48</v>
      </c>
      <c r="G18" s="371">
        <f>+E18</f>
        <v>301.48</v>
      </c>
      <c r="H18" s="372">
        <f>+F18</f>
        <v>301.48</v>
      </c>
      <c r="I18" s="371">
        <f>+D18</f>
        <v>301.48</v>
      </c>
      <c r="J18" s="372"/>
    </row>
    <row r="19" spans="1:10" s="402" customFormat="1" ht="15.75" customHeight="1" thickTop="1">
      <c r="A19" s="30"/>
      <c r="B19" s="31"/>
      <c r="C19" s="31"/>
      <c r="D19" s="31"/>
      <c r="I19" s="31"/>
    </row>
    <row r="20" spans="1:10" s="402" customFormat="1" ht="15.75" customHeight="1">
      <c r="A20" s="514" t="s">
        <v>378</v>
      </c>
      <c r="B20" s="31"/>
      <c r="C20" s="31"/>
      <c r="D20" s="31"/>
      <c r="I20" s="31"/>
    </row>
    <row r="21" spans="1:10" s="402" customFormat="1" ht="15.75" customHeight="1">
      <c r="A21" s="30"/>
      <c r="B21" s="31"/>
      <c r="C21" s="31"/>
      <c r="D21" s="31"/>
      <c r="I21" s="31"/>
    </row>
    <row r="22" spans="1:10" s="402" customFormat="1" ht="15.75" customHeight="1">
      <c r="A22" s="392" t="s">
        <v>30</v>
      </c>
      <c r="B22" s="31"/>
      <c r="C22" s="31"/>
      <c r="D22" s="31"/>
      <c r="I22" s="31"/>
    </row>
    <row r="23" spans="1:10" s="402" customFormat="1" ht="3.75" customHeight="1">
      <c r="A23" s="30"/>
      <c r="B23" s="31"/>
      <c r="C23" s="31"/>
      <c r="D23" s="31"/>
      <c r="I23" s="31"/>
    </row>
    <row r="24" spans="1:10" s="23" customFormat="1" ht="15">
      <c r="A24" s="391" t="s">
        <v>168</v>
      </c>
      <c r="B24" s="22"/>
      <c r="C24" s="22"/>
    </row>
    <row r="25" spans="1:10" s="23" customFormat="1" ht="5.25" customHeight="1">
      <c r="A25" s="21"/>
      <c r="B25" s="22"/>
      <c r="C25" s="22"/>
    </row>
    <row r="26" spans="1:10" s="23" customFormat="1" ht="15">
      <c r="A26" s="391" t="s">
        <v>169</v>
      </c>
      <c r="B26" s="22"/>
      <c r="C26" s="22"/>
    </row>
    <row r="27" spans="1:10" s="23" customFormat="1" ht="11.25" customHeight="1">
      <c r="A27" s="21"/>
      <c r="B27" s="22"/>
      <c r="C27" s="22"/>
    </row>
    <row r="28" spans="1:10" s="23" customFormat="1" ht="32.25" customHeight="1">
      <c r="A28" s="646" t="s">
        <v>259</v>
      </c>
      <c r="B28" s="646"/>
      <c r="C28" s="646"/>
      <c r="D28" s="646"/>
      <c r="E28" s="646"/>
      <c r="F28" s="646"/>
      <c r="G28" s="522"/>
    </row>
    <row r="29" spans="1:10" s="23" customFormat="1" ht="8.25" customHeight="1">
      <c r="A29" s="21"/>
      <c r="B29" s="22"/>
      <c r="C29" s="22"/>
    </row>
    <row r="30" spans="1:10" s="23" customFormat="1" ht="30.75" customHeight="1">
      <c r="A30" s="646" t="s">
        <v>264</v>
      </c>
      <c r="B30" s="646"/>
      <c r="C30" s="646"/>
      <c r="D30" s="646"/>
      <c r="E30" s="646"/>
      <c r="F30" s="646"/>
      <c r="G30" s="522"/>
    </row>
    <row r="31" spans="1:10" s="23" customFormat="1" ht="5.25" customHeight="1">
      <c r="A31" s="21"/>
      <c r="B31" s="22"/>
      <c r="C31" s="22"/>
    </row>
    <row r="32" spans="1:10" s="23" customFormat="1" ht="38.25" customHeight="1">
      <c r="A32" s="643" t="s">
        <v>229</v>
      </c>
      <c r="B32" s="643"/>
      <c r="C32" s="643"/>
      <c r="D32" s="643"/>
      <c r="E32" s="643"/>
      <c r="F32" s="643"/>
      <c r="G32" s="519"/>
    </row>
    <row r="33" spans="1:7" s="23" customFormat="1" ht="15">
      <c r="A33" s="21" t="s">
        <v>161</v>
      </c>
      <c r="B33" s="22"/>
      <c r="C33" s="22"/>
    </row>
    <row r="34" spans="1:7" s="23" customFormat="1">
      <c r="A34" s="586" t="s">
        <v>403</v>
      </c>
      <c r="B34" s="586"/>
      <c r="C34" s="586"/>
      <c r="D34" s="586"/>
      <c r="E34" s="586"/>
      <c r="F34" s="586"/>
      <c r="G34" s="586"/>
    </row>
    <row r="35" spans="1:7">
      <c r="A35" s="586" t="s">
        <v>401</v>
      </c>
      <c r="B35" s="586"/>
      <c r="C35" s="586"/>
      <c r="D35" s="586"/>
      <c r="E35" s="586"/>
      <c r="F35" s="586"/>
      <c r="G35" s="586"/>
    </row>
    <row r="36" spans="1:7">
      <c r="A36" s="586" t="s">
        <v>402</v>
      </c>
      <c r="B36" s="586"/>
      <c r="C36" s="586"/>
      <c r="D36" s="586"/>
      <c r="E36" s="586"/>
      <c r="F36" s="586"/>
      <c r="G36" s="586"/>
    </row>
  </sheetData>
  <mergeCells count="9">
    <mergeCell ref="A34:G34"/>
    <mergeCell ref="A35:G35"/>
    <mergeCell ref="A36:G36"/>
    <mergeCell ref="A32:F32"/>
    <mergeCell ref="A1:F1"/>
    <mergeCell ref="A2:F2"/>
    <mergeCell ref="A3:F3"/>
    <mergeCell ref="A28:F28"/>
    <mergeCell ref="A30:F30"/>
  </mergeCells>
  <phoneticPr fontId="10"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HY178"/>
  <sheetViews>
    <sheetView showGridLines="0" zoomScale="70" zoomScaleNormal="70" zoomScaleSheetLayoutView="40" workbookViewId="0">
      <pane xSplit="26" ySplit="4" topLeftCell="AN5" activePane="bottomRight" state="frozen"/>
      <selection activeCell="C12" sqref="C12"/>
      <selection pane="topRight" activeCell="C12" sqref="C12"/>
      <selection pane="bottomLeft" activeCell="C12" sqref="C12"/>
      <selection pane="bottomRight" activeCell="BA7" sqref="BA7"/>
    </sheetView>
  </sheetViews>
  <sheetFormatPr baseColWidth="10" defaultColWidth="10.85546875" defaultRowHeight="12.75"/>
  <cols>
    <col min="1" max="1" width="6.28515625" style="204" customWidth="1"/>
    <col min="2" max="2" width="37.7109375" style="204" customWidth="1"/>
    <col min="3" max="3" width="9" style="204" hidden="1" customWidth="1"/>
    <col min="4" max="4" width="7.42578125" style="204" hidden="1" customWidth="1"/>
    <col min="5" max="5" width="11.7109375" style="204" hidden="1" customWidth="1"/>
    <col min="6" max="7" width="8.7109375" style="204" hidden="1" customWidth="1"/>
    <col min="8" max="8" width="9.85546875" style="204" hidden="1" customWidth="1"/>
    <col min="9" max="9" width="11.28515625" style="204" hidden="1" customWidth="1"/>
    <col min="10" max="10" width="9" style="204" hidden="1" customWidth="1"/>
    <col min="11" max="11" width="9.28515625" style="204" hidden="1" customWidth="1"/>
    <col min="12" max="12" width="12.42578125" style="204" hidden="1" customWidth="1"/>
    <col min="13" max="14" width="11.42578125" style="204" hidden="1" customWidth="1"/>
    <col min="15" max="15" width="15.42578125" style="204" hidden="1" customWidth="1"/>
    <col min="16" max="17" width="11.42578125" style="204" hidden="1" customWidth="1"/>
    <col min="18" max="28" width="11.42578125" style="203" hidden="1" customWidth="1"/>
    <col min="29" max="30" width="10.85546875" style="203" hidden="1" customWidth="1"/>
    <col min="31" max="32" width="10.85546875" style="204" hidden="1" customWidth="1"/>
    <col min="33" max="35" width="10.85546875" style="204" customWidth="1"/>
    <col min="36" max="38" width="10.85546875" style="204"/>
    <col min="39" max="39" width="36.140625" style="204" bestFit="1" customWidth="1"/>
    <col min="40" max="42" width="10.85546875" style="204"/>
    <col min="43" max="43" width="36.140625" style="204" bestFit="1" customWidth="1"/>
    <col min="44" max="16384" width="10.85546875" style="204"/>
  </cols>
  <sheetData>
    <row r="1" spans="1:55" ht="15.75" thickBot="1">
      <c r="A1" s="200"/>
      <c r="B1" s="201"/>
      <c r="C1" s="201"/>
      <c r="D1" s="201"/>
      <c r="E1" s="201"/>
      <c r="F1" s="201"/>
      <c r="G1" s="201"/>
      <c r="H1" s="201"/>
      <c r="I1" s="202"/>
      <c r="J1" s="202"/>
      <c r="K1" s="203"/>
      <c r="L1" s="203"/>
      <c r="M1" s="203"/>
      <c r="N1" s="203"/>
      <c r="O1" s="203"/>
      <c r="P1" s="203"/>
      <c r="Q1" s="203"/>
      <c r="AA1" s="573" t="s">
        <v>70</v>
      </c>
      <c r="AB1" s="573"/>
      <c r="AC1" s="573"/>
      <c r="AD1" s="573" t="s">
        <v>71</v>
      </c>
      <c r="AE1" s="573"/>
      <c r="AF1" s="573"/>
      <c r="AG1" s="573" t="s">
        <v>170</v>
      </c>
      <c r="AH1" s="573"/>
      <c r="AI1" s="573"/>
      <c r="AJ1" s="573" t="s">
        <v>198</v>
      </c>
      <c r="AK1" s="573"/>
      <c r="AL1" s="573"/>
      <c r="AM1" s="201"/>
      <c r="AN1" s="565" t="s">
        <v>290</v>
      </c>
      <c r="AO1" s="565"/>
      <c r="AP1" s="565"/>
      <c r="AQ1" s="201"/>
      <c r="AR1" s="554" t="s">
        <v>358</v>
      </c>
      <c r="AS1" s="555"/>
      <c r="AT1" s="556"/>
      <c r="AU1" s="554" t="s">
        <v>360</v>
      </c>
      <c r="AV1" s="555"/>
      <c r="AW1" s="556"/>
      <c r="AX1" s="554" t="s">
        <v>375</v>
      </c>
      <c r="AY1" s="555"/>
      <c r="AZ1" s="556"/>
      <c r="BA1" s="554" t="s">
        <v>394</v>
      </c>
      <c r="BB1" s="555"/>
      <c r="BC1" s="556"/>
    </row>
    <row r="2" spans="1:55" ht="15" customHeight="1">
      <c r="A2" s="578" t="s">
        <v>72</v>
      </c>
      <c r="B2" s="579"/>
      <c r="C2" s="205"/>
      <c r="D2" s="205"/>
      <c r="E2" s="205"/>
      <c r="F2" s="205"/>
      <c r="G2" s="205"/>
      <c r="H2" s="205"/>
      <c r="I2" s="205"/>
      <c r="J2" s="205"/>
      <c r="K2" s="205"/>
      <c r="L2" s="205"/>
      <c r="M2" s="205"/>
      <c r="N2" s="205"/>
      <c r="O2" s="205"/>
      <c r="P2" s="205"/>
      <c r="Q2" s="205"/>
      <c r="R2" s="206"/>
      <c r="S2" s="206"/>
      <c r="T2" s="206"/>
      <c r="U2" s="207"/>
      <c r="V2" s="208" t="s">
        <v>73</v>
      </c>
      <c r="W2" s="209">
        <v>0.04</v>
      </c>
      <c r="X2" s="207"/>
      <c r="Y2" s="210" t="s">
        <v>74</v>
      </c>
      <c r="Z2" s="209">
        <v>0.04</v>
      </c>
      <c r="AA2" s="207" t="s">
        <v>75</v>
      </c>
      <c r="AB2" s="210"/>
      <c r="AC2" s="209">
        <v>0.05</v>
      </c>
      <c r="AD2" s="207" t="s">
        <v>75</v>
      </c>
      <c r="AE2" s="210"/>
      <c r="AF2" s="209">
        <v>0.03</v>
      </c>
      <c r="AG2" s="207" t="s">
        <v>75</v>
      </c>
      <c r="AH2" s="210"/>
      <c r="AI2" s="209">
        <v>0.03</v>
      </c>
      <c r="AJ2" s="207" t="s">
        <v>75</v>
      </c>
      <c r="AK2" s="210"/>
      <c r="AL2" s="209">
        <v>0.03</v>
      </c>
      <c r="AM2" s="420"/>
      <c r="AN2" s="566" t="s">
        <v>75</v>
      </c>
      <c r="AO2" s="567"/>
      <c r="AP2" s="570">
        <v>0.03</v>
      </c>
      <c r="AQ2" s="498"/>
      <c r="AR2" s="557" t="s">
        <v>75</v>
      </c>
      <c r="AS2" s="558"/>
      <c r="AT2" s="561">
        <v>0.03</v>
      </c>
      <c r="AU2" s="557" t="s">
        <v>75</v>
      </c>
      <c r="AV2" s="558"/>
      <c r="AW2" s="561">
        <v>0.03</v>
      </c>
      <c r="AX2" s="557" t="s">
        <v>75</v>
      </c>
      <c r="AY2" s="558"/>
      <c r="AZ2" s="561">
        <v>0.03</v>
      </c>
      <c r="BA2" s="557" t="s">
        <v>75</v>
      </c>
      <c r="BB2" s="558"/>
      <c r="BC2" s="561">
        <v>0.03</v>
      </c>
    </row>
    <row r="3" spans="1:55" ht="55.5" customHeight="1" thickBot="1">
      <c r="A3" s="580"/>
      <c r="B3" s="581"/>
      <c r="C3" s="574" t="s">
        <v>76</v>
      </c>
      <c r="D3" s="575"/>
      <c r="E3" s="576"/>
      <c r="F3" s="574" t="s">
        <v>77</v>
      </c>
      <c r="G3" s="575"/>
      <c r="H3" s="576"/>
      <c r="I3" s="574" t="s">
        <v>78</v>
      </c>
      <c r="J3" s="575"/>
      <c r="K3" s="576"/>
      <c r="L3" s="574" t="s">
        <v>79</v>
      </c>
      <c r="M3" s="575"/>
      <c r="N3" s="576"/>
      <c r="O3" s="574" t="s">
        <v>80</v>
      </c>
      <c r="P3" s="575"/>
      <c r="Q3" s="576"/>
      <c r="R3" s="574" t="s">
        <v>81</v>
      </c>
      <c r="S3" s="575"/>
      <c r="T3" s="576"/>
      <c r="U3" s="574" t="s">
        <v>82</v>
      </c>
      <c r="V3" s="575"/>
      <c r="W3" s="576"/>
      <c r="X3" s="574" t="s">
        <v>83</v>
      </c>
      <c r="Y3" s="575"/>
      <c r="Z3" s="576"/>
      <c r="AA3" s="574"/>
      <c r="AB3" s="575"/>
      <c r="AC3" s="576"/>
      <c r="AD3" s="574"/>
      <c r="AE3" s="575"/>
      <c r="AF3" s="576"/>
      <c r="AG3" s="574"/>
      <c r="AH3" s="575"/>
      <c r="AI3" s="576"/>
      <c r="AJ3" s="574"/>
      <c r="AK3" s="575"/>
      <c r="AL3" s="576"/>
      <c r="AM3" s="421"/>
      <c r="AN3" s="568"/>
      <c r="AO3" s="569"/>
      <c r="AP3" s="571"/>
      <c r="AQ3" s="499"/>
      <c r="AR3" s="559"/>
      <c r="AS3" s="560"/>
      <c r="AT3" s="562"/>
      <c r="AU3" s="559"/>
      <c r="AV3" s="560"/>
      <c r="AW3" s="562"/>
      <c r="AX3" s="559"/>
      <c r="AY3" s="560"/>
      <c r="AZ3" s="562"/>
      <c r="BA3" s="559"/>
      <c r="BB3" s="560"/>
      <c r="BC3" s="562"/>
    </row>
    <row r="4" spans="1:55" ht="48.75" thickBot="1">
      <c r="A4" s="211"/>
      <c r="B4" s="212"/>
      <c r="C4" s="213" t="s">
        <v>84</v>
      </c>
      <c r="D4" s="213" t="s">
        <v>85</v>
      </c>
      <c r="E4" s="213" t="s">
        <v>86</v>
      </c>
      <c r="F4" s="214" t="s">
        <v>87</v>
      </c>
      <c r="G4" s="214" t="s">
        <v>85</v>
      </c>
      <c r="H4" s="214" t="s">
        <v>86</v>
      </c>
      <c r="I4" s="214" t="s">
        <v>88</v>
      </c>
      <c r="J4" s="214" t="s">
        <v>85</v>
      </c>
      <c r="K4" s="214" t="s">
        <v>86</v>
      </c>
      <c r="L4" s="214" t="s">
        <v>89</v>
      </c>
      <c r="M4" s="214" t="s">
        <v>85</v>
      </c>
      <c r="N4" s="214" t="s">
        <v>86</v>
      </c>
      <c r="O4" s="214" t="s">
        <v>89</v>
      </c>
      <c r="P4" s="214" t="s">
        <v>85</v>
      </c>
      <c r="Q4" s="214" t="s">
        <v>86</v>
      </c>
      <c r="R4" s="214" t="s">
        <v>89</v>
      </c>
      <c r="S4" s="214" t="s">
        <v>85</v>
      </c>
      <c r="T4" s="214" t="s">
        <v>86</v>
      </c>
      <c r="U4" s="214" t="s">
        <v>90</v>
      </c>
      <c r="V4" s="214" t="s">
        <v>85</v>
      </c>
      <c r="W4" s="214" t="s">
        <v>86</v>
      </c>
      <c r="X4" s="214" t="s">
        <v>90</v>
      </c>
      <c r="Y4" s="214" t="s">
        <v>85</v>
      </c>
      <c r="Z4" s="214" t="s">
        <v>86</v>
      </c>
      <c r="AA4" s="214" t="s">
        <v>90</v>
      </c>
      <c r="AB4" s="214" t="s">
        <v>85</v>
      </c>
      <c r="AC4" s="214" t="s">
        <v>86</v>
      </c>
      <c r="AD4" s="214" t="s">
        <v>91</v>
      </c>
      <c r="AE4" s="215" t="s">
        <v>85</v>
      </c>
      <c r="AF4" s="214" t="s">
        <v>86</v>
      </c>
      <c r="AG4" s="214" t="s">
        <v>199</v>
      </c>
      <c r="AH4" s="215" t="s">
        <v>85</v>
      </c>
      <c r="AI4" s="214" t="s">
        <v>86</v>
      </c>
      <c r="AJ4" s="214" t="s">
        <v>215</v>
      </c>
      <c r="AK4" s="215" t="s">
        <v>85</v>
      </c>
      <c r="AL4" s="214" t="s">
        <v>86</v>
      </c>
      <c r="AM4" s="422"/>
      <c r="AN4" s="423" t="s">
        <v>291</v>
      </c>
      <c r="AO4" s="423" t="s">
        <v>85</v>
      </c>
      <c r="AP4" s="423" t="s">
        <v>86</v>
      </c>
      <c r="AQ4" s="500"/>
      <c r="AR4" s="501" t="s">
        <v>291</v>
      </c>
      <c r="AS4" s="501" t="s">
        <v>85</v>
      </c>
      <c r="AT4" s="501" t="s">
        <v>86</v>
      </c>
      <c r="AU4" s="501" t="s">
        <v>291</v>
      </c>
      <c r="AV4" s="501" t="s">
        <v>85</v>
      </c>
      <c r="AW4" s="501" t="s">
        <v>86</v>
      </c>
      <c r="AX4" s="501" t="s">
        <v>291</v>
      </c>
      <c r="AY4" s="501" t="s">
        <v>85</v>
      </c>
      <c r="AZ4" s="501" t="s">
        <v>86</v>
      </c>
      <c r="BA4" s="501" t="s">
        <v>291</v>
      </c>
      <c r="BB4" s="501" t="s">
        <v>85</v>
      </c>
      <c r="BC4" s="501" t="s">
        <v>86</v>
      </c>
    </row>
    <row r="5" spans="1:55" ht="15">
      <c r="A5" s="216"/>
      <c r="B5" s="161" t="s">
        <v>92</v>
      </c>
      <c r="C5" s="165">
        <v>12</v>
      </c>
      <c r="D5" s="166">
        <v>12</v>
      </c>
      <c r="E5" s="167">
        <v>504</v>
      </c>
      <c r="F5" s="168">
        <v>34</v>
      </c>
      <c r="G5" s="166">
        <v>34</v>
      </c>
      <c r="H5" s="167">
        <v>1428</v>
      </c>
      <c r="I5" s="166">
        <v>35.869999999999997</v>
      </c>
      <c r="J5" s="166">
        <v>35.869999999999997</v>
      </c>
      <c r="K5" s="167">
        <v>1506.54</v>
      </c>
      <c r="L5" s="166">
        <v>37.663499999999999</v>
      </c>
      <c r="M5" s="166">
        <v>37.663499999999999</v>
      </c>
      <c r="N5" s="167">
        <v>1581.867</v>
      </c>
      <c r="O5" s="166">
        <v>39.358357499999997</v>
      </c>
      <c r="P5" s="166">
        <v>39.358357499999997</v>
      </c>
      <c r="Q5" s="167">
        <v>1653.0510149999998</v>
      </c>
      <c r="R5" s="166">
        <v>39.358357499999997</v>
      </c>
      <c r="S5" s="166">
        <v>39.358357499999997</v>
      </c>
      <c r="T5" s="167">
        <v>1653.0510149999998</v>
      </c>
      <c r="U5" s="166">
        <v>40.932691800000001</v>
      </c>
      <c r="V5" s="166">
        <v>40.932691800000001</v>
      </c>
      <c r="W5" s="167">
        <v>1719.1730556</v>
      </c>
      <c r="X5" s="166"/>
      <c r="Y5" s="166"/>
      <c r="Z5" s="167"/>
      <c r="AA5" s="166"/>
      <c r="AB5" s="166"/>
      <c r="AC5" s="167"/>
      <c r="AD5" s="166"/>
      <c r="AE5" s="170"/>
      <c r="AF5" s="167"/>
      <c r="AG5" s="166"/>
      <c r="AH5" s="170"/>
      <c r="AI5" s="167"/>
      <c r="AJ5" s="166"/>
      <c r="AK5" s="170"/>
      <c r="AL5" s="167"/>
      <c r="AM5" s="161" t="s">
        <v>92</v>
      </c>
      <c r="AN5" s="166"/>
      <c r="AO5" s="170"/>
      <c r="AP5" s="167"/>
      <c r="AQ5" s="161" t="s">
        <v>92</v>
      </c>
      <c r="AR5" s="166"/>
      <c r="AS5" s="170"/>
      <c r="AT5" s="167"/>
      <c r="AU5" s="166"/>
      <c r="AV5" s="170"/>
      <c r="AW5" s="167"/>
      <c r="AX5" s="166"/>
      <c r="AY5" s="170"/>
      <c r="AZ5" s="167"/>
      <c r="BA5" s="166"/>
      <c r="BB5" s="170"/>
      <c r="BC5" s="167"/>
    </row>
    <row r="6" spans="1:55" ht="15" thickBot="1">
      <c r="A6" s="171">
        <v>420</v>
      </c>
      <c r="B6" s="162" t="s">
        <v>93</v>
      </c>
      <c r="C6" s="172">
        <v>15</v>
      </c>
      <c r="D6" s="173">
        <v>15</v>
      </c>
      <c r="E6" s="174">
        <v>630</v>
      </c>
      <c r="F6" s="175">
        <v>34</v>
      </c>
      <c r="G6" s="173">
        <v>34</v>
      </c>
      <c r="H6" s="174">
        <v>1428</v>
      </c>
      <c r="I6" s="173">
        <v>35.869999999999997</v>
      </c>
      <c r="J6" s="173">
        <v>35.869999999999997</v>
      </c>
      <c r="K6" s="174">
        <v>1506.54</v>
      </c>
      <c r="L6" s="173">
        <v>37.663499999999999</v>
      </c>
      <c r="M6" s="173">
        <v>37.663499999999999</v>
      </c>
      <c r="N6" s="174">
        <v>1581.867</v>
      </c>
      <c r="O6" s="173">
        <v>39.358357499999997</v>
      </c>
      <c r="P6" s="173">
        <v>39.358357499999997</v>
      </c>
      <c r="Q6" s="174">
        <v>1653.0510149999998</v>
      </c>
      <c r="R6" s="173">
        <v>39.358357499999997</v>
      </c>
      <c r="S6" s="173">
        <v>39.358357499999997</v>
      </c>
      <c r="T6" s="174">
        <v>1653.0510149999998</v>
      </c>
      <c r="U6" s="173">
        <v>40.932691800000001</v>
      </c>
      <c r="V6" s="173">
        <v>40.932691800000001</v>
      </c>
      <c r="W6" s="174">
        <v>1719.1730556</v>
      </c>
      <c r="X6" s="173"/>
      <c r="Y6" s="173"/>
      <c r="Z6" s="174"/>
      <c r="AA6" s="173"/>
      <c r="AB6" s="173"/>
      <c r="AC6" s="174"/>
      <c r="AD6" s="173"/>
      <c r="AE6" s="177"/>
      <c r="AF6" s="174"/>
      <c r="AG6" s="173"/>
      <c r="AH6" s="177"/>
      <c r="AI6" s="174"/>
      <c r="AJ6" s="173"/>
      <c r="AK6" s="177"/>
      <c r="AL6" s="174"/>
      <c r="AM6" s="162" t="s">
        <v>93</v>
      </c>
      <c r="AN6" s="173"/>
      <c r="AO6" s="177"/>
      <c r="AP6" s="174"/>
      <c r="AQ6" s="162" t="s">
        <v>93</v>
      </c>
      <c r="AR6" s="173"/>
      <c r="AS6" s="177"/>
      <c r="AT6" s="174"/>
      <c r="AU6" s="173"/>
      <c r="AV6" s="177"/>
      <c r="AW6" s="174"/>
      <c r="AX6" s="173"/>
      <c r="AY6" s="177"/>
      <c r="AZ6" s="174"/>
      <c r="BA6" s="173"/>
      <c r="BB6" s="177"/>
      <c r="BC6" s="174"/>
    </row>
    <row r="7" spans="1:55" ht="14.25">
      <c r="A7" s="171"/>
      <c r="B7" s="217" t="s">
        <v>94</v>
      </c>
      <c r="C7" s="172"/>
      <c r="D7" s="173"/>
      <c r="E7" s="174"/>
      <c r="F7" s="175"/>
      <c r="G7" s="173"/>
      <c r="H7" s="174"/>
      <c r="I7" s="173"/>
      <c r="J7" s="173"/>
      <c r="K7" s="174"/>
      <c r="L7" s="173"/>
      <c r="M7" s="173"/>
      <c r="N7" s="174"/>
      <c r="O7" s="173"/>
      <c r="P7" s="173"/>
      <c r="Q7" s="174"/>
      <c r="R7" s="173"/>
      <c r="S7" s="173"/>
      <c r="T7" s="174"/>
      <c r="U7" s="173">
        <v>56.7</v>
      </c>
      <c r="V7" s="173">
        <v>56.7</v>
      </c>
      <c r="W7" s="174">
        <v>2381.4</v>
      </c>
      <c r="X7" s="173">
        <v>58.968000000000004</v>
      </c>
      <c r="Y7" s="173">
        <v>58.968000000000004</v>
      </c>
      <c r="Z7" s="174">
        <v>2476.6559999999999</v>
      </c>
      <c r="AA7" s="173">
        <v>61.916400000000003</v>
      </c>
      <c r="AB7" s="173">
        <v>61.916400000000003</v>
      </c>
      <c r="AC7" s="174">
        <v>2600.4888000000001</v>
      </c>
      <c r="AD7" s="173">
        <v>63.78</v>
      </c>
      <c r="AE7" s="177">
        <v>63.78</v>
      </c>
      <c r="AF7" s="174">
        <f>AE7*42</f>
        <v>2678.76</v>
      </c>
      <c r="AG7" s="173">
        <f>AD7*(1+$AI$2)</f>
        <v>65.693399999999997</v>
      </c>
      <c r="AH7" s="177">
        <f>AE7*(1+$AI$2)</f>
        <v>65.693399999999997</v>
      </c>
      <c r="AI7" s="174">
        <f>AH7*42</f>
        <v>2759.1228000000001</v>
      </c>
      <c r="AJ7" s="173">
        <f>AG7*(1+$AI$2)</f>
        <v>67.664202000000003</v>
      </c>
      <c r="AK7" s="177">
        <f>AH7*(1+$AI$2)</f>
        <v>67.664202000000003</v>
      </c>
      <c r="AL7" s="174">
        <f>AK7*42</f>
        <v>2841.8964840000003</v>
      </c>
      <c r="AM7" s="406" t="s">
        <v>94</v>
      </c>
      <c r="AN7" s="424">
        <v>69.694128060000011</v>
      </c>
      <c r="AO7" s="425">
        <v>69.694128060000011</v>
      </c>
      <c r="AP7" s="426">
        <v>2927.1533785200004</v>
      </c>
      <c r="AQ7" s="406" t="s">
        <v>94</v>
      </c>
      <c r="AR7" s="424">
        <f>AN7*(1+$AT$2)</f>
        <v>71.784951901800014</v>
      </c>
      <c r="AS7" s="425">
        <f t="shared" ref="AS7:AT7" si="0">AO7*(1+$AT$2)</f>
        <v>71.784951901800014</v>
      </c>
      <c r="AT7" s="426">
        <f t="shared" si="0"/>
        <v>3014.9679798756006</v>
      </c>
      <c r="AU7" s="424">
        <f>AR7*(1+$AW$2)</f>
        <v>73.938500458854023</v>
      </c>
      <c r="AV7" s="425">
        <f>AS7*(1+$AW$2)</f>
        <v>73.938500458854023</v>
      </c>
      <c r="AW7" s="426">
        <f>AT7*(1+$AW$2)</f>
        <v>3105.4170192718689</v>
      </c>
      <c r="AX7" s="424">
        <f>AU7*(1+$AZ$2)</f>
        <v>76.156655472619647</v>
      </c>
      <c r="AY7" s="425">
        <f>AV7*(1+$AZ$2)</f>
        <v>76.156655472619647</v>
      </c>
      <c r="AZ7" s="426">
        <f>AW7*(1+$AZ$2)</f>
        <v>3198.5795298500252</v>
      </c>
      <c r="BA7" s="424">
        <f>AX7*(1+$BC$2)</f>
        <v>78.441355136798236</v>
      </c>
      <c r="BB7" s="425">
        <f t="shared" ref="BB7:BB38" si="1">AY7*(1+$BC$2)</f>
        <v>78.441355136798236</v>
      </c>
      <c r="BC7" s="426">
        <f t="shared" ref="BC7:BC38" si="2">AZ7*(1+$BC$2)</f>
        <v>3294.5369157455261</v>
      </c>
    </row>
    <row r="8" spans="1:55" ht="14.25">
      <c r="A8" s="171"/>
      <c r="B8" s="218" t="s">
        <v>95</v>
      </c>
      <c r="C8" s="172"/>
      <c r="D8" s="173"/>
      <c r="E8" s="174"/>
      <c r="F8" s="175"/>
      <c r="G8" s="173"/>
      <c r="H8" s="174"/>
      <c r="I8" s="173"/>
      <c r="J8" s="173"/>
      <c r="K8" s="174"/>
      <c r="L8" s="173"/>
      <c r="M8" s="173"/>
      <c r="N8" s="174"/>
      <c r="O8" s="173"/>
      <c r="P8" s="173"/>
      <c r="Q8" s="174"/>
      <c r="R8" s="173"/>
      <c r="S8" s="173"/>
      <c r="T8" s="174"/>
      <c r="U8" s="173">
        <v>56.7</v>
      </c>
      <c r="V8" s="173">
        <v>56.7</v>
      </c>
      <c r="W8" s="174">
        <v>2381.4</v>
      </c>
      <c r="X8" s="173">
        <v>58.968000000000004</v>
      </c>
      <c r="Y8" s="173">
        <v>58.968000000000004</v>
      </c>
      <c r="Z8" s="174">
        <v>2476.6559999999999</v>
      </c>
      <c r="AA8" s="173">
        <v>61.916400000000003</v>
      </c>
      <c r="AB8" s="173">
        <v>61.916400000000003</v>
      </c>
      <c r="AC8" s="174">
        <v>2600.4888000000001</v>
      </c>
      <c r="AD8" s="173">
        <v>63.78</v>
      </c>
      <c r="AE8" s="177">
        <v>63.78</v>
      </c>
      <c r="AF8" s="174">
        <f>AE8*42</f>
        <v>2678.76</v>
      </c>
      <c r="AG8" s="173">
        <f t="shared" ref="AG8:AH47" si="3">AD8*(1+$AI$2)</f>
        <v>65.693399999999997</v>
      </c>
      <c r="AH8" s="177">
        <f t="shared" si="3"/>
        <v>65.693399999999997</v>
      </c>
      <c r="AI8" s="174">
        <f>AH8*42</f>
        <v>2759.1228000000001</v>
      </c>
      <c r="AJ8" s="173">
        <f t="shared" ref="AJ8:AK20" si="4">AG8*(1+$AI$2)</f>
        <v>67.664202000000003</v>
      </c>
      <c r="AK8" s="177">
        <f t="shared" si="4"/>
        <v>67.664202000000003</v>
      </c>
      <c r="AL8" s="174">
        <f>AK8*42</f>
        <v>2841.8964840000003</v>
      </c>
      <c r="AM8" s="407" t="s">
        <v>95</v>
      </c>
      <c r="AN8" s="427">
        <v>69.694128060000011</v>
      </c>
      <c r="AO8" s="428">
        <v>69.694128060000011</v>
      </c>
      <c r="AP8" s="429">
        <v>2927.1533785200004</v>
      </c>
      <c r="AQ8" s="407" t="s">
        <v>95</v>
      </c>
      <c r="AR8" s="427">
        <f t="shared" ref="AR8:AR61" si="5">AN8*(1+$AT$2)</f>
        <v>71.784951901800014</v>
      </c>
      <c r="AS8" s="428">
        <f t="shared" ref="AS8:AS61" si="6">AO8*(1+$AT$2)</f>
        <v>71.784951901800014</v>
      </c>
      <c r="AT8" s="429">
        <f t="shared" ref="AT8:AT61" si="7">AP8*(1+$AT$2)</f>
        <v>3014.9679798756006</v>
      </c>
      <c r="AU8" s="427">
        <f t="shared" ref="AU8:AU61" si="8">AR8*(1+$AW$2)</f>
        <v>73.938500458854023</v>
      </c>
      <c r="AV8" s="428">
        <f t="shared" ref="AV8:AV61" si="9">AS8*(1+$AW$2)</f>
        <v>73.938500458854023</v>
      </c>
      <c r="AW8" s="429">
        <f t="shared" ref="AW8:AW61" si="10">AT8*(1+$AW$2)</f>
        <v>3105.4170192718689</v>
      </c>
      <c r="AX8" s="427">
        <f t="shared" ref="AX8:AX61" si="11">AU8*(1+$AZ$2)</f>
        <v>76.156655472619647</v>
      </c>
      <c r="AY8" s="428">
        <f t="shared" ref="AY8:AY61" si="12">AV8*(1+$AZ$2)</f>
        <v>76.156655472619647</v>
      </c>
      <c r="AZ8" s="429">
        <f t="shared" ref="AZ8:AZ61" si="13">AW8*(1+$AZ$2)</f>
        <v>3198.5795298500252</v>
      </c>
      <c r="BA8" s="427">
        <f t="shared" ref="BA8:BA38" si="14">AX8*(1+$BC$2)</f>
        <v>78.441355136798236</v>
      </c>
      <c r="BB8" s="428">
        <f t="shared" si="1"/>
        <v>78.441355136798236</v>
      </c>
      <c r="BC8" s="429">
        <f t="shared" si="2"/>
        <v>3294.5369157455261</v>
      </c>
    </row>
    <row r="9" spans="1:55" ht="15" thickBot="1">
      <c r="A9" s="219">
        <v>422</v>
      </c>
      <c r="B9" s="220" t="s">
        <v>96</v>
      </c>
      <c r="C9" s="221">
        <v>50</v>
      </c>
      <c r="D9" s="222">
        <v>50</v>
      </c>
      <c r="E9" s="223">
        <v>2100</v>
      </c>
      <c r="F9" s="224">
        <v>69</v>
      </c>
      <c r="G9" s="222">
        <v>69</v>
      </c>
      <c r="H9" s="223">
        <v>2898</v>
      </c>
      <c r="I9" s="222">
        <v>72.795000000000002</v>
      </c>
      <c r="J9" s="222">
        <v>72.8</v>
      </c>
      <c r="K9" s="223">
        <v>3057.6</v>
      </c>
      <c r="L9" s="222">
        <v>76.434750000000008</v>
      </c>
      <c r="M9" s="222">
        <v>76.434750000000008</v>
      </c>
      <c r="N9" s="223">
        <v>3210.2595000000001</v>
      </c>
      <c r="O9" s="222">
        <v>79.874313749999999</v>
      </c>
      <c r="P9" s="222">
        <v>79.874313749999999</v>
      </c>
      <c r="Q9" s="223">
        <v>3354.7211775000001</v>
      </c>
      <c r="R9" s="222">
        <v>79.874313749999999</v>
      </c>
      <c r="S9" s="222">
        <v>79.874313749999999</v>
      </c>
      <c r="T9" s="223">
        <v>3354.7211775000001</v>
      </c>
      <c r="U9" s="222">
        <v>83.069286300000002</v>
      </c>
      <c r="V9" s="222">
        <v>83.069286300000002</v>
      </c>
      <c r="W9" s="223">
        <v>3488.9100246000003</v>
      </c>
      <c r="X9" s="222">
        <v>86.392057751999999</v>
      </c>
      <c r="Y9" s="222">
        <v>86.392057751999999</v>
      </c>
      <c r="Z9" s="223">
        <v>3628.4664255839998</v>
      </c>
      <c r="AA9" s="222">
        <v>90.711660639599998</v>
      </c>
      <c r="AB9" s="222">
        <v>90.711660639599998</v>
      </c>
      <c r="AC9" s="223">
        <v>3809.8897468631999</v>
      </c>
      <c r="AD9" s="222">
        <f>93.43+0.01</f>
        <v>93.440000000000012</v>
      </c>
      <c r="AE9" s="225">
        <f>93.43+0.01</f>
        <v>93.440000000000012</v>
      </c>
      <c r="AF9" s="223">
        <f t="shared" ref="AF9:AF54" si="15">AE9*42</f>
        <v>3924.4800000000005</v>
      </c>
      <c r="AG9" s="222">
        <f t="shared" si="3"/>
        <v>96.243200000000016</v>
      </c>
      <c r="AH9" s="225">
        <f t="shared" si="3"/>
        <v>96.243200000000016</v>
      </c>
      <c r="AI9" s="223">
        <f t="shared" ref="AI9:AI59" si="16">AH9*42</f>
        <v>4042.2144000000008</v>
      </c>
      <c r="AJ9" s="222">
        <f t="shared" si="4"/>
        <v>99.130496000000022</v>
      </c>
      <c r="AK9" s="225">
        <f t="shared" si="4"/>
        <v>99.130496000000022</v>
      </c>
      <c r="AL9" s="223">
        <f t="shared" ref="AL9:AL57" si="17">AK9*42</f>
        <v>4163.4808320000011</v>
      </c>
      <c r="AM9" s="408" t="s">
        <v>96</v>
      </c>
      <c r="AN9" s="430">
        <v>102.10441088000003</v>
      </c>
      <c r="AO9" s="431">
        <v>102.10441088000003</v>
      </c>
      <c r="AP9" s="432">
        <v>4288.3852569600012</v>
      </c>
      <c r="AQ9" s="408" t="s">
        <v>96</v>
      </c>
      <c r="AR9" s="430">
        <f t="shared" si="5"/>
        <v>105.16754320640004</v>
      </c>
      <c r="AS9" s="431">
        <f t="shared" si="6"/>
        <v>105.16754320640004</v>
      </c>
      <c r="AT9" s="432">
        <f t="shared" si="7"/>
        <v>4417.0368146688015</v>
      </c>
      <c r="AU9" s="430">
        <f t="shared" si="8"/>
        <v>108.32256950259205</v>
      </c>
      <c r="AV9" s="431">
        <f t="shared" si="9"/>
        <v>108.32256950259205</v>
      </c>
      <c r="AW9" s="432">
        <f t="shared" si="10"/>
        <v>4549.5479191088652</v>
      </c>
      <c r="AX9" s="430">
        <f t="shared" si="11"/>
        <v>111.57224658766981</v>
      </c>
      <c r="AY9" s="431">
        <f t="shared" si="12"/>
        <v>111.57224658766981</v>
      </c>
      <c r="AZ9" s="432">
        <f t="shared" si="13"/>
        <v>4686.0343566821311</v>
      </c>
      <c r="BA9" s="430">
        <f t="shared" si="14"/>
        <v>114.91941398529991</v>
      </c>
      <c r="BB9" s="431">
        <f t="shared" si="1"/>
        <v>114.91941398529991</v>
      </c>
      <c r="BC9" s="432">
        <f t="shared" si="2"/>
        <v>4826.6153873825951</v>
      </c>
    </row>
    <row r="10" spans="1:55" ht="15">
      <c r="A10" s="226"/>
      <c r="B10" s="227" t="s">
        <v>97</v>
      </c>
      <c r="C10" s="172">
        <v>42</v>
      </c>
      <c r="D10" s="173">
        <v>42</v>
      </c>
      <c r="E10" s="174">
        <v>1764</v>
      </c>
      <c r="F10" s="186">
        <v>42</v>
      </c>
      <c r="G10" s="173">
        <v>42</v>
      </c>
      <c r="H10" s="174">
        <v>1764</v>
      </c>
      <c r="I10" s="173">
        <v>44.31</v>
      </c>
      <c r="J10" s="173">
        <v>44.31</v>
      </c>
      <c r="K10" s="174">
        <v>1861.02</v>
      </c>
      <c r="L10" s="173">
        <v>46.525500000000001</v>
      </c>
      <c r="M10" s="173">
        <v>46.525500000000001</v>
      </c>
      <c r="N10" s="174">
        <v>1954.0710000000001</v>
      </c>
      <c r="O10" s="173">
        <v>48.619147499999997</v>
      </c>
      <c r="P10" s="173">
        <v>48.619147499999997</v>
      </c>
      <c r="Q10" s="174">
        <v>2042.004195</v>
      </c>
      <c r="R10" s="173">
        <v>48.619147499999997</v>
      </c>
      <c r="S10" s="173">
        <v>48.619147499999997</v>
      </c>
      <c r="T10" s="174">
        <v>2042.004195</v>
      </c>
      <c r="U10" s="173">
        <v>50.563913399999997</v>
      </c>
      <c r="V10" s="173">
        <v>50.563913399999997</v>
      </c>
      <c r="W10" s="174">
        <v>2123.6843627999997</v>
      </c>
      <c r="X10" s="173">
        <v>52.576469936000002</v>
      </c>
      <c r="Y10" s="173">
        <v>52.576469936000002</v>
      </c>
      <c r="Z10" s="174">
        <v>2208.211737312</v>
      </c>
      <c r="AA10" s="173">
        <v>55.205293432800005</v>
      </c>
      <c r="AB10" s="173">
        <v>55.205293432800005</v>
      </c>
      <c r="AC10" s="174">
        <v>2318.6223241776001</v>
      </c>
      <c r="AD10" s="173">
        <v>56.87</v>
      </c>
      <c r="AE10" s="177">
        <v>56.87</v>
      </c>
      <c r="AF10" s="174">
        <f t="shared" si="15"/>
        <v>2388.54</v>
      </c>
      <c r="AG10" s="173">
        <f t="shared" si="3"/>
        <v>58.576099999999997</v>
      </c>
      <c r="AH10" s="177">
        <f t="shared" si="3"/>
        <v>58.576099999999997</v>
      </c>
      <c r="AI10" s="174">
        <f t="shared" si="16"/>
        <v>2460.1961999999999</v>
      </c>
      <c r="AJ10" s="173">
        <f t="shared" si="4"/>
        <v>60.333382999999998</v>
      </c>
      <c r="AK10" s="177">
        <f t="shared" si="4"/>
        <v>60.333382999999998</v>
      </c>
      <c r="AL10" s="174">
        <f t="shared" si="17"/>
        <v>2534.002086</v>
      </c>
      <c r="AM10" s="409" t="s">
        <v>97</v>
      </c>
      <c r="AN10" s="427">
        <v>62.143384490000003</v>
      </c>
      <c r="AO10" s="428">
        <v>62.143384490000003</v>
      </c>
      <c r="AP10" s="429">
        <v>2610.0221485800002</v>
      </c>
      <c r="AQ10" s="409" t="s">
        <v>97</v>
      </c>
      <c r="AR10" s="427">
        <f t="shared" si="5"/>
        <v>64.007686024700007</v>
      </c>
      <c r="AS10" s="428">
        <f t="shared" si="6"/>
        <v>64.007686024700007</v>
      </c>
      <c r="AT10" s="429">
        <f t="shared" si="7"/>
        <v>2688.3228130374005</v>
      </c>
      <c r="AU10" s="427">
        <f t="shared" si="8"/>
        <v>65.927916605441013</v>
      </c>
      <c r="AV10" s="428">
        <f t="shared" si="9"/>
        <v>65.927916605441013</v>
      </c>
      <c r="AW10" s="429">
        <f t="shared" si="10"/>
        <v>2768.9724974285227</v>
      </c>
      <c r="AX10" s="427">
        <f t="shared" si="11"/>
        <v>67.905754103604238</v>
      </c>
      <c r="AY10" s="428">
        <f t="shared" si="12"/>
        <v>67.905754103604238</v>
      </c>
      <c r="AZ10" s="429">
        <f t="shared" si="13"/>
        <v>2852.0416723513786</v>
      </c>
      <c r="BA10" s="427">
        <f t="shared" si="14"/>
        <v>69.942926726712372</v>
      </c>
      <c r="BB10" s="428">
        <f t="shared" si="1"/>
        <v>69.942926726712372</v>
      </c>
      <c r="BC10" s="429">
        <f t="shared" si="2"/>
        <v>2937.6029225219199</v>
      </c>
    </row>
    <row r="11" spans="1:55" ht="15.75" thickBot="1">
      <c r="A11" s="228"/>
      <c r="B11" s="220" t="s">
        <v>98</v>
      </c>
      <c r="C11" s="221">
        <v>42</v>
      </c>
      <c r="D11" s="173">
        <v>42</v>
      </c>
      <c r="E11" s="174">
        <v>1764</v>
      </c>
      <c r="F11" s="186">
        <v>42</v>
      </c>
      <c r="G11" s="173">
        <v>42</v>
      </c>
      <c r="H11" s="174">
        <v>1764</v>
      </c>
      <c r="I11" s="229">
        <v>44.31</v>
      </c>
      <c r="J11" s="222">
        <v>44.31</v>
      </c>
      <c r="K11" s="223">
        <v>1861.02</v>
      </c>
      <c r="L11" s="229">
        <v>46.525500000000001</v>
      </c>
      <c r="M11" s="222">
        <v>46.525500000000001</v>
      </c>
      <c r="N11" s="223">
        <v>1954.0710000000001</v>
      </c>
      <c r="O11" s="229">
        <v>48.619147499999997</v>
      </c>
      <c r="P11" s="222">
        <v>48.619147499999997</v>
      </c>
      <c r="Q11" s="223">
        <v>2042.004195</v>
      </c>
      <c r="R11" s="229">
        <v>48.619147499999997</v>
      </c>
      <c r="S11" s="222">
        <v>48.619147499999997</v>
      </c>
      <c r="T11" s="223">
        <v>2042.004195</v>
      </c>
      <c r="U11" s="229">
        <v>50.563913399999997</v>
      </c>
      <c r="V11" s="222">
        <v>50.563913399999997</v>
      </c>
      <c r="W11" s="223">
        <v>2123.6843627999997</v>
      </c>
      <c r="X11" s="222">
        <v>52.576469936000002</v>
      </c>
      <c r="Y11" s="222">
        <v>52.576469936000002</v>
      </c>
      <c r="Z11" s="223">
        <v>2208.211737312</v>
      </c>
      <c r="AA11" s="222">
        <v>55.205293432800005</v>
      </c>
      <c r="AB11" s="222">
        <v>55.205293432800005</v>
      </c>
      <c r="AC11" s="223">
        <v>2318.6223241776001</v>
      </c>
      <c r="AD11" s="222">
        <v>56.87</v>
      </c>
      <c r="AE11" s="225">
        <v>56.87</v>
      </c>
      <c r="AF11" s="223">
        <f t="shared" si="15"/>
        <v>2388.54</v>
      </c>
      <c r="AG11" s="222">
        <f t="shared" si="3"/>
        <v>58.576099999999997</v>
      </c>
      <c r="AH11" s="225">
        <f t="shared" si="3"/>
        <v>58.576099999999997</v>
      </c>
      <c r="AI11" s="223">
        <f t="shared" si="16"/>
        <v>2460.1961999999999</v>
      </c>
      <c r="AJ11" s="222">
        <f t="shared" si="4"/>
        <v>60.333382999999998</v>
      </c>
      <c r="AK11" s="225">
        <f t="shared" si="4"/>
        <v>60.333382999999998</v>
      </c>
      <c r="AL11" s="223">
        <f t="shared" si="17"/>
        <v>2534.002086</v>
      </c>
      <c r="AM11" s="408" t="s">
        <v>98</v>
      </c>
      <c r="AN11" s="430">
        <v>62.143384490000003</v>
      </c>
      <c r="AO11" s="431">
        <v>62.143384490000003</v>
      </c>
      <c r="AP11" s="432">
        <v>2610.0221485800002</v>
      </c>
      <c r="AQ11" s="408" t="s">
        <v>98</v>
      </c>
      <c r="AR11" s="430">
        <f t="shared" si="5"/>
        <v>64.007686024700007</v>
      </c>
      <c r="AS11" s="431">
        <f t="shared" si="6"/>
        <v>64.007686024700007</v>
      </c>
      <c r="AT11" s="432">
        <f t="shared" si="7"/>
        <v>2688.3228130374005</v>
      </c>
      <c r="AU11" s="430">
        <f t="shared" si="8"/>
        <v>65.927916605441013</v>
      </c>
      <c r="AV11" s="431">
        <f t="shared" si="9"/>
        <v>65.927916605441013</v>
      </c>
      <c r="AW11" s="432">
        <f t="shared" si="10"/>
        <v>2768.9724974285227</v>
      </c>
      <c r="AX11" s="430">
        <f t="shared" si="11"/>
        <v>67.905754103604238</v>
      </c>
      <c r="AY11" s="431">
        <f t="shared" si="12"/>
        <v>67.905754103604238</v>
      </c>
      <c r="AZ11" s="432">
        <f t="shared" si="13"/>
        <v>2852.0416723513786</v>
      </c>
      <c r="BA11" s="430">
        <f t="shared" si="14"/>
        <v>69.942926726712372</v>
      </c>
      <c r="BB11" s="431">
        <f t="shared" si="1"/>
        <v>69.942926726712372</v>
      </c>
      <c r="BC11" s="432">
        <f t="shared" si="2"/>
        <v>2937.6029225219199</v>
      </c>
    </row>
    <row r="12" spans="1:55" ht="14.25">
      <c r="A12" s="171">
        <v>210</v>
      </c>
      <c r="B12" s="162" t="s">
        <v>99</v>
      </c>
      <c r="C12" s="172">
        <v>15</v>
      </c>
      <c r="D12" s="166">
        <v>15</v>
      </c>
      <c r="E12" s="167">
        <v>630</v>
      </c>
      <c r="F12" s="168">
        <v>35.32</v>
      </c>
      <c r="G12" s="166">
        <v>35.32</v>
      </c>
      <c r="H12" s="167">
        <v>1483.44</v>
      </c>
      <c r="I12" s="173">
        <v>37.262599999999999</v>
      </c>
      <c r="J12" s="173">
        <v>37.26</v>
      </c>
      <c r="K12" s="174">
        <v>1564.9199999999998</v>
      </c>
      <c r="L12" s="173">
        <v>39.125729999999997</v>
      </c>
      <c r="M12" s="173">
        <v>39.125729999999997</v>
      </c>
      <c r="N12" s="174">
        <v>1643.2806599999999</v>
      </c>
      <c r="O12" s="173">
        <v>40.886387849999991</v>
      </c>
      <c r="P12" s="173">
        <v>40.886387849999991</v>
      </c>
      <c r="Q12" s="174">
        <v>1717.2282896999996</v>
      </c>
      <c r="R12" s="173">
        <v>63.55</v>
      </c>
      <c r="S12" s="173">
        <v>63.55</v>
      </c>
      <c r="T12" s="174">
        <v>2669.1</v>
      </c>
      <c r="U12" s="173">
        <v>66.091999999999999</v>
      </c>
      <c r="V12" s="173">
        <v>66.091999999999999</v>
      </c>
      <c r="W12" s="174">
        <v>2775.864</v>
      </c>
      <c r="X12" s="173">
        <v>68.725679999999997</v>
      </c>
      <c r="Y12" s="173">
        <v>68.725679999999997</v>
      </c>
      <c r="Z12" s="174">
        <v>2886.47856</v>
      </c>
      <c r="AA12" s="173">
        <v>72.161963999999998</v>
      </c>
      <c r="AB12" s="173">
        <v>72.161963999999998</v>
      </c>
      <c r="AC12" s="174">
        <v>3030.8024879999998</v>
      </c>
      <c r="AD12" s="173">
        <v>74.319999999999993</v>
      </c>
      <c r="AE12" s="177">
        <v>74.319999999999993</v>
      </c>
      <c r="AF12" s="174">
        <f t="shared" si="15"/>
        <v>3121.4399999999996</v>
      </c>
      <c r="AG12" s="173">
        <f t="shared" si="3"/>
        <v>76.549599999999998</v>
      </c>
      <c r="AH12" s="177">
        <f t="shared" si="3"/>
        <v>76.549599999999998</v>
      </c>
      <c r="AI12" s="174">
        <f t="shared" si="16"/>
        <v>3215.0832</v>
      </c>
      <c r="AJ12" s="173">
        <f t="shared" si="4"/>
        <v>78.846087999999995</v>
      </c>
      <c r="AK12" s="177">
        <f t="shared" si="4"/>
        <v>78.846087999999995</v>
      </c>
      <c r="AL12" s="174">
        <f t="shared" si="17"/>
        <v>3311.5356959999999</v>
      </c>
      <c r="AM12" s="409" t="s">
        <v>99</v>
      </c>
      <c r="AN12" s="427">
        <v>81.211470640000002</v>
      </c>
      <c r="AO12" s="428">
        <v>81.211470640000002</v>
      </c>
      <c r="AP12" s="429">
        <v>3410.8817668800002</v>
      </c>
      <c r="AQ12" s="409" t="s">
        <v>99</v>
      </c>
      <c r="AR12" s="427">
        <f t="shared" si="5"/>
        <v>83.647814759200003</v>
      </c>
      <c r="AS12" s="428">
        <f t="shared" si="6"/>
        <v>83.647814759200003</v>
      </c>
      <c r="AT12" s="429">
        <f t="shared" si="7"/>
        <v>3513.2082198864005</v>
      </c>
      <c r="AU12" s="427">
        <f t="shared" si="8"/>
        <v>86.157249201976001</v>
      </c>
      <c r="AV12" s="428">
        <f t="shared" si="9"/>
        <v>86.157249201976001</v>
      </c>
      <c r="AW12" s="429">
        <f t="shared" si="10"/>
        <v>3618.6044664829924</v>
      </c>
      <c r="AX12" s="427">
        <f t="shared" si="11"/>
        <v>88.741966678035283</v>
      </c>
      <c r="AY12" s="428">
        <f t="shared" si="12"/>
        <v>88.741966678035283</v>
      </c>
      <c r="AZ12" s="429">
        <f t="shared" si="13"/>
        <v>3727.1626004774821</v>
      </c>
      <c r="BA12" s="427">
        <f t="shared" si="14"/>
        <v>91.404225678376349</v>
      </c>
      <c r="BB12" s="428">
        <f t="shared" si="1"/>
        <v>91.404225678376349</v>
      </c>
      <c r="BC12" s="429">
        <f t="shared" si="2"/>
        <v>3838.9774784918068</v>
      </c>
    </row>
    <row r="13" spans="1:55" ht="14.25">
      <c r="A13" s="171">
        <v>212</v>
      </c>
      <c r="B13" s="227" t="s">
        <v>100</v>
      </c>
      <c r="C13" s="172">
        <v>75</v>
      </c>
      <c r="D13" s="173">
        <v>75</v>
      </c>
      <c r="E13" s="174">
        <v>3150</v>
      </c>
      <c r="F13" s="175">
        <v>94</v>
      </c>
      <c r="G13" s="173">
        <v>94</v>
      </c>
      <c r="H13" s="174">
        <v>3948</v>
      </c>
      <c r="I13" s="173">
        <v>99.17</v>
      </c>
      <c r="J13" s="173">
        <v>99.17</v>
      </c>
      <c r="K13" s="174">
        <v>4165.1400000000003</v>
      </c>
      <c r="L13" s="173">
        <v>104.1285</v>
      </c>
      <c r="M13" s="173">
        <v>104.1285</v>
      </c>
      <c r="N13" s="174">
        <v>4373.3969999999999</v>
      </c>
      <c r="O13" s="173">
        <v>108.81428249999999</v>
      </c>
      <c r="P13" s="173">
        <v>108.81428249999999</v>
      </c>
      <c r="Q13" s="174">
        <v>4570.1998649999996</v>
      </c>
      <c r="R13" s="173">
        <v>108.81428249999999</v>
      </c>
      <c r="S13" s="173">
        <v>108.81428249999999</v>
      </c>
      <c r="T13" s="174">
        <v>4570.1998649999996</v>
      </c>
      <c r="U13" s="173">
        <v>113.1668538</v>
      </c>
      <c r="V13" s="173">
        <v>113.1668538</v>
      </c>
      <c r="W13" s="174">
        <v>4753.0078596000003</v>
      </c>
      <c r="X13" s="173">
        <v>117.703527952</v>
      </c>
      <c r="Y13" s="173">
        <v>117.703527952</v>
      </c>
      <c r="Z13" s="174">
        <v>4943.5481739839997</v>
      </c>
      <c r="AA13" s="173">
        <v>123.58870434960001</v>
      </c>
      <c r="AB13" s="173">
        <v>123.58870434960001</v>
      </c>
      <c r="AC13" s="174">
        <v>5190.7255826832006</v>
      </c>
      <c r="AD13" s="173">
        <v>127.3</v>
      </c>
      <c r="AE13" s="177">
        <v>127.3</v>
      </c>
      <c r="AF13" s="174">
        <f t="shared" si="15"/>
        <v>5346.5999999999995</v>
      </c>
      <c r="AG13" s="173">
        <f t="shared" si="3"/>
        <v>131.119</v>
      </c>
      <c r="AH13" s="177">
        <f t="shared" si="3"/>
        <v>131.119</v>
      </c>
      <c r="AI13" s="174">
        <f t="shared" si="16"/>
        <v>5506.9979999999996</v>
      </c>
      <c r="AJ13" s="173">
        <f t="shared" si="4"/>
        <v>135.05257</v>
      </c>
      <c r="AK13" s="177">
        <f t="shared" si="4"/>
        <v>135.05257</v>
      </c>
      <c r="AL13" s="174">
        <f t="shared" si="17"/>
        <v>5672.2079400000002</v>
      </c>
      <c r="AM13" s="409" t="s">
        <v>100</v>
      </c>
      <c r="AN13" s="427">
        <v>139.10414710000001</v>
      </c>
      <c r="AO13" s="428">
        <v>139.10414710000001</v>
      </c>
      <c r="AP13" s="429">
        <v>5842.3741782000006</v>
      </c>
      <c r="AQ13" s="409" t="s">
        <v>100</v>
      </c>
      <c r="AR13" s="427">
        <f t="shared" si="5"/>
        <v>143.27727151300002</v>
      </c>
      <c r="AS13" s="428">
        <f t="shared" si="6"/>
        <v>143.27727151300002</v>
      </c>
      <c r="AT13" s="429">
        <f t="shared" si="7"/>
        <v>6017.645403546001</v>
      </c>
      <c r="AU13" s="427">
        <f t="shared" si="8"/>
        <v>147.57558965839002</v>
      </c>
      <c r="AV13" s="428">
        <f t="shared" si="9"/>
        <v>147.57558965839002</v>
      </c>
      <c r="AW13" s="429">
        <f t="shared" si="10"/>
        <v>6198.1747656523812</v>
      </c>
      <c r="AX13" s="427">
        <f t="shared" si="11"/>
        <v>152.00285734814173</v>
      </c>
      <c r="AY13" s="428">
        <f t="shared" si="12"/>
        <v>152.00285734814173</v>
      </c>
      <c r="AZ13" s="429">
        <f t="shared" si="13"/>
        <v>6384.1200086219524</v>
      </c>
      <c r="BA13" s="427">
        <f t="shared" si="14"/>
        <v>156.56294306858598</v>
      </c>
      <c r="BB13" s="428">
        <f t="shared" si="1"/>
        <v>156.56294306858598</v>
      </c>
      <c r="BC13" s="429">
        <f t="shared" si="2"/>
        <v>6575.6436088806113</v>
      </c>
    </row>
    <row r="14" spans="1:55" ht="15" thickBot="1">
      <c r="A14" s="230">
        <v>214</v>
      </c>
      <c r="B14" s="231" t="s">
        <v>101</v>
      </c>
      <c r="C14" s="232">
        <v>31.701030927835053</v>
      </c>
      <c r="D14" s="233">
        <v>31.7</v>
      </c>
      <c r="E14" s="234">
        <v>1331.36</v>
      </c>
      <c r="F14" s="232">
        <v>39.731958762886599</v>
      </c>
      <c r="G14" s="233">
        <v>39.731958762886599</v>
      </c>
      <c r="H14" s="234">
        <v>1668.7422680412371</v>
      </c>
      <c r="I14" s="233">
        <v>41.917216494845363</v>
      </c>
      <c r="J14" s="233">
        <v>41.92</v>
      </c>
      <c r="K14" s="234">
        <v>1760.64</v>
      </c>
      <c r="L14" s="233">
        <v>44.01307731958763</v>
      </c>
      <c r="M14" s="233">
        <v>44.01307731958763</v>
      </c>
      <c r="N14" s="234">
        <v>1848.5492474226805</v>
      </c>
      <c r="O14" s="233">
        <v>45.993665798969069</v>
      </c>
      <c r="P14" s="233">
        <v>45.993665798969069</v>
      </c>
      <c r="Q14" s="234">
        <v>1931.7339635567009</v>
      </c>
      <c r="R14" s="233">
        <v>81.040000000000006</v>
      </c>
      <c r="S14" s="233">
        <v>81.040000000000006</v>
      </c>
      <c r="T14" s="234">
        <v>3403.6800000000003</v>
      </c>
      <c r="U14" s="233">
        <v>84.281600000000012</v>
      </c>
      <c r="V14" s="233">
        <v>84.281600000000012</v>
      </c>
      <c r="W14" s="234">
        <v>3539.8272000000006</v>
      </c>
      <c r="X14" s="233">
        <v>87.652864000000008</v>
      </c>
      <c r="Y14" s="233">
        <v>87.652864000000008</v>
      </c>
      <c r="Z14" s="234">
        <v>3681.4202880000003</v>
      </c>
      <c r="AA14" s="233">
        <v>92.035507200000012</v>
      </c>
      <c r="AB14" s="233">
        <v>92.035507200000012</v>
      </c>
      <c r="AC14" s="234">
        <v>3865.4913024000007</v>
      </c>
      <c r="AD14" s="233">
        <v>94.8</v>
      </c>
      <c r="AE14" s="225">
        <v>94.8</v>
      </c>
      <c r="AF14" s="234">
        <f t="shared" si="15"/>
        <v>3981.6</v>
      </c>
      <c r="AG14" s="233">
        <f t="shared" si="3"/>
        <v>97.644000000000005</v>
      </c>
      <c r="AH14" s="225">
        <f t="shared" si="3"/>
        <v>97.644000000000005</v>
      </c>
      <c r="AI14" s="234">
        <f t="shared" si="16"/>
        <v>4101.0480000000007</v>
      </c>
      <c r="AJ14" s="233">
        <f t="shared" si="4"/>
        <v>100.57332000000001</v>
      </c>
      <c r="AK14" s="225">
        <f t="shared" si="4"/>
        <v>100.57332000000001</v>
      </c>
      <c r="AL14" s="234">
        <f>AK14*42</f>
        <v>4224.0794400000004</v>
      </c>
      <c r="AM14" s="409" t="s">
        <v>101</v>
      </c>
      <c r="AN14" s="427">
        <v>103.59051960000001</v>
      </c>
      <c r="AO14" s="428">
        <v>103.59051960000001</v>
      </c>
      <c r="AP14" s="429">
        <v>4350.8018232000004</v>
      </c>
      <c r="AQ14" s="409" t="s">
        <v>101</v>
      </c>
      <c r="AR14" s="427">
        <f t="shared" si="5"/>
        <v>106.69823518800001</v>
      </c>
      <c r="AS14" s="428">
        <f t="shared" si="6"/>
        <v>106.69823518800001</v>
      </c>
      <c r="AT14" s="429">
        <f t="shared" si="7"/>
        <v>4481.3258778960007</v>
      </c>
      <c r="AU14" s="427">
        <f t="shared" si="8"/>
        <v>109.89918224364001</v>
      </c>
      <c r="AV14" s="428">
        <f t="shared" si="9"/>
        <v>109.89918224364001</v>
      </c>
      <c r="AW14" s="429">
        <f t="shared" si="10"/>
        <v>4615.7656542328805</v>
      </c>
      <c r="AX14" s="427">
        <f t="shared" si="11"/>
        <v>113.19615771094922</v>
      </c>
      <c r="AY14" s="428">
        <f t="shared" si="12"/>
        <v>113.19615771094922</v>
      </c>
      <c r="AZ14" s="429">
        <f t="shared" si="13"/>
        <v>4754.2386238598674</v>
      </c>
      <c r="BA14" s="427">
        <f t="shared" si="14"/>
        <v>116.5920424422777</v>
      </c>
      <c r="BB14" s="428">
        <f t="shared" si="1"/>
        <v>116.5920424422777</v>
      </c>
      <c r="BC14" s="429">
        <f t="shared" si="2"/>
        <v>4896.8657825756636</v>
      </c>
    </row>
    <row r="15" spans="1:55" ht="15" thickBot="1">
      <c r="A15" s="171">
        <v>210</v>
      </c>
      <c r="B15" s="162" t="s">
        <v>99</v>
      </c>
      <c r="C15" s="172">
        <v>15</v>
      </c>
      <c r="D15" s="173">
        <v>15</v>
      </c>
      <c r="E15" s="174">
        <v>630</v>
      </c>
      <c r="F15" s="235">
        <v>35.32</v>
      </c>
      <c r="G15" s="166">
        <v>35.32</v>
      </c>
      <c r="H15" s="174">
        <v>1483.44</v>
      </c>
      <c r="I15" s="173">
        <v>37.262599999999999</v>
      </c>
      <c r="J15" s="173">
        <v>37.26</v>
      </c>
      <c r="K15" s="174">
        <v>1564.9199999999998</v>
      </c>
      <c r="L15" s="173">
        <v>39.125729999999997</v>
      </c>
      <c r="M15" s="173">
        <v>39.125729999999997</v>
      </c>
      <c r="N15" s="174">
        <v>1643.2806599999999</v>
      </c>
      <c r="O15" s="173">
        <v>40.886387849999991</v>
      </c>
      <c r="P15" s="173">
        <v>40.886387849999991</v>
      </c>
      <c r="Q15" s="174">
        <v>1717.2282896999996</v>
      </c>
      <c r="R15" s="173">
        <v>63.55</v>
      </c>
      <c r="S15" s="173">
        <v>63.55</v>
      </c>
      <c r="T15" s="174">
        <v>2669.1</v>
      </c>
      <c r="U15" s="173">
        <v>66.091999999999999</v>
      </c>
      <c r="V15" s="173">
        <v>66.091999999999999</v>
      </c>
      <c r="W15" s="174">
        <v>2775.864</v>
      </c>
      <c r="X15" s="173">
        <v>68.725679999999997</v>
      </c>
      <c r="Y15" s="173">
        <v>68.725679999999997</v>
      </c>
      <c r="Z15" s="174">
        <v>2886.47856</v>
      </c>
      <c r="AA15" s="173">
        <v>72.161963999999998</v>
      </c>
      <c r="AB15" s="173">
        <v>72.161963999999998</v>
      </c>
      <c r="AC15" s="174">
        <v>3030.8024879999998</v>
      </c>
      <c r="AD15" s="173">
        <v>74.319999999999993</v>
      </c>
      <c r="AE15" s="177">
        <v>74.319999999999993</v>
      </c>
      <c r="AF15" s="174">
        <f t="shared" si="15"/>
        <v>3121.4399999999996</v>
      </c>
      <c r="AG15" s="173">
        <f t="shared" si="3"/>
        <v>76.549599999999998</v>
      </c>
      <c r="AH15" s="177">
        <f t="shared" si="3"/>
        <v>76.549599999999998</v>
      </c>
      <c r="AI15" s="174">
        <f t="shared" si="16"/>
        <v>3215.0832</v>
      </c>
      <c r="AJ15" s="173">
        <f t="shared" si="4"/>
        <v>78.846087999999995</v>
      </c>
      <c r="AK15" s="177">
        <f t="shared" si="4"/>
        <v>78.846087999999995</v>
      </c>
      <c r="AL15" s="174">
        <f t="shared" si="17"/>
        <v>3311.5356959999999</v>
      </c>
      <c r="AM15" s="410" t="s">
        <v>287</v>
      </c>
      <c r="AN15" s="430">
        <v>0.45629000000000003</v>
      </c>
      <c r="AO15" s="431">
        <v>104.04680960000002</v>
      </c>
      <c r="AP15" s="432">
        <v>4369.9660032000002</v>
      </c>
      <c r="AQ15" s="410" t="s">
        <v>287</v>
      </c>
      <c r="AR15" s="430">
        <f t="shared" si="5"/>
        <v>0.46997870000000003</v>
      </c>
      <c r="AS15" s="431">
        <f t="shared" si="6"/>
        <v>107.16821388800003</v>
      </c>
      <c r="AT15" s="432">
        <f t="shared" si="7"/>
        <v>4501.0649832960007</v>
      </c>
      <c r="AU15" s="430">
        <f t="shared" si="8"/>
        <v>0.48407806100000006</v>
      </c>
      <c r="AV15" s="431">
        <f t="shared" si="9"/>
        <v>110.38326030464003</v>
      </c>
      <c r="AW15" s="432">
        <f t="shared" si="10"/>
        <v>4636.0969327948806</v>
      </c>
      <c r="AX15" s="430">
        <f t="shared" si="11"/>
        <v>0.49860040283000007</v>
      </c>
      <c r="AY15" s="431">
        <f t="shared" si="12"/>
        <v>113.69475811377923</v>
      </c>
      <c r="AZ15" s="432">
        <f t="shared" si="13"/>
        <v>4775.1798407787273</v>
      </c>
      <c r="BA15" s="430">
        <f t="shared" si="14"/>
        <v>0.51355841491490006</v>
      </c>
      <c r="BB15" s="431">
        <f t="shared" si="1"/>
        <v>117.10560085719261</v>
      </c>
      <c r="BC15" s="432">
        <f t="shared" si="2"/>
        <v>4918.4352360020894</v>
      </c>
    </row>
    <row r="16" spans="1:55" ht="14.25">
      <c r="A16" s="171">
        <v>260</v>
      </c>
      <c r="B16" s="162" t="s">
        <v>102</v>
      </c>
      <c r="C16" s="172">
        <v>100</v>
      </c>
      <c r="D16" s="173">
        <v>100</v>
      </c>
      <c r="E16" s="174">
        <v>4200</v>
      </c>
      <c r="F16" s="186">
        <v>106.32</v>
      </c>
      <c r="G16" s="173">
        <v>106.32</v>
      </c>
      <c r="H16" s="174">
        <v>4465.4399999999996</v>
      </c>
      <c r="I16" s="173">
        <v>112.16759999999999</v>
      </c>
      <c r="J16" s="173">
        <v>112.16759999999999</v>
      </c>
      <c r="K16" s="174">
        <v>4711.0391999999993</v>
      </c>
      <c r="L16" s="173">
        <v>117.77598</v>
      </c>
      <c r="M16" s="173">
        <v>117.77598</v>
      </c>
      <c r="N16" s="174">
        <v>4946.5911599999999</v>
      </c>
      <c r="O16" s="173">
        <v>123.0758991</v>
      </c>
      <c r="P16" s="173">
        <v>123.0758991</v>
      </c>
      <c r="Q16" s="174">
        <v>5169.1877622000002</v>
      </c>
      <c r="R16" s="173">
        <v>123.0758991</v>
      </c>
      <c r="S16" s="173">
        <v>123.0758991</v>
      </c>
      <c r="T16" s="174">
        <v>5169.1877622000002</v>
      </c>
      <c r="U16" s="173">
        <v>127.99893506400001</v>
      </c>
      <c r="V16" s="173">
        <v>127.99893506400001</v>
      </c>
      <c r="W16" s="174">
        <v>5375.9552726880002</v>
      </c>
      <c r="X16" s="173">
        <v>133.12389246656002</v>
      </c>
      <c r="Y16" s="173">
        <v>133.12389246656002</v>
      </c>
      <c r="Z16" s="174">
        <v>5591.203483595521</v>
      </c>
      <c r="AA16" s="173">
        <v>139.78008708988804</v>
      </c>
      <c r="AB16" s="173">
        <v>139.78008708988804</v>
      </c>
      <c r="AC16" s="174">
        <v>5870.7636577752974</v>
      </c>
      <c r="AD16" s="173">
        <v>143.97</v>
      </c>
      <c r="AE16" s="177">
        <v>143.97</v>
      </c>
      <c r="AF16" s="174">
        <f t="shared" si="15"/>
        <v>6046.74</v>
      </c>
      <c r="AG16" s="173">
        <f t="shared" si="3"/>
        <v>148.28909999999999</v>
      </c>
      <c r="AH16" s="177">
        <f t="shared" si="3"/>
        <v>148.28909999999999</v>
      </c>
      <c r="AI16" s="174">
        <f t="shared" si="16"/>
        <v>6228.1421999999993</v>
      </c>
      <c r="AJ16" s="173">
        <f t="shared" si="4"/>
        <v>152.737773</v>
      </c>
      <c r="AK16" s="177">
        <f t="shared" si="4"/>
        <v>152.737773</v>
      </c>
      <c r="AL16" s="174">
        <f>AK16*42</f>
        <v>6414.9864660000003</v>
      </c>
      <c r="AM16" s="409" t="s">
        <v>99</v>
      </c>
      <c r="AN16" s="427">
        <v>81.211470640000002</v>
      </c>
      <c r="AO16" s="428">
        <v>81.211470640000002</v>
      </c>
      <c r="AP16" s="429">
        <v>3410.8817668800002</v>
      </c>
      <c r="AQ16" s="409" t="s">
        <v>99</v>
      </c>
      <c r="AR16" s="427">
        <f t="shared" si="5"/>
        <v>83.647814759200003</v>
      </c>
      <c r="AS16" s="428">
        <f t="shared" si="6"/>
        <v>83.647814759200003</v>
      </c>
      <c r="AT16" s="429">
        <f t="shared" si="7"/>
        <v>3513.2082198864005</v>
      </c>
      <c r="AU16" s="427">
        <f t="shared" si="8"/>
        <v>86.157249201976001</v>
      </c>
      <c r="AV16" s="428">
        <f t="shared" si="9"/>
        <v>86.157249201976001</v>
      </c>
      <c r="AW16" s="429">
        <f t="shared" si="10"/>
        <v>3618.6044664829924</v>
      </c>
      <c r="AX16" s="427">
        <f t="shared" si="11"/>
        <v>88.741966678035283</v>
      </c>
      <c r="AY16" s="428">
        <f t="shared" si="12"/>
        <v>88.741966678035283</v>
      </c>
      <c r="AZ16" s="429">
        <f t="shared" si="13"/>
        <v>3727.1626004774821</v>
      </c>
      <c r="BA16" s="427">
        <f t="shared" si="14"/>
        <v>91.404225678376349</v>
      </c>
      <c r="BB16" s="428">
        <f t="shared" si="1"/>
        <v>91.404225678376349</v>
      </c>
      <c r="BC16" s="429">
        <f t="shared" si="2"/>
        <v>3838.9774784918068</v>
      </c>
    </row>
    <row r="17" spans="1:55" ht="15" thickBot="1">
      <c r="A17" s="219">
        <v>224</v>
      </c>
      <c r="B17" s="236" t="s">
        <v>103</v>
      </c>
      <c r="C17" s="221">
        <v>106.75</v>
      </c>
      <c r="D17" s="222">
        <v>206.75</v>
      </c>
      <c r="E17" s="223">
        <v>8683.5</v>
      </c>
      <c r="F17" s="237">
        <v>129</v>
      </c>
      <c r="G17" s="222">
        <v>235.32</v>
      </c>
      <c r="H17" s="223">
        <v>9883.44</v>
      </c>
      <c r="I17" s="229">
        <v>136.095</v>
      </c>
      <c r="J17" s="222">
        <v>248.27259999999998</v>
      </c>
      <c r="K17" s="223">
        <v>10427.449199999999</v>
      </c>
      <c r="L17" s="229">
        <v>142.89975000000001</v>
      </c>
      <c r="M17" s="222">
        <v>260.67573000000004</v>
      </c>
      <c r="N17" s="223">
        <v>10948.380660000003</v>
      </c>
      <c r="O17" s="229">
        <v>149.33023875000001</v>
      </c>
      <c r="P17" s="222">
        <v>272.40613784999999</v>
      </c>
      <c r="Q17" s="223">
        <v>11441.0577897</v>
      </c>
      <c r="R17" s="229">
        <v>149.33023875000001</v>
      </c>
      <c r="S17" s="222">
        <v>272.40613784999999</v>
      </c>
      <c r="T17" s="223">
        <v>11441.0577897</v>
      </c>
      <c r="U17" s="229">
        <v>155.30344830000001</v>
      </c>
      <c r="V17" s="222">
        <v>283.30238336400004</v>
      </c>
      <c r="W17" s="223">
        <v>11898.700101288001</v>
      </c>
      <c r="X17" s="222">
        <v>161.50558623200004</v>
      </c>
      <c r="Y17" s="222">
        <v>294.62947869856009</v>
      </c>
      <c r="Z17" s="223">
        <v>12374.438105339525</v>
      </c>
      <c r="AA17" s="222">
        <v>169.58086554360005</v>
      </c>
      <c r="AB17" s="222">
        <v>309.36095263348807</v>
      </c>
      <c r="AC17" s="223">
        <v>12993.160010606498</v>
      </c>
      <c r="AD17" s="222">
        <v>174.67</v>
      </c>
      <c r="AE17" s="225">
        <v>318.64</v>
      </c>
      <c r="AF17" s="223">
        <f t="shared" si="15"/>
        <v>13382.88</v>
      </c>
      <c r="AG17" s="222">
        <f t="shared" si="3"/>
        <v>179.9101</v>
      </c>
      <c r="AH17" s="225">
        <f t="shared" si="3"/>
        <v>328.19920000000002</v>
      </c>
      <c r="AI17" s="223">
        <f>AH17*42</f>
        <v>13784.366400000001</v>
      </c>
      <c r="AJ17" s="222">
        <f t="shared" si="4"/>
        <v>185.30740299999999</v>
      </c>
      <c r="AK17" s="225">
        <f t="shared" si="4"/>
        <v>338.04517600000003</v>
      </c>
      <c r="AL17" s="223">
        <f t="shared" si="17"/>
        <v>14197.897392000001</v>
      </c>
      <c r="AM17" s="409" t="s">
        <v>102</v>
      </c>
      <c r="AN17" s="427">
        <v>157.31990619000001</v>
      </c>
      <c r="AO17" s="428">
        <v>157.31990619000001</v>
      </c>
      <c r="AP17" s="429">
        <v>6607.4360599800002</v>
      </c>
      <c r="AQ17" s="409" t="s">
        <v>102</v>
      </c>
      <c r="AR17" s="427">
        <f t="shared" si="5"/>
        <v>162.03950337570001</v>
      </c>
      <c r="AS17" s="428">
        <f t="shared" si="6"/>
        <v>162.03950337570001</v>
      </c>
      <c r="AT17" s="429">
        <f t="shared" si="7"/>
        <v>6805.6591417794007</v>
      </c>
      <c r="AU17" s="427">
        <f t="shared" si="8"/>
        <v>166.900688476971</v>
      </c>
      <c r="AV17" s="428">
        <f t="shared" si="9"/>
        <v>166.900688476971</v>
      </c>
      <c r="AW17" s="429">
        <f t="shared" si="10"/>
        <v>7009.8289160327831</v>
      </c>
      <c r="AX17" s="427">
        <f t="shared" si="11"/>
        <v>171.90770913128014</v>
      </c>
      <c r="AY17" s="428">
        <f t="shared" si="12"/>
        <v>171.90770913128014</v>
      </c>
      <c r="AZ17" s="429">
        <f t="shared" si="13"/>
        <v>7220.1237835137672</v>
      </c>
      <c r="BA17" s="427">
        <f t="shared" si="14"/>
        <v>177.06494040521855</v>
      </c>
      <c r="BB17" s="428">
        <f t="shared" si="1"/>
        <v>177.06494040521855</v>
      </c>
      <c r="BC17" s="429">
        <f t="shared" si="2"/>
        <v>7436.7274970191802</v>
      </c>
    </row>
    <row r="18" spans="1:55" ht="15" thickBot="1">
      <c r="A18" s="171">
        <v>210</v>
      </c>
      <c r="B18" s="162" t="s">
        <v>99</v>
      </c>
      <c r="C18" s="172">
        <v>15</v>
      </c>
      <c r="D18" s="173">
        <v>15</v>
      </c>
      <c r="E18" s="174">
        <v>630</v>
      </c>
      <c r="F18" s="235">
        <v>35.32</v>
      </c>
      <c r="G18" s="166">
        <v>35.32</v>
      </c>
      <c r="H18" s="174">
        <v>1483.44</v>
      </c>
      <c r="I18" s="173">
        <v>37.262599999999999</v>
      </c>
      <c r="J18" s="173">
        <v>37.26</v>
      </c>
      <c r="K18" s="174">
        <v>1564.9199999999998</v>
      </c>
      <c r="L18" s="173">
        <v>39.125729999999997</v>
      </c>
      <c r="M18" s="173">
        <v>39.125729999999997</v>
      </c>
      <c r="N18" s="174">
        <v>1643.2806599999999</v>
      </c>
      <c r="O18" s="173">
        <v>40.886387849999991</v>
      </c>
      <c r="P18" s="173">
        <v>40.886387849999991</v>
      </c>
      <c r="Q18" s="174">
        <v>1717.2282896999996</v>
      </c>
      <c r="R18" s="173">
        <v>63.55</v>
      </c>
      <c r="S18" s="173">
        <v>63.55</v>
      </c>
      <c r="T18" s="174">
        <v>2669.1</v>
      </c>
      <c r="U18" s="173">
        <v>66.091999999999999</v>
      </c>
      <c r="V18" s="173">
        <v>66.091999999999999</v>
      </c>
      <c r="W18" s="174">
        <v>2775.864</v>
      </c>
      <c r="X18" s="173">
        <v>68.725679999999997</v>
      </c>
      <c r="Y18" s="173">
        <v>68.725679999999997</v>
      </c>
      <c r="Z18" s="174">
        <v>2886.47856</v>
      </c>
      <c r="AA18" s="173">
        <v>72.161963999999998</v>
      </c>
      <c r="AB18" s="173">
        <v>72.161963999999998</v>
      </c>
      <c r="AC18" s="174">
        <v>3030.8024879999998</v>
      </c>
      <c r="AD18" s="173">
        <v>74.319999999999993</v>
      </c>
      <c r="AE18" s="177">
        <v>74.319999999999993</v>
      </c>
      <c r="AF18" s="174">
        <f t="shared" si="15"/>
        <v>3121.4399999999996</v>
      </c>
      <c r="AG18" s="173">
        <f t="shared" si="3"/>
        <v>76.549599999999998</v>
      </c>
      <c r="AH18" s="177">
        <f t="shared" si="3"/>
        <v>76.549599999999998</v>
      </c>
      <c r="AI18" s="174">
        <f t="shared" si="16"/>
        <v>3215.0832</v>
      </c>
      <c r="AJ18" s="173">
        <f t="shared" si="4"/>
        <v>78.846087999999995</v>
      </c>
      <c r="AK18" s="177">
        <f t="shared" si="4"/>
        <v>78.846087999999995</v>
      </c>
      <c r="AL18" s="174">
        <f t="shared" si="17"/>
        <v>3311.5356959999999</v>
      </c>
      <c r="AM18" s="411" t="s">
        <v>103</v>
      </c>
      <c r="AN18" s="430">
        <v>190.86662508999999</v>
      </c>
      <c r="AO18" s="431">
        <v>348.18653128000005</v>
      </c>
      <c r="AP18" s="432">
        <v>14623.83431376</v>
      </c>
      <c r="AQ18" s="411" t="s">
        <v>103</v>
      </c>
      <c r="AR18" s="430">
        <f t="shared" si="5"/>
        <v>196.59262384269999</v>
      </c>
      <c r="AS18" s="431">
        <f t="shared" si="6"/>
        <v>358.63212721840006</v>
      </c>
      <c r="AT18" s="432">
        <f t="shared" si="7"/>
        <v>15062.549343172801</v>
      </c>
      <c r="AU18" s="430">
        <f t="shared" si="8"/>
        <v>202.49040255798099</v>
      </c>
      <c r="AV18" s="431">
        <f t="shared" si="9"/>
        <v>369.39109103495207</v>
      </c>
      <c r="AW18" s="432">
        <f t="shared" si="10"/>
        <v>15514.425823467986</v>
      </c>
      <c r="AX18" s="430">
        <f t="shared" si="11"/>
        <v>208.56511463472043</v>
      </c>
      <c r="AY18" s="431">
        <f t="shared" si="12"/>
        <v>380.47282376600066</v>
      </c>
      <c r="AZ18" s="432">
        <f t="shared" si="13"/>
        <v>15979.858598172026</v>
      </c>
      <c r="BA18" s="430">
        <f t="shared" si="14"/>
        <v>214.82206807376204</v>
      </c>
      <c r="BB18" s="431">
        <f t="shared" si="1"/>
        <v>391.8870084789807</v>
      </c>
      <c r="BC18" s="432">
        <f t="shared" si="2"/>
        <v>16459.254356117188</v>
      </c>
    </row>
    <row r="19" spans="1:55" ht="14.25">
      <c r="A19" s="171">
        <v>260</v>
      </c>
      <c r="B19" s="162" t="s">
        <v>102</v>
      </c>
      <c r="C19" s="172">
        <v>100</v>
      </c>
      <c r="D19" s="173">
        <v>100</v>
      </c>
      <c r="E19" s="174">
        <v>4200</v>
      </c>
      <c r="F19" s="186">
        <v>106.32</v>
      </c>
      <c r="G19" s="173">
        <v>106.32</v>
      </c>
      <c r="H19" s="174">
        <v>4465.4399999999996</v>
      </c>
      <c r="I19" s="173">
        <v>112.16759999999999</v>
      </c>
      <c r="J19" s="173">
        <v>112.16759999999999</v>
      </c>
      <c r="K19" s="174">
        <v>4711.0391999999993</v>
      </c>
      <c r="L19" s="173">
        <v>117.77598</v>
      </c>
      <c r="M19" s="173">
        <v>117.77598</v>
      </c>
      <c r="N19" s="174">
        <v>4946.5911599999999</v>
      </c>
      <c r="O19" s="173">
        <v>123.0758991</v>
      </c>
      <c r="P19" s="173">
        <v>123.0758991</v>
      </c>
      <c r="Q19" s="174">
        <v>5169.1877622000002</v>
      </c>
      <c r="R19" s="173">
        <v>123.0758991</v>
      </c>
      <c r="S19" s="173">
        <v>123.0758991</v>
      </c>
      <c r="T19" s="174">
        <v>5169.1877622000002</v>
      </c>
      <c r="U19" s="173">
        <v>127.99893506400001</v>
      </c>
      <c r="V19" s="173">
        <v>127.99893506400001</v>
      </c>
      <c r="W19" s="174">
        <v>5375.9552726880002</v>
      </c>
      <c r="X19" s="173">
        <v>133.11889246656003</v>
      </c>
      <c r="Y19" s="173">
        <v>133.11889246656003</v>
      </c>
      <c r="Z19" s="174">
        <v>5590.993483595521</v>
      </c>
      <c r="AA19" s="173">
        <v>139.78008708988804</v>
      </c>
      <c r="AB19" s="173">
        <v>139.78008708988804</v>
      </c>
      <c r="AC19" s="174">
        <v>5870.7636577752974</v>
      </c>
      <c r="AD19" s="173">
        <v>143.97</v>
      </c>
      <c r="AE19" s="177">
        <v>143.97</v>
      </c>
      <c r="AF19" s="174">
        <f t="shared" si="15"/>
        <v>6046.74</v>
      </c>
      <c r="AG19" s="173">
        <f t="shared" si="3"/>
        <v>148.28909999999999</v>
      </c>
      <c r="AH19" s="177">
        <f t="shared" si="3"/>
        <v>148.28909999999999</v>
      </c>
      <c r="AI19" s="174">
        <f t="shared" si="16"/>
        <v>6228.1421999999993</v>
      </c>
      <c r="AJ19" s="173">
        <f t="shared" si="4"/>
        <v>152.737773</v>
      </c>
      <c r="AK19" s="177">
        <f t="shared" si="4"/>
        <v>152.737773</v>
      </c>
      <c r="AL19" s="174">
        <f t="shared" si="17"/>
        <v>6414.9864660000003</v>
      </c>
      <c r="AM19" s="409" t="s">
        <v>99</v>
      </c>
      <c r="AN19" s="427">
        <v>81.211470640000002</v>
      </c>
      <c r="AO19" s="428">
        <v>81.211470640000002</v>
      </c>
      <c r="AP19" s="429">
        <v>3410.8817668800002</v>
      </c>
      <c r="AQ19" s="409" t="s">
        <v>99</v>
      </c>
      <c r="AR19" s="427">
        <f t="shared" si="5"/>
        <v>83.647814759200003</v>
      </c>
      <c r="AS19" s="428">
        <f t="shared" si="6"/>
        <v>83.647814759200003</v>
      </c>
      <c r="AT19" s="429">
        <f t="shared" si="7"/>
        <v>3513.2082198864005</v>
      </c>
      <c r="AU19" s="427">
        <f t="shared" si="8"/>
        <v>86.157249201976001</v>
      </c>
      <c r="AV19" s="428">
        <f t="shared" si="9"/>
        <v>86.157249201976001</v>
      </c>
      <c r="AW19" s="429">
        <f t="shared" si="10"/>
        <v>3618.6044664829924</v>
      </c>
      <c r="AX19" s="427">
        <f t="shared" si="11"/>
        <v>88.741966678035283</v>
      </c>
      <c r="AY19" s="428">
        <f t="shared" si="12"/>
        <v>88.741966678035283</v>
      </c>
      <c r="AZ19" s="429">
        <f t="shared" si="13"/>
        <v>3727.1626004774821</v>
      </c>
      <c r="BA19" s="427">
        <f t="shared" si="14"/>
        <v>91.404225678376349</v>
      </c>
      <c r="BB19" s="428">
        <f t="shared" si="1"/>
        <v>91.404225678376349</v>
      </c>
      <c r="BC19" s="429">
        <f t="shared" si="2"/>
        <v>3838.9774784918068</v>
      </c>
    </row>
    <row r="20" spans="1:55" ht="14.25">
      <c r="A20" s="178">
        <v>231</v>
      </c>
      <c r="B20" s="163" t="s">
        <v>104</v>
      </c>
      <c r="C20" s="179">
        <v>22.089552238805972</v>
      </c>
      <c r="D20" s="180">
        <v>122.09</v>
      </c>
      <c r="E20" s="181">
        <v>5127.78</v>
      </c>
      <c r="F20" s="179">
        <v>22.089552238805972</v>
      </c>
      <c r="G20" s="180">
        <v>128.40955223880596</v>
      </c>
      <c r="H20" s="181">
        <v>5393.2011940298498</v>
      </c>
      <c r="I20" s="179">
        <v>23.3044776119403</v>
      </c>
      <c r="J20" s="180">
        <v>135.47207761194028</v>
      </c>
      <c r="K20" s="181">
        <v>5689.827259701492</v>
      </c>
      <c r="L20" s="179">
        <v>24.469701492537315</v>
      </c>
      <c r="M20" s="180">
        <v>142.24568149253733</v>
      </c>
      <c r="N20" s="181">
        <v>5974.3186226865682</v>
      </c>
      <c r="O20" s="179">
        <v>25.570838059701494</v>
      </c>
      <c r="P20" s="180">
        <v>148.6467371597015</v>
      </c>
      <c r="Q20" s="181">
        <v>6243.1629607074628</v>
      </c>
      <c r="R20" s="179">
        <v>25.570838059701494</v>
      </c>
      <c r="S20" s="180">
        <v>148.6467371597015</v>
      </c>
      <c r="T20" s="181">
        <v>6243.1629607074628</v>
      </c>
      <c r="U20" s="179">
        <v>26.593671582089556</v>
      </c>
      <c r="V20" s="180">
        <v>154.59260664608956</v>
      </c>
      <c r="W20" s="181">
        <v>6492.8894791357616</v>
      </c>
      <c r="X20" s="180">
        <v>27.647418445373138</v>
      </c>
      <c r="Y20" s="180">
        <v>160.76631091193318</v>
      </c>
      <c r="Z20" s="181">
        <v>6752.1850583011937</v>
      </c>
      <c r="AA20" s="180">
        <v>29.029789367641797</v>
      </c>
      <c r="AB20" s="180">
        <v>168.80987645752984</v>
      </c>
      <c r="AC20" s="181">
        <v>7090.0148112162533</v>
      </c>
      <c r="AD20" s="180">
        <v>29.9</v>
      </c>
      <c r="AE20" s="177">
        <v>173.87</v>
      </c>
      <c r="AF20" s="181">
        <f t="shared" si="15"/>
        <v>7302.54</v>
      </c>
      <c r="AG20" s="180">
        <f t="shared" si="3"/>
        <v>30.797000000000001</v>
      </c>
      <c r="AH20" s="177">
        <f t="shared" si="3"/>
        <v>179.08610000000002</v>
      </c>
      <c r="AI20" s="181">
        <f t="shared" si="16"/>
        <v>7521.6162000000004</v>
      </c>
      <c r="AJ20" s="180">
        <f t="shared" si="4"/>
        <v>31.72091</v>
      </c>
      <c r="AK20" s="177">
        <f t="shared" si="4"/>
        <v>184.45868300000001</v>
      </c>
      <c r="AL20" s="181">
        <f>AK20*42</f>
        <v>7747.2646860000004</v>
      </c>
      <c r="AM20" s="409" t="s">
        <v>102</v>
      </c>
      <c r="AN20" s="427">
        <v>157.31990619000001</v>
      </c>
      <c r="AO20" s="428">
        <v>157.31990619000001</v>
      </c>
      <c r="AP20" s="429">
        <v>6607.4360599800002</v>
      </c>
      <c r="AQ20" s="409" t="s">
        <v>102</v>
      </c>
      <c r="AR20" s="427">
        <f t="shared" si="5"/>
        <v>162.03950337570001</v>
      </c>
      <c r="AS20" s="428">
        <f t="shared" si="6"/>
        <v>162.03950337570001</v>
      </c>
      <c r="AT20" s="429">
        <f t="shared" si="7"/>
        <v>6805.6591417794007</v>
      </c>
      <c r="AU20" s="427">
        <f t="shared" si="8"/>
        <v>166.900688476971</v>
      </c>
      <c r="AV20" s="428">
        <f t="shared" si="9"/>
        <v>166.900688476971</v>
      </c>
      <c r="AW20" s="429">
        <f t="shared" si="10"/>
        <v>7009.8289160327831</v>
      </c>
      <c r="AX20" s="427">
        <f t="shared" si="11"/>
        <v>171.90770913128014</v>
      </c>
      <c r="AY20" s="428">
        <f t="shared" si="12"/>
        <v>171.90770913128014</v>
      </c>
      <c r="AZ20" s="429">
        <f t="shared" si="13"/>
        <v>7220.1237835137672</v>
      </c>
      <c r="BA20" s="427">
        <f t="shared" si="14"/>
        <v>177.06494040521855</v>
      </c>
      <c r="BB20" s="428">
        <f t="shared" si="1"/>
        <v>177.06494040521855</v>
      </c>
      <c r="BC20" s="429">
        <f t="shared" si="2"/>
        <v>7436.7274970191802</v>
      </c>
    </row>
    <row r="21" spans="1:55" ht="14.25">
      <c r="A21" s="171">
        <v>221</v>
      </c>
      <c r="B21" s="162" t="s">
        <v>105</v>
      </c>
      <c r="C21" s="172">
        <v>40</v>
      </c>
      <c r="D21" s="173">
        <v>140</v>
      </c>
      <c r="E21" s="174">
        <v>5880</v>
      </c>
      <c r="F21" s="186">
        <v>40</v>
      </c>
      <c r="G21" s="173">
        <v>146.32</v>
      </c>
      <c r="H21" s="174">
        <v>6145.44</v>
      </c>
      <c r="I21" s="173">
        <v>42.2</v>
      </c>
      <c r="J21" s="173">
        <v>154.36759999999998</v>
      </c>
      <c r="K21" s="174">
        <v>6483.4391999999989</v>
      </c>
      <c r="L21" s="173">
        <v>44.31</v>
      </c>
      <c r="M21" s="173">
        <v>162.08598000000001</v>
      </c>
      <c r="N21" s="174">
        <v>6807.6111600000004</v>
      </c>
      <c r="O21" s="173">
        <v>46.30395</v>
      </c>
      <c r="P21" s="173">
        <v>169.3798491</v>
      </c>
      <c r="Q21" s="174">
        <v>7113.9536621999996</v>
      </c>
      <c r="R21" s="173">
        <v>46.30395</v>
      </c>
      <c r="S21" s="173">
        <v>169.3798491</v>
      </c>
      <c r="T21" s="174">
        <v>7113.9536621999996</v>
      </c>
      <c r="U21" s="173">
        <v>48.156108000000003</v>
      </c>
      <c r="V21" s="173">
        <v>176.15504306400001</v>
      </c>
      <c r="W21" s="174">
        <v>7398.5118086880002</v>
      </c>
      <c r="X21" s="173">
        <v>50.092352320000003</v>
      </c>
      <c r="Y21" s="173">
        <v>183.21124478656003</v>
      </c>
      <c r="Z21" s="174">
        <v>7694.8722810355212</v>
      </c>
      <c r="AA21" s="173">
        <v>52.58696993600001</v>
      </c>
      <c r="AB21" s="173">
        <v>192.36705702588804</v>
      </c>
      <c r="AC21" s="174">
        <v>8079.416395087298</v>
      </c>
      <c r="AD21" s="173">
        <v>54.17</v>
      </c>
      <c r="AE21" s="177">
        <v>198.14</v>
      </c>
      <c r="AF21" s="174">
        <f t="shared" si="15"/>
        <v>8321.8799999999992</v>
      </c>
      <c r="AG21" s="173">
        <f>AD21*(1+$AI$2)-0.01</f>
        <v>55.785100000000007</v>
      </c>
      <c r="AH21" s="177">
        <f t="shared" si="3"/>
        <v>204.08419999999998</v>
      </c>
      <c r="AI21" s="174">
        <f t="shared" si="16"/>
        <v>8571.536399999999</v>
      </c>
      <c r="AJ21" s="173">
        <f>AG21*(1+$AI$2)-0.01</f>
        <v>57.448653000000007</v>
      </c>
      <c r="AK21" s="177">
        <f>AH21*(1+$AI$2)-0.02</f>
        <v>210.18672599999996</v>
      </c>
      <c r="AL21" s="174">
        <f t="shared" si="17"/>
        <v>8827.8424919999979</v>
      </c>
      <c r="AM21" s="409" t="s">
        <v>104</v>
      </c>
      <c r="AN21" s="427">
        <v>32.672537300000002</v>
      </c>
      <c r="AO21" s="428">
        <v>189.99244349</v>
      </c>
      <c r="AP21" s="429">
        <v>7979.6826265800009</v>
      </c>
      <c r="AQ21" s="409" t="s">
        <v>104</v>
      </c>
      <c r="AR21" s="427">
        <f t="shared" si="5"/>
        <v>33.652713419000001</v>
      </c>
      <c r="AS21" s="428">
        <f t="shared" si="6"/>
        <v>195.69221679470002</v>
      </c>
      <c r="AT21" s="429">
        <f t="shared" si="7"/>
        <v>8219.0731053774016</v>
      </c>
      <c r="AU21" s="427">
        <f t="shared" si="8"/>
        <v>34.662294821570001</v>
      </c>
      <c r="AV21" s="428">
        <f t="shared" si="9"/>
        <v>201.56298329854101</v>
      </c>
      <c r="AW21" s="429">
        <f t="shared" si="10"/>
        <v>8465.6452985387241</v>
      </c>
      <c r="AX21" s="427">
        <f t="shared" si="11"/>
        <v>35.702163666217103</v>
      </c>
      <c r="AY21" s="428">
        <f t="shared" si="12"/>
        <v>207.60987279749725</v>
      </c>
      <c r="AZ21" s="429">
        <f t="shared" si="13"/>
        <v>8719.6146574948853</v>
      </c>
      <c r="BA21" s="427">
        <f t="shared" si="14"/>
        <v>36.773228576203614</v>
      </c>
      <c r="BB21" s="428">
        <f t="shared" si="1"/>
        <v>213.83816898142217</v>
      </c>
      <c r="BC21" s="429">
        <f t="shared" si="2"/>
        <v>8981.2030972197317</v>
      </c>
    </row>
    <row r="22" spans="1:55" ht="14.25">
      <c r="A22" s="171">
        <v>225</v>
      </c>
      <c r="B22" s="227" t="s">
        <v>106</v>
      </c>
      <c r="C22" s="172">
        <v>19.07</v>
      </c>
      <c r="D22" s="173">
        <v>159.07</v>
      </c>
      <c r="E22" s="174">
        <v>6680.94</v>
      </c>
      <c r="F22" s="186">
        <v>74</v>
      </c>
      <c r="G22" s="173">
        <v>220.32</v>
      </c>
      <c r="H22" s="174">
        <v>9253.44</v>
      </c>
      <c r="I22" s="173">
        <v>78.069999999999993</v>
      </c>
      <c r="J22" s="173">
        <v>232.43759999999997</v>
      </c>
      <c r="K22" s="174">
        <v>9762.3791999999994</v>
      </c>
      <c r="L22" s="173">
        <v>81.973500000000001</v>
      </c>
      <c r="M22" s="173">
        <v>244.05948000000001</v>
      </c>
      <c r="N22" s="174">
        <v>10250.498160000001</v>
      </c>
      <c r="O22" s="173">
        <v>85.662307499999997</v>
      </c>
      <c r="P22" s="173">
        <v>255.0421566</v>
      </c>
      <c r="Q22" s="174">
        <v>10711.770577200001</v>
      </c>
      <c r="R22" s="173">
        <v>85.662307499999997</v>
      </c>
      <c r="S22" s="173">
        <v>255.0421566</v>
      </c>
      <c r="T22" s="174">
        <v>10711.770577200001</v>
      </c>
      <c r="U22" s="173">
        <v>89.088799800000004</v>
      </c>
      <c r="V22" s="173">
        <v>265.24384286400004</v>
      </c>
      <c r="W22" s="174">
        <v>11140.241400288001</v>
      </c>
      <c r="X22" s="173">
        <v>92.642351791999999</v>
      </c>
      <c r="Y22" s="173">
        <v>275.85359657856003</v>
      </c>
      <c r="Z22" s="174">
        <v>11585.851056299522</v>
      </c>
      <c r="AA22" s="173">
        <v>97.284469381600005</v>
      </c>
      <c r="AB22" s="173">
        <v>289.65152640748806</v>
      </c>
      <c r="AC22" s="174">
        <v>12165.364109114498</v>
      </c>
      <c r="AD22" s="173">
        <v>100.2</v>
      </c>
      <c r="AE22" s="177">
        <v>298.33999999999997</v>
      </c>
      <c r="AF22" s="174">
        <f t="shared" si="15"/>
        <v>12530.279999999999</v>
      </c>
      <c r="AG22" s="173">
        <f t="shared" si="3"/>
        <v>103.206</v>
      </c>
      <c r="AH22" s="177">
        <f t="shared" si="3"/>
        <v>307.29019999999997</v>
      </c>
      <c r="AI22" s="174">
        <f t="shared" si="16"/>
        <v>12906.188399999999</v>
      </c>
      <c r="AJ22" s="173">
        <f t="shared" ref="AJ22:AK35" si="18">AG22*(1+$AI$2)</f>
        <v>106.30218000000001</v>
      </c>
      <c r="AK22" s="177">
        <f>AH22*(1+$AI$2)-0.02</f>
        <v>316.48890599999999</v>
      </c>
      <c r="AL22" s="174">
        <f t="shared" si="17"/>
        <v>13292.534051999999</v>
      </c>
      <c r="AM22" s="409" t="s">
        <v>105</v>
      </c>
      <c r="AN22" s="427">
        <v>59.172112590000012</v>
      </c>
      <c r="AO22" s="428">
        <v>216.49232777999998</v>
      </c>
      <c r="AP22" s="429">
        <v>9092.6777667599981</v>
      </c>
      <c r="AQ22" s="409" t="s">
        <v>105</v>
      </c>
      <c r="AR22" s="427">
        <f t="shared" si="5"/>
        <v>60.947275967700016</v>
      </c>
      <c r="AS22" s="428">
        <f t="shared" si="6"/>
        <v>222.98709761339998</v>
      </c>
      <c r="AT22" s="429">
        <f t="shared" si="7"/>
        <v>9365.4580997627982</v>
      </c>
      <c r="AU22" s="427">
        <f t="shared" si="8"/>
        <v>62.775694246731021</v>
      </c>
      <c r="AV22" s="428">
        <f t="shared" si="9"/>
        <v>229.67671054180198</v>
      </c>
      <c r="AW22" s="429">
        <f t="shared" si="10"/>
        <v>9646.4218427556825</v>
      </c>
      <c r="AX22" s="427">
        <f t="shared" si="11"/>
        <v>64.658965074132951</v>
      </c>
      <c r="AY22" s="428">
        <f t="shared" si="12"/>
        <v>236.56701185805605</v>
      </c>
      <c r="AZ22" s="429">
        <f t="shared" si="13"/>
        <v>9935.8144980383531</v>
      </c>
      <c r="BA22" s="427">
        <f t="shared" si="14"/>
        <v>66.598734026356937</v>
      </c>
      <c r="BB22" s="428">
        <f t="shared" si="1"/>
        <v>243.66402221379775</v>
      </c>
      <c r="BC22" s="429">
        <f t="shared" si="2"/>
        <v>10233.888932979504</v>
      </c>
    </row>
    <row r="23" spans="1:55" ht="14.25">
      <c r="A23" s="171">
        <v>228</v>
      </c>
      <c r="B23" s="162" t="s">
        <v>107</v>
      </c>
      <c r="C23" s="172">
        <v>47.68</v>
      </c>
      <c r="D23" s="173">
        <v>206.75</v>
      </c>
      <c r="E23" s="174">
        <v>8683.5</v>
      </c>
      <c r="F23" s="186">
        <v>15</v>
      </c>
      <c r="G23" s="173">
        <v>235.32</v>
      </c>
      <c r="H23" s="174">
        <v>9883.44</v>
      </c>
      <c r="I23" s="173">
        <v>15.824999999999999</v>
      </c>
      <c r="J23" s="173">
        <v>248.27259999999995</v>
      </c>
      <c r="K23" s="174">
        <v>10427.449199999997</v>
      </c>
      <c r="L23" s="173">
        <v>16.616250000000001</v>
      </c>
      <c r="M23" s="173">
        <v>260.67572999999999</v>
      </c>
      <c r="N23" s="174">
        <v>10948.380659999999</v>
      </c>
      <c r="O23" s="173">
        <v>17.372289375000001</v>
      </c>
      <c r="P23" s="173">
        <v>272.41444597499998</v>
      </c>
      <c r="Q23" s="174">
        <v>11441.406730949999</v>
      </c>
      <c r="R23" s="173">
        <v>17.363981249999998</v>
      </c>
      <c r="S23" s="173">
        <v>272.40613784999999</v>
      </c>
      <c r="T23" s="174">
        <v>11441.0577897</v>
      </c>
      <c r="U23" s="173">
        <v>18.058540499999999</v>
      </c>
      <c r="V23" s="173">
        <v>283.30238336400004</v>
      </c>
      <c r="W23" s="174">
        <v>11898.700101288001</v>
      </c>
      <c r="X23" s="173">
        <v>18.780882120000001</v>
      </c>
      <c r="Y23" s="173">
        <v>294.63447869856003</v>
      </c>
      <c r="Z23" s="174">
        <v>12374.648105339522</v>
      </c>
      <c r="AA23" s="173">
        <v>19.709926226</v>
      </c>
      <c r="AB23" s="173">
        <v>309.36145263348806</v>
      </c>
      <c r="AC23" s="174">
        <v>12993.181010606499</v>
      </c>
      <c r="AD23" s="173">
        <v>20.3</v>
      </c>
      <c r="AE23" s="177">
        <v>318.64</v>
      </c>
      <c r="AF23" s="174">
        <f t="shared" si="15"/>
        <v>13382.88</v>
      </c>
      <c r="AG23" s="173">
        <f t="shared" si="3"/>
        <v>20.909000000000002</v>
      </c>
      <c r="AH23" s="177">
        <f t="shared" si="3"/>
        <v>328.19920000000002</v>
      </c>
      <c r="AI23" s="174">
        <f t="shared" si="16"/>
        <v>13784.366400000001</v>
      </c>
      <c r="AJ23" s="173">
        <f>AG23*(1+$AI$2)+0.03</f>
        <v>21.566270000000003</v>
      </c>
      <c r="AK23" s="177">
        <f>AH23*(1+$AI$2)</f>
        <v>338.04517600000003</v>
      </c>
      <c r="AL23" s="174">
        <f t="shared" si="17"/>
        <v>14197.897392000001</v>
      </c>
      <c r="AM23" s="409" t="s">
        <v>106</v>
      </c>
      <c r="AN23" s="427">
        <v>109.49124540000001</v>
      </c>
      <c r="AO23" s="428">
        <v>325.98357318000001</v>
      </c>
      <c r="AP23" s="429">
        <v>13691.31007356</v>
      </c>
      <c r="AQ23" s="409" t="s">
        <v>106</v>
      </c>
      <c r="AR23" s="427">
        <f t="shared" si="5"/>
        <v>112.77598276200001</v>
      </c>
      <c r="AS23" s="428">
        <f t="shared" si="6"/>
        <v>335.76308037540002</v>
      </c>
      <c r="AT23" s="429">
        <f t="shared" si="7"/>
        <v>14102.049375766801</v>
      </c>
      <c r="AU23" s="427">
        <f t="shared" si="8"/>
        <v>116.15926224486002</v>
      </c>
      <c r="AV23" s="428">
        <f t="shared" si="9"/>
        <v>345.83597278666201</v>
      </c>
      <c r="AW23" s="429">
        <f t="shared" si="10"/>
        <v>14525.110857039805</v>
      </c>
      <c r="AX23" s="427">
        <f t="shared" si="11"/>
        <v>119.64404011220581</v>
      </c>
      <c r="AY23" s="428">
        <f t="shared" si="12"/>
        <v>356.21105197026191</v>
      </c>
      <c r="AZ23" s="429">
        <f t="shared" si="13"/>
        <v>14960.864182751</v>
      </c>
      <c r="BA23" s="427">
        <f t="shared" si="14"/>
        <v>123.233361315572</v>
      </c>
      <c r="BB23" s="428">
        <f t="shared" si="1"/>
        <v>366.89738352936979</v>
      </c>
      <c r="BC23" s="429">
        <f t="shared" si="2"/>
        <v>15409.69010823353</v>
      </c>
    </row>
    <row r="24" spans="1:55" ht="15" thickBot="1">
      <c r="A24" s="219">
        <v>227</v>
      </c>
      <c r="B24" s="236" t="s">
        <v>108</v>
      </c>
      <c r="C24" s="229">
        <v>0</v>
      </c>
      <c r="D24" s="222">
        <v>0</v>
      </c>
      <c r="E24" s="223">
        <v>0</v>
      </c>
      <c r="F24" s="222">
        <v>0</v>
      </c>
      <c r="G24" s="222">
        <v>0</v>
      </c>
      <c r="H24" s="223">
        <v>0</v>
      </c>
      <c r="I24" s="229">
        <v>0</v>
      </c>
      <c r="J24" s="222">
        <v>0</v>
      </c>
      <c r="K24" s="223">
        <v>0</v>
      </c>
      <c r="L24" s="229">
        <v>0</v>
      </c>
      <c r="M24" s="222">
        <v>0</v>
      </c>
      <c r="N24" s="223">
        <v>0</v>
      </c>
      <c r="O24" s="229">
        <v>0</v>
      </c>
      <c r="P24" s="222">
        <v>0</v>
      </c>
      <c r="Q24" s="223">
        <v>0</v>
      </c>
      <c r="R24" s="229">
        <v>0</v>
      </c>
      <c r="S24" s="222">
        <v>0</v>
      </c>
      <c r="T24" s="223">
        <v>0</v>
      </c>
      <c r="U24" s="229">
        <v>0</v>
      </c>
      <c r="V24" s="222">
        <v>0</v>
      </c>
      <c r="W24" s="223">
        <v>0</v>
      </c>
      <c r="X24" s="222">
        <v>0</v>
      </c>
      <c r="Y24" s="222">
        <v>0</v>
      </c>
      <c r="Z24" s="223">
        <v>0</v>
      </c>
      <c r="AA24" s="222">
        <v>0</v>
      </c>
      <c r="AB24" s="222">
        <v>0</v>
      </c>
      <c r="AC24" s="223">
        <v>0</v>
      </c>
      <c r="AD24" s="222">
        <v>0</v>
      </c>
      <c r="AE24" s="225">
        <v>0</v>
      </c>
      <c r="AF24" s="223">
        <f t="shared" si="15"/>
        <v>0</v>
      </c>
      <c r="AG24" s="222">
        <f t="shared" si="3"/>
        <v>0</v>
      </c>
      <c r="AH24" s="225">
        <f t="shared" si="3"/>
        <v>0</v>
      </c>
      <c r="AI24" s="223">
        <f t="shared" si="16"/>
        <v>0</v>
      </c>
      <c r="AJ24" s="222">
        <f t="shared" si="18"/>
        <v>0</v>
      </c>
      <c r="AK24" s="225">
        <f t="shared" si="18"/>
        <v>0</v>
      </c>
      <c r="AL24" s="223">
        <f t="shared" si="17"/>
        <v>0</v>
      </c>
      <c r="AM24" s="409" t="s">
        <v>107</v>
      </c>
      <c r="AN24" s="427">
        <v>22.213258100000004</v>
      </c>
      <c r="AO24" s="428">
        <v>348.18653128000005</v>
      </c>
      <c r="AP24" s="429">
        <v>14623.83431376</v>
      </c>
      <c r="AQ24" s="409" t="s">
        <v>107</v>
      </c>
      <c r="AR24" s="427">
        <f t="shared" si="5"/>
        <v>22.879655843000005</v>
      </c>
      <c r="AS24" s="428">
        <f t="shared" si="6"/>
        <v>358.63212721840006</v>
      </c>
      <c r="AT24" s="429">
        <f t="shared" si="7"/>
        <v>15062.549343172801</v>
      </c>
      <c r="AU24" s="427">
        <f t="shared" si="8"/>
        <v>23.566045518290007</v>
      </c>
      <c r="AV24" s="428">
        <f t="shared" si="9"/>
        <v>369.39109103495207</v>
      </c>
      <c r="AW24" s="429">
        <f t="shared" si="10"/>
        <v>15514.425823467986</v>
      </c>
      <c r="AX24" s="427">
        <f t="shared" si="11"/>
        <v>24.273026883838707</v>
      </c>
      <c r="AY24" s="428">
        <f t="shared" si="12"/>
        <v>380.47282376600066</v>
      </c>
      <c r="AZ24" s="429">
        <f t="shared" si="13"/>
        <v>15979.858598172026</v>
      </c>
      <c r="BA24" s="427">
        <f t="shared" si="14"/>
        <v>25.001217690353869</v>
      </c>
      <c r="BB24" s="428">
        <f t="shared" si="1"/>
        <v>391.8870084789807</v>
      </c>
      <c r="BC24" s="429">
        <f t="shared" si="2"/>
        <v>16459.254356117188</v>
      </c>
    </row>
    <row r="25" spans="1:55" ht="15" thickBot="1">
      <c r="A25" s="171">
        <v>210</v>
      </c>
      <c r="B25" s="162" t="s">
        <v>99</v>
      </c>
      <c r="C25" s="172">
        <v>15</v>
      </c>
      <c r="D25" s="173">
        <v>15</v>
      </c>
      <c r="E25" s="174">
        <v>630</v>
      </c>
      <c r="F25" s="235">
        <v>35.32</v>
      </c>
      <c r="G25" s="166">
        <v>35.32</v>
      </c>
      <c r="H25" s="174">
        <v>1483.44</v>
      </c>
      <c r="I25" s="173">
        <v>37.262599999999999</v>
      </c>
      <c r="J25" s="173">
        <v>37.262599999999999</v>
      </c>
      <c r="K25" s="174">
        <v>1565.0291999999999</v>
      </c>
      <c r="L25" s="173">
        <v>39.125729999999997</v>
      </c>
      <c r="M25" s="173">
        <v>39.125729999999997</v>
      </c>
      <c r="N25" s="174">
        <v>1643.2806599999999</v>
      </c>
      <c r="O25" s="173">
        <v>40.886387849999991</v>
      </c>
      <c r="P25" s="173">
        <v>40.886387849999991</v>
      </c>
      <c r="Q25" s="174">
        <v>1717.2282896999996</v>
      </c>
      <c r="R25" s="173">
        <v>63.55</v>
      </c>
      <c r="S25" s="173">
        <v>63.55</v>
      </c>
      <c r="T25" s="174">
        <v>2669.1</v>
      </c>
      <c r="U25" s="173">
        <v>66.091999999999999</v>
      </c>
      <c r="V25" s="173">
        <v>66.091999999999999</v>
      </c>
      <c r="W25" s="174">
        <v>2775.864</v>
      </c>
      <c r="X25" s="173">
        <v>68.725679999999997</v>
      </c>
      <c r="Y25" s="173">
        <v>68.725679999999997</v>
      </c>
      <c r="Z25" s="174">
        <v>2886.47856</v>
      </c>
      <c r="AA25" s="173">
        <v>72.161963999999998</v>
      </c>
      <c r="AB25" s="173">
        <v>72.161963999999998</v>
      </c>
      <c r="AC25" s="174">
        <v>3030.8024879999998</v>
      </c>
      <c r="AD25" s="173">
        <v>74.319999999999993</v>
      </c>
      <c r="AE25" s="177">
        <v>74.319999999999993</v>
      </c>
      <c r="AF25" s="174">
        <f t="shared" si="15"/>
        <v>3121.4399999999996</v>
      </c>
      <c r="AG25" s="173">
        <f t="shared" si="3"/>
        <v>76.549599999999998</v>
      </c>
      <c r="AH25" s="177">
        <f t="shared" si="3"/>
        <v>76.549599999999998</v>
      </c>
      <c r="AI25" s="174">
        <f t="shared" si="16"/>
        <v>3215.0832</v>
      </c>
      <c r="AJ25" s="173">
        <f t="shared" si="18"/>
        <v>78.846087999999995</v>
      </c>
      <c r="AK25" s="177">
        <f t="shared" si="18"/>
        <v>78.846087999999995</v>
      </c>
      <c r="AL25" s="174">
        <f t="shared" si="17"/>
        <v>3311.5356959999999</v>
      </c>
      <c r="AM25" s="411" t="s">
        <v>108</v>
      </c>
      <c r="AN25" s="430">
        <v>0</v>
      </c>
      <c r="AO25" s="431">
        <v>0</v>
      </c>
      <c r="AP25" s="432">
        <v>0</v>
      </c>
      <c r="AQ25" s="411" t="s">
        <v>108</v>
      </c>
      <c r="AR25" s="430">
        <f t="shared" si="5"/>
        <v>0</v>
      </c>
      <c r="AS25" s="431">
        <f t="shared" si="6"/>
        <v>0</v>
      </c>
      <c r="AT25" s="432">
        <f t="shared" si="7"/>
        <v>0</v>
      </c>
      <c r="AU25" s="430">
        <f t="shared" si="8"/>
        <v>0</v>
      </c>
      <c r="AV25" s="431">
        <f t="shared" si="9"/>
        <v>0</v>
      </c>
      <c r="AW25" s="432">
        <f t="shared" si="10"/>
        <v>0</v>
      </c>
      <c r="AX25" s="430">
        <f t="shared" si="11"/>
        <v>0</v>
      </c>
      <c r="AY25" s="431">
        <f t="shared" si="12"/>
        <v>0</v>
      </c>
      <c r="AZ25" s="432">
        <f t="shared" si="13"/>
        <v>0</v>
      </c>
      <c r="BA25" s="430">
        <f t="shared" si="14"/>
        <v>0</v>
      </c>
      <c r="BB25" s="431">
        <f t="shared" si="1"/>
        <v>0</v>
      </c>
      <c r="BC25" s="432">
        <f t="shared" si="2"/>
        <v>0</v>
      </c>
    </row>
    <row r="26" spans="1:55" ht="14.25">
      <c r="A26" s="171">
        <v>260</v>
      </c>
      <c r="B26" s="162" t="s">
        <v>102</v>
      </c>
      <c r="C26" s="172">
        <v>100</v>
      </c>
      <c r="D26" s="173">
        <v>100</v>
      </c>
      <c r="E26" s="174">
        <v>4200</v>
      </c>
      <c r="F26" s="186">
        <v>106.32</v>
      </c>
      <c r="G26" s="173">
        <v>106.32</v>
      </c>
      <c r="H26" s="174">
        <v>4465.4399999999996</v>
      </c>
      <c r="I26" s="173">
        <v>112.16759999999999</v>
      </c>
      <c r="J26" s="173">
        <v>112.16759999999999</v>
      </c>
      <c r="K26" s="174">
        <v>4711.0391999999993</v>
      </c>
      <c r="L26" s="173">
        <v>117.77598</v>
      </c>
      <c r="M26" s="173">
        <v>117.77598</v>
      </c>
      <c r="N26" s="174">
        <v>4946.5911599999999</v>
      </c>
      <c r="O26" s="173">
        <v>123.0758991</v>
      </c>
      <c r="P26" s="173">
        <v>123.0758991</v>
      </c>
      <c r="Q26" s="174">
        <v>5169.1877622000002</v>
      </c>
      <c r="R26" s="173">
        <v>123.0758991</v>
      </c>
      <c r="S26" s="173">
        <v>123.0758991</v>
      </c>
      <c r="T26" s="174">
        <v>5169.1877622000002</v>
      </c>
      <c r="U26" s="173">
        <v>127.99893506400001</v>
      </c>
      <c r="V26" s="173">
        <v>127.99893506400001</v>
      </c>
      <c r="W26" s="174">
        <v>5375.9552726880002</v>
      </c>
      <c r="X26" s="173">
        <v>133.11889246656003</v>
      </c>
      <c r="Y26" s="173">
        <v>133.11889246656003</v>
      </c>
      <c r="Z26" s="174">
        <v>5590.993483595521</v>
      </c>
      <c r="AA26" s="173">
        <v>139.78008708988804</v>
      </c>
      <c r="AB26" s="173">
        <v>139.78008708988804</v>
      </c>
      <c r="AC26" s="174">
        <v>5870.7636577752974</v>
      </c>
      <c r="AD26" s="173">
        <v>143.97</v>
      </c>
      <c r="AE26" s="177">
        <v>143.97</v>
      </c>
      <c r="AF26" s="174">
        <f t="shared" si="15"/>
        <v>6046.74</v>
      </c>
      <c r="AG26" s="173">
        <f t="shared" si="3"/>
        <v>148.28909999999999</v>
      </c>
      <c r="AH26" s="177">
        <f t="shared" si="3"/>
        <v>148.28909999999999</v>
      </c>
      <c r="AI26" s="174">
        <f t="shared" si="16"/>
        <v>6228.1421999999993</v>
      </c>
      <c r="AJ26" s="173">
        <f t="shared" si="18"/>
        <v>152.737773</v>
      </c>
      <c r="AK26" s="177">
        <f t="shared" si="18"/>
        <v>152.737773</v>
      </c>
      <c r="AL26" s="174">
        <f t="shared" si="17"/>
        <v>6414.9864660000003</v>
      </c>
      <c r="AM26" s="409" t="s">
        <v>99</v>
      </c>
      <c r="AN26" s="427">
        <v>81.211470640000002</v>
      </c>
      <c r="AO26" s="428">
        <v>81.211470640000002</v>
      </c>
      <c r="AP26" s="429">
        <v>3410.8817668800002</v>
      </c>
      <c r="AQ26" s="409" t="s">
        <v>99</v>
      </c>
      <c r="AR26" s="427">
        <f t="shared" si="5"/>
        <v>83.647814759200003</v>
      </c>
      <c r="AS26" s="428">
        <f t="shared" si="6"/>
        <v>83.647814759200003</v>
      </c>
      <c r="AT26" s="429">
        <f t="shared" si="7"/>
        <v>3513.2082198864005</v>
      </c>
      <c r="AU26" s="427">
        <f t="shared" si="8"/>
        <v>86.157249201976001</v>
      </c>
      <c r="AV26" s="428">
        <f t="shared" si="9"/>
        <v>86.157249201976001</v>
      </c>
      <c r="AW26" s="429">
        <f t="shared" si="10"/>
        <v>3618.6044664829924</v>
      </c>
      <c r="AX26" s="427">
        <f t="shared" si="11"/>
        <v>88.741966678035283</v>
      </c>
      <c r="AY26" s="428">
        <f t="shared" si="12"/>
        <v>88.741966678035283</v>
      </c>
      <c r="AZ26" s="429">
        <f t="shared" si="13"/>
        <v>3727.1626004774821</v>
      </c>
      <c r="BA26" s="427">
        <f t="shared" si="14"/>
        <v>91.404225678376349</v>
      </c>
      <c r="BB26" s="428">
        <f t="shared" si="1"/>
        <v>91.404225678376349</v>
      </c>
      <c r="BC26" s="429">
        <f t="shared" si="2"/>
        <v>3838.9774784918068</v>
      </c>
    </row>
    <row r="27" spans="1:55" ht="14.25">
      <c r="A27" s="178">
        <v>231</v>
      </c>
      <c r="B27" s="163" t="s">
        <v>104</v>
      </c>
      <c r="C27" s="179">
        <v>22.089552238805972</v>
      </c>
      <c r="D27" s="180">
        <v>122.09</v>
      </c>
      <c r="E27" s="181">
        <v>5127.78</v>
      </c>
      <c r="F27" s="179">
        <v>22.089552238805972</v>
      </c>
      <c r="G27" s="180">
        <v>128.40955223880596</v>
      </c>
      <c r="H27" s="181">
        <v>5393.2011940298498</v>
      </c>
      <c r="I27" s="179">
        <v>23.3044776119403</v>
      </c>
      <c r="J27" s="180">
        <v>135.47207761194028</v>
      </c>
      <c r="K27" s="181">
        <v>5689.827259701492</v>
      </c>
      <c r="L27" s="180">
        <v>24.469701492537315</v>
      </c>
      <c r="M27" s="180">
        <v>142.24568149253733</v>
      </c>
      <c r="N27" s="181">
        <v>5974.3186226865682</v>
      </c>
      <c r="O27" s="180">
        <v>25.570838059701494</v>
      </c>
      <c r="P27" s="180">
        <v>148.6467371597015</v>
      </c>
      <c r="Q27" s="181">
        <v>6243.1629607074628</v>
      </c>
      <c r="R27" s="180">
        <v>25.570838059701494</v>
      </c>
      <c r="S27" s="180">
        <v>148.6467371597015</v>
      </c>
      <c r="T27" s="181">
        <v>6243.1629607074628</v>
      </c>
      <c r="U27" s="180">
        <v>26.593671582089556</v>
      </c>
      <c r="V27" s="180">
        <v>154.59260664608956</v>
      </c>
      <c r="W27" s="181">
        <v>6492.8894791357616</v>
      </c>
      <c r="X27" s="180">
        <v>27.647418445373138</v>
      </c>
      <c r="Y27" s="180">
        <v>160.76631091193318</v>
      </c>
      <c r="Z27" s="181">
        <v>6752.1850583011937</v>
      </c>
      <c r="AA27" s="180">
        <v>29.029789367641797</v>
      </c>
      <c r="AB27" s="180">
        <v>168.80987645752984</v>
      </c>
      <c r="AC27" s="181">
        <v>7090.0148112162533</v>
      </c>
      <c r="AD27" s="180">
        <v>29.9</v>
      </c>
      <c r="AE27" s="177">
        <v>173.87</v>
      </c>
      <c r="AF27" s="181">
        <f t="shared" si="15"/>
        <v>7302.54</v>
      </c>
      <c r="AG27" s="180">
        <f t="shared" si="3"/>
        <v>30.797000000000001</v>
      </c>
      <c r="AH27" s="177">
        <f t="shared" si="3"/>
        <v>179.08610000000002</v>
      </c>
      <c r="AI27" s="181">
        <f t="shared" si="16"/>
        <v>7521.6162000000004</v>
      </c>
      <c r="AJ27" s="180">
        <f t="shared" si="18"/>
        <v>31.72091</v>
      </c>
      <c r="AK27" s="177">
        <f t="shared" si="18"/>
        <v>184.45868300000001</v>
      </c>
      <c r="AL27" s="181">
        <f t="shared" si="17"/>
        <v>7747.2646860000004</v>
      </c>
      <c r="AM27" s="409" t="s">
        <v>102</v>
      </c>
      <c r="AN27" s="427">
        <v>157.31990619000001</v>
      </c>
      <c r="AO27" s="428">
        <v>157.31990619000001</v>
      </c>
      <c r="AP27" s="429">
        <v>6607.4360599800002</v>
      </c>
      <c r="AQ27" s="409" t="s">
        <v>102</v>
      </c>
      <c r="AR27" s="427">
        <f t="shared" si="5"/>
        <v>162.03950337570001</v>
      </c>
      <c r="AS27" s="428">
        <f t="shared" si="6"/>
        <v>162.03950337570001</v>
      </c>
      <c r="AT27" s="429">
        <f t="shared" si="7"/>
        <v>6805.6591417794007</v>
      </c>
      <c r="AU27" s="427">
        <f t="shared" si="8"/>
        <v>166.900688476971</v>
      </c>
      <c r="AV27" s="428">
        <f t="shared" si="9"/>
        <v>166.900688476971</v>
      </c>
      <c r="AW27" s="429">
        <f t="shared" si="10"/>
        <v>7009.8289160327831</v>
      </c>
      <c r="AX27" s="427">
        <f t="shared" si="11"/>
        <v>171.90770913128014</v>
      </c>
      <c r="AY27" s="428">
        <f t="shared" si="12"/>
        <v>171.90770913128014</v>
      </c>
      <c r="AZ27" s="429">
        <f t="shared" si="13"/>
        <v>7220.1237835137672</v>
      </c>
      <c r="BA27" s="427">
        <f t="shared" si="14"/>
        <v>177.06494040521855</v>
      </c>
      <c r="BB27" s="428">
        <f t="shared" si="1"/>
        <v>177.06494040521855</v>
      </c>
      <c r="BC27" s="429">
        <f t="shared" si="2"/>
        <v>7436.7274970191802</v>
      </c>
    </row>
    <row r="28" spans="1:55" ht="14.25">
      <c r="A28" s="171">
        <v>221</v>
      </c>
      <c r="B28" s="162" t="s">
        <v>105</v>
      </c>
      <c r="C28" s="172">
        <v>40</v>
      </c>
      <c r="D28" s="173">
        <v>140</v>
      </c>
      <c r="E28" s="174">
        <v>5880</v>
      </c>
      <c r="F28" s="186">
        <v>40</v>
      </c>
      <c r="G28" s="173">
        <v>146.32</v>
      </c>
      <c r="H28" s="174">
        <v>6145.44</v>
      </c>
      <c r="I28" s="173">
        <v>42.2</v>
      </c>
      <c r="J28" s="173">
        <v>154.36759999999998</v>
      </c>
      <c r="K28" s="174">
        <v>6483.4391999999989</v>
      </c>
      <c r="L28" s="173">
        <v>44.31</v>
      </c>
      <c r="M28" s="173">
        <v>162.08598000000001</v>
      </c>
      <c r="N28" s="174">
        <v>6807.6111600000004</v>
      </c>
      <c r="O28" s="173">
        <v>46.30395</v>
      </c>
      <c r="P28" s="173">
        <v>169.3798491</v>
      </c>
      <c r="Q28" s="174">
        <v>7113.9536621999996</v>
      </c>
      <c r="R28" s="173">
        <v>46.30395</v>
      </c>
      <c r="S28" s="173">
        <v>169.3798491</v>
      </c>
      <c r="T28" s="174">
        <v>7113.9536621999996</v>
      </c>
      <c r="U28" s="173">
        <v>48.156108000000003</v>
      </c>
      <c r="V28" s="173">
        <v>176.15504306400001</v>
      </c>
      <c r="W28" s="174">
        <v>7398.5118086880002</v>
      </c>
      <c r="X28" s="173">
        <v>50.092352320000003</v>
      </c>
      <c r="Y28" s="173">
        <v>183.21124478656003</v>
      </c>
      <c r="Z28" s="174">
        <v>7694.8722810355212</v>
      </c>
      <c r="AA28" s="173">
        <v>52.58696993600001</v>
      </c>
      <c r="AB28" s="173">
        <v>192.36705702588804</v>
      </c>
      <c r="AC28" s="174">
        <v>8079.416395087298</v>
      </c>
      <c r="AD28" s="173">
        <v>54.17</v>
      </c>
      <c r="AE28" s="177">
        <v>198.14</v>
      </c>
      <c r="AF28" s="174">
        <f t="shared" si="15"/>
        <v>8321.8799999999992</v>
      </c>
      <c r="AG28" s="173">
        <f>AD28*(1+$AI$2)-0.01</f>
        <v>55.785100000000007</v>
      </c>
      <c r="AH28" s="177">
        <f t="shared" si="3"/>
        <v>204.08419999999998</v>
      </c>
      <c r="AI28" s="174">
        <f t="shared" si="16"/>
        <v>8571.536399999999</v>
      </c>
      <c r="AJ28" s="173">
        <f>AG28*(1+$AI$2)-0.01</f>
        <v>57.448653000000007</v>
      </c>
      <c r="AK28" s="177">
        <f>AH28*(1+$AI$2)-0.02</f>
        <v>210.18672599999996</v>
      </c>
      <c r="AL28" s="174">
        <f>AK28*42</f>
        <v>8827.8424919999979</v>
      </c>
      <c r="AM28" s="409" t="s">
        <v>104</v>
      </c>
      <c r="AN28" s="427">
        <v>32.672537300000002</v>
      </c>
      <c r="AO28" s="428">
        <v>189.99244349</v>
      </c>
      <c r="AP28" s="429">
        <v>7979.6826265800009</v>
      </c>
      <c r="AQ28" s="409" t="s">
        <v>104</v>
      </c>
      <c r="AR28" s="427">
        <f t="shared" si="5"/>
        <v>33.652713419000001</v>
      </c>
      <c r="AS28" s="428">
        <f t="shared" si="6"/>
        <v>195.69221679470002</v>
      </c>
      <c r="AT28" s="429">
        <f t="shared" si="7"/>
        <v>8219.0731053774016</v>
      </c>
      <c r="AU28" s="427">
        <f t="shared" si="8"/>
        <v>34.662294821570001</v>
      </c>
      <c r="AV28" s="428">
        <f t="shared" si="9"/>
        <v>201.56298329854101</v>
      </c>
      <c r="AW28" s="429">
        <f t="shared" si="10"/>
        <v>8465.6452985387241</v>
      </c>
      <c r="AX28" s="427">
        <f t="shared" si="11"/>
        <v>35.702163666217103</v>
      </c>
      <c r="AY28" s="428">
        <f t="shared" si="12"/>
        <v>207.60987279749725</v>
      </c>
      <c r="AZ28" s="429">
        <f t="shared" si="13"/>
        <v>8719.6146574948853</v>
      </c>
      <c r="BA28" s="427">
        <f t="shared" si="14"/>
        <v>36.773228576203614</v>
      </c>
      <c r="BB28" s="428">
        <f t="shared" si="1"/>
        <v>213.83816898142217</v>
      </c>
      <c r="BC28" s="429">
        <f t="shared" si="2"/>
        <v>8981.2030972197317</v>
      </c>
    </row>
    <row r="29" spans="1:55" ht="14.25">
      <c r="A29" s="178">
        <v>243</v>
      </c>
      <c r="B29" s="163" t="s">
        <v>109</v>
      </c>
      <c r="C29" s="179">
        <v>8.1360946745562135</v>
      </c>
      <c r="D29" s="180">
        <v>148.13999999999999</v>
      </c>
      <c r="E29" s="181">
        <v>6221.8799999999992</v>
      </c>
      <c r="F29" s="179">
        <v>16.272189349112427</v>
      </c>
      <c r="G29" s="180">
        <v>162.5921893491124</v>
      </c>
      <c r="H29" s="181">
        <v>6828.871952662721</v>
      </c>
      <c r="I29" s="179">
        <v>17.168639053254438</v>
      </c>
      <c r="J29" s="180">
        <v>171.53623905325441</v>
      </c>
      <c r="K29" s="181">
        <v>7204.5220402366849</v>
      </c>
      <c r="L29" s="179">
        <v>18.027071005917161</v>
      </c>
      <c r="M29" s="180">
        <v>180.11305100591716</v>
      </c>
      <c r="N29" s="181">
        <v>7564.7481422485207</v>
      </c>
      <c r="O29" s="179">
        <v>18.838289201183432</v>
      </c>
      <c r="P29" s="180">
        <v>188.21813830118344</v>
      </c>
      <c r="Q29" s="181">
        <v>7905.1618086497047</v>
      </c>
      <c r="R29" s="179">
        <v>18.838289201183432</v>
      </c>
      <c r="S29" s="180">
        <v>188.21813830118344</v>
      </c>
      <c r="T29" s="181">
        <v>7905.1618086497047</v>
      </c>
      <c r="U29" s="179">
        <v>19.591820769230772</v>
      </c>
      <c r="V29" s="180">
        <v>195.74686383323078</v>
      </c>
      <c r="W29" s="181">
        <v>8221.3682809956917</v>
      </c>
      <c r="X29" s="180">
        <v>20.365493600000001</v>
      </c>
      <c r="Y29" s="180">
        <v>203.57673838656004</v>
      </c>
      <c r="Z29" s="181">
        <v>8550.2230122355213</v>
      </c>
      <c r="AA29" s="180">
        <v>21.393768280000003</v>
      </c>
      <c r="AB29" s="180">
        <v>213.76082530588803</v>
      </c>
      <c r="AC29" s="181">
        <v>8977.9546628472981</v>
      </c>
      <c r="AD29" s="180">
        <v>22.03</v>
      </c>
      <c r="AE29" s="177">
        <v>220.17</v>
      </c>
      <c r="AF29" s="181">
        <f t="shared" si="15"/>
        <v>9247.14</v>
      </c>
      <c r="AG29" s="180">
        <f>AD29*(1+$AI$2)+0.01</f>
        <v>22.700900000000004</v>
      </c>
      <c r="AH29" s="177">
        <f t="shared" si="3"/>
        <v>226.77509999999998</v>
      </c>
      <c r="AI29" s="181">
        <f t="shared" si="16"/>
        <v>9524.5541999999987</v>
      </c>
      <c r="AJ29" s="180">
        <f>AG29*(1+$AI$2)+0.01</f>
        <v>23.391927000000006</v>
      </c>
      <c r="AK29" s="177">
        <f t="shared" si="18"/>
        <v>233.57835299999999</v>
      </c>
      <c r="AL29" s="181">
        <f t="shared" si="17"/>
        <v>9810.2908260000004</v>
      </c>
      <c r="AM29" s="409" t="s">
        <v>105</v>
      </c>
      <c r="AN29" s="427">
        <v>59.172112590000012</v>
      </c>
      <c r="AO29" s="428">
        <v>216.49232777999998</v>
      </c>
      <c r="AP29" s="429">
        <v>9092.6777667599981</v>
      </c>
      <c r="AQ29" s="409" t="s">
        <v>105</v>
      </c>
      <c r="AR29" s="427">
        <f t="shared" si="5"/>
        <v>60.947275967700016</v>
      </c>
      <c r="AS29" s="428">
        <f t="shared" si="6"/>
        <v>222.98709761339998</v>
      </c>
      <c r="AT29" s="429">
        <f t="shared" si="7"/>
        <v>9365.4580997627982</v>
      </c>
      <c r="AU29" s="427">
        <f t="shared" si="8"/>
        <v>62.775694246731021</v>
      </c>
      <c r="AV29" s="428">
        <f t="shared" si="9"/>
        <v>229.67671054180198</v>
      </c>
      <c r="AW29" s="429">
        <f t="shared" si="10"/>
        <v>9646.4218427556825</v>
      </c>
      <c r="AX29" s="427">
        <f t="shared" si="11"/>
        <v>64.658965074132951</v>
      </c>
      <c r="AY29" s="428">
        <f t="shared" si="12"/>
        <v>236.56701185805605</v>
      </c>
      <c r="AZ29" s="429">
        <f t="shared" si="13"/>
        <v>9935.8144980383531</v>
      </c>
      <c r="BA29" s="427">
        <f t="shared" si="14"/>
        <v>66.598734026356937</v>
      </c>
      <c r="BB29" s="428">
        <f t="shared" si="1"/>
        <v>243.66402221379775</v>
      </c>
      <c r="BC29" s="429">
        <f t="shared" si="2"/>
        <v>10233.888932979504</v>
      </c>
    </row>
    <row r="30" spans="1:55" ht="14.25">
      <c r="A30" s="171">
        <v>258</v>
      </c>
      <c r="B30" s="162" t="s">
        <v>110</v>
      </c>
      <c r="C30" s="172">
        <v>27.5</v>
      </c>
      <c r="D30" s="173">
        <v>167.5</v>
      </c>
      <c r="E30" s="174">
        <v>7035</v>
      </c>
      <c r="F30" s="186">
        <v>55</v>
      </c>
      <c r="G30" s="173">
        <v>201.32</v>
      </c>
      <c r="H30" s="174">
        <v>8455.44</v>
      </c>
      <c r="I30" s="173">
        <v>58.024999999999999</v>
      </c>
      <c r="J30" s="173">
        <v>212.40259999999998</v>
      </c>
      <c r="K30" s="174">
        <v>8920.9091999999982</v>
      </c>
      <c r="L30" s="173">
        <v>60.926250000000003</v>
      </c>
      <c r="M30" s="173">
        <v>223.02223000000001</v>
      </c>
      <c r="N30" s="174">
        <v>9366.9336600000006</v>
      </c>
      <c r="O30" s="173">
        <v>63.667931250000002</v>
      </c>
      <c r="P30" s="173">
        <v>233.04778035000001</v>
      </c>
      <c r="Q30" s="174">
        <v>9788.0067747000012</v>
      </c>
      <c r="R30" s="173">
        <v>63.667931250000002</v>
      </c>
      <c r="S30" s="173">
        <v>233.04778035000001</v>
      </c>
      <c r="T30" s="174">
        <v>9788.0067747000012</v>
      </c>
      <c r="U30" s="173">
        <v>66.21464850000001</v>
      </c>
      <c r="V30" s="173">
        <v>242.36969156400002</v>
      </c>
      <c r="W30" s="174">
        <v>10179.527045688001</v>
      </c>
      <c r="X30" s="173">
        <v>68.853234440000008</v>
      </c>
      <c r="Y30" s="173">
        <v>252.06447922656002</v>
      </c>
      <c r="Z30" s="174">
        <v>10586.708127515521</v>
      </c>
      <c r="AA30" s="173">
        <v>72.30589616200001</v>
      </c>
      <c r="AB30" s="173">
        <v>264.67295318788808</v>
      </c>
      <c r="AC30" s="174">
        <v>11116.264033891299</v>
      </c>
      <c r="AD30" s="173">
        <v>74.48</v>
      </c>
      <c r="AE30" s="177">
        <v>272.62</v>
      </c>
      <c r="AF30" s="174">
        <f t="shared" si="15"/>
        <v>11450.04</v>
      </c>
      <c r="AG30" s="173">
        <f>AD30*(1+$AI$2)+0.01</f>
        <v>76.724400000000017</v>
      </c>
      <c r="AH30" s="177">
        <f t="shared" si="3"/>
        <v>280.79860000000002</v>
      </c>
      <c r="AI30" s="174">
        <f t="shared" si="16"/>
        <v>11793.541200000001</v>
      </c>
      <c r="AJ30" s="173">
        <f t="shared" ref="AJ30:AJ35" si="19">AG30*(1+$AI$2)</f>
        <v>79.026132000000018</v>
      </c>
      <c r="AK30" s="177">
        <f>AH30*(1+$AI$2)-0.01</f>
        <v>289.21255800000006</v>
      </c>
      <c r="AL30" s="174">
        <f t="shared" si="17"/>
        <v>12146.927436000002</v>
      </c>
      <c r="AM30" s="409" t="s">
        <v>109</v>
      </c>
      <c r="AN30" s="427">
        <v>24.093684810000006</v>
      </c>
      <c r="AO30" s="428">
        <v>240.58570359000001</v>
      </c>
      <c r="AP30" s="429">
        <v>10104.59955078</v>
      </c>
      <c r="AQ30" s="409" t="s">
        <v>109</v>
      </c>
      <c r="AR30" s="427">
        <f t="shared" si="5"/>
        <v>24.816495354300006</v>
      </c>
      <c r="AS30" s="428">
        <f t="shared" si="6"/>
        <v>247.8032746977</v>
      </c>
      <c r="AT30" s="429">
        <f t="shared" si="7"/>
        <v>10407.737537303399</v>
      </c>
      <c r="AU30" s="427">
        <f t="shared" si="8"/>
        <v>25.560990214929006</v>
      </c>
      <c r="AV30" s="428">
        <f t="shared" si="9"/>
        <v>255.23737293863101</v>
      </c>
      <c r="AW30" s="429">
        <f t="shared" si="10"/>
        <v>10719.969663422502</v>
      </c>
      <c r="AX30" s="427">
        <f t="shared" si="11"/>
        <v>26.327819921376879</v>
      </c>
      <c r="AY30" s="428">
        <f t="shared" si="12"/>
        <v>262.89449412678994</v>
      </c>
      <c r="AZ30" s="429">
        <f t="shared" si="13"/>
        <v>11041.568753325177</v>
      </c>
      <c r="BA30" s="427">
        <f t="shared" si="14"/>
        <v>27.117654519018185</v>
      </c>
      <c r="BB30" s="428">
        <f t="shared" si="1"/>
        <v>270.78132895059366</v>
      </c>
      <c r="BC30" s="429">
        <f t="shared" si="2"/>
        <v>11372.815815924932</v>
      </c>
    </row>
    <row r="31" spans="1:55" ht="15" thickBot="1">
      <c r="A31" s="219">
        <v>259</v>
      </c>
      <c r="B31" s="239" t="s">
        <v>111</v>
      </c>
      <c r="C31" s="221">
        <v>26</v>
      </c>
      <c r="D31" s="173">
        <v>193.5</v>
      </c>
      <c r="E31" s="174">
        <v>8127</v>
      </c>
      <c r="F31" s="186">
        <v>52</v>
      </c>
      <c r="G31" s="222">
        <v>253.32</v>
      </c>
      <c r="H31" s="223">
        <v>10639.44</v>
      </c>
      <c r="I31" s="229">
        <v>54.86</v>
      </c>
      <c r="J31" s="222">
        <v>267.26259999999996</v>
      </c>
      <c r="K31" s="223">
        <v>11225.029199999999</v>
      </c>
      <c r="L31" s="229">
        <v>57.603000000000002</v>
      </c>
      <c r="M31" s="222">
        <v>280.62423000000001</v>
      </c>
      <c r="N31" s="223">
        <v>11786.21766</v>
      </c>
      <c r="O31" s="229">
        <v>60.195135000000001</v>
      </c>
      <c r="P31" s="222">
        <v>293.25291535000002</v>
      </c>
      <c r="Q31" s="223">
        <v>12316.6224447</v>
      </c>
      <c r="R31" s="229">
        <v>60.195135000000001</v>
      </c>
      <c r="S31" s="222">
        <v>293.25291535000002</v>
      </c>
      <c r="T31" s="223">
        <v>12316.6224447</v>
      </c>
      <c r="U31" s="229">
        <v>62.602940400000001</v>
      </c>
      <c r="V31" s="222">
        <v>304.98263196400001</v>
      </c>
      <c r="W31" s="223">
        <v>12809.270542488001</v>
      </c>
      <c r="X31" s="222">
        <v>65.097058016000005</v>
      </c>
      <c r="Y31" s="222">
        <v>317.17153724256002</v>
      </c>
      <c r="Z31" s="223">
        <v>13321.204564187521</v>
      </c>
      <c r="AA31" s="222">
        <v>68.361910916800014</v>
      </c>
      <c r="AB31" s="222">
        <v>333.0348641046881</v>
      </c>
      <c r="AC31" s="223">
        <v>13987.4642923969</v>
      </c>
      <c r="AD31" s="222">
        <v>70.41</v>
      </c>
      <c r="AE31" s="225">
        <v>343.03</v>
      </c>
      <c r="AF31" s="223">
        <f t="shared" si="15"/>
        <v>14407.259999999998</v>
      </c>
      <c r="AG31" s="222">
        <f t="shared" si="3"/>
        <v>72.522300000000001</v>
      </c>
      <c r="AH31" s="225">
        <f t="shared" si="3"/>
        <v>353.32089999999999</v>
      </c>
      <c r="AI31" s="223">
        <f t="shared" si="16"/>
        <v>14839.477800000001</v>
      </c>
      <c r="AJ31" s="222">
        <f t="shared" si="19"/>
        <v>74.697969000000001</v>
      </c>
      <c r="AK31" s="225">
        <f>AH31*(1+$AI$2)-0.01</f>
        <v>363.910527</v>
      </c>
      <c r="AL31" s="223">
        <f t="shared" si="17"/>
        <v>15284.242134</v>
      </c>
      <c r="AM31" s="409" t="s">
        <v>110</v>
      </c>
      <c r="AN31" s="427">
        <v>81.396915960000015</v>
      </c>
      <c r="AO31" s="428">
        <v>297.88893474000008</v>
      </c>
      <c r="AP31" s="429">
        <v>12511.335259080002</v>
      </c>
      <c r="AQ31" s="409" t="s">
        <v>110</v>
      </c>
      <c r="AR31" s="427">
        <f t="shared" si="5"/>
        <v>83.83882343880002</v>
      </c>
      <c r="AS31" s="428">
        <f t="shared" si="6"/>
        <v>306.82560278220006</v>
      </c>
      <c r="AT31" s="429">
        <f t="shared" si="7"/>
        <v>12886.675316852403</v>
      </c>
      <c r="AU31" s="427">
        <f t="shared" si="8"/>
        <v>86.353988141964024</v>
      </c>
      <c r="AV31" s="428">
        <f t="shared" si="9"/>
        <v>316.0303708656661</v>
      </c>
      <c r="AW31" s="429">
        <f t="shared" si="10"/>
        <v>13273.275576357975</v>
      </c>
      <c r="AX31" s="427">
        <f t="shared" si="11"/>
        <v>88.944607786222946</v>
      </c>
      <c r="AY31" s="428">
        <f t="shared" si="12"/>
        <v>325.51128199163611</v>
      </c>
      <c r="AZ31" s="429">
        <f t="shared" si="13"/>
        <v>13671.473843648715</v>
      </c>
      <c r="BA31" s="427">
        <f t="shared" si="14"/>
        <v>91.612946019809641</v>
      </c>
      <c r="BB31" s="428">
        <f t="shared" si="1"/>
        <v>335.27662045138521</v>
      </c>
      <c r="BC31" s="429">
        <f t="shared" si="2"/>
        <v>14081.618058958176</v>
      </c>
    </row>
    <row r="32" spans="1:55" ht="15" thickBot="1">
      <c r="A32" s="164">
        <v>210</v>
      </c>
      <c r="B32" s="161" t="s">
        <v>99</v>
      </c>
      <c r="C32" s="182">
        <v>15</v>
      </c>
      <c r="D32" s="166">
        <v>15</v>
      </c>
      <c r="E32" s="166">
        <v>630</v>
      </c>
      <c r="F32" s="168">
        <v>35.32</v>
      </c>
      <c r="G32" s="166">
        <v>35.32</v>
      </c>
      <c r="H32" s="167">
        <v>1483.44</v>
      </c>
      <c r="I32" s="169">
        <v>37.262599999999999</v>
      </c>
      <c r="J32" s="166">
        <v>37.262599999999999</v>
      </c>
      <c r="K32" s="167">
        <v>1565.0291999999999</v>
      </c>
      <c r="L32" s="169">
        <v>39.125729999999997</v>
      </c>
      <c r="M32" s="166">
        <v>39.125729999999997</v>
      </c>
      <c r="N32" s="167">
        <v>1643.2806599999999</v>
      </c>
      <c r="O32" s="169">
        <v>40.886387849999991</v>
      </c>
      <c r="P32" s="166">
        <v>40.886387849999991</v>
      </c>
      <c r="Q32" s="167">
        <v>1717.2282896999996</v>
      </c>
      <c r="R32" s="169">
        <v>63.55</v>
      </c>
      <c r="S32" s="166">
        <v>63.55</v>
      </c>
      <c r="T32" s="167">
        <v>2669.1</v>
      </c>
      <c r="U32" s="169">
        <v>66.091999999999999</v>
      </c>
      <c r="V32" s="166">
        <v>66.091999999999999</v>
      </c>
      <c r="W32" s="167">
        <v>2775.864</v>
      </c>
      <c r="X32" s="166">
        <v>68.725679999999997</v>
      </c>
      <c r="Y32" s="166">
        <v>68.725679999999997</v>
      </c>
      <c r="Z32" s="167">
        <v>2886.47856</v>
      </c>
      <c r="AA32" s="166">
        <v>72.161963999999998</v>
      </c>
      <c r="AB32" s="166">
        <v>72.161963999999998</v>
      </c>
      <c r="AC32" s="167">
        <v>3030.8024879999998</v>
      </c>
      <c r="AD32" s="166">
        <v>74.319999999999993</v>
      </c>
      <c r="AE32" s="170">
        <v>74.319999999999993</v>
      </c>
      <c r="AF32" s="167">
        <f t="shared" si="15"/>
        <v>3121.4399999999996</v>
      </c>
      <c r="AG32" s="166">
        <f t="shared" si="3"/>
        <v>76.549599999999998</v>
      </c>
      <c r="AH32" s="170">
        <f t="shared" si="3"/>
        <v>76.549599999999998</v>
      </c>
      <c r="AI32" s="167">
        <f t="shared" si="16"/>
        <v>3215.0832</v>
      </c>
      <c r="AJ32" s="166">
        <f t="shared" si="19"/>
        <v>78.846087999999995</v>
      </c>
      <c r="AK32" s="170">
        <f t="shared" si="18"/>
        <v>78.846087999999995</v>
      </c>
      <c r="AL32" s="167">
        <f t="shared" si="17"/>
        <v>3311.5356959999999</v>
      </c>
      <c r="AM32" s="408" t="s">
        <v>111</v>
      </c>
      <c r="AN32" s="430">
        <v>76.938908069999997</v>
      </c>
      <c r="AO32" s="431">
        <v>374.82784280999999</v>
      </c>
      <c r="AP32" s="432">
        <v>15742.76939802</v>
      </c>
      <c r="AQ32" s="408" t="s">
        <v>111</v>
      </c>
      <c r="AR32" s="430">
        <f t="shared" si="5"/>
        <v>79.247075312099994</v>
      </c>
      <c r="AS32" s="431">
        <f t="shared" si="6"/>
        <v>386.07267809429999</v>
      </c>
      <c r="AT32" s="432">
        <f t="shared" si="7"/>
        <v>16215.052479960601</v>
      </c>
      <c r="AU32" s="430">
        <f t="shared" si="8"/>
        <v>81.624487571462993</v>
      </c>
      <c r="AV32" s="431">
        <f t="shared" si="9"/>
        <v>397.65485843712901</v>
      </c>
      <c r="AW32" s="432">
        <f t="shared" si="10"/>
        <v>16701.504054359419</v>
      </c>
      <c r="AX32" s="430">
        <f t="shared" si="11"/>
        <v>84.073222198606885</v>
      </c>
      <c r="AY32" s="431">
        <f t="shared" si="12"/>
        <v>409.58450419024291</v>
      </c>
      <c r="AZ32" s="432">
        <f t="shared" si="13"/>
        <v>17202.549175990203</v>
      </c>
      <c r="BA32" s="430">
        <f t="shared" si="14"/>
        <v>86.59541886456509</v>
      </c>
      <c r="BB32" s="431">
        <f t="shared" si="1"/>
        <v>421.87203931595019</v>
      </c>
      <c r="BC32" s="432">
        <f t="shared" si="2"/>
        <v>17718.625651269911</v>
      </c>
    </row>
    <row r="33" spans="1:55" ht="14.25">
      <c r="A33" s="171">
        <v>260</v>
      </c>
      <c r="B33" s="162" t="s">
        <v>102</v>
      </c>
      <c r="C33" s="182">
        <v>100</v>
      </c>
      <c r="D33" s="173">
        <v>100</v>
      </c>
      <c r="E33" s="173">
        <v>4200</v>
      </c>
      <c r="F33" s="175">
        <v>106.32</v>
      </c>
      <c r="G33" s="173">
        <v>106.32</v>
      </c>
      <c r="H33" s="174">
        <v>4465.4399999999996</v>
      </c>
      <c r="I33" s="176">
        <v>112.16759999999999</v>
      </c>
      <c r="J33" s="173">
        <v>112.16759999999999</v>
      </c>
      <c r="K33" s="174">
        <v>4711.0391999999993</v>
      </c>
      <c r="L33" s="176">
        <v>117.77598</v>
      </c>
      <c r="M33" s="173">
        <v>117.77598</v>
      </c>
      <c r="N33" s="174">
        <v>4946.5911599999999</v>
      </c>
      <c r="O33" s="176">
        <v>123.0758991</v>
      </c>
      <c r="P33" s="173">
        <v>123.0758991</v>
      </c>
      <c r="Q33" s="174">
        <v>5169.1877622000002</v>
      </c>
      <c r="R33" s="176">
        <v>123.0758991</v>
      </c>
      <c r="S33" s="173">
        <v>123.0758991</v>
      </c>
      <c r="T33" s="174">
        <v>5169.1877622000002</v>
      </c>
      <c r="U33" s="176">
        <v>127.99893506400001</v>
      </c>
      <c r="V33" s="173">
        <v>127.99893506400001</v>
      </c>
      <c r="W33" s="174">
        <v>5375.9552726880002</v>
      </c>
      <c r="X33" s="173">
        <v>133.11889246656003</v>
      </c>
      <c r="Y33" s="173">
        <v>133.11889246656003</v>
      </c>
      <c r="Z33" s="174">
        <v>5590.993483595521</v>
      </c>
      <c r="AA33" s="173">
        <v>139.78008708988804</v>
      </c>
      <c r="AB33" s="173">
        <v>139.78008708988804</v>
      </c>
      <c r="AC33" s="174">
        <v>5870.7636577752974</v>
      </c>
      <c r="AD33" s="173">
        <v>143.97</v>
      </c>
      <c r="AE33" s="177">
        <v>143.97</v>
      </c>
      <c r="AF33" s="174">
        <f t="shared" si="15"/>
        <v>6046.74</v>
      </c>
      <c r="AG33" s="173">
        <f t="shared" si="3"/>
        <v>148.28909999999999</v>
      </c>
      <c r="AH33" s="177">
        <f t="shared" si="3"/>
        <v>148.28909999999999</v>
      </c>
      <c r="AI33" s="174">
        <f t="shared" si="16"/>
        <v>6228.1421999999993</v>
      </c>
      <c r="AJ33" s="173">
        <f t="shared" si="19"/>
        <v>152.737773</v>
      </c>
      <c r="AK33" s="177">
        <f t="shared" si="18"/>
        <v>152.737773</v>
      </c>
      <c r="AL33" s="174">
        <f t="shared" si="17"/>
        <v>6414.9864660000003</v>
      </c>
      <c r="AM33" s="412" t="s">
        <v>99</v>
      </c>
      <c r="AN33" s="424">
        <v>81.211470640000002</v>
      </c>
      <c r="AO33" s="425">
        <v>81.211470640000002</v>
      </c>
      <c r="AP33" s="426">
        <v>3410.8817668800002</v>
      </c>
      <c r="AQ33" s="412" t="s">
        <v>99</v>
      </c>
      <c r="AR33" s="424">
        <f t="shared" si="5"/>
        <v>83.647814759200003</v>
      </c>
      <c r="AS33" s="425">
        <f t="shared" si="6"/>
        <v>83.647814759200003</v>
      </c>
      <c r="AT33" s="426">
        <f t="shared" si="7"/>
        <v>3513.2082198864005</v>
      </c>
      <c r="AU33" s="424">
        <f t="shared" si="8"/>
        <v>86.157249201976001</v>
      </c>
      <c r="AV33" s="425">
        <f t="shared" si="9"/>
        <v>86.157249201976001</v>
      </c>
      <c r="AW33" s="426">
        <f t="shared" si="10"/>
        <v>3618.6044664829924</v>
      </c>
      <c r="AX33" s="424">
        <f t="shared" si="11"/>
        <v>88.741966678035283</v>
      </c>
      <c r="AY33" s="425">
        <f t="shared" si="12"/>
        <v>88.741966678035283</v>
      </c>
      <c r="AZ33" s="426">
        <f t="shared" si="13"/>
        <v>3727.1626004774821</v>
      </c>
      <c r="BA33" s="424">
        <f t="shared" si="14"/>
        <v>91.404225678376349</v>
      </c>
      <c r="BB33" s="425">
        <f t="shared" si="1"/>
        <v>91.404225678376349</v>
      </c>
      <c r="BC33" s="426">
        <f t="shared" si="2"/>
        <v>3838.9774784918068</v>
      </c>
    </row>
    <row r="34" spans="1:55" ht="14.25">
      <c r="A34" s="178">
        <v>263</v>
      </c>
      <c r="B34" s="163" t="s">
        <v>112</v>
      </c>
      <c r="C34" s="180">
        <v>5.5762711864406782</v>
      </c>
      <c r="D34" s="180">
        <v>201.58</v>
      </c>
      <c r="E34" s="180">
        <v>8466.36</v>
      </c>
      <c r="F34" s="179">
        <v>11.152542372881356</v>
      </c>
      <c r="G34" s="180">
        <v>213.47254237288135</v>
      </c>
      <c r="H34" s="181">
        <v>8965.8467796610166</v>
      </c>
      <c r="I34" s="179">
        <v>11.765932203389829</v>
      </c>
      <c r="J34" s="180">
        <v>225.22353220338982</v>
      </c>
      <c r="K34" s="181">
        <v>9459.3883525423735</v>
      </c>
      <c r="L34" s="179">
        <v>12.35422881355932</v>
      </c>
      <c r="M34" s="180">
        <v>236.47420881355933</v>
      </c>
      <c r="N34" s="181">
        <v>9931.9167701694914</v>
      </c>
      <c r="O34" s="179">
        <v>12.910169110169489</v>
      </c>
      <c r="P34" s="180">
        <v>247.11554821016949</v>
      </c>
      <c r="Q34" s="181">
        <v>10378.853024827118</v>
      </c>
      <c r="R34" s="179">
        <v>12.910169110169489</v>
      </c>
      <c r="S34" s="180">
        <v>247.11554821016949</v>
      </c>
      <c r="T34" s="181">
        <v>10378.853024827118</v>
      </c>
      <c r="U34" s="179">
        <v>13.426575874576269</v>
      </c>
      <c r="V34" s="180">
        <v>257.00017013857627</v>
      </c>
      <c r="W34" s="181">
        <v>10794.007145820204</v>
      </c>
      <c r="X34" s="180">
        <v>13.96363890955932</v>
      </c>
      <c r="Y34" s="180">
        <v>267.27017694411933</v>
      </c>
      <c r="Z34" s="181">
        <v>11225.347431653012</v>
      </c>
      <c r="AA34" s="180">
        <v>14.661820855037286</v>
      </c>
      <c r="AB34" s="180">
        <v>280.62893579132532</v>
      </c>
      <c r="AC34" s="181">
        <v>11786.415303235663</v>
      </c>
      <c r="AD34" s="180">
        <v>15.1</v>
      </c>
      <c r="AE34" s="177">
        <v>289.05</v>
      </c>
      <c r="AF34" s="181">
        <f t="shared" si="15"/>
        <v>12140.1</v>
      </c>
      <c r="AG34" s="180">
        <f t="shared" si="3"/>
        <v>15.553000000000001</v>
      </c>
      <c r="AH34" s="177">
        <f t="shared" si="3"/>
        <v>297.72149999999999</v>
      </c>
      <c r="AI34" s="181">
        <f t="shared" si="16"/>
        <v>12504.303</v>
      </c>
      <c r="AJ34" s="180">
        <f t="shared" si="19"/>
        <v>16.019590000000001</v>
      </c>
      <c r="AK34" s="177">
        <f t="shared" si="18"/>
        <v>306.65314499999999</v>
      </c>
      <c r="AL34" s="181">
        <f t="shared" si="17"/>
        <v>12879.43209</v>
      </c>
      <c r="AM34" s="409" t="s">
        <v>102</v>
      </c>
      <c r="AN34" s="427">
        <v>157.31990619000001</v>
      </c>
      <c r="AO34" s="428">
        <v>157.31990619000001</v>
      </c>
      <c r="AP34" s="429">
        <v>6607.4360599800002</v>
      </c>
      <c r="AQ34" s="409" t="s">
        <v>102</v>
      </c>
      <c r="AR34" s="427">
        <f t="shared" si="5"/>
        <v>162.03950337570001</v>
      </c>
      <c r="AS34" s="428">
        <f t="shared" si="6"/>
        <v>162.03950337570001</v>
      </c>
      <c r="AT34" s="429">
        <f t="shared" si="7"/>
        <v>6805.6591417794007</v>
      </c>
      <c r="AU34" s="427">
        <f t="shared" si="8"/>
        <v>166.900688476971</v>
      </c>
      <c r="AV34" s="428">
        <f t="shared" si="9"/>
        <v>166.900688476971</v>
      </c>
      <c r="AW34" s="429">
        <f t="shared" si="10"/>
        <v>7009.8289160327831</v>
      </c>
      <c r="AX34" s="427">
        <f t="shared" si="11"/>
        <v>171.90770913128014</v>
      </c>
      <c r="AY34" s="428">
        <f t="shared" si="12"/>
        <v>171.90770913128014</v>
      </c>
      <c r="AZ34" s="429">
        <f t="shared" si="13"/>
        <v>7220.1237835137672</v>
      </c>
      <c r="BA34" s="427">
        <f t="shared" si="14"/>
        <v>177.06494040521855</v>
      </c>
      <c r="BB34" s="428">
        <f t="shared" si="1"/>
        <v>177.06494040521855</v>
      </c>
      <c r="BC34" s="429">
        <f t="shared" si="2"/>
        <v>7436.7274970191802</v>
      </c>
    </row>
    <row r="35" spans="1:55" ht="14.25">
      <c r="A35" s="171">
        <v>264</v>
      </c>
      <c r="B35" s="227" t="s">
        <v>113</v>
      </c>
      <c r="C35" s="182">
        <v>96</v>
      </c>
      <c r="D35" s="173">
        <v>196</v>
      </c>
      <c r="E35" s="173">
        <v>8232</v>
      </c>
      <c r="F35" s="175">
        <v>96</v>
      </c>
      <c r="G35" s="173">
        <v>202.32</v>
      </c>
      <c r="H35" s="174">
        <v>8497.44</v>
      </c>
      <c r="I35" s="176">
        <v>101.28</v>
      </c>
      <c r="J35" s="173">
        <v>213.44759999999999</v>
      </c>
      <c r="K35" s="174">
        <v>8964.7991999999995</v>
      </c>
      <c r="L35" s="176">
        <v>106.34400000000001</v>
      </c>
      <c r="M35" s="173">
        <v>224.11998</v>
      </c>
      <c r="N35" s="174">
        <v>9413.0391600000003</v>
      </c>
      <c r="O35" s="176">
        <v>111.12948</v>
      </c>
      <c r="P35" s="173">
        <v>234.20537910000002</v>
      </c>
      <c r="Q35" s="174">
        <v>9836.6259222000008</v>
      </c>
      <c r="R35" s="176">
        <v>111.12948</v>
      </c>
      <c r="S35" s="173">
        <v>234.20537910000002</v>
      </c>
      <c r="T35" s="174">
        <v>9836.6259222000008</v>
      </c>
      <c r="U35" s="176">
        <v>115.5746592</v>
      </c>
      <c r="V35" s="173">
        <v>243.57359426400001</v>
      </c>
      <c r="W35" s="174">
        <v>10230.090959088</v>
      </c>
      <c r="X35" s="173">
        <v>120.18764556799999</v>
      </c>
      <c r="Y35" s="173">
        <v>253.30653803456002</v>
      </c>
      <c r="Z35" s="174">
        <v>10638.87459745152</v>
      </c>
      <c r="AA35" s="173">
        <v>126.1870278464</v>
      </c>
      <c r="AB35" s="173">
        <v>265.96711493628806</v>
      </c>
      <c r="AC35" s="174">
        <v>11170.618827324099</v>
      </c>
      <c r="AD35" s="173">
        <v>129.97999999999999</v>
      </c>
      <c r="AE35" s="177">
        <v>273.95</v>
      </c>
      <c r="AF35" s="174">
        <f t="shared" si="15"/>
        <v>11505.9</v>
      </c>
      <c r="AG35" s="173">
        <f t="shared" si="3"/>
        <v>133.8794</v>
      </c>
      <c r="AH35" s="177">
        <f t="shared" si="3"/>
        <v>282.16849999999999</v>
      </c>
      <c r="AI35" s="174">
        <f t="shared" si="16"/>
        <v>11851.076999999999</v>
      </c>
      <c r="AJ35" s="173">
        <f t="shared" si="19"/>
        <v>137.895782</v>
      </c>
      <c r="AK35" s="177">
        <f t="shared" si="18"/>
        <v>290.633555</v>
      </c>
      <c r="AL35" s="174">
        <f t="shared" si="17"/>
        <v>12206.60931</v>
      </c>
      <c r="AM35" s="409" t="s">
        <v>112</v>
      </c>
      <c r="AN35" s="427">
        <v>16.500177700000002</v>
      </c>
      <c r="AO35" s="428">
        <v>315.85273934999998</v>
      </c>
      <c r="AP35" s="429">
        <v>13265.8150527</v>
      </c>
      <c r="AQ35" s="409" t="s">
        <v>112</v>
      </c>
      <c r="AR35" s="427">
        <f t="shared" si="5"/>
        <v>16.995183031000003</v>
      </c>
      <c r="AS35" s="428">
        <f t="shared" si="6"/>
        <v>325.32832153049998</v>
      </c>
      <c r="AT35" s="429">
        <f t="shared" si="7"/>
        <v>13663.789504281</v>
      </c>
      <c r="AU35" s="427">
        <f t="shared" si="8"/>
        <v>17.505038521930004</v>
      </c>
      <c r="AV35" s="428">
        <f t="shared" si="9"/>
        <v>335.08817117641496</v>
      </c>
      <c r="AW35" s="429">
        <f t="shared" si="10"/>
        <v>14073.703189409431</v>
      </c>
      <c r="AX35" s="427">
        <f t="shared" si="11"/>
        <v>18.030189677587906</v>
      </c>
      <c r="AY35" s="428">
        <f t="shared" si="12"/>
        <v>345.1408163117074</v>
      </c>
      <c r="AZ35" s="429">
        <f t="shared" si="13"/>
        <v>14495.914285091714</v>
      </c>
      <c r="BA35" s="427">
        <f t="shared" si="14"/>
        <v>18.571095367915543</v>
      </c>
      <c r="BB35" s="428">
        <f t="shared" si="1"/>
        <v>355.49504080105862</v>
      </c>
      <c r="BC35" s="429">
        <f t="shared" si="2"/>
        <v>14930.791713644467</v>
      </c>
    </row>
    <row r="36" spans="1:55" ht="14.25">
      <c r="A36" s="171">
        <v>264</v>
      </c>
      <c r="B36" s="227" t="s">
        <v>114</v>
      </c>
      <c r="C36" s="182"/>
      <c r="D36" s="173"/>
      <c r="E36" s="173"/>
      <c r="F36" s="186"/>
      <c r="G36" s="173"/>
      <c r="H36" s="174"/>
      <c r="I36" s="176"/>
      <c r="J36" s="173"/>
      <c r="K36" s="174"/>
      <c r="L36" s="176"/>
      <c r="M36" s="173"/>
      <c r="N36" s="174"/>
      <c r="O36" s="176">
        <v>93.054100899999995</v>
      </c>
      <c r="P36" s="173">
        <v>216.13</v>
      </c>
      <c r="Q36" s="174">
        <v>9077.4599999999991</v>
      </c>
      <c r="R36" s="176">
        <v>96.781064935999993</v>
      </c>
      <c r="S36" s="176">
        <v>224.78</v>
      </c>
      <c r="T36" s="174">
        <v>9440.76</v>
      </c>
      <c r="U36" s="176">
        <v>96.781064935999993</v>
      </c>
      <c r="V36" s="176">
        <v>224.78</v>
      </c>
      <c r="W36" s="174">
        <v>9440.76</v>
      </c>
      <c r="X36" s="173">
        <v>100.65230753343999</v>
      </c>
      <c r="Y36" s="173">
        <v>233.77120000000002</v>
      </c>
      <c r="Z36" s="174">
        <v>9818.3904000000002</v>
      </c>
      <c r="AA36" s="173">
        <v>105.67492291011199</v>
      </c>
      <c r="AB36" s="173">
        <v>245.45501000000002</v>
      </c>
      <c r="AC36" s="174">
        <v>10309.110420000001</v>
      </c>
      <c r="AD36" s="173">
        <v>108.84</v>
      </c>
      <c r="AE36" s="177">
        <v>252.81</v>
      </c>
      <c r="AF36" s="174">
        <f t="shared" si="15"/>
        <v>10618.02</v>
      </c>
      <c r="AG36" s="173">
        <f>AD36*(1+$AI$2)-0.01</f>
        <v>112.09520000000001</v>
      </c>
      <c r="AH36" s="177">
        <f>AE36*(1+$AI$2)</f>
        <v>260.39429999999999</v>
      </c>
      <c r="AI36" s="174">
        <f t="shared" si="16"/>
        <v>10936.560599999999</v>
      </c>
      <c r="AJ36" s="173">
        <f>AG36*(1+$AI$2)-0.01</f>
        <v>115.44805600000001</v>
      </c>
      <c r="AK36" s="177">
        <f>AH36*(1+$AI$2)-0.02</f>
        <v>268.18612899999999</v>
      </c>
      <c r="AL36" s="174">
        <f t="shared" si="17"/>
        <v>11263.817418000001</v>
      </c>
      <c r="AM36" s="409" t="s">
        <v>113</v>
      </c>
      <c r="AN36" s="427">
        <v>142.03265546</v>
      </c>
      <c r="AO36" s="428">
        <v>299.35256164999998</v>
      </c>
      <c r="AP36" s="429">
        <v>12572.8075893</v>
      </c>
      <c r="AQ36" s="409" t="s">
        <v>113</v>
      </c>
      <c r="AR36" s="427">
        <f t="shared" si="5"/>
        <v>146.29363512380002</v>
      </c>
      <c r="AS36" s="428">
        <f t="shared" si="6"/>
        <v>308.33313849949997</v>
      </c>
      <c r="AT36" s="429">
        <f t="shared" si="7"/>
        <v>12949.991816979002</v>
      </c>
      <c r="AU36" s="427">
        <f t="shared" si="8"/>
        <v>150.68244417751401</v>
      </c>
      <c r="AV36" s="428">
        <f t="shared" si="9"/>
        <v>317.58313265448498</v>
      </c>
      <c r="AW36" s="429">
        <f t="shared" si="10"/>
        <v>13338.491571488372</v>
      </c>
      <c r="AX36" s="427">
        <f t="shared" si="11"/>
        <v>155.20291750283943</v>
      </c>
      <c r="AY36" s="428">
        <f t="shared" si="12"/>
        <v>327.11062663411957</v>
      </c>
      <c r="AZ36" s="429">
        <f t="shared" si="13"/>
        <v>13738.646318633024</v>
      </c>
      <c r="BA36" s="427">
        <f t="shared" si="14"/>
        <v>159.85900502792461</v>
      </c>
      <c r="BB36" s="428">
        <f t="shared" si="1"/>
        <v>336.92394543314316</v>
      </c>
      <c r="BC36" s="429">
        <f t="shared" si="2"/>
        <v>14150.805708192014</v>
      </c>
    </row>
    <row r="37" spans="1:55" ht="14.25">
      <c r="A37" s="171">
        <v>271</v>
      </c>
      <c r="B37" s="162" t="s">
        <v>115</v>
      </c>
      <c r="C37" s="182">
        <v>14</v>
      </c>
      <c r="D37" s="173">
        <v>210</v>
      </c>
      <c r="E37" s="173">
        <v>8820</v>
      </c>
      <c r="F37" s="186">
        <v>28</v>
      </c>
      <c r="G37" s="173">
        <v>230.32</v>
      </c>
      <c r="H37" s="174">
        <v>9673.44</v>
      </c>
      <c r="I37" s="176">
        <v>29.54</v>
      </c>
      <c r="J37" s="173">
        <v>242.98759999999999</v>
      </c>
      <c r="K37" s="174">
        <v>10205.4792</v>
      </c>
      <c r="L37" s="176">
        <v>31.016999999999999</v>
      </c>
      <c r="M37" s="173">
        <v>255.13697999999999</v>
      </c>
      <c r="N37" s="174">
        <v>10715.75316</v>
      </c>
      <c r="O37" s="176">
        <v>32.412765</v>
      </c>
      <c r="P37" s="173">
        <v>266.61814409999999</v>
      </c>
      <c r="Q37" s="174">
        <v>11197.9620522</v>
      </c>
      <c r="R37" s="176">
        <v>32.412765</v>
      </c>
      <c r="S37" s="173">
        <v>266.61814409999999</v>
      </c>
      <c r="T37" s="174">
        <v>11197.9620522</v>
      </c>
      <c r="U37" s="176">
        <v>33.709275599999998</v>
      </c>
      <c r="V37" s="173">
        <v>277.28286986400002</v>
      </c>
      <c r="W37" s="174">
        <v>11645.880534288</v>
      </c>
      <c r="X37" s="173">
        <v>35.067646623999998</v>
      </c>
      <c r="Y37" s="173">
        <v>288.37418465856001</v>
      </c>
      <c r="Z37" s="174">
        <v>12111.715755659521</v>
      </c>
      <c r="AA37" s="173">
        <v>36.821028955199999</v>
      </c>
      <c r="AB37" s="173">
        <v>302.78814389148806</v>
      </c>
      <c r="AC37" s="174">
        <v>12717.102043442499</v>
      </c>
      <c r="AD37" s="173">
        <v>37.92</v>
      </c>
      <c r="AE37" s="177">
        <v>311.87</v>
      </c>
      <c r="AF37" s="174">
        <f t="shared" si="15"/>
        <v>13098.54</v>
      </c>
      <c r="AG37" s="173">
        <f t="shared" si="3"/>
        <v>39.057600000000001</v>
      </c>
      <c r="AH37" s="177">
        <f t="shared" si="3"/>
        <v>321.22610000000003</v>
      </c>
      <c r="AI37" s="174">
        <f t="shared" si="16"/>
        <v>13491.496200000001</v>
      </c>
      <c r="AJ37" s="173">
        <f t="shared" ref="AJ37:AK47" si="20">AG37*(1+$AI$2)</f>
        <v>40.229328000000002</v>
      </c>
      <c r="AK37" s="177">
        <f>AH37*(1+$AI$2)</f>
        <v>330.86288300000007</v>
      </c>
      <c r="AL37" s="174">
        <f t="shared" si="17"/>
        <v>13896.241086000004</v>
      </c>
      <c r="AM37" s="409" t="s">
        <v>114</v>
      </c>
      <c r="AN37" s="427">
        <v>118.91149768000001</v>
      </c>
      <c r="AO37" s="428">
        <v>276.23171287000002</v>
      </c>
      <c r="AP37" s="429">
        <v>11601.731940540001</v>
      </c>
      <c r="AQ37" s="409" t="s">
        <v>114</v>
      </c>
      <c r="AR37" s="427">
        <f t="shared" si="5"/>
        <v>122.47884261040001</v>
      </c>
      <c r="AS37" s="428">
        <f t="shared" si="6"/>
        <v>284.51866425610001</v>
      </c>
      <c r="AT37" s="429">
        <f t="shared" si="7"/>
        <v>11949.783898756201</v>
      </c>
      <c r="AU37" s="427">
        <f t="shared" si="8"/>
        <v>126.15320788871202</v>
      </c>
      <c r="AV37" s="428">
        <f t="shared" si="9"/>
        <v>293.05422418378299</v>
      </c>
      <c r="AW37" s="429">
        <f t="shared" si="10"/>
        <v>12308.277415718887</v>
      </c>
      <c r="AX37" s="427">
        <f t="shared" si="11"/>
        <v>129.93780412537339</v>
      </c>
      <c r="AY37" s="428">
        <f t="shared" si="12"/>
        <v>301.84585090929647</v>
      </c>
      <c r="AZ37" s="429">
        <f t="shared" si="13"/>
        <v>12677.525738190454</v>
      </c>
      <c r="BA37" s="427">
        <f t="shared" si="14"/>
        <v>133.83593824913459</v>
      </c>
      <c r="BB37" s="428">
        <f t="shared" si="1"/>
        <v>310.90122643657537</v>
      </c>
      <c r="BC37" s="429">
        <f t="shared" si="2"/>
        <v>13057.851510336168</v>
      </c>
    </row>
    <row r="38" spans="1:55" ht="14.25">
      <c r="A38" s="178">
        <v>273</v>
      </c>
      <c r="B38" s="163" t="s">
        <v>116</v>
      </c>
      <c r="C38" s="180">
        <v>9.1265822784810133</v>
      </c>
      <c r="D38" s="180">
        <v>219.13</v>
      </c>
      <c r="E38" s="180">
        <v>9203.4599999999991</v>
      </c>
      <c r="F38" s="179">
        <v>18.253164556962027</v>
      </c>
      <c r="G38" s="180">
        <v>248.57316455696201</v>
      </c>
      <c r="H38" s="181">
        <v>10440.072911392404</v>
      </c>
      <c r="I38" s="179">
        <v>19.257088607594937</v>
      </c>
      <c r="J38" s="180">
        <v>262.25468860759491</v>
      </c>
      <c r="K38" s="181">
        <v>11014.696921518986</v>
      </c>
      <c r="L38" s="179">
        <v>20.219943037974684</v>
      </c>
      <c r="M38" s="180">
        <v>275.3569230379747</v>
      </c>
      <c r="N38" s="181">
        <v>11564.990767594938</v>
      </c>
      <c r="O38" s="179">
        <v>21.129840474683544</v>
      </c>
      <c r="P38" s="180">
        <v>287.74798457468353</v>
      </c>
      <c r="Q38" s="181">
        <v>12085.415352136708</v>
      </c>
      <c r="R38" s="179">
        <v>21.129840474683544</v>
      </c>
      <c r="S38" s="180">
        <v>287.74798457468353</v>
      </c>
      <c r="T38" s="181">
        <v>12085.415352136708</v>
      </c>
      <c r="U38" s="179">
        <v>21.975034093670885</v>
      </c>
      <c r="V38" s="180">
        <v>299.25790395767092</v>
      </c>
      <c r="W38" s="181">
        <v>12568.831966222178</v>
      </c>
      <c r="X38" s="180">
        <v>22.854035457417723</v>
      </c>
      <c r="Y38" s="180">
        <v>311.22822011597771</v>
      </c>
      <c r="Z38" s="181">
        <v>13071.585244871063</v>
      </c>
      <c r="AA38" s="180">
        <v>23.996737230288609</v>
      </c>
      <c r="AB38" s="180">
        <v>326.78488112177666</v>
      </c>
      <c r="AC38" s="181">
        <v>13724.965007114621</v>
      </c>
      <c r="AD38" s="180">
        <v>24.72</v>
      </c>
      <c r="AE38" s="177">
        <v>336.59</v>
      </c>
      <c r="AF38" s="181">
        <f t="shared" si="15"/>
        <v>14136.779999999999</v>
      </c>
      <c r="AG38" s="180">
        <f t="shared" si="3"/>
        <v>25.461600000000001</v>
      </c>
      <c r="AH38" s="177">
        <f t="shared" si="3"/>
        <v>346.68770000000001</v>
      </c>
      <c r="AI38" s="181">
        <f t="shared" si="16"/>
        <v>14560.883400000001</v>
      </c>
      <c r="AJ38" s="180">
        <f t="shared" si="20"/>
        <v>26.225448</v>
      </c>
      <c r="AK38" s="177">
        <f t="shared" si="20"/>
        <v>357.08833100000004</v>
      </c>
      <c r="AL38" s="181">
        <f t="shared" si="17"/>
        <v>14997.709902000002</v>
      </c>
      <c r="AM38" s="409" t="s">
        <v>115</v>
      </c>
      <c r="AN38" s="427">
        <v>41.435889570000022</v>
      </c>
      <c r="AO38" s="428">
        <v>340.78845122000001</v>
      </c>
      <c r="AP38" s="429">
        <v>14313.114951240001</v>
      </c>
      <c r="AQ38" s="409" t="s">
        <v>115</v>
      </c>
      <c r="AR38" s="427">
        <f t="shared" si="5"/>
        <v>42.678966257100022</v>
      </c>
      <c r="AS38" s="428">
        <f t="shared" si="6"/>
        <v>351.01210475660002</v>
      </c>
      <c r="AT38" s="429">
        <f t="shared" si="7"/>
        <v>14742.508399777202</v>
      </c>
      <c r="AU38" s="427">
        <f t="shared" si="8"/>
        <v>43.959335244813026</v>
      </c>
      <c r="AV38" s="428">
        <f t="shared" si="9"/>
        <v>361.54246789929806</v>
      </c>
      <c r="AW38" s="429">
        <f t="shared" si="10"/>
        <v>15184.783651770518</v>
      </c>
      <c r="AX38" s="427">
        <f t="shared" si="11"/>
        <v>45.278115302157417</v>
      </c>
      <c r="AY38" s="428">
        <f t="shared" si="12"/>
        <v>372.38874193627703</v>
      </c>
      <c r="AZ38" s="429">
        <f t="shared" si="13"/>
        <v>15640.327161323634</v>
      </c>
      <c r="BA38" s="427">
        <f t="shared" si="14"/>
        <v>46.636458761222144</v>
      </c>
      <c r="BB38" s="428">
        <f t="shared" si="1"/>
        <v>383.56040419436533</v>
      </c>
      <c r="BC38" s="429">
        <f t="shared" si="2"/>
        <v>16109.536976163343</v>
      </c>
    </row>
    <row r="39" spans="1:55" ht="14.25">
      <c r="A39" s="178">
        <v>280</v>
      </c>
      <c r="B39" s="163" t="s">
        <v>117</v>
      </c>
      <c r="C39" s="180">
        <v>4.4303797468354427</v>
      </c>
      <c r="D39" s="180">
        <v>223.56</v>
      </c>
      <c r="E39" s="180">
        <v>9389.52</v>
      </c>
      <c r="F39" s="179">
        <v>8.8607594936708853</v>
      </c>
      <c r="G39" s="180">
        <v>257.43392405063292</v>
      </c>
      <c r="H39" s="181">
        <v>10812.224810126583</v>
      </c>
      <c r="I39" s="179">
        <v>9.348101265822784</v>
      </c>
      <c r="J39" s="180">
        <v>271.60278987341769</v>
      </c>
      <c r="K39" s="181">
        <v>11407.317174683543</v>
      </c>
      <c r="L39" s="179">
        <v>9.8155063291139228</v>
      </c>
      <c r="M39" s="180">
        <v>285.17242936708863</v>
      </c>
      <c r="N39" s="181">
        <v>11977.242033417722</v>
      </c>
      <c r="O39" s="179">
        <v>10.257204113924049</v>
      </c>
      <c r="P39" s="180">
        <v>298.00518868860757</v>
      </c>
      <c r="Q39" s="181">
        <v>12516.217924921519</v>
      </c>
      <c r="R39" s="179">
        <v>10.257204113924049</v>
      </c>
      <c r="S39" s="180">
        <v>298.00518868860757</v>
      </c>
      <c r="T39" s="181">
        <v>12516.217924921519</v>
      </c>
      <c r="U39" s="179">
        <v>10.667492278481012</v>
      </c>
      <c r="V39" s="180">
        <v>309.92539623615193</v>
      </c>
      <c r="W39" s="181">
        <v>13016.866641918381</v>
      </c>
      <c r="X39" s="180">
        <v>11.104191969620253</v>
      </c>
      <c r="Y39" s="180">
        <v>322.33241208559798</v>
      </c>
      <c r="Z39" s="181">
        <v>13537.961307595115</v>
      </c>
      <c r="AA39" s="180">
        <v>11.659401568101266</v>
      </c>
      <c r="AB39" s="180">
        <v>338.44428268987792</v>
      </c>
      <c r="AC39" s="181">
        <v>14214.659872974873</v>
      </c>
      <c r="AD39" s="180">
        <v>12.01</v>
      </c>
      <c r="AE39" s="177">
        <v>348.6</v>
      </c>
      <c r="AF39" s="181">
        <f t="shared" si="15"/>
        <v>14641.2</v>
      </c>
      <c r="AG39" s="180">
        <f t="shared" si="3"/>
        <v>12.3703</v>
      </c>
      <c r="AH39" s="177">
        <f t="shared" si="3"/>
        <v>359.05800000000005</v>
      </c>
      <c r="AI39" s="181">
        <f t="shared" si="16"/>
        <v>15080.436000000002</v>
      </c>
      <c r="AJ39" s="180">
        <f t="shared" si="20"/>
        <v>12.741409000000001</v>
      </c>
      <c r="AK39" s="177">
        <f t="shared" si="20"/>
        <v>369.82974000000007</v>
      </c>
      <c r="AL39" s="181">
        <f t="shared" si="17"/>
        <v>15532.849080000004</v>
      </c>
      <c r="AM39" s="409" t="s">
        <v>116</v>
      </c>
      <c r="AN39" s="427">
        <v>27.012211440000002</v>
      </c>
      <c r="AO39" s="428">
        <v>367.80098093000004</v>
      </c>
      <c r="AP39" s="429">
        <v>15447.641199060003</v>
      </c>
      <c r="AQ39" s="409" t="s">
        <v>116</v>
      </c>
      <c r="AR39" s="427">
        <f t="shared" si="5"/>
        <v>27.822577783200003</v>
      </c>
      <c r="AS39" s="428">
        <f t="shared" si="6"/>
        <v>378.83501035790005</v>
      </c>
      <c r="AT39" s="429">
        <f t="shared" si="7"/>
        <v>15911.070435031803</v>
      </c>
      <c r="AU39" s="427">
        <f t="shared" si="8"/>
        <v>28.657255116696003</v>
      </c>
      <c r="AV39" s="428">
        <f t="shared" si="9"/>
        <v>390.20006066863704</v>
      </c>
      <c r="AW39" s="429">
        <f t="shared" si="10"/>
        <v>16388.402548082759</v>
      </c>
      <c r="AX39" s="427">
        <f t="shared" si="11"/>
        <v>29.516972770196883</v>
      </c>
      <c r="AY39" s="428">
        <f t="shared" si="12"/>
        <v>401.90606248869614</v>
      </c>
      <c r="AZ39" s="429">
        <f t="shared" si="13"/>
        <v>16880.054624525241</v>
      </c>
      <c r="BA39" s="427">
        <f t="shared" ref="BA39:BA61" si="21">AX39*(1+$BC$2)</f>
        <v>30.402481953302789</v>
      </c>
      <c r="BB39" s="428">
        <f t="shared" ref="BB39:BB61" si="22">AY39*(1+$BC$2)</f>
        <v>413.96324436335703</v>
      </c>
      <c r="BC39" s="429">
        <f t="shared" ref="BC39:BC61" si="23">AZ39*(1+$BC$2)</f>
        <v>17386.456263261</v>
      </c>
    </row>
    <row r="40" spans="1:55" ht="14.25">
      <c r="A40" s="171">
        <v>278</v>
      </c>
      <c r="B40" s="162" t="s">
        <v>118</v>
      </c>
      <c r="C40" s="182">
        <v>14</v>
      </c>
      <c r="D40" s="173">
        <v>224</v>
      </c>
      <c r="E40" s="173">
        <v>9408</v>
      </c>
      <c r="F40" s="175">
        <v>28</v>
      </c>
      <c r="G40" s="173">
        <v>258.32</v>
      </c>
      <c r="H40" s="174">
        <v>10849.44</v>
      </c>
      <c r="I40" s="176">
        <v>29.54</v>
      </c>
      <c r="J40" s="173">
        <v>272.52760000000001</v>
      </c>
      <c r="K40" s="174">
        <v>11446.1592</v>
      </c>
      <c r="L40" s="176">
        <v>31.016999999999999</v>
      </c>
      <c r="M40" s="173">
        <v>286.16397999999998</v>
      </c>
      <c r="N40" s="174">
        <v>12018.887159999998</v>
      </c>
      <c r="O40" s="176">
        <v>32.418968399999997</v>
      </c>
      <c r="P40" s="173">
        <v>299.03711249999998</v>
      </c>
      <c r="Q40" s="174">
        <v>12559.558724999999</v>
      </c>
      <c r="R40" s="176">
        <v>32.422764999999998</v>
      </c>
      <c r="S40" s="173">
        <v>299.04090910000002</v>
      </c>
      <c r="T40" s="174">
        <v>12559.7181822</v>
      </c>
      <c r="U40" s="176">
        <v>33.719675600000002</v>
      </c>
      <c r="V40" s="173">
        <v>311.00254546400004</v>
      </c>
      <c r="W40" s="174">
        <v>13062.106909488002</v>
      </c>
      <c r="X40" s="173">
        <v>35.058462624000008</v>
      </c>
      <c r="Y40" s="173">
        <v>323.43264728256003</v>
      </c>
      <c r="Z40" s="174">
        <v>13584.171185867521</v>
      </c>
      <c r="AA40" s="173">
        <v>36.811385755200007</v>
      </c>
      <c r="AB40" s="173">
        <v>339.59952964668798</v>
      </c>
      <c r="AC40" s="174">
        <v>14263.1802451609</v>
      </c>
      <c r="AD40" s="173">
        <v>37.909999999999997</v>
      </c>
      <c r="AE40" s="177">
        <v>349.78</v>
      </c>
      <c r="AF40" s="174">
        <f t="shared" si="15"/>
        <v>14690.759999999998</v>
      </c>
      <c r="AG40" s="173">
        <f t="shared" si="3"/>
        <v>39.0473</v>
      </c>
      <c r="AH40" s="177">
        <f t="shared" si="3"/>
        <v>360.27339999999998</v>
      </c>
      <c r="AI40" s="174">
        <f t="shared" si="16"/>
        <v>15131.4828</v>
      </c>
      <c r="AJ40" s="173">
        <f t="shared" si="20"/>
        <v>40.218719</v>
      </c>
      <c r="AK40" s="441">
        <f t="shared" si="20"/>
        <v>371.08160199999998</v>
      </c>
      <c r="AL40" s="174">
        <f t="shared" si="17"/>
        <v>15585.427283999999</v>
      </c>
      <c r="AM40" s="409" t="s">
        <v>117</v>
      </c>
      <c r="AN40" s="427">
        <v>13.123651270000002</v>
      </c>
      <c r="AO40" s="428">
        <v>380.92463220000008</v>
      </c>
      <c r="AP40" s="429">
        <v>15998.834552400003</v>
      </c>
      <c r="AQ40" s="409" t="s">
        <v>117</v>
      </c>
      <c r="AR40" s="427">
        <f t="shared" si="5"/>
        <v>13.517360808100001</v>
      </c>
      <c r="AS40" s="428">
        <f t="shared" si="6"/>
        <v>392.35237116600007</v>
      </c>
      <c r="AT40" s="429">
        <f t="shared" si="7"/>
        <v>16478.799588972004</v>
      </c>
      <c r="AU40" s="427">
        <f t="shared" si="8"/>
        <v>13.922881632343001</v>
      </c>
      <c r="AV40" s="428">
        <f t="shared" si="9"/>
        <v>404.12294230098007</v>
      </c>
      <c r="AW40" s="429">
        <f t="shared" si="10"/>
        <v>16973.163576641164</v>
      </c>
      <c r="AX40" s="427">
        <f t="shared" si="11"/>
        <v>14.340568081313291</v>
      </c>
      <c r="AY40" s="428">
        <f t="shared" si="12"/>
        <v>416.24663057000947</v>
      </c>
      <c r="AZ40" s="429">
        <f t="shared" si="13"/>
        <v>17482.358483940399</v>
      </c>
      <c r="BA40" s="427">
        <f t="shared" si="21"/>
        <v>14.77078512375269</v>
      </c>
      <c r="BB40" s="428">
        <f t="shared" si="22"/>
        <v>428.73402948710975</v>
      </c>
      <c r="BC40" s="429">
        <f t="shared" si="23"/>
        <v>18006.829238458613</v>
      </c>
    </row>
    <row r="41" spans="1:55" ht="14.25">
      <c r="A41" s="171">
        <v>276</v>
      </c>
      <c r="B41" s="162" t="s">
        <v>119</v>
      </c>
      <c r="C41" s="173"/>
      <c r="D41" s="173"/>
      <c r="E41" s="173"/>
      <c r="F41" s="176"/>
      <c r="G41" s="173"/>
      <c r="H41" s="174"/>
      <c r="I41" s="176">
        <v>0</v>
      </c>
      <c r="J41" s="173"/>
      <c r="K41" s="174">
        <v>0</v>
      </c>
      <c r="L41" s="176"/>
      <c r="M41" s="173"/>
      <c r="N41" s="174"/>
      <c r="O41" s="176"/>
      <c r="P41" s="173"/>
      <c r="Q41" s="174"/>
      <c r="R41" s="176">
        <v>0</v>
      </c>
      <c r="S41" s="173"/>
      <c r="T41" s="174"/>
      <c r="U41" s="176"/>
      <c r="V41" s="173"/>
      <c r="W41" s="174"/>
      <c r="X41" s="173"/>
      <c r="Y41" s="173"/>
      <c r="Z41" s="174"/>
      <c r="AA41" s="173">
        <v>0</v>
      </c>
      <c r="AB41" s="173"/>
      <c r="AC41" s="174">
        <v>0</v>
      </c>
      <c r="AD41" s="173">
        <v>0</v>
      </c>
      <c r="AE41" s="177"/>
      <c r="AF41" s="174">
        <f t="shared" si="15"/>
        <v>0</v>
      </c>
      <c r="AG41" s="173">
        <f t="shared" si="3"/>
        <v>0</v>
      </c>
      <c r="AH41" s="177">
        <f t="shared" si="3"/>
        <v>0</v>
      </c>
      <c r="AI41" s="174">
        <f t="shared" si="16"/>
        <v>0</v>
      </c>
      <c r="AJ41" s="173">
        <f t="shared" si="20"/>
        <v>0</v>
      </c>
      <c r="AK41" s="177">
        <f t="shared" si="20"/>
        <v>0</v>
      </c>
      <c r="AL41" s="174">
        <f t="shared" si="17"/>
        <v>0</v>
      </c>
      <c r="AM41" s="409" t="s">
        <v>118</v>
      </c>
      <c r="AN41" s="427">
        <v>41.425280569999998</v>
      </c>
      <c r="AO41" s="441">
        <v>382.21405005999998</v>
      </c>
      <c r="AP41" s="429">
        <v>16052.99010252</v>
      </c>
      <c r="AQ41" s="409" t="s">
        <v>118</v>
      </c>
      <c r="AR41" s="427">
        <f t="shared" si="5"/>
        <v>42.668038987099997</v>
      </c>
      <c r="AS41" s="441">
        <f t="shared" si="6"/>
        <v>393.6804715618</v>
      </c>
      <c r="AT41" s="429">
        <f t="shared" si="7"/>
        <v>16534.5798055956</v>
      </c>
      <c r="AU41" s="427">
        <f t="shared" si="8"/>
        <v>43.948080156712997</v>
      </c>
      <c r="AV41" s="441">
        <f t="shared" si="9"/>
        <v>405.49088570865399</v>
      </c>
      <c r="AW41" s="429">
        <f t="shared" si="10"/>
        <v>17030.61719976347</v>
      </c>
      <c r="AX41" s="427">
        <f t="shared" si="11"/>
        <v>45.266522561414391</v>
      </c>
      <c r="AY41" s="441">
        <f>AV41*(1+$AZ$2)</f>
        <v>417.65561227991361</v>
      </c>
      <c r="AZ41" s="429">
        <f t="shared" si="13"/>
        <v>17541.535715756374</v>
      </c>
      <c r="BA41" s="427">
        <f t="shared" si="21"/>
        <v>46.624518238256826</v>
      </c>
      <c r="BB41" s="441">
        <f t="shared" si="22"/>
        <v>430.18528064831105</v>
      </c>
      <c r="BC41" s="429">
        <f t="shared" si="23"/>
        <v>18067.781787229065</v>
      </c>
    </row>
    <row r="42" spans="1:55" ht="14.25">
      <c r="A42" s="171">
        <v>279</v>
      </c>
      <c r="B42" s="162" t="s">
        <v>120</v>
      </c>
      <c r="C42" s="173">
        <v>0</v>
      </c>
      <c r="D42" s="173">
        <v>0</v>
      </c>
      <c r="E42" s="173">
        <v>0</v>
      </c>
      <c r="F42" s="175">
        <v>37</v>
      </c>
      <c r="G42" s="173">
        <v>295.32</v>
      </c>
      <c r="H42" s="174">
        <v>12403.44</v>
      </c>
      <c r="I42" s="176">
        <v>39.034999999999997</v>
      </c>
      <c r="J42" s="173">
        <v>311.57259999999997</v>
      </c>
      <c r="K42" s="174">
        <v>13086.049199999998</v>
      </c>
      <c r="L42" s="176">
        <v>40.986750000000001</v>
      </c>
      <c r="M42" s="173">
        <v>327.15072999999995</v>
      </c>
      <c r="N42" s="174">
        <v>13740.330659999998</v>
      </c>
      <c r="O42" s="176">
        <v>42.831153749999999</v>
      </c>
      <c r="P42" s="173">
        <v>341.86826624999998</v>
      </c>
      <c r="Q42" s="174">
        <v>14358.467182499999</v>
      </c>
      <c r="R42" s="176">
        <v>42.831153749999999</v>
      </c>
      <c r="S42" s="173">
        <v>341.87206285000002</v>
      </c>
      <c r="T42" s="174">
        <v>14358.6266397</v>
      </c>
      <c r="U42" s="176">
        <v>44.544399900000002</v>
      </c>
      <c r="V42" s="173">
        <v>355.54694536400007</v>
      </c>
      <c r="W42" s="174">
        <v>14932.971705288002</v>
      </c>
      <c r="X42" s="173">
        <v>46.336175896</v>
      </c>
      <c r="Y42" s="173">
        <v>369.76882317856001</v>
      </c>
      <c r="Z42" s="174">
        <v>15530.29057349952</v>
      </c>
      <c r="AA42" s="173">
        <v>48.652984690800004</v>
      </c>
      <c r="AB42" s="173">
        <v>388.25251433748809</v>
      </c>
      <c r="AC42" s="174">
        <v>16306.605602174501</v>
      </c>
      <c r="AD42" s="173">
        <v>50.11</v>
      </c>
      <c r="AE42" s="177">
        <v>399.89</v>
      </c>
      <c r="AF42" s="174">
        <f t="shared" si="15"/>
        <v>16795.38</v>
      </c>
      <c r="AG42" s="173">
        <f t="shared" si="3"/>
        <v>51.613300000000002</v>
      </c>
      <c r="AH42" s="177">
        <f t="shared" si="3"/>
        <v>411.88670000000002</v>
      </c>
      <c r="AI42" s="174">
        <f t="shared" si="16"/>
        <v>17299.241399999999</v>
      </c>
      <c r="AJ42" s="173">
        <f>AG42*(1+$AI$2)+0.01</f>
        <v>53.171699000000004</v>
      </c>
      <c r="AK42" s="177">
        <f>AH42*(1+$AI$2)+0.01</f>
        <v>424.25330100000002</v>
      </c>
      <c r="AL42" s="174">
        <f t="shared" si="17"/>
        <v>17818.638642000002</v>
      </c>
      <c r="AM42" s="409" t="s">
        <v>119</v>
      </c>
      <c r="AN42" s="427">
        <v>0</v>
      </c>
      <c r="AO42" s="428">
        <v>0</v>
      </c>
      <c r="AP42" s="429">
        <v>0</v>
      </c>
      <c r="AQ42" s="409" t="s">
        <v>119</v>
      </c>
      <c r="AR42" s="427">
        <f t="shared" si="5"/>
        <v>0</v>
      </c>
      <c r="AS42" s="428">
        <f t="shared" si="6"/>
        <v>0</v>
      </c>
      <c r="AT42" s="429">
        <f t="shared" si="7"/>
        <v>0</v>
      </c>
      <c r="AU42" s="427">
        <f t="shared" si="8"/>
        <v>0</v>
      </c>
      <c r="AV42" s="428">
        <f t="shared" si="9"/>
        <v>0</v>
      </c>
      <c r="AW42" s="429">
        <f t="shared" si="10"/>
        <v>0</v>
      </c>
      <c r="AX42" s="427">
        <f t="shared" si="11"/>
        <v>0</v>
      </c>
      <c r="AY42" s="428">
        <f t="shared" si="12"/>
        <v>0</v>
      </c>
      <c r="AZ42" s="429">
        <f t="shared" si="13"/>
        <v>0</v>
      </c>
      <c r="BA42" s="427">
        <f t="shared" si="21"/>
        <v>0</v>
      </c>
      <c r="BB42" s="428">
        <f t="shared" si="22"/>
        <v>0</v>
      </c>
      <c r="BC42" s="429">
        <f t="shared" si="23"/>
        <v>0</v>
      </c>
    </row>
    <row r="43" spans="1:55" ht="14.25">
      <c r="A43" s="171"/>
      <c r="B43" s="162" t="s">
        <v>121</v>
      </c>
      <c r="C43" s="182">
        <v>67</v>
      </c>
      <c r="D43" s="173">
        <v>67</v>
      </c>
      <c r="E43" s="173">
        <v>2814</v>
      </c>
      <c r="F43" s="175">
        <v>37</v>
      </c>
      <c r="G43" s="173">
        <v>332.32</v>
      </c>
      <c r="H43" s="174">
        <v>13957.44</v>
      </c>
      <c r="I43" s="176">
        <v>39.034999999999997</v>
      </c>
      <c r="J43" s="173">
        <v>350.59759999999994</v>
      </c>
      <c r="K43" s="174">
        <v>14725.099199999997</v>
      </c>
      <c r="L43" s="176">
        <v>40.986750000000001</v>
      </c>
      <c r="M43" s="173">
        <v>368.13747999999998</v>
      </c>
      <c r="N43" s="174">
        <v>15461.774159999999</v>
      </c>
      <c r="O43" s="176">
        <v>42.831153749999999</v>
      </c>
      <c r="P43" s="173">
        <v>384.70321659999991</v>
      </c>
      <c r="Q43" s="174">
        <v>16157.535097199996</v>
      </c>
      <c r="R43" s="176">
        <v>42.831153749999999</v>
      </c>
      <c r="S43" s="173">
        <v>384.70321659999991</v>
      </c>
      <c r="T43" s="174">
        <v>16157.535097199996</v>
      </c>
      <c r="U43" s="176">
        <v>44.544399900000002</v>
      </c>
      <c r="V43" s="173">
        <v>400.09134526399987</v>
      </c>
      <c r="W43" s="174">
        <v>16803.836501087993</v>
      </c>
      <c r="X43" s="173">
        <v>46.326175896000002</v>
      </c>
      <c r="Y43" s="173">
        <v>416.09499907455989</v>
      </c>
      <c r="Z43" s="174">
        <v>17475.989961131516</v>
      </c>
      <c r="AA43" s="173">
        <v>48.652484690800001</v>
      </c>
      <c r="AB43" s="173">
        <v>436.90974902828793</v>
      </c>
      <c r="AC43" s="174">
        <v>18350.209459188092</v>
      </c>
      <c r="AD43" s="173">
        <v>50.11</v>
      </c>
      <c r="AE43" s="177">
        <v>450.02</v>
      </c>
      <c r="AF43" s="174">
        <f t="shared" si="15"/>
        <v>18900.84</v>
      </c>
      <c r="AG43" s="173">
        <f t="shared" si="3"/>
        <v>51.613300000000002</v>
      </c>
      <c r="AH43" s="177">
        <f t="shared" si="3"/>
        <v>463.5206</v>
      </c>
      <c r="AI43" s="174">
        <f t="shared" si="16"/>
        <v>19467.8652</v>
      </c>
      <c r="AJ43" s="173">
        <f>AG43*(1+$AI$2)+0.01</f>
        <v>53.171699000000004</v>
      </c>
      <c r="AK43" s="177">
        <f>AH43*(1+$AI$2)</f>
        <v>477.42621800000001</v>
      </c>
      <c r="AL43" s="174">
        <f t="shared" si="17"/>
        <v>20051.901156</v>
      </c>
      <c r="AM43" s="409" t="s">
        <v>120</v>
      </c>
      <c r="AN43" s="427">
        <v>54.766849970000003</v>
      </c>
      <c r="AO43" s="428">
        <v>436.98090003000004</v>
      </c>
      <c r="AP43" s="429">
        <v>18353.197801260001</v>
      </c>
      <c r="AQ43" s="409" t="s">
        <v>120</v>
      </c>
      <c r="AR43" s="427">
        <f t="shared" si="5"/>
        <v>56.409855469100002</v>
      </c>
      <c r="AS43" s="428">
        <f t="shared" si="6"/>
        <v>450.09032703090008</v>
      </c>
      <c r="AT43" s="429">
        <f t="shared" si="7"/>
        <v>18903.793735297801</v>
      </c>
      <c r="AU43" s="427">
        <f t="shared" si="8"/>
        <v>58.102151133173003</v>
      </c>
      <c r="AV43" s="428">
        <f t="shared" si="9"/>
        <v>463.59303684182709</v>
      </c>
      <c r="AW43" s="429">
        <f t="shared" si="10"/>
        <v>19470.907547356735</v>
      </c>
      <c r="AX43" s="427">
        <f t="shared" si="11"/>
        <v>59.845215667168198</v>
      </c>
      <c r="AY43" s="428">
        <f t="shared" si="12"/>
        <v>477.50082794708192</v>
      </c>
      <c r="AZ43" s="429">
        <f t="shared" si="13"/>
        <v>20055.034773777439</v>
      </c>
      <c r="BA43" s="427">
        <f t="shared" si="21"/>
        <v>61.640572137183248</v>
      </c>
      <c r="BB43" s="428">
        <f t="shared" si="22"/>
        <v>491.82585278549436</v>
      </c>
      <c r="BC43" s="429">
        <f t="shared" si="23"/>
        <v>20656.685816990765</v>
      </c>
    </row>
    <row r="44" spans="1:55" ht="15" thickBot="1">
      <c r="A44" s="219">
        <v>277</v>
      </c>
      <c r="B44" s="239" t="s">
        <v>122</v>
      </c>
      <c r="C44" s="222">
        <v>0</v>
      </c>
      <c r="D44" s="222">
        <v>0</v>
      </c>
      <c r="E44" s="222">
        <v>0</v>
      </c>
      <c r="F44" s="224">
        <v>295.32</v>
      </c>
      <c r="G44" s="222">
        <v>295.32</v>
      </c>
      <c r="H44" s="223">
        <v>12403.44</v>
      </c>
      <c r="I44" s="229">
        <v>311.56259999999997</v>
      </c>
      <c r="J44" s="222">
        <v>311.57259999999997</v>
      </c>
      <c r="K44" s="223">
        <v>13086.049199999998</v>
      </c>
      <c r="L44" s="229">
        <v>327.14072999999996</v>
      </c>
      <c r="M44" s="222">
        <v>327.15072999999995</v>
      </c>
      <c r="N44" s="223">
        <v>13740.330659999998</v>
      </c>
      <c r="O44" s="229">
        <v>341.86206284999992</v>
      </c>
      <c r="P44" s="222">
        <v>341.87206284999991</v>
      </c>
      <c r="Q44" s="223">
        <v>14358.626639699996</v>
      </c>
      <c r="R44" s="229">
        <v>341.87206284999991</v>
      </c>
      <c r="S44" s="222">
        <v>341.87206284999991</v>
      </c>
      <c r="T44" s="223">
        <v>14358.626639699996</v>
      </c>
      <c r="U44" s="229">
        <v>355.5469453639999</v>
      </c>
      <c r="V44" s="222">
        <v>355.5469453639999</v>
      </c>
      <c r="W44" s="223">
        <v>14932.971705287995</v>
      </c>
      <c r="X44" s="222">
        <v>369.7688231785599</v>
      </c>
      <c r="Y44" s="222">
        <v>369.7688231785599</v>
      </c>
      <c r="Z44" s="223">
        <v>15530.290573499517</v>
      </c>
      <c r="AA44" s="222">
        <v>388.25726433748792</v>
      </c>
      <c r="AB44" s="222">
        <v>388.25726433748792</v>
      </c>
      <c r="AC44" s="223">
        <v>16306.805102174492</v>
      </c>
      <c r="AD44" s="222">
        <v>399.91</v>
      </c>
      <c r="AE44" s="225">
        <v>399.91</v>
      </c>
      <c r="AF44" s="223">
        <f t="shared" si="15"/>
        <v>16796.22</v>
      </c>
      <c r="AG44" s="222">
        <f t="shared" si="3"/>
        <v>411.90730000000002</v>
      </c>
      <c r="AH44" s="225">
        <f t="shared" si="3"/>
        <v>411.90730000000002</v>
      </c>
      <c r="AI44" s="223">
        <f t="shared" si="16"/>
        <v>17300.106599999999</v>
      </c>
      <c r="AJ44" s="222">
        <f>AG44*(1+$AI$2)</f>
        <v>424.26451900000001</v>
      </c>
      <c r="AK44" s="225">
        <f>AH44*(1+$AI$2)</f>
        <v>424.26451900000001</v>
      </c>
      <c r="AL44" s="223">
        <f t="shared" si="17"/>
        <v>17819.109798000001</v>
      </c>
      <c r="AM44" s="409" t="s">
        <v>121</v>
      </c>
      <c r="AN44" s="427">
        <v>54.766849970000003</v>
      </c>
      <c r="AO44" s="428">
        <v>491.74900454000004</v>
      </c>
      <c r="AP44" s="429">
        <v>20653.458190680001</v>
      </c>
      <c r="AQ44" s="409" t="s">
        <v>121</v>
      </c>
      <c r="AR44" s="427">
        <f t="shared" si="5"/>
        <v>56.409855469100002</v>
      </c>
      <c r="AS44" s="428">
        <f t="shared" si="6"/>
        <v>506.50147467620008</v>
      </c>
      <c r="AT44" s="429">
        <f t="shared" si="7"/>
        <v>21273.061936400401</v>
      </c>
      <c r="AU44" s="427">
        <f t="shared" si="8"/>
        <v>58.102151133173003</v>
      </c>
      <c r="AV44" s="428">
        <f t="shared" si="9"/>
        <v>521.69651891648607</v>
      </c>
      <c r="AW44" s="429">
        <f t="shared" si="10"/>
        <v>21911.253794492415</v>
      </c>
      <c r="AX44" s="427">
        <f t="shared" si="11"/>
        <v>59.845215667168198</v>
      </c>
      <c r="AY44" s="428">
        <f t="shared" si="12"/>
        <v>537.34741448398063</v>
      </c>
      <c r="AZ44" s="429">
        <f t="shared" si="13"/>
        <v>22568.591408327189</v>
      </c>
      <c r="BA44" s="427">
        <f t="shared" si="21"/>
        <v>61.640572137183248</v>
      </c>
      <c r="BB44" s="428">
        <f t="shared" si="22"/>
        <v>553.4678369185001</v>
      </c>
      <c r="BC44" s="429">
        <f t="shared" si="23"/>
        <v>23245.649150577006</v>
      </c>
    </row>
    <row r="45" spans="1:55" ht="15" thickBot="1">
      <c r="A45" s="171">
        <v>210</v>
      </c>
      <c r="B45" s="162" t="s">
        <v>99</v>
      </c>
      <c r="C45" s="172">
        <v>15</v>
      </c>
      <c r="D45" s="166">
        <v>15</v>
      </c>
      <c r="E45" s="167">
        <v>630</v>
      </c>
      <c r="F45" s="235">
        <v>35.32</v>
      </c>
      <c r="G45" s="166">
        <v>35.32</v>
      </c>
      <c r="H45" s="167">
        <v>1483.44</v>
      </c>
      <c r="I45" s="169">
        <v>37.262599999999999</v>
      </c>
      <c r="J45" s="166">
        <v>37.262599999999999</v>
      </c>
      <c r="K45" s="167">
        <v>1565.0291999999999</v>
      </c>
      <c r="L45" s="169">
        <v>39.125729999999997</v>
      </c>
      <c r="M45" s="166">
        <v>39.125729999999997</v>
      </c>
      <c r="N45" s="167">
        <v>1643.2806599999999</v>
      </c>
      <c r="O45" s="169">
        <v>40.886387849999991</v>
      </c>
      <c r="P45" s="166">
        <v>40.886387849999991</v>
      </c>
      <c r="Q45" s="167">
        <v>1717.2282896999996</v>
      </c>
      <c r="R45" s="169">
        <v>63.55</v>
      </c>
      <c r="S45" s="166">
        <v>63.55</v>
      </c>
      <c r="T45" s="167">
        <v>2669.1</v>
      </c>
      <c r="U45" s="169">
        <v>66.091999999999999</v>
      </c>
      <c r="V45" s="166">
        <v>66.091999999999999</v>
      </c>
      <c r="W45" s="167">
        <v>2775.864</v>
      </c>
      <c r="X45" s="166">
        <v>68.725679999999997</v>
      </c>
      <c r="Y45" s="166">
        <v>68.725679999999997</v>
      </c>
      <c r="Z45" s="167">
        <v>2886.47856</v>
      </c>
      <c r="AA45" s="166">
        <v>72.161963999999998</v>
      </c>
      <c r="AB45" s="166">
        <v>72.161963999999998</v>
      </c>
      <c r="AC45" s="167">
        <v>3030.8024879999998</v>
      </c>
      <c r="AD45" s="166">
        <v>74.319999999999993</v>
      </c>
      <c r="AE45" s="170">
        <v>74.319999999999993</v>
      </c>
      <c r="AF45" s="167">
        <f t="shared" si="15"/>
        <v>3121.4399999999996</v>
      </c>
      <c r="AG45" s="166">
        <f t="shared" si="3"/>
        <v>76.549599999999998</v>
      </c>
      <c r="AH45" s="170">
        <f t="shared" si="3"/>
        <v>76.549599999999998</v>
      </c>
      <c r="AI45" s="167">
        <f t="shared" si="16"/>
        <v>3215.0832</v>
      </c>
      <c r="AJ45" s="166">
        <f t="shared" si="20"/>
        <v>78.846087999999995</v>
      </c>
      <c r="AK45" s="170">
        <f t="shared" si="20"/>
        <v>78.846087999999995</v>
      </c>
      <c r="AL45" s="167">
        <f t="shared" si="17"/>
        <v>3311.5356959999999</v>
      </c>
      <c r="AM45" s="408" t="s">
        <v>122</v>
      </c>
      <c r="AN45" s="430">
        <v>436.99245457000001</v>
      </c>
      <c r="AO45" s="431">
        <v>436.99245457000001</v>
      </c>
      <c r="AP45" s="432">
        <v>18353.683091940002</v>
      </c>
      <c r="AQ45" s="408" t="s">
        <v>122</v>
      </c>
      <c r="AR45" s="430">
        <f t="shared" si="5"/>
        <v>450.10222820710004</v>
      </c>
      <c r="AS45" s="431">
        <f t="shared" si="6"/>
        <v>450.10222820710004</v>
      </c>
      <c r="AT45" s="432">
        <f t="shared" si="7"/>
        <v>18904.293584698204</v>
      </c>
      <c r="AU45" s="430">
        <f t="shared" si="8"/>
        <v>463.60529505331306</v>
      </c>
      <c r="AV45" s="431">
        <f t="shared" si="9"/>
        <v>463.60529505331306</v>
      </c>
      <c r="AW45" s="432">
        <f t="shared" si="10"/>
        <v>19471.42239223915</v>
      </c>
      <c r="AX45" s="430">
        <f t="shared" si="11"/>
        <v>477.51345390491247</v>
      </c>
      <c r="AY45" s="431">
        <f t="shared" si="12"/>
        <v>477.51345390491247</v>
      </c>
      <c r="AZ45" s="432">
        <f t="shared" si="13"/>
        <v>20055.565064006325</v>
      </c>
      <c r="BA45" s="430">
        <f t="shared" si="21"/>
        <v>491.83885752205987</v>
      </c>
      <c r="BB45" s="431">
        <f t="shared" si="22"/>
        <v>491.83885752205987</v>
      </c>
      <c r="BC45" s="432">
        <f t="shared" si="23"/>
        <v>20657.232015926515</v>
      </c>
    </row>
    <row r="46" spans="1:55" ht="14.25">
      <c r="A46" s="171">
        <v>260</v>
      </c>
      <c r="B46" s="162" t="s">
        <v>102</v>
      </c>
      <c r="C46" s="172">
        <v>100</v>
      </c>
      <c r="D46" s="173">
        <v>100</v>
      </c>
      <c r="E46" s="174">
        <v>4200</v>
      </c>
      <c r="F46" s="186">
        <v>106.32</v>
      </c>
      <c r="G46" s="173">
        <v>106.32</v>
      </c>
      <c r="H46" s="174">
        <v>4465.4399999999996</v>
      </c>
      <c r="I46" s="176">
        <v>112.16759999999999</v>
      </c>
      <c r="J46" s="173">
        <v>112.16759999999999</v>
      </c>
      <c r="K46" s="174">
        <v>4711.0391999999993</v>
      </c>
      <c r="L46" s="176">
        <v>117.77598</v>
      </c>
      <c r="M46" s="173">
        <v>117.77598</v>
      </c>
      <c r="N46" s="174">
        <v>4946.5911599999999</v>
      </c>
      <c r="O46" s="176">
        <v>123.0758991</v>
      </c>
      <c r="P46" s="173">
        <v>123.0758991</v>
      </c>
      <c r="Q46" s="174">
        <v>5169.1877622000002</v>
      </c>
      <c r="R46" s="176">
        <v>123.0758991</v>
      </c>
      <c r="S46" s="173">
        <v>123.0758991</v>
      </c>
      <c r="T46" s="174">
        <v>5169.1877622000002</v>
      </c>
      <c r="U46" s="176">
        <v>127.99893506400001</v>
      </c>
      <c r="V46" s="173">
        <v>127.99893506400001</v>
      </c>
      <c r="W46" s="174">
        <v>5375.9552726880002</v>
      </c>
      <c r="X46" s="173">
        <v>133.11889246656003</v>
      </c>
      <c r="Y46" s="173">
        <v>133.11889246656003</v>
      </c>
      <c r="Z46" s="174">
        <v>5590.993483595521</v>
      </c>
      <c r="AA46" s="173">
        <v>139.78008708988804</v>
      </c>
      <c r="AB46" s="173">
        <v>139.78008708988804</v>
      </c>
      <c r="AC46" s="174">
        <v>5870.7636577752974</v>
      </c>
      <c r="AD46" s="173">
        <v>143.97</v>
      </c>
      <c r="AE46" s="177">
        <v>143.97</v>
      </c>
      <c r="AF46" s="174">
        <f t="shared" si="15"/>
        <v>6046.74</v>
      </c>
      <c r="AG46" s="173">
        <f t="shared" si="3"/>
        <v>148.28909999999999</v>
      </c>
      <c r="AH46" s="177">
        <f t="shared" si="3"/>
        <v>148.28909999999999</v>
      </c>
      <c r="AI46" s="174">
        <f t="shared" si="16"/>
        <v>6228.1421999999993</v>
      </c>
      <c r="AJ46" s="173">
        <f t="shared" si="20"/>
        <v>152.737773</v>
      </c>
      <c r="AK46" s="177">
        <f t="shared" si="20"/>
        <v>152.737773</v>
      </c>
      <c r="AL46" s="174">
        <f t="shared" si="17"/>
        <v>6414.9864660000003</v>
      </c>
      <c r="AM46" s="409" t="s">
        <v>99</v>
      </c>
      <c r="AN46" s="424">
        <v>81.211470640000002</v>
      </c>
      <c r="AO46" s="425">
        <v>81.211470640000002</v>
      </c>
      <c r="AP46" s="426">
        <v>3410.8817668800002</v>
      </c>
      <c r="AQ46" s="409" t="s">
        <v>99</v>
      </c>
      <c r="AR46" s="424">
        <f t="shared" si="5"/>
        <v>83.647814759200003</v>
      </c>
      <c r="AS46" s="425">
        <f t="shared" si="6"/>
        <v>83.647814759200003</v>
      </c>
      <c r="AT46" s="426">
        <f t="shared" si="7"/>
        <v>3513.2082198864005</v>
      </c>
      <c r="AU46" s="424">
        <f t="shared" si="8"/>
        <v>86.157249201976001</v>
      </c>
      <c r="AV46" s="425">
        <f t="shared" si="9"/>
        <v>86.157249201976001</v>
      </c>
      <c r="AW46" s="426">
        <f t="shared" si="10"/>
        <v>3618.6044664829924</v>
      </c>
      <c r="AX46" s="424">
        <f t="shared" si="11"/>
        <v>88.741966678035283</v>
      </c>
      <c r="AY46" s="425">
        <f t="shared" si="12"/>
        <v>88.741966678035283</v>
      </c>
      <c r="AZ46" s="426">
        <f t="shared" si="13"/>
        <v>3727.1626004774821</v>
      </c>
      <c r="BA46" s="424">
        <f t="shared" si="21"/>
        <v>91.404225678376349</v>
      </c>
      <c r="BB46" s="425">
        <f t="shared" si="22"/>
        <v>91.404225678376349</v>
      </c>
      <c r="BC46" s="426">
        <f t="shared" si="23"/>
        <v>3838.9774784918068</v>
      </c>
    </row>
    <row r="47" spans="1:55" ht="14.25">
      <c r="A47" s="178">
        <v>231</v>
      </c>
      <c r="B47" s="163" t="s">
        <v>104</v>
      </c>
      <c r="C47" s="179">
        <v>22.089552238805972</v>
      </c>
      <c r="D47" s="180">
        <v>122.09</v>
      </c>
      <c r="E47" s="181">
        <v>5127.78</v>
      </c>
      <c r="F47" s="179">
        <v>22.089552238805972</v>
      </c>
      <c r="G47" s="180">
        <v>128.40955223880596</v>
      </c>
      <c r="H47" s="181">
        <v>5393.2011940298498</v>
      </c>
      <c r="I47" s="179">
        <v>23.3044776119403</v>
      </c>
      <c r="J47" s="180">
        <v>135.47207761194028</v>
      </c>
      <c r="K47" s="181">
        <v>5689.827259701492</v>
      </c>
      <c r="L47" s="179">
        <v>24.469701492537315</v>
      </c>
      <c r="M47" s="180">
        <v>142.24568149253733</v>
      </c>
      <c r="N47" s="181">
        <v>5974.3186226865682</v>
      </c>
      <c r="O47" s="179">
        <v>25.570838059701494</v>
      </c>
      <c r="P47" s="180">
        <v>148.6467371597015</v>
      </c>
      <c r="Q47" s="181">
        <v>6243.1629607074628</v>
      </c>
      <c r="R47" s="179">
        <v>25.570838059701494</v>
      </c>
      <c r="S47" s="180">
        <v>148.6467371597015</v>
      </c>
      <c r="T47" s="181">
        <v>6243.1629607074628</v>
      </c>
      <c r="U47" s="179">
        <v>26.593671582089556</v>
      </c>
      <c r="V47" s="180">
        <v>154.59260664608956</v>
      </c>
      <c r="W47" s="181">
        <v>6492.8894791357616</v>
      </c>
      <c r="X47" s="180">
        <v>27.647418445373138</v>
      </c>
      <c r="Y47" s="180">
        <v>160.76631091193318</v>
      </c>
      <c r="Z47" s="181">
        <v>6752.1850583011937</v>
      </c>
      <c r="AA47" s="180">
        <v>29.029789367641797</v>
      </c>
      <c r="AB47" s="180">
        <v>168.80987645752984</v>
      </c>
      <c r="AC47" s="181">
        <v>7090.0148112162533</v>
      </c>
      <c r="AD47" s="180">
        <v>29.9</v>
      </c>
      <c r="AE47" s="177">
        <v>173.87</v>
      </c>
      <c r="AF47" s="181">
        <f t="shared" si="15"/>
        <v>7302.54</v>
      </c>
      <c r="AG47" s="180">
        <f t="shared" si="3"/>
        <v>30.797000000000001</v>
      </c>
      <c r="AH47" s="177">
        <f t="shared" si="3"/>
        <v>179.08610000000002</v>
      </c>
      <c r="AI47" s="181">
        <f t="shared" si="16"/>
        <v>7521.6162000000004</v>
      </c>
      <c r="AJ47" s="180">
        <f t="shared" si="20"/>
        <v>31.72091</v>
      </c>
      <c r="AK47" s="177">
        <f t="shared" si="20"/>
        <v>184.45868300000001</v>
      </c>
      <c r="AL47" s="181">
        <f t="shared" si="17"/>
        <v>7747.2646860000004</v>
      </c>
      <c r="AM47" s="409" t="s">
        <v>102</v>
      </c>
      <c r="AN47" s="427">
        <v>157.31990619000001</v>
      </c>
      <c r="AO47" s="428">
        <v>157.31990619000001</v>
      </c>
      <c r="AP47" s="429">
        <v>6607.4360599800002</v>
      </c>
      <c r="AQ47" s="409" t="s">
        <v>102</v>
      </c>
      <c r="AR47" s="427">
        <f t="shared" si="5"/>
        <v>162.03950337570001</v>
      </c>
      <c r="AS47" s="428">
        <f t="shared" si="6"/>
        <v>162.03950337570001</v>
      </c>
      <c r="AT47" s="429">
        <f t="shared" si="7"/>
        <v>6805.6591417794007</v>
      </c>
      <c r="AU47" s="427">
        <f t="shared" si="8"/>
        <v>166.900688476971</v>
      </c>
      <c r="AV47" s="428">
        <f t="shared" si="9"/>
        <v>166.900688476971</v>
      </c>
      <c r="AW47" s="429">
        <f t="shared" si="10"/>
        <v>7009.8289160327831</v>
      </c>
      <c r="AX47" s="427">
        <f t="shared" si="11"/>
        <v>171.90770913128014</v>
      </c>
      <c r="AY47" s="428">
        <f t="shared" si="12"/>
        <v>171.90770913128014</v>
      </c>
      <c r="AZ47" s="429">
        <f t="shared" si="13"/>
        <v>7220.1237835137672</v>
      </c>
      <c r="BA47" s="427">
        <f t="shared" si="21"/>
        <v>177.06494040521855</v>
      </c>
      <c r="BB47" s="428">
        <f t="shared" si="22"/>
        <v>177.06494040521855</v>
      </c>
      <c r="BC47" s="429">
        <f t="shared" si="23"/>
        <v>7436.7274970191802</v>
      </c>
    </row>
    <row r="48" spans="1:55" ht="14.25">
      <c r="A48" s="171">
        <v>221</v>
      </c>
      <c r="B48" s="162" t="s">
        <v>105</v>
      </c>
      <c r="C48" s="172">
        <v>40</v>
      </c>
      <c r="D48" s="173">
        <v>140</v>
      </c>
      <c r="E48" s="174">
        <v>5880</v>
      </c>
      <c r="F48" s="186">
        <v>40</v>
      </c>
      <c r="G48" s="173">
        <v>146.32</v>
      </c>
      <c r="H48" s="174">
        <v>6145.44</v>
      </c>
      <c r="I48" s="176">
        <v>42.2</v>
      </c>
      <c r="J48" s="173">
        <v>154.36759999999998</v>
      </c>
      <c r="K48" s="174">
        <v>6483.4391999999989</v>
      </c>
      <c r="L48" s="176">
        <v>44.31</v>
      </c>
      <c r="M48" s="173">
        <v>162.08598000000001</v>
      </c>
      <c r="N48" s="174">
        <v>6807.6111600000004</v>
      </c>
      <c r="O48" s="176">
        <v>46.30395</v>
      </c>
      <c r="P48" s="173">
        <v>169.3798491</v>
      </c>
      <c r="Q48" s="174">
        <v>7113.9536621999996</v>
      </c>
      <c r="R48" s="176">
        <v>46.30395</v>
      </c>
      <c r="S48" s="173">
        <v>169.3798491</v>
      </c>
      <c r="T48" s="174">
        <v>7113.9536621999996</v>
      </c>
      <c r="U48" s="176">
        <v>48.156108000000003</v>
      </c>
      <c r="V48" s="173">
        <v>176.15504306400001</v>
      </c>
      <c r="W48" s="174">
        <v>7398.5118086880002</v>
      </c>
      <c r="X48" s="173">
        <v>50.092352320000003</v>
      </c>
      <c r="Y48" s="173">
        <v>183.21124478656003</v>
      </c>
      <c r="Z48" s="174">
        <v>7694.8722810355212</v>
      </c>
      <c r="AA48" s="173">
        <v>52.58696993600001</v>
      </c>
      <c r="AB48" s="173">
        <v>192.36705702588804</v>
      </c>
      <c r="AC48" s="174">
        <v>8079.416395087298</v>
      </c>
      <c r="AD48" s="173">
        <v>54.17</v>
      </c>
      <c r="AE48" s="177">
        <v>198.14</v>
      </c>
      <c r="AF48" s="174">
        <f t="shared" si="15"/>
        <v>8321.8799999999992</v>
      </c>
      <c r="AG48" s="173">
        <f>AD48*(1+$AI$2)-0.01</f>
        <v>55.785100000000007</v>
      </c>
      <c r="AH48" s="177">
        <f>AE48*(1+$AI$2)</f>
        <v>204.08419999999998</v>
      </c>
      <c r="AI48" s="174">
        <f t="shared" si="16"/>
        <v>8571.536399999999</v>
      </c>
      <c r="AJ48" s="173">
        <f>AG48*(1+$AI$2)-0.01</f>
        <v>57.448653000000007</v>
      </c>
      <c r="AK48" s="177">
        <f>AH48*(1+$AI$2)-0.02</f>
        <v>210.18672599999996</v>
      </c>
      <c r="AL48" s="174">
        <f t="shared" si="17"/>
        <v>8827.8424919999979</v>
      </c>
      <c r="AM48" s="409" t="s">
        <v>104</v>
      </c>
      <c r="AN48" s="427">
        <v>32.672537300000002</v>
      </c>
      <c r="AO48" s="428">
        <v>189.99244349</v>
      </c>
      <c r="AP48" s="429">
        <v>7979.6826265800009</v>
      </c>
      <c r="AQ48" s="409" t="s">
        <v>104</v>
      </c>
      <c r="AR48" s="427">
        <f t="shared" si="5"/>
        <v>33.652713419000001</v>
      </c>
      <c r="AS48" s="428">
        <f t="shared" si="6"/>
        <v>195.69221679470002</v>
      </c>
      <c r="AT48" s="429">
        <f t="shared" si="7"/>
        <v>8219.0731053774016</v>
      </c>
      <c r="AU48" s="427">
        <f t="shared" si="8"/>
        <v>34.662294821570001</v>
      </c>
      <c r="AV48" s="428">
        <f t="shared" si="9"/>
        <v>201.56298329854101</v>
      </c>
      <c r="AW48" s="429">
        <f t="shared" si="10"/>
        <v>8465.6452985387241</v>
      </c>
      <c r="AX48" s="427">
        <f t="shared" si="11"/>
        <v>35.702163666217103</v>
      </c>
      <c r="AY48" s="428">
        <f t="shared" si="12"/>
        <v>207.60987279749725</v>
      </c>
      <c r="AZ48" s="429">
        <f t="shared" si="13"/>
        <v>8719.6146574948853</v>
      </c>
      <c r="BA48" s="427">
        <f t="shared" si="21"/>
        <v>36.773228576203614</v>
      </c>
      <c r="BB48" s="428">
        <f t="shared" si="22"/>
        <v>213.83816898142217</v>
      </c>
      <c r="BC48" s="429">
        <f t="shared" si="23"/>
        <v>8981.2030972197317</v>
      </c>
    </row>
    <row r="49" spans="1:55" ht="14.25">
      <c r="A49" s="171">
        <v>245</v>
      </c>
      <c r="B49" s="162" t="s">
        <v>123</v>
      </c>
      <c r="C49" s="172">
        <v>70</v>
      </c>
      <c r="D49" s="173">
        <v>210</v>
      </c>
      <c r="E49" s="174">
        <v>8820</v>
      </c>
      <c r="F49" s="186">
        <v>84</v>
      </c>
      <c r="G49" s="173">
        <v>230.32</v>
      </c>
      <c r="H49" s="174">
        <v>9673.44</v>
      </c>
      <c r="I49" s="176">
        <v>88.62</v>
      </c>
      <c r="J49" s="173">
        <v>242.98759999999999</v>
      </c>
      <c r="K49" s="174">
        <v>10205.4792</v>
      </c>
      <c r="L49" s="176">
        <v>93.051000000000002</v>
      </c>
      <c r="M49" s="173">
        <v>255.13697999999999</v>
      </c>
      <c r="N49" s="174">
        <v>10715.75316</v>
      </c>
      <c r="O49" s="176">
        <v>97.238294999999994</v>
      </c>
      <c r="P49" s="173">
        <v>266.61814409999999</v>
      </c>
      <c r="Q49" s="174">
        <v>11197.9620522</v>
      </c>
      <c r="R49" s="176">
        <v>97.238294999999994</v>
      </c>
      <c r="S49" s="173">
        <v>266.61814409999999</v>
      </c>
      <c r="T49" s="174">
        <v>11197.9620522</v>
      </c>
      <c r="U49" s="176">
        <v>101.11782679999999</v>
      </c>
      <c r="V49" s="173">
        <v>277.27286986399997</v>
      </c>
      <c r="W49" s="174">
        <v>11645.460534287999</v>
      </c>
      <c r="X49" s="173">
        <v>105.15253987199999</v>
      </c>
      <c r="Y49" s="173">
        <v>288.36378465856001</v>
      </c>
      <c r="Z49" s="174">
        <v>12111.27895565952</v>
      </c>
      <c r="AA49" s="173">
        <v>110.41016686559999</v>
      </c>
      <c r="AB49" s="173">
        <v>302.77722389148801</v>
      </c>
      <c r="AC49" s="174">
        <v>12716.643403442496</v>
      </c>
      <c r="AD49" s="173">
        <v>113.72</v>
      </c>
      <c r="AE49" s="177">
        <v>311.86</v>
      </c>
      <c r="AF49" s="174">
        <f t="shared" si="15"/>
        <v>13098.12</v>
      </c>
      <c r="AG49" s="173">
        <f>AD49*(1+$AI$2)+0.01</f>
        <v>117.14160000000001</v>
      </c>
      <c r="AH49" s="177">
        <f>AH48+AG49</f>
        <v>321.22579999999999</v>
      </c>
      <c r="AI49" s="174">
        <f t="shared" si="16"/>
        <v>13491.4836</v>
      </c>
      <c r="AJ49" s="173">
        <f>AG49*(1+$AI$2)+0.02</f>
        <v>120.67584800000002</v>
      </c>
      <c r="AK49" s="177">
        <f>AK48+AJ49</f>
        <v>330.862574</v>
      </c>
      <c r="AL49" s="174">
        <f t="shared" si="17"/>
        <v>13896.228107999999</v>
      </c>
      <c r="AM49" s="409" t="s">
        <v>105</v>
      </c>
      <c r="AN49" s="427">
        <v>59.172112590000012</v>
      </c>
      <c r="AO49" s="428">
        <v>216.49232777999998</v>
      </c>
      <c r="AP49" s="429">
        <v>9092.6777667599981</v>
      </c>
      <c r="AQ49" s="409" t="s">
        <v>105</v>
      </c>
      <c r="AR49" s="427">
        <f t="shared" si="5"/>
        <v>60.947275967700016</v>
      </c>
      <c r="AS49" s="428">
        <f t="shared" si="6"/>
        <v>222.98709761339998</v>
      </c>
      <c r="AT49" s="429">
        <f t="shared" si="7"/>
        <v>9365.4580997627982</v>
      </c>
      <c r="AU49" s="427">
        <f t="shared" si="8"/>
        <v>62.775694246731021</v>
      </c>
      <c r="AV49" s="428">
        <f t="shared" si="9"/>
        <v>229.67671054180198</v>
      </c>
      <c r="AW49" s="429">
        <f t="shared" si="10"/>
        <v>9646.4218427556825</v>
      </c>
      <c r="AX49" s="427">
        <f t="shared" si="11"/>
        <v>64.658965074132951</v>
      </c>
      <c r="AY49" s="428">
        <f t="shared" si="12"/>
        <v>236.56701185805605</v>
      </c>
      <c r="AZ49" s="429">
        <f t="shared" si="13"/>
        <v>9935.8144980383531</v>
      </c>
      <c r="BA49" s="427">
        <f t="shared" si="21"/>
        <v>66.598734026356937</v>
      </c>
      <c r="BB49" s="428">
        <f t="shared" si="22"/>
        <v>243.66402221379775</v>
      </c>
      <c r="BC49" s="429">
        <f t="shared" si="23"/>
        <v>10233.888932979504</v>
      </c>
    </row>
    <row r="50" spans="1:55" ht="15" thickBot="1">
      <c r="A50" s="219">
        <v>251</v>
      </c>
      <c r="B50" s="239" t="s">
        <v>124</v>
      </c>
      <c r="C50" s="221">
        <v>70</v>
      </c>
      <c r="D50" s="222">
        <v>162.09</v>
      </c>
      <c r="E50" s="223">
        <v>6807.78</v>
      </c>
      <c r="F50" s="224">
        <v>84</v>
      </c>
      <c r="G50" s="222">
        <v>230.32</v>
      </c>
      <c r="H50" s="223">
        <v>9673.44</v>
      </c>
      <c r="I50" s="229">
        <v>88.62</v>
      </c>
      <c r="J50" s="222">
        <v>242.98759999999999</v>
      </c>
      <c r="K50" s="223">
        <v>10205.4792</v>
      </c>
      <c r="L50" s="229">
        <v>93.051000000000002</v>
      </c>
      <c r="M50" s="222">
        <v>255.13697999999999</v>
      </c>
      <c r="N50" s="223">
        <v>10715.75316</v>
      </c>
      <c r="O50" s="229">
        <v>97.238294999999994</v>
      </c>
      <c r="P50" s="222">
        <v>266.61814409999999</v>
      </c>
      <c r="Q50" s="223">
        <v>11197.9620522</v>
      </c>
      <c r="R50" s="229">
        <v>97.238294999999994</v>
      </c>
      <c r="S50" s="222">
        <v>266.61814409999999</v>
      </c>
      <c r="T50" s="223">
        <v>11197.9620522</v>
      </c>
      <c r="U50" s="229">
        <v>101.11782679999999</v>
      </c>
      <c r="V50" s="222">
        <v>277.27286986399997</v>
      </c>
      <c r="W50" s="223">
        <v>11645.460534287999</v>
      </c>
      <c r="X50" s="222">
        <v>105.15253987199999</v>
      </c>
      <c r="Y50" s="222">
        <v>288.36378465856001</v>
      </c>
      <c r="Z50" s="223">
        <v>12111.27895565952</v>
      </c>
      <c r="AA50" s="222">
        <v>110.41016686559999</v>
      </c>
      <c r="AB50" s="222">
        <v>302.77722389148801</v>
      </c>
      <c r="AC50" s="223">
        <v>12716.643403442496</v>
      </c>
      <c r="AD50" s="222">
        <v>113.72</v>
      </c>
      <c r="AE50" s="225">
        <v>311.86</v>
      </c>
      <c r="AF50" s="223">
        <f t="shared" si="15"/>
        <v>13098.12</v>
      </c>
      <c r="AG50" s="222">
        <f>AD50*(1+$AI$2)+0.01</f>
        <v>117.14160000000001</v>
      </c>
      <c r="AH50" s="225">
        <f>AH48+AG50</f>
        <v>321.22579999999999</v>
      </c>
      <c r="AI50" s="223">
        <f t="shared" si="16"/>
        <v>13491.4836</v>
      </c>
      <c r="AJ50" s="222">
        <f>AG50*(1+$AI$2)+0.02</f>
        <v>120.67584800000002</v>
      </c>
      <c r="AK50" s="225">
        <f>AK48+AJ50</f>
        <v>330.862574</v>
      </c>
      <c r="AL50" s="223">
        <f t="shared" si="17"/>
        <v>13896.228107999999</v>
      </c>
      <c r="AM50" s="409" t="s">
        <v>123</v>
      </c>
      <c r="AN50" s="427">
        <v>124.29612344000002</v>
      </c>
      <c r="AO50" s="428">
        <v>340.78845122000001</v>
      </c>
      <c r="AP50" s="429">
        <v>14313.114951239999</v>
      </c>
      <c r="AQ50" s="409" t="s">
        <v>123</v>
      </c>
      <c r="AR50" s="427">
        <f t="shared" si="5"/>
        <v>128.02500714320001</v>
      </c>
      <c r="AS50" s="428">
        <f t="shared" si="6"/>
        <v>351.01210475660002</v>
      </c>
      <c r="AT50" s="429">
        <f t="shared" si="7"/>
        <v>14742.5083997772</v>
      </c>
      <c r="AU50" s="427">
        <f t="shared" si="8"/>
        <v>131.86575735749602</v>
      </c>
      <c r="AV50" s="428">
        <f t="shared" si="9"/>
        <v>361.54246789929806</v>
      </c>
      <c r="AW50" s="429">
        <f t="shared" si="10"/>
        <v>15184.783651770516</v>
      </c>
      <c r="AX50" s="427">
        <f t="shared" si="11"/>
        <v>135.8217300782209</v>
      </c>
      <c r="AY50" s="428">
        <f t="shared" si="12"/>
        <v>372.38874193627703</v>
      </c>
      <c r="AZ50" s="429">
        <f t="shared" si="13"/>
        <v>15640.327161323632</v>
      </c>
      <c r="BA50" s="427">
        <f t="shared" si="21"/>
        <v>139.89638198056753</v>
      </c>
      <c r="BB50" s="428">
        <f t="shared" si="22"/>
        <v>383.56040419436533</v>
      </c>
      <c r="BC50" s="429">
        <f t="shared" si="23"/>
        <v>16109.536976163341</v>
      </c>
    </row>
    <row r="51" spans="1:55" ht="15" thickBot="1">
      <c r="A51" s="164">
        <v>210</v>
      </c>
      <c r="B51" s="161" t="s">
        <v>99</v>
      </c>
      <c r="C51" s="165">
        <v>15</v>
      </c>
      <c r="D51" s="166">
        <v>15</v>
      </c>
      <c r="E51" s="167">
        <v>630</v>
      </c>
      <c r="F51" s="168">
        <v>35.32</v>
      </c>
      <c r="G51" s="166">
        <v>35.32</v>
      </c>
      <c r="H51" s="167">
        <v>1483.44</v>
      </c>
      <c r="I51" s="169">
        <v>37.262599999999999</v>
      </c>
      <c r="J51" s="166">
        <v>37.262599999999999</v>
      </c>
      <c r="K51" s="167">
        <v>1565.0291999999999</v>
      </c>
      <c r="L51" s="169">
        <v>39.125729999999997</v>
      </c>
      <c r="M51" s="166">
        <v>39.125729999999997</v>
      </c>
      <c r="N51" s="167">
        <v>1643.2806599999999</v>
      </c>
      <c r="O51" s="169">
        <v>40.886387849999991</v>
      </c>
      <c r="P51" s="166">
        <v>40.886387849999991</v>
      </c>
      <c r="Q51" s="167">
        <v>1717.2282896999996</v>
      </c>
      <c r="R51" s="166">
        <v>63.55</v>
      </c>
      <c r="S51" s="166">
        <v>63.55</v>
      </c>
      <c r="T51" s="166">
        <v>2669.1</v>
      </c>
      <c r="U51" s="169">
        <v>66.091999999999999</v>
      </c>
      <c r="V51" s="166">
        <v>66.091999999999999</v>
      </c>
      <c r="W51" s="167">
        <v>2775.864</v>
      </c>
      <c r="X51" s="166">
        <v>68.725679999999997</v>
      </c>
      <c r="Y51" s="166">
        <v>68.725679999999997</v>
      </c>
      <c r="Z51" s="166">
        <v>2886.47856</v>
      </c>
      <c r="AA51" s="169">
        <v>72.161963999999998</v>
      </c>
      <c r="AB51" s="166">
        <v>72.161963999999998</v>
      </c>
      <c r="AC51" s="167">
        <v>3030.8024879999998</v>
      </c>
      <c r="AD51" s="169">
        <v>74.319999999999993</v>
      </c>
      <c r="AE51" s="170">
        <v>74.319999999999993</v>
      </c>
      <c r="AF51" s="167">
        <f t="shared" si="15"/>
        <v>3121.4399999999996</v>
      </c>
      <c r="AG51" s="166">
        <f t="shared" ref="AG51:AH54" si="24">AD51*(1+$AI$2)</f>
        <v>76.549599999999998</v>
      </c>
      <c r="AH51" s="170">
        <f t="shared" si="24"/>
        <v>76.549599999999998</v>
      </c>
      <c r="AI51" s="167">
        <f t="shared" si="16"/>
        <v>3215.0832</v>
      </c>
      <c r="AJ51" s="166">
        <f t="shared" ref="AJ51:AK53" si="25">AG51*(1+$AI$2)</f>
        <v>78.846087999999995</v>
      </c>
      <c r="AK51" s="170">
        <f t="shared" si="25"/>
        <v>78.846087999999995</v>
      </c>
      <c r="AL51" s="167">
        <f t="shared" si="17"/>
        <v>3311.5356959999999</v>
      </c>
      <c r="AM51" s="408" t="s">
        <v>124</v>
      </c>
      <c r="AN51" s="430">
        <v>124.29612344000002</v>
      </c>
      <c r="AO51" s="433">
        <v>340.78845122000001</v>
      </c>
      <c r="AP51" s="432">
        <v>14313.114951239999</v>
      </c>
      <c r="AQ51" s="408" t="s">
        <v>124</v>
      </c>
      <c r="AR51" s="430">
        <f t="shared" si="5"/>
        <v>128.02500714320001</v>
      </c>
      <c r="AS51" s="433">
        <f t="shared" si="6"/>
        <v>351.01210475660002</v>
      </c>
      <c r="AT51" s="432">
        <f t="shared" si="7"/>
        <v>14742.5083997772</v>
      </c>
      <c r="AU51" s="430">
        <f t="shared" si="8"/>
        <v>131.86575735749602</v>
      </c>
      <c r="AV51" s="433">
        <f t="shared" si="9"/>
        <v>361.54246789929806</v>
      </c>
      <c r="AW51" s="432">
        <f t="shared" si="10"/>
        <v>15184.783651770516</v>
      </c>
      <c r="AX51" s="430">
        <f t="shared" si="11"/>
        <v>135.8217300782209</v>
      </c>
      <c r="AY51" s="433">
        <f t="shared" si="12"/>
        <v>372.38874193627703</v>
      </c>
      <c r="AZ51" s="432">
        <f t="shared" si="13"/>
        <v>15640.327161323632</v>
      </c>
      <c r="BA51" s="430">
        <f t="shared" si="21"/>
        <v>139.89638198056753</v>
      </c>
      <c r="BB51" s="433">
        <f t="shared" si="22"/>
        <v>383.56040419436533</v>
      </c>
      <c r="BC51" s="432">
        <f t="shared" si="23"/>
        <v>16109.536976163341</v>
      </c>
    </row>
    <row r="52" spans="1:55" ht="14.25">
      <c r="A52" s="171">
        <v>260</v>
      </c>
      <c r="B52" s="162" t="s">
        <v>102</v>
      </c>
      <c r="C52" s="172">
        <v>100</v>
      </c>
      <c r="D52" s="173">
        <v>100</v>
      </c>
      <c r="E52" s="174">
        <v>4200</v>
      </c>
      <c r="F52" s="175">
        <v>106.32</v>
      </c>
      <c r="G52" s="173">
        <v>106.32</v>
      </c>
      <c r="H52" s="174">
        <v>4465.4399999999996</v>
      </c>
      <c r="I52" s="176">
        <v>112.16759999999999</v>
      </c>
      <c r="J52" s="173">
        <v>112.16759999999999</v>
      </c>
      <c r="K52" s="174">
        <v>4711.0391999999993</v>
      </c>
      <c r="L52" s="176">
        <v>117.77598</v>
      </c>
      <c r="M52" s="173">
        <v>117.77598</v>
      </c>
      <c r="N52" s="174">
        <v>4946.5911599999999</v>
      </c>
      <c r="O52" s="176">
        <v>123.0758991</v>
      </c>
      <c r="P52" s="173">
        <v>123.0758991</v>
      </c>
      <c r="Q52" s="174">
        <v>5169.1877622000002</v>
      </c>
      <c r="R52" s="173">
        <v>123.0758991</v>
      </c>
      <c r="S52" s="173">
        <v>123.0758991</v>
      </c>
      <c r="T52" s="173">
        <v>5169.1877622000002</v>
      </c>
      <c r="U52" s="176">
        <v>127.99893506400001</v>
      </c>
      <c r="V52" s="173">
        <v>127.99893506400001</v>
      </c>
      <c r="W52" s="174">
        <v>5375.9552726880002</v>
      </c>
      <c r="X52" s="173">
        <v>133.11889246656003</v>
      </c>
      <c r="Y52" s="173">
        <v>133.11889246656003</v>
      </c>
      <c r="Z52" s="173">
        <v>5590.993483595521</v>
      </c>
      <c r="AA52" s="176">
        <v>139.78008708988804</v>
      </c>
      <c r="AB52" s="173">
        <v>139.78008708988804</v>
      </c>
      <c r="AC52" s="174">
        <v>5870.7636577752974</v>
      </c>
      <c r="AD52" s="176">
        <v>143.97</v>
      </c>
      <c r="AE52" s="177">
        <v>143.97</v>
      </c>
      <c r="AF52" s="174">
        <f t="shared" si="15"/>
        <v>6046.74</v>
      </c>
      <c r="AG52" s="173">
        <f t="shared" si="24"/>
        <v>148.28909999999999</v>
      </c>
      <c r="AH52" s="177">
        <f t="shared" si="24"/>
        <v>148.28909999999999</v>
      </c>
      <c r="AI52" s="174">
        <f t="shared" si="16"/>
        <v>6228.1421999999993</v>
      </c>
      <c r="AJ52" s="173">
        <f t="shared" si="25"/>
        <v>152.737773</v>
      </c>
      <c r="AK52" s="177">
        <f t="shared" si="25"/>
        <v>152.737773</v>
      </c>
      <c r="AL52" s="174">
        <f t="shared" si="17"/>
        <v>6414.9864660000003</v>
      </c>
      <c r="AM52" s="412" t="s">
        <v>99</v>
      </c>
      <c r="AN52" s="424">
        <v>81.211470640000002</v>
      </c>
      <c r="AO52" s="425">
        <v>81.211470640000002</v>
      </c>
      <c r="AP52" s="426">
        <v>3410.8817668800002</v>
      </c>
      <c r="AQ52" s="412" t="s">
        <v>99</v>
      </c>
      <c r="AR52" s="424">
        <f t="shared" si="5"/>
        <v>83.647814759200003</v>
      </c>
      <c r="AS52" s="425">
        <f t="shared" si="6"/>
        <v>83.647814759200003</v>
      </c>
      <c r="AT52" s="426">
        <f t="shared" si="7"/>
        <v>3513.2082198864005</v>
      </c>
      <c r="AU52" s="424">
        <f t="shared" si="8"/>
        <v>86.157249201976001</v>
      </c>
      <c r="AV52" s="425">
        <f t="shared" si="9"/>
        <v>86.157249201976001</v>
      </c>
      <c r="AW52" s="426">
        <f t="shared" si="10"/>
        <v>3618.6044664829924</v>
      </c>
      <c r="AX52" s="424">
        <f t="shared" si="11"/>
        <v>88.741966678035283</v>
      </c>
      <c r="AY52" s="425">
        <f t="shared" si="12"/>
        <v>88.741966678035283</v>
      </c>
      <c r="AZ52" s="426">
        <f t="shared" si="13"/>
        <v>3727.1626004774821</v>
      </c>
      <c r="BA52" s="424">
        <f t="shared" si="21"/>
        <v>91.404225678376349</v>
      </c>
      <c r="BB52" s="425">
        <f t="shared" si="22"/>
        <v>91.404225678376349</v>
      </c>
      <c r="BC52" s="426">
        <f t="shared" si="23"/>
        <v>3838.9774784918068</v>
      </c>
    </row>
    <row r="53" spans="1:55" ht="14.25">
      <c r="A53" s="178">
        <v>231</v>
      </c>
      <c r="B53" s="163" t="s">
        <v>104</v>
      </c>
      <c r="C53" s="179">
        <v>22.089552238805972</v>
      </c>
      <c r="D53" s="180">
        <v>122.09</v>
      </c>
      <c r="E53" s="181">
        <v>5127.78</v>
      </c>
      <c r="F53" s="179">
        <v>22.089552238805972</v>
      </c>
      <c r="G53" s="180">
        <v>128.40955223880596</v>
      </c>
      <c r="H53" s="181">
        <v>5393.2011940298498</v>
      </c>
      <c r="I53" s="179">
        <v>23.3044776119403</v>
      </c>
      <c r="J53" s="180">
        <v>135.47207761194028</v>
      </c>
      <c r="K53" s="181">
        <v>5689.827259701492</v>
      </c>
      <c r="L53" s="179">
        <v>24.469701492537315</v>
      </c>
      <c r="M53" s="180">
        <v>142.24568149253733</v>
      </c>
      <c r="N53" s="181">
        <v>5974.3186226865682</v>
      </c>
      <c r="O53" s="179">
        <v>25.570838059701494</v>
      </c>
      <c r="P53" s="180">
        <v>148.6467371597015</v>
      </c>
      <c r="Q53" s="181">
        <v>6243.1629607074628</v>
      </c>
      <c r="R53" s="180">
        <v>25.570838059701494</v>
      </c>
      <c r="S53" s="180">
        <v>148.6467371597015</v>
      </c>
      <c r="T53" s="180">
        <v>6243.1629607074628</v>
      </c>
      <c r="U53" s="179">
        <v>26.593671582089556</v>
      </c>
      <c r="V53" s="180">
        <v>154.59260664608956</v>
      </c>
      <c r="W53" s="181">
        <v>6492.8894791357616</v>
      </c>
      <c r="X53" s="180">
        <v>27.647418445373138</v>
      </c>
      <c r="Y53" s="180">
        <v>160.76631091193318</v>
      </c>
      <c r="Z53" s="180">
        <v>6752.1850583011937</v>
      </c>
      <c r="AA53" s="179">
        <v>29.029789367641797</v>
      </c>
      <c r="AB53" s="180">
        <v>168.80987645752984</v>
      </c>
      <c r="AC53" s="181">
        <v>7090.0148112162533</v>
      </c>
      <c r="AD53" s="179">
        <v>29.9</v>
      </c>
      <c r="AE53" s="177">
        <v>173.87</v>
      </c>
      <c r="AF53" s="181">
        <f t="shared" si="15"/>
        <v>7302.54</v>
      </c>
      <c r="AG53" s="180">
        <f t="shared" si="24"/>
        <v>30.797000000000001</v>
      </c>
      <c r="AH53" s="177">
        <f t="shared" si="24"/>
        <v>179.08610000000002</v>
      </c>
      <c r="AI53" s="181">
        <f t="shared" si="16"/>
        <v>7521.6162000000004</v>
      </c>
      <c r="AJ53" s="180">
        <f t="shared" si="25"/>
        <v>31.72091</v>
      </c>
      <c r="AK53" s="177">
        <f t="shared" si="25"/>
        <v>184.45868300000001</v>
      </c>
      <c r="AL53" s="181">
        <f t="shared" si="17"/>
        <v>7747.2646860000004</v>
      </c>
      <c r="AM53" s="409" t="s">
        <v>102</v>
      </c>
      <c r="AN53" s="427">
        <v>157.31990619000001</v>
      </c>
      <c r="AO53" s="428">
        <v>157.31990619000001</v>
      </c>
      <c r="AP53" s="429">
        <v>6607.4360599800002</v>
      </c>
      <c r="AQ53" s="409" t="s">
        <v>102</v>
      </c>
      <c r="AR53" s="427">
        <f t="shared" si="5"/>
        <v>162.03950337570001</v>
      </c>
      <c r="AS53" s="428">
        <f t="shared" si="6"/>
        <v>162.03950337570001</v>
      </c>
      <c r="AT53" s="429">
        <f t="shared" si="7"/>
        <v>6805.6591417794007</v>
      </c>
      <c r="AU53" s="427">
        <f t="shared" si="8"/>
        <v>166.900688476971</v>
      </c>
      <c r="AV53" s="428">
        <f t="shared" si="9"/>
        <v>166.900688476971</v>
      </c>
      <c r="AW53" s="429">
        <f t="shared" si="10"/>
        <v>7009.8289160327831</v>
      </c>
      <c r="AX53" s="427">
        <f t="shared" si="11"/>
        <v>171.90770913128014</v>
      </c>
      <c r="AY53" s="428">
        <f t="shared" si="12"/>
        <v>171.90770913128014</v>
      </c>
      <c r="AZ53" s="429">
        <f t="shared" si="13"/>
        <v>7220.1237835137672</v>
      </c>
      <c r="BA53" s="427">
        <f t="shared" si="21"/>
        <v>177.06494040521855</v>
      </c>
      <c r="BB53" s="428">
        <f t="shared" si="22"/>
        <v>177.06494040521855</v>
      </c>
      <c r="BC53" s="429">
        <f t="shared" si="23"/>
        <v>7436.7274970191802</v>
      </c>
    </row>
    <row r="54" spans="1:55" ht="14.25">
      <c r="A54" s="171">
        <v>221</v>
      </c>
      <c r="B54" s="162" t="s">
        <v>105</v>
      </c>
      <c r="C54" s="172">
        <v>40</v>
      </c>
      <c r="D54" s="173">
        <v>140</v>
      </c>
      <c r="E54" s="174">
        <v>5880</v>
      </c>
      <c r="F54" s="175">
        <v>40</v>
      </c>
      <c r="G54" s="173">
        <v>146.32</v>
      </c>
      <c r="H54" s="174">
        <v>6145.44</v>
      </c>
      <c r="I54" s="176">
        <v>42.2</v>
      </c>
      <c r="J54" s="173">
        <v>154.36759999999998</v>
      </c>
      <c r="K54" s="174">
        <v>6483.4391999999989</v>
      </c>
      <c r="L54" s="176">
        <v>44.31</v>
      </c>
      <c r="M54" s="173">
        <v>162.08598000000001</v>
      </c>
      <c r="N54" s="174">
        <v>6807.6111600000004</v>
      </c>
      <c r="O54" s="176">
        <v>46.30395</v>
      </c>
      <c r="P54" s="173">
        <v>169.3798491</v>
      </c>
      <c r="Q54" s="174">
        <v>7113.9536621999996</v>
      </c>
      <c r="R54" s="173">
        <v>46.30395</v>
      </c>
      <c r="S54" s="173">
        <v>169.3798491</v>
      </c>
      <c r="T54" s="173">
        <v>7113.9536621999996</v>
      </c>
      <c r="U54" s="176">
        <v>48.156108000000003</v>
      </c>
      <c r="V54" s="173">
        <v>176.15504306400001</v>
      </c>
      <c r="W54" s="174">
        <v>7398.5118086880002</v>
      </c>
      <c r="X54" s="173">
        <v>50.092352320000003</v>
      </c>
      <c r="Y54" s="173">
        <v>183.21124478656003</v>
      </c>
      <c r="Z54" s="173">
        <v>7694.8722810355212</v>
      </c>
      <c r="AA54" s="176">
        <v>52.58696993600001</v>
      </c>
      <c r="AB54" s="173">
        <v>192.36705702588804</v>
      </c>
      <c r="AC54" s="174">
        <v>8079.416395087298</v>
      </c>
      <c r="AD54" s="176">
        <v>54.17</v>
      </c>
      <c r="AE54" s="177">
        <v>198.14</v>
      </c>
      <c r="AF54" s="174">
        <f t="shared" si="15"/>
        <v>8321.8799999999992</v>
      </c>
      <c r="AG54" s="173">
        <f>AD54*(1+$AI$2)-0.01</f>
        <v>55.785100000000007</v>
      </c>
      <c r="AH54" s="177">
        <f t="shared" si="24"/>
        <v>204.08419999999998</v>
      </c>
      <c r="AI54" s="174">
        <f t="shared" si="16"/>
        <v>8571.536399999999</v>
      </c>
      <c r="AJ54" s="173">
        <f>AG54*(1+$AI$2)-0.01</f>
        <v>57.448653000000007</v>
      </c>
      <c r="AK54" s="177">
        <f>AH54*(1+$AI$2)-0.02</f>
        <v>210.18672599999996</v>
      </c>
      <c r="AL54" s="174">
        <f t="shared" si="17"/>
        <v>8827.8424919999979</v>
      </c>
      <c r="AM54" s="409" t="s">
        <v>104</v>
      </c>
      <c r="AN54" s="427">
        <v>32.672537300000002</v>
      </c>
      <c r="AO54" s="428">
        <v>189.99244349</v>
      </c>
      <c r="AP54" s="429">
        <v>7979.6826265800009</v>
      </c>
      <c r="AQ54" s="409" t="s">
        <v>104</v>
      </c>
      <c r="AR54" s="427">
        <f t="shared" si="5"/>
        <v>33.652713419000001</v>
      </c>
      <c r="AS54" s="428">
        <f t="shared" si="6"/>
        <v>195.69221679470002</v>
      </c>
      <c r="AT54" s="429">
        <f t="shared" si="7"/>
        <v>8219.0731053774016</v>
      </c>
      <c r="AU54" s="427">
        <f t="shared" si="8"/>
        <v>34.662294821570001</v>
      </c>
      <c r="AV54" s="428">
        <f t="shared" si="9"/>
        <v>201.56298329854101</v>
      </c>
      <c r="AW54" s="429">
        <f t="shared" si="10"/>
        <v>8465.6452985387241</v>
      </c>
      <c r="AX54" s="427">
        <f t="shared" si="11"/>
        <v>35.702163666217103</v>
      </c>
      <c r="AY54" s="428">
        <f t="shared" si="12"/>
        <v>207.60987279749725</v>
      </c>
      <c r="AZ54" s="429">
        <f t="shared" si="13"/>
        <v>8719.6146574948853</v>
      </c>
      <c r="BA54" s="427">
        <f t="shared" si="21"/>
        <v>36.773228576203614</v>
      </c>
      <c r="BB54" s="428">
        <f t="shared" si="22"/>
        <v>213.83816898142217</v>
      </c>
      <c r="BC54" s="429">
        <f t="shared" si="23"/>
        <v>8981.2030972197317</v>
      </c>
    </row>
    <row r="55" spans="1:55" ht="15" thickBot="1">
      <c r="A55" s="171"/>
      <c r="B55" s="162" t="s">
        <v>184</v>
      </c>
      <c r="C55" s="172"/>
      <c r="D55" s="173"/>
      <c r="E55" s="174"/>
      <c r="F55" s="175"/>
      <c r="G55" s="173"/>
      <c r="H55" s="174"/>
      <c r="I55" s="176"/>
      <c r="J55" s="173"/>
      <c r="K55" s="174"/>
      <c r="L55" s="176"/>
      <c r="M55" s="173"/>
      <c r="N55" s="174"/>
      <c r="O55" s="176"/>
      <c r="P55" s="173"/>
      <c r="Q55" s="174"/>
      <c r="R55" s="173"/>
      <c r="S55" s="173"/>
      <c r="T55" s="173"/>
      <c r="U55" s="176"/>
      <c r="V55" s="173"/>
      <c r="W55" s="174"/>
      <c r="X55" s="173"/>
      <c r="Y55" s="173"/>
      <c r="Z55" s="173"/>
      <c r="AA55" s="176"/>
      <c r="AB55" s="173"/>
      <c r="AC55" s="174"/>
      <c r="AD55" s="222"/>
      <c r="AE55" s="225"/>
      <c r="AF55" s="223"/>
      <c r="AG55" s="222">
        <v>74.599999999999994</v>
      </c>
      <c r="AH55" s="225">
        <f>AH54+AG55</f>
        <v>278.68419999999998</v>
      </c>
      <c r="AI55" s="223">
        <f t="shared" si="16"/>
        <v>11704.7364</v>
      </c>
      <c r="AJ55" s="222">
        <f>AG55*(1+$AI$2)</f>
        <v>76.837999999999994</v>
      </c>
      <c r="AK55" s="225">
        <f>AK54+AJ55</f>
        <v>287.02472599999999</v>
      </c>
      <c r="AL55" s="223">
        <f t="shared" si="17"/>
        <v>12055.038492</v>
      </c>
      <c r="AM55" s="409" t="s">
        <v>105</v>
      </c>
      <c r="AN55" s="427">
        <v>59.172112590000012</v>
      </c>
      <c r="AO55" s="428">
        <v>216.49232777999998</v>
      </c>
      <c r="AP55" s="429">
        <v>9092.6777667599981</v>
      </c>
      <c r="AQ55" s="409" t="s">
        <v>105</v>
      </c>
      <c r="AR55" s="427">
        <f t="shared" si="5"/>
        <v>60.947275967700016</v>
      </c>
      <c r="AS55" s="428">
        <f t="shared" si="6"/>
        <v>222.98709761339998</v>
      </c>
      <c r="AT55" s="429">
        <f t="shared" si="7"/>
        <v>9365.4580997627982</v>
      </c>
      <c r="AU55" s="427">
        <f t="shared" si="8"/>
        <v>62.775694246731021</v>
      </c>
      <c r="AV55" s="428">
        <f t="shared" si="9"/>
        <v>229.67671054180198</v>
      </c>
      <c r="AW55" s="429">
        <f t="shared" si="10"/>
        <v>9646.4218427556825</v>
      </c>
      <c r="AX55" s="427">
        <f t="shared" si="11"/>
        <v>64.658965074132951</v>
      </c>
      <c r="AY55" s="428">
        <f t="shared" si="12"/>
        <v>236.56701185805605</v>
      </c>
      <c r="AZ55" s="429">
        <f t="shared" si="13"/>
        <v>9935.8144980383531</v>
      </c>
      <c r="BA55" s="427">
        <f t="shared" si="21"/>
        <v>66.598734026356937</v>
      </c>
      <c r="BB55" s="428">
        <f t="shared" si="22"/>
        <v>243.66402221379775</v>
      </c>
      <c r="BC55" s="429">
        <f t="shared" si="23"/>
        <v>10233.888932979504</v>
      </c>
    </row>
    <row r="56" spans="1:55" ht="15" thickBot="1">
      <c r="A56" s="164">
        <v>210</v>
      </c>
      <c r="B56" s="161" t="s">
        <v>99</v>
      </c>
      <c r="C56" s="165">
        <v>15</v>
      </c>
      <c r="D56" s="166">
        <v>15</v>
      </c>
      <c r="E56" s="167">
        <v>630</v>
      </c>
      <c r="F56" s="168">
        <v>35.32</v>
      </c>
      <c r="G56" s="166">
        <v>35.32</v>
      </c>
      <c r="H56" s="167">
        <v>1483.44</v>
      </c>
      <c r="I56" s="169">
        <v>37.262599999999999</v>
      </c>
      <c r="J56" s="166">
        <v>37.262599999999999</v>
      </c>
      <c r="K56" s="167">
        <v>1565.0291999999999</v>
      </c>
      <c r="L56" s="169">
        <v>39.125729999999997</v>
      </c>
      <c r="M56" s="166">
        <v>39.125729999999997</v>
      </c>
      <c r="N56" s="167">
        <v>1643.2806599999999</v>
      </c>
      <c r="O56" s="169">
        <v>40.886387849999991</v>
      </c>
      <c r="P56" s="166">
        <v>40.886387849999991</v>
      </c>
      <c r="Q56" s="167">
        <v>1717.2282896999996</v>
      </c>
      <c r="R56" s="166">
        <v>63.55</v>
      </c>
      <c r="S56" s="166">
        <v>63.55</v>
      </c>
      <c r="T56" s="166">
        <v>2669.1</v>
      </c>
      <c r="U56" s="169">
        <v>66.091999999999999</v>
      </c>
      <c r="V56" s="166">
        <v>66.091999999999999</v>
      </c>
      <c r="W56" s="167">
        <v>2775.864</v>
      </c>
      <c r="X56" s="166">
        <v>68.725679999999997</v>
      </c>
      <c r="Y56" s="166">
        <v>68.725679999999997</v>
      </c>
      <c r="Z56" s="166">
        <v>2886.47856</v>
      </c>
      <c r="AA56" s="169">
        <v>72.161963999999998</v>
      </c>
      <c r="AB56" s="166">
        <v>72.161963999999998</v>
      </c>
      <c r="AC56" s="167">
        <v>3030.8024879999998</v>
      </c>
      <c r="AD56" s="169">
        <v>74.319999999999993</v>
      </c>
      <c r="AE56" s="170">
        <v>74.319999999999993</v>
      </c>
      <c r="AF56" s="167">
        <f>AE56*42</f>
        <v>3121.4399999999996</v>
      </c>
      <c r="AG56" s="166">
        <f>AD56*(1+$AI$2)</f>
        <v>76.549599999999998</v>
      </c>
      <c r="AH56" s="170">
        <f>AE56*(1+$AI$2)</f>
        <v>76.549599999999998</v>
      </c>
      <c r="AI56" s="167">
        <f t="shared" si="16"/>
        <v>3215.0832</v>
      </c>
      <c r="AJ56" s="166">
        <f t="shared" ref="AJ56:AK59" si="26">AG56*(1+$AI$2)</f>
        <v>78.846087999999995</v>
      </c>
      <c r="AK56" s="170">
        <f t="shared" si="26"/>
        <v>78.846087999999995</v>
      </c>
      <c r="AL56" s="167">
        <f t="shared" si="17"/>
        <v>3311.5356959999999</v>
      </c>
      <c r="AM56" s="409" t="s">
        <v>184</v>
      </c>
      <c r="AN56" s="430">
        <v>53.436400000000006</v>
      </c>
      <c r="AO56" s="431">
        <v>269.92872777999997</v>
      </c>
      <c r="AP56" s="432">
        <v>11337.006566759999</v>
      </c>
      <c r="AQ56" s="409" t="s">
        <v>184</v>
      </c>
      <c r="AR56" s="430">
        <f t="shared" si="5"/>
        <v>55.03949200000001</v>
      </c>
      <c r="AS56" s="431">
        <f t="shared" si="6"/>
        <v>278.02658961340001</v>
      </c>
      <c r="AT56" s="432">
        <f t="shared" si="7"/>
        <v>11677.116763762799</v>
      </c>
      <c r="AU56" s="430">
        <f t="shared" si="8"/>
        <v>56.690676760000009</v>
      </c>
      <c r="AV56" s="431">
        <f t="shared" si="9"/>
        <v>286.36738730180201</v>
      </c>
      <c r="AW56" s="432">
        <f t="shared" si="10"/>
        <v>12027.430266675683</v>
      </c>
      <c r="AX56" s="430">
        <f t="shared" si="11"/>
        <v>58.39139706280001</v>
      </c>
      <c r="AY56" s="431">
        <f t="shared" si="12"/>
        <v>294.95840892085607</v>
      </c>
      <c r="AZ56" s="432">
        <f t="shared" si="13"/>
        <v>12388.253174675954</v>
      </c>
      <c r="BA56" s="430">
        <f t="shared" si="21"/>
        <v>60.143138974684014</v>
      </c>
      <c r="BB56" s="431">
        <f t="shared" si="22"/>
        <v>303.80716118848176</v>
      </c>
      <c r="BC56" s="432">
        <f t="shared" si="23"/>
        <v>12759.900769916234</v>
      </c>
    </row>
    <row r="57" spans="1:55" ht="14.25">
      <c r="A57" s="171">
        <v>260</v>
      </c>
      <c r="B57" s="162" t="s">
        <v>102</v>
      </c>
      <c r="C57" s="172">
        <v>100</v>
      </c>
      <c r="D57" s="173">
        <v>100</v>
      </c>
      <c r="E57" s="174">
        <v>4200</v>
      </c>
      <c r="F57" s="175">
        <v>106.32</v>
      </c>
      <c r="G57" s="173">
        <v>106.32</v>
      </c>
      <c r="H57" s="174">
        <v>4465.4399999999996</v>
      </c>
      <c r="I57" s="176">
        <v>112.16759999999999</v>
      </c>
      <c r="J57" s="173">
        <v>112.16759999999999</v>
      </c>
      <c r="K57" s="174">
        <v>4711.0391999999993</v>
      </c>
      <c r="L57" s="176">
        <v>117.77598</v>
      </c>
      <c r="M57" s="173">
        <v>117.77598</v>
      </c>
      <c r="N57" s="174">
        <v>4946.5911599999999</v>
      </c>
      <c r="O57" s="176">
        <v>123.0758991</v>
      </c>
      <c r="P57" s="173">
        <v>123.0758991</v>
      </c>
      <c r="Q57" s="174">
        <v>5169.1877622000002</v>
      </c>
      <c r="R57" s="173">
        <v>123.0758991</v>
      </c>
      <c r="S57" s="173">
        <v>123.0758991</v>
      </c>
      <c r="T57" s="173">
        <v>5169.1877622000002</v>
      </c>
      <c r="U57" s="176">
        <v>127.99893506400001</v>
      </c>
      <c r="V57" s="173">
        <v>127.99893506400001</v>
      </c>
      <c r="W57" s="174">
        <v>5375.9552726880002</v>
      </c>
      <c r="X57" s="173">
        <v>133.11889246656003</v>
      </c>
      <c r="Y57" s="173">
        <v>133.11889246656003</v>
      </c>
      <c r="Z57" s="173">
        <v>5590.993483595521</v>
      </c>
      <c r="AA57" s="176">
        <v>139.78008708988804</v>
      </c>
      <c r="AB57" s="173">
        <v>139.78008708988804</v>
      </c>
      <c r="AC57" s="174">
        <v>5870.7636577752974</v>
      </c>
      <c r="AD57" s="176">
        <v>143.97</v>
      </c>
      <c r="AE57" s="177">
        <v>143.97</v>
      </c>
      <c r="AF57" s="174">
        <f>AE57*42</f>
        <v>6046.74</v>
      </c>
      <c r="AG57" s="173">
        <f>AD57*(1+$AI$2)</f>
        <v>148.28909999999999</v>
      </c>
      <c r="AH57" s="177">
        <f>AE57*(1+$AI$2)</f>
        <v>148.28909999999999</v>
      </c>
      <c r="AI57" s="174">
        <f t="shared" si="16"/>
        <v>6228.1421999999993</v>
      </c>
      <c r="AJ57" s="173">
        <f t="shared" si="26"/>
        <v>152.737773</v>
      </c>
      <c r="AK57" s="177">
        <f t="shared" si="26"/>
        <v>152.737773</v>
      </c>
      <c r="AL57" s="174">
        <f t="shared" si="17"/>
        <v>6414.9864660000003</v>
      </c>
      <c r="AM57" s="412" t="s">
        <v>99</v>
      </c>
      <c r="AN57" s="424">
        <v>81.211470640000002</v>
      </c>
      <c r="AO57" s="425">
        <v>81.211470640000002</v>
      </c>
      <c r="AP57" s="426">
        <v>3410.8817668800002</v>
      </c>
      <c r="AQ57" s="412" t="s">
        <v>99</v>
      </c>
      <c r="AR57" s="424">
        <f t="shared" si="5"/>
        <v>83.647814759200003</v>
      </c>
      <c r="AS57" s="425">
        <f t="shared" si="6"/>
        <v>83.647814759200003</v>
      </c>
      <c r="AT57" s="426">
        <f t="shared" si="7"/>
        <v>3513.2082198864005</v>
      </c>
      <c r="AU57" s="424">
        <f t="shared" si="8"/>
        <v>86.157249201976001</v>
      </c>
      <c r="AV57" s="425">
        <f t="shared" si="9"/>
        <v>86.157249201976001</v>
      </c>
      <c r="AW57" s="426">
        <f t="shared" si="10"/>
        <v>3618.6044664829924</v>
      </c>
      <c r="AX57" s="424">
        <f t="shared" si="11"/>
        <v>88.741966678035283</v>
      </c>
      <c r="AY57" s="425">
        <f t="shared" si="12"/>
        <v>88.741966678035283</v>
      </c>
      <c r="AZ57" s="426">
        <f t="shared" si="13"/>
        <v>3727.1626004774821</v>
      </c>
      <c r="BA57" s="424">
        <f t="shared" si="21"/>
        <v>91.404225678376349</v>
      </c>
      <c r="BB57" s="425">
        <f t="shared" si="22"/>
        <v>91.404225678376349</v>
      </c>
      <c r="BC57" s="426">
        <f t="shared" si="23"/>
        <v>3838.9774784918068</v>
      </c>
    </row>
    <row r="58" spans="1:55" ht="14.25">
      <c r="A58" s="240"/>
      <c r="B58" s="227" t="s">
        <v>200</v>
      </c>
      <c r="C58" s="241"/>
      <c r="D58" s="242"/>
      <c r="E58" s="243"/>
      <c r="F58" s="241"/>
      <c r="G58" s="242"/>
      <c r="H58" s="243"/>
      <c r="I58" s="241"/>
      <c r="J58" s="242"/>
      <c r="K58" s="243"/>
      <c r="L58" s="241"/>
      <c r="M58" s="242"/>
      <c r="N58" s="243"/>
      <c r="O58" s="241"/>
      <c r="P58" s="242"/>
      <c r="Q58" s="243"/>
      <c r="R58" s="242"/>
      <c r="S58" s="242"/>
      <c r="T58" s="242"/>
      <c r="U58" s="241"/>
      <c r="V58" s="242"/>
      <c r="W58" s="243"/>
      <c r="X58" s="242"/>
      <c r="Y58" s="242"/>
      <c r="Z58" s="242"/>
      <c r="AA58" s="241"/>
      <c r="AB58" s="242"/>
      <c r="AC58" s="243"/>
      <c r="AD58" s="173"/>
      <c r="AE58" s="177"/>
      <c r="AF58" s="174"/>
      <c r="AG58" s="173">
        <v>116.27947684440193</v>
      </c>
      <c r="AH58" s="177">
        <f>+AG58+AH57</f>
        <v>264.56857684440195</v>
      </c>
      <c r="AI58" s="174">
        <f>AH58*42</f>
        <v>11111.880227464882</v>
      </c>
      <c r="AJ58" s="173">
        <f t="shared" si="26"/>
        <v>119.76786114973399</v>
      </c>
      <c r="AK58" s="177">
        <f>+AJ58+AK57</f>
        <v>272.50563414973396</v>
      </c>
      <c r="AL58" s="174">
        <f>AK58*42</f>
        <v>11445.236634288827</v>
      </c>
      <c r="AM58" s="409" t="s">
        <v>102</v>
      </c>
      <c r="AN58" s="427">
        <v>157.31990619000001</v>
      </c>
      <c r="AO58" s="428">
        <v>157.31990619000001</v>
      </c>
      <c r="AP58" s="429">
        <v>6607.4360599800002</v>
      </c>
      <c r="AQ58" s="409" t="s">
        <v>102</v>
      </c>
      <c r="AR58" s="427">
        <f t="shared" si="5"/>
        <v>162.03950337570001</v>
      </c>
      <c r="AS58" s="428">
        <f t="shared" si="6"/>
        <v>162.03950337570001</v>
      </c>
      <c r="AT58" s="429">
        <f t="shared" si="7"/>
        <v>6805.6591417794007</v>
      </c>
      <c r="AU58" s="427">
        <f t="shared" si="8"/>
        <v>166.900688476971</v>
      </c>
      <c r="AV58" s="428">
        <f t="shared" si="9"/>
        <v>166.900688476971</v>
      </c>
      <c r="AW58" s="429">
        <f t="shared" si="10"/>
        <v>7009.8289160327831</v>
      </c>
      <c r="AX58" s="427">
        <f t="shared" si="11"/>
        <v>171.90770913128014</v>
      </c>
      <c r="AY58" s="428">
        <f t="shared" si="12"/>
        <v>171.90770913128014</v>
      </c>
      <c r="AZ58" s="429">
        <f t="shared" si="13"/>
        <v>7220.1237835137672</v>
      </c>
      <c r="BA58" s="427">
        <f t="shared" si="21"/>
        <v>177.06494040521855</v>
      </c>
      <c r="BB58" s="428">
        <f t="shared" si="22"/>
        <v>177.06494040521855</v>
      </c>
      <c r="BC58" s="429">
        <f t="shared" si="23"/>
        <v>7436.7274970191802</v>
      </c>
    </row>
    <row r="59" spans="1:55" ht="15" thickBot="1">
      <c r="A59" s="219"/>
      <c r="B59" s="239" t="s">
        <v>201</v>
      </c>
      <c r="C59" s="244"/>
      <c r="D59" s="245"/>
      <c r="E59" s="246"/>
      <c r="F59" s="244"/>
      <c r="G59" s="245"/>
      <c r="H59" s="246"/>
      <c r="I59" s="244"/>
      <c r="J59" s="245"/>
      <c r="K59" s="246"/>
      <c r="L59" s="244"/>
      <c r="M59" s="245"/>
      <c r="N59" s="246"/>
      <c r="O59" s="244"/>
      <c r="P59" s="245"/>
      <c r="Q59" s="246"/>
      <c r="R59" s="245"/>
      <c r="S59" s="245"/>
      <c r="T59" s="245"/>
      <c r="U59" s="244"/>
      <c r="V59" s="245"/>
      <c r="W59" s="246"/>
      <c r="X59" s="245"/>
      <c r="Y59" s="245"/>
      <c r="Z59" s="245"/>
      <c r="AA59" s="244"/>
      <c r="AB59" s="245"/>
      <c r="AC59" s="246"/>
      <c r="AD59" s="222"/>
      <c r="AE59" s="225"/>
      <c r="AF59" s="223"/>
      <c r="AG59" s="222">
        <v>205.64</v>
      </c>
      <c r="AH59" s="225">
        <f>+AH58+AG59</f>
        <v>470.20857684440193</v>
      </c>
      <c r="AI59" s="223">
        <f t="shared" si="16"/>
        <v>19748.760227464882</v>
      </c>
      <c r="AJ59" s="222">
        <f t="shared" si="26"/>
        <v>211.8092</v>
      </c>
      <c r="AK59" s="225">
        <f>+AK58+AJ59</f>
        <v>484.314834149734</v>
      </c>
      <c r="AL59" s="223">
        <f>AK59*42</f>
        <v>20341.223034288829</v>
      </c>
      <c r="AM59" s="409" t="s">
        <v>200</v>
      </c>
      <c r="AN59" s="427">
        <v>127.0617238937528</v>
      </c>
      <c r="AO59" s="428">
        <v>284.38163008375284</v>
      </c>
      <c r="AP59" s="429">
        <v>11944.028463517619</v>
      </c>
      <c r="AQ59" s="409" t="s">
        <v>200</v>
      </c>
      <c r="AR59" s="427">
        <f t="shared" si="5"/>
        <v>130.87357561056538</v>
      </c>
      <c r="AS59" s="428">
        <f t="shared" si="6"/>
        <v>292.91307898626542</v>
      </c>
      <c r="AT59" s="429">
        <f t="shared" si="7"/>
        <v>12302.349317423148</v>
      </c>
      <c r="AU59" s="427">
        <f t="shared" si="8"/>
        <v>134.79978287888235</v>
      </c>
      <c r="AV59" s="428">
        <f t="shared" si="9"/>
        <v>301.70047135585338</v>
      </c>
      <c r="AW59" s="429">
        <f t="shared" si="10"/>
        <v>12671.419796945844</v>
      </c>
      <c r="AX59" s="427">
        <f t="shared" si="11"/>
        <v>138.84377636524883</v>
      </c>
      <c r="AY59" s="428">
        <f t="shared" si="12"/>
        <v>310.75148549652897</v>
      </c>
      <c r="AZ59" s="429">
        <f t="shared" si="13"/>
        <v>13051.56239085422</v>
      </c>
      <c r="BA59" s="427">
        <f t="shared" si="21"/>
        <v>143.0090896562063</v>
      </c>
      <c r="BB59" s="428">
        <f t="shared" si="22"/>
        <v>320.07403006142482</v>
      </c>
      <c r="BC59" s="429">
        <f t="shared" si="23"/>
        <v>13443.109262579846</v>
      </c>
    </row>
    <row r="60" spans="1:55" ht="15" thickBot="1">
      <c r="A60" s="182" t="s">
        <v>125</v>
      </c>
      <c r="B60" s="182"/>
      <c r="C60" s="182"/>
      <c r="D60" s="182"/>
      <c r="E60" s="182"/>
      <c r="F60" s="247"/>
      <c r="G60" s="247"/>
      <c r="H60" s="247"/>
      <c r="I60" s="247"/>
      <c r="J60" s="247"/>
      <c r="K60" s="247"/>
      <c r="L60" s="247"/>
      <c r="M60" s="247"/>
      <c r="N60" s="247"/>
      <c r="O60" s="247"/>
      <c r="P60" s="247"/>
      <c r="Q60" s="247"/>
      <c r="AE60" s="203"/>
      <c r="AF60" s="203"/>
      <c r="AM60" s="408" t="s">
        <v>201</v>
      </c>
      <c r="AN60" s="430">
        <v>218.163476</v>
      </c>
      <c r="AO60" s="431">
        <v>502.54510608375284</v>
      </c>
      <c r="AP60" s="432">
        <v>21106.89445551762</v>
      </c>
      <c r="AQ60" s="408" t="s">
        <v>201</v>
      </c>
      <c r="AR60" s="430">
        <f t="shared" si="5"/>
        <v>224.70838028</v>
      </c>
      <c r="AS60" s="431">
        <f t="shared" si="6"/>
        <v>517.62145926626545</v>
      </c>
      <c r="AT60" s="432">
        <f t="shared" si="7"/>
        <v>21740.101289183149</v>
      </c>
      <c r="AU60" s="430">
        <f t="shared" si="8"/>
        <v>231.44963168840002</v>
      </c>
      <c r="AV60" s="431">
        <f t="shared" si="9"/>
        <v>533.15010304425346</v>
      </c>
      <c r="AW60" s="432">
        <f t="shared" si="10"/>
        <v>22392.304327858645</v>
      </c>
      <c r="AX60" s="430">
        <f t="shared" si="11"/>
        <v>238.39312063905203</v>
      </c>
      <c r="AY60" s="431">
        <f t="shared" si="12"/>
        <v>549.14460613558106</v>
      </c>
      <c r="AZ60" s="432">
        <f t="shared" si="13"/>
        <v>23064.073457694405</v>
      </c>
      <c r="BA60" s="430">
        <f t="shared" si="21"/>
        <v>245.5449142582236</v>
      </c>
      <c r="BB60" s="431">
        <f t="shared" si="22"/>
        <v>565.61894431964845</v>
      </c>
      <c r="BC60" s="432">
        <f t="shared" si="23"/>
        <v>23755.995661425237</v>
      </c>
    </row>
    <row r="61" spans="1:55" ht="15" thickBot="1">
      <c r="A61" s="183" t="s">
        <v>126</v>
      </c>
      <c r="B61" s="184"/>
      <c r="C61" s="183"/>
      <c r="D61" s="183"/>
      <c r="E61" s="183"/>
      <c r="F61" s="203"/>
      <c r="G61" s="203"/>
      <c r="H61" s="247"/>
      <c r="I61" s="203"/>
      <c r="J61" s="203"/>
      <c r="K61" s="203"/>
      <c r="L61" s="247"/>
      <c r="M61" s="247"/>
      <c r="N61" s="247"/>
      <c r="O61" s="247"/>
      <c r="P61" s="247"/>
      <c r="Q61" s="247"/>
      <c r="AE61" s="203"/>
      <c r="AF61" s="203"/>
      <c r="AG61" s="238"/>
      <c r="AM61" s="413" t="s">
        <v>288</v>
      </c>
      <c r="AN61" s="434">
        <v>43.568999999999996</v>
      </c>
      <c r="AO61" s="435">
        <v>43.568999999999996</v>
      </c>
      <c r="AP61" s="432">
        <v>1829.8979999999999</v>
      </c>
      <c r="AQ61" s="413" t="s">
        <v>288</v>
      </c>
      <c r="AR61" s="434">
        <f t="shared" si="5"/>
        <v>44.876069999999999</v>
      </c>
      <c r="AS61" s="435">
        <f t="shared" si="6"/>
        <v>44.876069999999999</v>
      </c>
      <c r="AT61" s="432">
        <f t="shared" si="7"/>
        <v>1884.79494</v>
      </c>
      <c r="AU61" s="434">
        <f t="shared" si="8"/>
        <v>46.222352100000002</v>
      </c>
      <c r="AV61" s="435">
        <f t="shared" si="9"/>
        <v>46.222352100000002</v>
      </c>
      <c r="AW61" s="432">
        <f t="shared" si="10"/>
        <v>1941.3387882</v>
      </c>
      <c r="AX61" s="434">
        <f t="shared" si="11"/>
        <v>47.609022663000005</v>
      </c>
      <c r="AY61" s="435">
        <f t="shared" si="12"/>
        <v>47.609022663000005</v>
      </c>
      <c r="AZ61" s="432">
        <f t="shared" si="13"/>
        <v>1999.5789518460001</v>
      </c>
      <c r="BA61" s="434">
        <f t="shared" si="21"/>
        <v>49.037293342890003</v>
      </c>
      <c r="BB61" s="435">
        <f t="shared" si="22"/>
        <v>49.037293342890003</v>
      </c>
      <c r="BC61" s="432">
        <f t="shared" si="23"/>
        <v>2059.5663204013804</v>
      </c>
    </row>
    <row r="62" spans="1:55" ht="15" customHeight="1">
      <c r="A62" s="185" t="s">
        <v>127</v>
      </c>
      <c r="B62" s="185"/>
      <c r="C62" s="185"/>
      <c r="D62" s="185"/>
      <c r="E62" s="185"/>
      <c r="F62" s="203"/>
      <c r="G62" s="203"/>
      <c r="H62" s="247"/>
      <c r="I62" s="203"/>
      <c r="J62" s="203"/>
      <c r="K62" s="203"/>
      <c r="L62" s="203"/>
      <c r="M62" s="203"/>
      <c r="N62" s="203"/>
      <c r="O62" s="203"/>
      <c r="P62" s="203"/>
      <c r="Q62" s="203"/>
      <c r="AE62" s="203"/>
      <c r="AF62" s="203"/>
      <c r="AM62" s="182"/>
      <c r="AQ62" s="182"/>
    </row>
    <row r="63" spans="1:55" ht="14.25">
      <c r="A63" s="186" t="s">
        <v>128</v>
      </c>
      <c r="B63" s="186"/>
      <c r="C63" s="186"/>
      <c r="D63" s="186"/>
      <c r="E63" s="186"/>
      <c r="F63" s="248"/>
      <c r="G63" s="248"/>
      <c r="H63" s="248"/>
      <c r="I63" s="203"/>
      <c r="J63" s="203"/>
      <c r="K63" s="203"/>
      <c r="L63" s="203"/>
      <c r="M63" s="203"/>
      <c r="N63" s="203"/>
      <c r="O63" s="203"/>
      <c r="P63" s="203"/>
      <c r="Q63" s="203"/>
      <c r="AE63" s="203"/>
      <c r="AF63" s="203"/>
      <c r="AM63" s="184"/>
      <c r="AQ63" s="184"/>
    </row>
    <row r="64" spans="1:55" ht="14.25">
      <c r="A64" s="187" t="s">
        <v>185</v>
      </c>
      <c r="B64" s="187"/>
      <c r="C64" s="187"/>
      <c r="D64" s="187"/>
      <c r="E64" s="187"/>
      <c r="F64" s="248"/>
      <c r="G64" s="248"/>
      <c r="H64" s="248"/>
      <c r="I64" s="203"/>
      <c r="J64" s="203"/>
      <c r="K64" s="203"/>
      <c r="L64" s="203"/>
      <c r="M64" s="203"/>
      <c r="N64" s="203"/>
      <c r="O64" s="203"/>
      <c r="P64" s="203"/>
      <c r="Q64" s="203"/>
      <c r="AE64" s="203"/>
      <c r="AF64" s="203"/>
      <c r="AM64" s="185"/>
      <c r="AQ64" s="185"/>
    </row>
    <row r="65" spans="1:55" ht="15" thickBot="1">
      <c r="A65" s="249" t="s">
        <v>202</v>
      </c>
      <c r="B65" s="249"/>
      <c r="C65" s="249"/>
      <c r="D65" s="249"/>
      <c r="E65" s="249"/>
      <c r="F65" s="248"/>
      <c r="G65" s="248"/>
      <c r="H65" s="248"/>
      <c r="I65" s="203"/>
      <c r="J65" s="203"/>
      <c r="K65" s="203"/>
      <c r="L65" s="203"/>
      <c r="M65" s="203"/>
      <c r="N65" s="203"/>
      <c r="O65" s="203"/>
      <c r="P65" s="203"/>
      <c r="Q65" s="203"/>
      <c r="AE65" s="203"/>
      <c r="AF65" s="203"/>
      <c r="AM65" s="186"/>
      <c r="AQ65" s="186"/>
    </row>
    <row r="66" spans="1:55" ht="15.75" thickBot="1">
      <c r="A66" s="250">
        <v>279</v>
      </c>
      <c r="B66" s="251" t="s">
        <v>129</v>
      </c>
      <c r="C66" s="252"/>
      <c r="D66" s="252"/>
      <c r="E66" s="252"/>
      <c r="F66" s="252"/>
      <c r="G66" s="252"/>
      <c r="H66" s="252"/>
      <c r="I66" s="252"/>
      <c r="J66" s="252"/>
      <c r="K66" s="253">
        <v>6.4899999999999999E-2</v>
      </c>
      <c r="L66" s="203"/>
      <c r="M66" s="203"/>
      <c r="N66" s="253">
        <v>5.5E-2</v>
      </c>
      <c r="O66" s="203"/>
      <c r="P66" s="203"/>
      <c r="Q66" s="253">
        <v>4.8500000000000001E-2</v>
      </c>
      <c r="T66" s="253"/>
      <c r="V66" s="254" t="s">
        <v>130</v>
      </c>
      <c r="W66" s="253">
        <v>4.48E-2</v>
      </c>
      <c r="Y66" s="254" t="s">
        <v>131</v>
      </c>
      <c r="Z66" s="253">
        <v>5.6899999999999999E-2</v>
      </c>
      <c r="AB66" s="254"/>
      <c r="AC66" s="253">
        <v>7.6700000000000004E-2</v>
      </c>
      <c r="AE66" s="254"/>
      <c r="AF66" s="253">
        <v>0.02</v>
      </c>
      <c r="AG66" s="255" t="s">
        <v>171</v>
      </c>
      <c r="AI66" s="256">
        <v>3.1699999999999999E-2</v>
      </c>
      <c r="AJ66" s="255" t="s">
        <v>203</v>
      </c>
      <c r="AL66" s="256">
        <v>3.73E-2</v>
      </c>
      <c r="AM66" s="187"/>
      <c r="AQ66" s="187"/>
    </row>
    <row r="67" spans="1:55" ht="13.5" thickBot="1">
      <c r="A67" s="257"/>
      <c r="B67" s="258" t="s">
        <v>132</v>
      </c>
      <c r="C67" s="259" t="s">
        <v>133</v>
      </c>
      <c r="D67" s="260"/>
      <c r="E67" s="260"/>
      <c r="F67" s="261" t="s">
        <v>134</v>
      </c>
      <c r="G67" s="262"/>
      <c r="H67" s="262"/>
      <c r="I67" s="261" t="s">
        <v>135</v>
      </c>
      <c r="J67" s="262"/>
      <c r="K67" s="262"/>
      <c r="L67" s="261" t="s">
        <v>136</v>
      </c>
      <c r="M67" s="262"/>
      <c r="N67" s="262"/>
      <c r="O67" s="261" t="s">
        <v>137</v>
      </c>
      <c r="P67" s="262"/>
      <c r="Q67" s="262"/>
      <c r="R67" s="261" t="s">
        <v>137</v>
      </c>
      <c r="S67" s="262"/>
      <c r="T67" s="262"/>
      <c r="U67" s="261" t="s">
        <v>138</v>
      </c>
      <c r="V67" s="262"/>
      <c r="W67" s="262"/>
      <c r="X67" s="263" t="s">
        <v>139</v>
      </c>
      <c r="Y67" s="264"/>
      <c r="Z67" s="265"/>
      <c r="AA67" s="263" t="s">
        <v>140</v>
      </c>
      <c r="AB67" s="266"/>
      <c r="AC67" s="265"/>
      <c r="AD67" s="263" t="s">
        <v>141</v>
      </c>
      <c r="AE67" s="266"/>
      <c r="AF67" s="265"/>
      <c r="AG67" s="263" t="s">
        <v>172</v>
      </c>
      <c r="AH67" s="266"/>
      <c r="AI67" s="265"/>
      <c r="AJ67" s="263" t="s">
        <v>204</v>
      </c>
      <c r="AK67" s="266"/>
      <c r="AL67" s="265"/>
      <c r="AM67" s="249"/>
      <c r="AQ67" s="249"/>
    </row>
    <row r="68" spans="1:55" ht="13.5" thickBot="1">
      <c r="A68" s="267"/>
      <c r="B68" s="260" t="s">
        <v>142</v>
      </c>
      <c r="C68" s="260">
        <v>306.31</v>
      </c>
      <c r="D68" s="260">
        <v>306.31</v>
      </c>
      <c r="E68" s="268">
        <v>12865.02</v>
      </c>
      <c r="F68" s="260">
        <v>327.72</v>
      </c>
      <c r="G68" s="260">
        <v>327.72</v>
      </c>
      <c r="H68" s="268">
        <v>13764.240000000002</v>
      </c>
      <c r="I68" s="268">
        <v>348.98902800000002</v>
      </c>
      <c r="J68" s="268">
        <v>348.98902800000002</v>
      </c>
      <c r="K68" s="268">
        <v>14657.539176</v>
      </c>
      <c r="L68" s="268">
        <v>368.18342454000003</v>
      </c>
      <c r="M68" s="268">
        <v>368.18342454000003</v>
      </c>
      <c r="N68" s="268">
        <v>15463.703830680002</v>
      </c>
      <c r="O68" s="268">
        <v>386.04032063019002</v>
      </c>
      <c r="P68" s="268">
        <v>386.04032063019002</v>
      </c>
      <c r="Q68" s="268">
        <v>16213.693466467981</v>
      </c>
      <c r="R68" s="268">
        <v>386.04032063019002</v>
      </c>
      <c r="S68" s="268">
        <v>386.04032063019002</v>
      </c>
      <c r="T68" s="268">
        <v>16213.693466467981</v>
      </c>
      <c r="U68" s="268">
        <v>403.33492699442252</v>
      </c>
      <c r="V68" s="268">
        <v>403.33492699442252</v>
      </c>
      <c r="W68" s="268">
        <v>16940.066933765745</v>
      </c>
      <c r="X68" s="268">
        <v>426.28468434040514</v>
      </c>
      <c r="Y68" s="268">
        <v>426.28468434040514</v>
      </c>
      <c r="Z68" s="268">
        <v>17903.956742297014</v>
      </c>
      <c r="AA68" s="268">
        <v>458.98071962931419</v>
      </c>
      <c r="AB68" s="268">
        <v>458.98071962931419</v>
      </c>
      <c r="AC68" s="268">
        <v>19277.190224431197</v>
      </c>
      <c r="AD68" s="268">
        <v>468.16</v>
      </c>
      <c r="AE68" s="268">
        <v>468.16</v>
      </c>
      <c r="AF68" s="268">
        <f>AE68*42</f>
        <v>19662.72</v>
      </c>
      <c r="AG68" s="268">
        <f>AD68*(1+$AI$66)</f>
        <v>483.00067200000007</v>
      </c>
      <c r="AH68" s="268">
        <f>AE68*(1+$AI$66)</f>
        <v>483.00067200000007</v>
      </c>
      <c r="AI68" s="268">
        <f>AH68*42</f>
        <v>20286.028224000002</v>
      </c>
      <c r="AJ68" s="268">
        <f>AG68*(1+$AL$66)</f>
        <v>501.01659706560014</v>
      </c>
      <c r="AK68" s="268">
        <f>AH68*(1+$AL$66)</f>
        <v>501.01659706560014</v>
      </c>
      <c r="AL68" s="268">
        <f>AK68*42</f>
        <v>21042.697076755205</v>
      </c>
      <c r="AM68" s="249"/>
      <c r="AQ68" s="249"/>
    </row>
    <row r="69" spans="1:55" ht="13.5" thickBot="1">
      <c r="A69" s="267"/>
      <c r="B69" s="260" t="s">
        <v>143</v>
      </c>
      <c r="C69" s="269"/>
      <c r="D69" s="252"/>
      <c r="E69" s="270"/>
      <c r="F69" s="261" t="s">
        <v>144</v>
      </c>
      <c r="G69" s="266"/>
      <c r="H69" s="271"/>
      <c r="I69" s="261" t="s">
        <v>135</v>
      </c>
      <c r="J69" s="272"/>
      <c r="K69" s="271"/>
      <c r="L69" s="261" t="s">
        <v>136</v>
      </c>
      <c r="M69" s="272"/>
      <c r="N69" s="271"/>
      <c r="O69" s="261" t="s">
        <v>136</v>
      </c>
      <c r="P69" s="272"/>
      <c r="Q69" s="271"/>
      <c r="R69" s="261" t="s">
        <v>137</v>
      </c>
      <c r="S69" s="272"/>
      <c r="T69" s="271"/>
      <c r="U69" s="261" t="s">
        <v>138</v>
      </c>
      <c r="V69" s="272"/>
      <c r="W69" s="271"/>
      <c r="X69" s="263" t="s">
        <v>139</v>
      </c>
      <c r="Y69" s="272"/>
      <c r="Z69" s="271"/>
      <c r="AA69" s="263" t="s">
        <v>140</v>
      </c>
      <c r="AB69" s="272"/>
      <c r="AC69" s="271"/>
      <c r="AD69" s="263" t="s">
        <v>141</v>
      </c>
      <c r="AE69" s="272"/>
      <c r="AF69" s="271"/>
      <c r="AG69" s="263" t="s">
        <v>172</v>
      </c>
      <c r="AH69" s="272"/>
      <c r="AI69" s="271"/>
      <c r="AJ69" s="263" t="s">
        <v>204</v>
      </c>
      <c r="AK69" s="272"/>
      <c r="AL69" s="271"/>
      <c r="AM69" s="414"/>
      <c r="AQ69" s="414"/>
    </row>
    <row r="70" spans="1:55" ht="13.5" thickBot="1">
      <c r="A70" s="260"/>
      <c r="B70" s="260" t="s">
        <v>145</v>
      </c>
      <c r="C70" s="269"/>
      <c r="D70" s="252"/>
      <c r="E70" s="273"/>
      <c r="F70" s="268">
        <v>323</v>
      </c>
      <c r="G70" s="268">
        <v>323</v>
      </c>
      <c r="H70" s="268">
        <v>13566</v>
      </c>
      <c r="I70" s="268">
        <v>343.96269999999998</v>
      </c>
      <c r="J70" s="268">
        <v>343.96269999999998</v>
      </c>
      <c r="K70" s="268">
        <v>14446.4334</v>
      </c>
      <c r="L70" s="268">
        <v>362.88064850000001</v>
      </c>
      <c r="M70" s="268">
        <v>362.88064850000001</v>
      </c>
      <c r="N70" s="268">
        <v>15240.987237000001</v>
      </c>
      <c r="O70" s="268">
        <v>380.48035995225001</v>
      </c>
      <c r="P70" s="268">
        <v>380.48035995225001</v>
      </c>
      <c r="Q70" s="268">
        <v>15980.1751179945</v>
      </c>
      <c r="R70" s="268">
        <v>380.48035995225001</v>
      </c>
      <c r="S70" s="268">
        <v>380.48035995225001</v>
      </c>
      <c r="T70" s="268">
        <v>15980.1751179945</v>
      </c>
      <c r="U70" s="268">
        <v>397.52588007811079</v>
      </c>
      <c r="V70" s="268">
        <v>397.52588007811079</v>
      </c>
      <c r="W70" s="268">
        <v>16696.086963280653</v>
      </c>
      <c r="X70" s="268">
        <v>420.14510265455527</v>
      </c>
      <c r="Y70" s="268">
        <v>420.14510265455527</v>
      </c>
      <c r="Z70" s="268">
        <v>17646.094311491321</v>
      </c>
      <c r="AA70" s="268">
        <v>452.37023202815965</v>
      </c>
      <c r="AB70" s="268">
        <v>452.37023202815965</v>
      </c>
      <c r="AC70" s="268">
        <v>18999.549745182707</v>
      </c>
      <c r="AD70" s="268">
        <v>461.42</v>
      </c>
      <c r="AE70" s="268">
        <v>461.42</v>
      </c>
      <c r="AF70" s="268">
        <f>AE70*42</f>
        <v>19379.64</v>
      </c>
      <c r="AG70" s="268">
        <f>AD70*(1+$AI$66)</f>
        <v>476.04701400000005</v>
      </c>
      <c r="AH70" s="268">
        <f>AE70*(1+$AI$66)</f>
        <v>476.04701400000005</v>
      </c>
      <c r="AI70" s="268">
        <f>AH70*42</f>
        <v>19993.974588000001</v>
      </c>
      <c r="AJ70" s="268">
        <f>AG70*(1+$AL$66)</f>
        <v>493.80356762220009</v>
      </c>
      <c r="AK70" s="268">
        <f>AH70*(1+$AL$66)</f>
        <v>493.80356762220009</v>
      </c>
      <c r="AL70" s="268">
        <f>AK70*42</f>
        <v>20739.749840132405</v>
      </c>
      <c r="AM70" s="203"/>
      <c r="AQ70" s="203"/>
    </row>
    <row r="71" spans="1:55" ht="24.75" thickBot="1">
      <c r="A71" s="202"/>
      <c r="B71" s="260" t="s">
        <v>143</v>
      </c>
      <c r="C71" s="202"/>
      <c r="D71" s="202"/>
      <c r="E71" s="247"/>
      <c r="F71" s="202"/>
      <c r="G71" s="202"/>
      <c r="H71" s="247"/>
      <c r="I71" s="247"/>
      <c r="J71" s="247"/>
      <c r="K71" s="247"/>
      <c r="L71" s="203"/>
      <c r="M71" s="203"/>
      <c r="N71" s="274"/>
      <c r="O71" s="203"/>
      <c r="P71" s="203"/>
      <c r="Q71" s="274"/>
      <c r="T71" s="274"/>
      <c r="W71" s="274"/>
      <c r="Z71" s="274"/>
      <c r="AC71" s="274"/>
      <c r="AE71" s="203"/>
      <c r="AF71" s="274"/>
      <c r="AM71" s="415" t="s">
        <v>289</v>
      </c>
      <c r="AN71" s="436" t="s">
        <v>292</v>
      </c>
      <c r="AO71" s="437"/>
      <c r="AP71" s="438">
        <v>2.4400000000000002E-2</v>
      </c>
      <c r="AQ71" s="415" t="s">
        <v>289</v>
      </c>
      <c r="AR71" s="436" t="s">
        <v>361</v>
      </c>
      <c r="AS71" s="437"/>
      <c r="AT71" s="438">
        <v>1.9400000000000001E-2</v>
      </c>
      <c r="AU71" s="436" t="s">
        <v>362</v>
      </c>
      <c r="AV71" s="437"/>
      <c r="AW71" s="438">
        <v>3.6600000000000001E-2</v>
      </c>
      <c r="AX71" s="436" t="s">
        <v>376</v>
      </c>
      <c r="AY71" s="437"/>
      <c r="AZ71" s="438">
        <v>6.7699999999999996E-2</v>
      </c>
      <c r="BA71" s="436" t="s">
        <v>395</v>
      </c>
      <c r="BB71" s="437"/>
      <c r="BC71" s="438">
        <v>5.7500000000000002E-2</v>
      </c>
    </row>
    <row r="72" spans="1:55" ht="14.25" thickTop="1" thickBot="1">
      <c r="A72" s="275"/>
      <c r="B72" s="276" t="s">
        <v>146</v>
      </c>
      <c r="C72" s="277" t="s">
        <v>147</v>
      </c>
      <c r="D72" s="275"/>
      <c r="E72" s="278"/>
      <c r="F72" s="277" t="s">
        <v>144</v>
      </c>
      <c r="G72" s="279"/>
      <c r="H72" s="280"/>
      <c r="I72" s="281" t="s">
        <v>148</v>
      </c>
      <c r="J72" s="282"/>
      <c r="K72" s="282"/>
      <c r="L72" s="203"/>
      <c r="M72" s="203"/>
      <c r="N72" s="203"/>
      <c r="O72" s="203"/>
      <c r="P72" s="203"/>
      <c r="Q72" s="203"/>
      <c r="AD72" s="283"/>
      <c r="AE72" s="203"/>
      <c r="AF72" s="203"/>
      <c r="AM72" s="416" t="s">
        <v>132</v>
      </c>
      <c r="AN72" s="563" t="s">
        <v>293</v>
      </c>
      <c r="AO72" s="563"/>
      <c r="AP72" s="564"/>
      <c r="AQ72" s="416" t="s">
        <v>132</v>
      </c>
      <c r="AR72" s="563" t="s">
        <v>293</v>
      </c>
      <c r="AS72" s="563"/>
      <c r="AT72" s="564"/>
      <c r="AU72" s="563" t="s">
        <v>293</v>
      </c>
      <c r="AV72" s="563"/>
      <c r="AW72" s="564"/>
      <c r="AX72" s="563" t="s">
        <v>293</v>
      </c>
      <c r="AY72" s="563"/>
      <c r="AZ72" s="564"/>
      <c r="BA72" s="563" t="s">
        <v>293</v>
      </c>
      <c r="BB72" s="563"/>
      <c r="BC72" s="564"/>
    </row>
    <row r="73" spans="1:55" ht="14.25" thickTop="1" thickBot="1">
      <c r="A73" s="284"/>
      <c r="B73" s="275" t="s">
        <v>149</v>
      </c>
      <c r="C73" s="285">
        <v>320.31</v>
      </c>
      <c r="D73" s="285">
        <v>320.31</v>
      </c>
      <c r="E73" s="286">
        <v>13453.02</v>
      </c>
      <c r="F73" s="286">
        <v>297.03999999999996</v>
      </c>
      <c r="G73" s="286">
        <v>297.03999999999996</v>
      </c>
      <c r="H73" s="286">
        <v>12475.679999999998</v>
      </c>
      <c r="I73" s="278">
        <v>299.55292800000001</v>
      </c>
      <c r="J73" s="278">
        <v>299.55292800000001</v>
      </c>
      <c r="K73" s="278">
        <v>12581.222976000001</v>
      </c>
      <c r="L73" s="203"/>
      <c r="M73" s="203"/>
      <c r="N73" s="203"/>
      <c r="O73" s="203"/>
      <c r="P73" s="203"/>
      <c r="Q73" s="203"/>
      <c r="AE73" s="203"/>
      <c r="AF73" s="203"/>
      <c r="AM73" s="417" t="s">
        <v>142</v>
      </c>
      <c r="AN73" s="439">
        <v>513.24140203400077</v>
      </c>
      <c r="AO73" s="439">
        <v>513.24140203400077</v>
      </c>
      <c r="AP73" s="440">
        <v>21556.13888542803</v>
      </c>
      <c r="AQ73" s="417" t="s">
        <v>142</v>
      </c>
      <c r="AR73" s="439">
        <f>AN73*(1+$AT$71)</f>
        <v>523.19828523346041</v>
      </c>
      <c r="AS73" s="439">
        <f t="shared" ref="AS73:AT73" si="27">AO73*(1+$AT$71)</f>
        <v>523.19828523346041</v>
      </c>
      <c r="AT73" s="439">
        <f t="shared" si="27"/>
        <v>21974.327979805337</v>
      </c>
      <c r="AU73" s="439">
        <f>AR73*(1+$AW$71)</f>
        <v>542.34734247300503</v>
      </c>
      <c r="AV73" s="439">
        <f>AS73*(1+$AW$71)</f>
        <v>542.34734247300503</v>
      </c>
      <c r="AW73" s="439">
        <f>AT73*(1+$AW$71)</f>
        <v>22778.588383866212</v>
      </c>
      <c r="AX73" s="439">
        <f>AU73*(1+$AZ$71)</f>
        <v>579.06425755842747</v>
      </c>
      <c r="AY73" s="439">
        <f>AV73*(1+$AZ$71)</f>
        <v>579.06425755842747</v>
      </c>
      <c r="AZ73" s="439">
        <f>AW73*(1+$AZ$71)</f>
        <v>24320.698817453958</v>
      </c>
      <c r="BA73" s="439">
        <f>AX73*(1+$BC$71)</f>
        <v>612.36045236803716</v>
      </c>
      <c r="BB73" s="439">
        <f>AY73*(1+$BC$71)</f>
        <v>612.36045236803716</v>
      </c>
      <c r="BC73" s="439">
        <f>AZ73*(1+$BC$71)</f>
        <v>25719.138999457562</v>
      </c>
    </row>
    <row r="74" spans="1:55" ht="14.25" thickTop="1" thickBot="1">
      <c r="A74" s="287"/>
      <c r="B74" s="288" t="s">
        <v>132</v>
      </c>
      <c r="C74" s="202"/>
      <c r="D74" s="202"/>
      <c r="E74" s="247"/>
      <c r="F74" s="247"/>
      <c r="G74" s="247"/>
      <c r="H74" s="247"/>
      <c r="I74" s="289" t="s">
        <v>150</v>
      </c>
      <c r="J74" s="290"/>
      <c r="K74" s="291"/>
      <c r="L74" s="289" t="s">
        <v>151</v>
      </c>
      <c r="M74" s="290"/>
      <c r="N74" s="291"/>
      <c r="O74" s="289" t="s">
        <v>151</v>
      </c>
      <c r="P74" s="290"/>
      <c r="Q74" s="291"/>
      <c r="R74" s="289" t="s">
        <v>137</v>
      </c>
      <c r="S74" s="290"/>
      <c r="T74" s="291"/>
      <c r="U74" s="289" t="s">
        <v>138</v>
      </c>
      <c r="V74" s="290"/>
      <c r="W74" s="291"/>
      <c r="X74" s="292" t="s">
        <v>139</v>
      </c>
      <c r="Y74" s="290"/>
      <c r="Z74" s="291"/>
      <c r="AA74" s="292" t="s">
        <v>140</v>
      </c>
      <c r="AB74" s="290"/>
      <c r="AC74" s="291"/>
      <c r="AD74" s="292" t="s">
        <v>141</v>
      </c>
      <c r="AE74" s="290"/>
      <c r="AF74" s="291"/>
      <c r="AG74" s="292" t="s">
        <v>172</v>
      </c>
      <c r="AH74" s="290"/>
      <c r="AI74" s="291"/>
      <c r="AJ74" s="292" t="s">
        <v>204</v>
      </c>
      <c r="AK74" s="290"/>
      <c r="AL74" s="291"/>
      <c r="AM74" s="417" t="s">
        <v>143</v>
      </c>
      <c r="AN74" s="550" t="s">
        <v>294</v>
      </c>
      <c r="AO74" s="550"/>
      <c r="AP74" s="551"/>
      <c r="AQ74" s="417" t="s">
        <v>143</v>
      </c>
      <c r="AR74" s="550"/>
      <c r="AS74" s="550"/>
      <c r="AT74" s="551"/>
      <c r="AU74" s="550"/>
      <c r="AV74" s="550"/>
      <c r="AW74" s="551"/>
      <c r="AX74" s="550"/>
      <c r="AY74" s="550"/>
      <c r="AZ74" s="551"/>
      <c r="BA74" s="550"/>
      <c r="BB74" s="550"/>
      <c r="BC74" s="551"/>
    </row>
    <row r="75" spans="1:55" ht="14.25" thickTop="1" thickBot="1">
      <c r="A75" s="293"/>
      <c r="B75" s="294" t="s">
        <v>143</v>
      </c>
      <c r="C75" s="295"/>
      <c r="D75" s="295"/>
      <c r="E75" s="296"/>
      <c r="F75" s="296"/>
      <c r="G75" s="296"/>
      <c r="H75" s="296"/>
      <c r="I75" s="286">
        <v>313.76052800000002</v>
      </c>
      <c r="J75" s="297">
        <v>313.76052800000002</v>
      </c>
      <c r="K75" s="298">
        <v>13177.942176</v>
      </c>
      <c r="L75" s="286">
        <v>329.66471903999997</v>
      </c>
      <c r="M75" s="297">
        <v>329.66471903999997</v>
      </c>
      <c r="N75" s="298">
        <v>13845.918199679998</v>
      </c>
      <c r="O75" s="286">
        <v>344.64763738343999</v>
      </c>
      <c r="P75" s="297">
        <v>344.64763738343999</v>
      </c>
      <c r="Q75" s="298">
        <v>14475.200770104479</v>
      </c>
      <c r="R75" s="286">
        <v>344.64763738343999</v>
      </c>
      <c r="S75" s="297">
        <v>344.64763738343999</v>
      </c>
      <c r="T75" s="298">
        <v>14475.200770104479</v>
      </c>
      <c r="U75" s="286">
        <v>358.65642186221817</v>
      </c>
      <c r="V75" s="297">
        <v>358.65642186221817</v>
      </c>
      <c r="W75" s="298">
        <v>15063.569718213163</v>
      </c>
      <c r="X75" s="286">
        <v>373.79802924783672</v>
      </c>
      <c r="Y75" s="297">
        <v>373.79802924783672</v>
      </c>
      <c r="Z75" s="298">
        <v>15699.517228409142</v>
      </c>
      <c r="AA75" s="286">
        <v>393.82793640870153</v>
      </c>
      <c r="AB75" s="297">
        <v>393.82793640870153</v>
      </c>
      <c r="AC75" s="298">
        <v>16540.773329165466</v>
      </c>
      <c r="AD75" s="286">
        <f>38.72*1.0649*1.055*1.0485*1.0448*1.0569*1.0767*1.02+AE40</f>
        <v>405.09297489725367</v>
      </c>
      <c r="AE75" s="297">
        <f>AD75</f>
        <v>405.09297489725367</v>
      </c>
      <c r="AF75" s="298">
        <f>AE75*42</f>
        <v>17013.904945684655</v>
      </c>
      <c r="AG75" s="286">
        <f>38.72*1.0649*1.055*1.0485*1.0448*1.0569*1.0767*1.02*1.0317+AH40</f>
        <v>417.33979620149665</v>
      </c>
      <c r="AH75" s="297">
        <f>AG75</f>
        <v>417.33979620149665</v>
      </c>
      <c r="AI75" s="298">
        <f>AH75*42</f>
        <v>17528.27144046286</v>
      </c>
      <c r="AJ75" s="286">
        <f>38.72*1.0649*1.055*1.0485*1.0448*1.0569*1.0767*1.02*1.0317*1.0373+AK40</f>
        <v>430.27657477981245</v>
      </c>
      <c r="AK75" s="297">
        <f>AJ75</f>
        <v>430.27657477981245</v>
      </c>
      <c r="AL75" s="298">
        <f>AK75*42</f>
        <v>18071.616140752121</v>
      </c>
      <c r="AM75" s="417" t="s">
        <v>145</v>
      </c>
      <c r="AN75" s="439">
        <v>505.85237467218178</v>
      </c>
      <c r="AO75" s="439">
        <v>505.85237467218178</v>
      </c>
      <c r="AP75" s="440">
        <v>21245.799736231635</v>
      </c>
      <c r="AQ75" s="417" t="s">
        <v>145</v>
      </c>
      <c r="AR75" s="439">
        <f>AN75*(1+$AT$71)</f>
        <v>515.66591074082214</v>
      </c>
      <c r="AS75" s="439">
        <f t="shared" ref="AS75:AT75" si="28">AO75*(1+$AT$71)</f>
        <v>515.66591074082214</v>
      </c>
      <c r="AT75" s="439">
        <f t="shared" si="28"/>
        <v>21657.968251114529</v>
      </c>
      <c r="AU75" s="439">
        <f>AR75*(1+$AW$71)</f>
        <v>534.53928307393619</v>
      </c>
      <c r="AV75" s="439">
        <f>AS75*(1+$AW$71)</f>
        <v>534.53928307393619</v>
      </c>
      <c r="AW75" s="439">
        <f>AT75*(1+$AW$71)</f>
        <v>22450.64988910532</v>
      </c>
      <c r="AX75" s="439">
        <f>AU75*(1+$AZ$71)</f>
        <v>570.72759253804168</v>
      </c>
      <c r="AY75" s="439">
        <f>AV75*(1+$AZ$71)</f>
        <v>570.72759253804168</v>
      </c>
      <c r="AZ75" s="439">
        <f>AW75*(1+$AZ$71)</f>
        <v>23970.558886597752</v>
      </c>
      <c r="BA75" s="439">
        <f>AX75*(1+$BC$71)</f>
        <v>603.5444291089791</v>
      </c>
      <c r="BB75" s="439">
        <f>AY75*(1+$BC$71)</f>
        <v>603.5444291089791</v>
      </c>
      <c r="BC75" s="439">
        <f>AZ75*(1+$BC$71)</f>
        <v>25348.866022577124</v>
      </c>
    </row>
    <row r="76" spans="1:55" ht="12.75" customHeight="1" thickTop="1">
      <c r="A76" s="299"/>
      <c r="B76" s="300" t="s">
        <v>152</v>
      </c>
      <c r="C76" s="203"/>
      <c r="D76" s="203"/>
      <c r="E76" s="203"/>
      <c r="G76" s="203"/>
      <c r="H76" s="203"/>
      <c r="I76" s="283">
        <v>41.232927999999994</v>
      </c>
      <c r="J76" s="203"/>
      <c r="K76" s="203"/>
      <c r="L76" s="283">
        <v>43.500739039999992</v>
      </c>
      <c r="M76" s="203"/>
      <c r="N76" s="203"/>
      <c r="O76" s="283">
        <v>45.610524883439993</v>
      </c>
      <c r="P76" s="203"/>
      <c r="Q76" s="203"/>
      <c r="R76" s="283">
        <v>45.610524883439993</v>
      </c>
      <c r="U76" s="283">
        <v>47.653876398218102</v>
      </c>
      <c r="X76" s="283">
        <v>50.355381965276713</v>
      </c>
      <c r="AA76" s="283">
        <v>54.227639762013432</v>
      </c>
      <c r="AD76" s="283">
        <v>55.31</v>
      </c>
      <c r="AE76" s="203"/>
      <c r="AF76" s="203"/>
      <c r="AG76" s="301">
        <f>AD76*(1+AI66)</f>
        <v>57.063327000000008</v>
      </c>
      <c r="AJ76" s="442">
        <f>AG76*(1+AL66)</f>
        <v>59.191789097100013</v>
      </c>
      <c r="AM76" s="417" t="s">
        <v>143</v>
      </c>
      <c r="AN76" s="541"/>
      <c r="AO76" s="542"/>
      <c r="AP76" s="543"/>
      <c r="AQ76" s="417" t="s">
        <v>143</v>
      </c>
      <c r="AR76" s="541"/>
      <c r="AS76" s="542"/>
      <c r="AT76" s="543"/>
      <c r="AU76" s="541"/>
      <c r="AV76" s="542"/>
      <c r="AW76" s="543"/>
      <c r="AX76" s="541"/>
      <c r="AY76" s="542"/>
      <c r="AZ76" s="543"/>
      <c r="BA76" s="541"/>
      <c r="BB76" s="542"/>
      <c r="BC76" s="543"/>
    </row>
    <row r="77" spans="1:55">
      <c r="A77" s="302" t="s">
        <v>153</v>
      </c>
      <c r="B77" s="203"/>
      <c r="C77" s="203"/>
      <c r="D77" s="203"/>
      <c r="E77" s="203"/>
      <c r="F77" s="274"/>
      <c r="G77" s="203"/>
      <c r="H77" s="203"/>
      <c r="I77" s="203"/>
      <c r="J77" s="203"/>
      <c r="K77" s="203"/>
      <c r="L77" s="203"/>
      <c r="M77" s="203"/>
      <c r="N77" s="203"/>
      <c r="O77" s="203"/>
      <c r="P77" s="203"/>
      <c r="Q77" s="203"/>
      <c r="AM77" s="418" t="s">
        <v>146</v>
      </c>
      <c r="AN77" s="544"/>
      <c r="AO77" s="545"/>
      <c r="AP77" s="546"/>
      <c r="AQ77" s="418" t="s">
        <v>146</v>
      </c>
      <c r="AR77" s="544"/>
      <c r="AS77" s="545"/>
      <c r="AT77" s="546"/>
      <c r="AU77" s="544"/>
      <c r="AV77" s="545"/>
      <c r="AW77" s="546"/>
      <c r="AX77" s="544"/>
      <c r="AY77" s="545"/>
      <c r="AZ77" s="546"/>
      <c r="BA77" s="544"/>
      <c r="BB77" s="545"/>
      <c r="BC77" s="546"/>
    </row>
    <row r="78" spans="1:55">
      <c r="A78" s="302" t="s">
        <v>154</v>
      </c>
      <c r="B78" s="203"/>
      <c r="C78" s="203"/>
      <c r="D78" s="203"/>
      <c r="E78" s="203"/>
      <c r="F78" s="274"/>
      <c r="G78" s="203"/>
      <c r="H78" s="203"/>
      <c r="I78" s="203"/>
      <c r="J78" s="203"/>
      <c r="K78" s="203"/>
      <c r="L78" s="303"/>
      <c r="M78" s="203"/>
      <c r="N78" s="203"/>
      <c r="O78" s="304"/>
      <c r="P78" s="203"/>
      <c r="Q78" s="203"/>
      <c r="AC78" s="305"/>
      <c r="AM78" s="417" t="s">
        <v>149</v>
      </c>
      <c r="AN78" s="547"/>
      <c r="AO78" s="548"/>
      <c r="AP78" s="549"/>
      <c r="AQ78" s="417" t="s">
        <v>149</v>
      </c>
      <c r="AR78" s="547"/>
      <c r="AS78" s="548"/>
      <c r="AT78" s="549"/>
      <c r="AU78" s="547"/>
      <c r="AV78" s="548"/>
      <c r="AW78" s="549"/>
      <c r="AX78" s="547"/>
      <c r="AY78" s="548"/>
      <c r="AZ78" s="549"/>
      <c r="BA78" s="547"/>
      <c r="BB78" s="548"/>
      <c r="BC78" s="549"/>
    </row>
    <row r="79" spans="1:55">
      <c r="A79" s="299"/>
      <c r="B79" s="203"/>
      <c r="C79" s="203"/>
      <c r="D79" s="203"/>
      <c r="E79" s="203"/>
      <c r="F79" s="203"/>
      <c r="G79" s="203"/>
      <c r="H79" s="203"/>
      <c r="I79" s="203"/>
      <c r="J79" s="203"/>
      <c r="K79" s="203"/>
      <c r="L79" s="203"/>
      <c r="M79" s="203"/>
      <c r="N79" s="203"/>
      <c r="O79" s="203"/>
      <c r="P79" s="203"/>
      <c r="Q79" s="203"/>
      <c r="AC79" s="283"/>
      <c r="AM79" s="417" t="s">
        <v>132</v>
      </c>
      <c r="AN79" s="550" t="s">
        <v>294</v>
      </c>
      <c r="AO79" s="550"/>
      <c r="AP79" s="551"/>
      <c r="AQ79" s="417" t="s">
        <v>132</v>
      </c>
      <c r="AR79" s="550"/>
      <c r="AS79" s="550"/>
      <c r="AT79" s="551"/>
      <c r="AU79" s="550"/>
      <c r="AV79" s="550"/>
      <c r="AW79" s="551"/>
      <c r="AX79" s="550"/>
      <c r="AY79" s="550"/>
      <c r="AZ79" s="551"/>
      <c r="BA79" s="550"/>
      <c r="BB79" s="550"/>
      <c r="BC79" s="551"/>
    </row>
    <row r="80" spans="1:55">
      <c r="A80" s="203"/>
      <c r="B80" s="203"/>
      <c r="C80" s="203"/>
      <c r="D80" s="203"/>
      <c r="E80" s="203"/>
      <c r="F80" s="203"/>
      <c r="G80" s="203"/>
      <c r="H80" s="203"/>
      <c r="I80" s="203"/>
      <c r="J80" s="203"/>
      <c r="K80" s="203"/>
      <c r="L80" s="203"/>
      <c r="M80" s="203"/>
      <c r="N80" s="203"/>
      <c r="O80" s="203"/>
      <c r="P80" s="203"/>
      <c r="Q80" s="203"/>
      <c r="AM80" s="417" t="s">
        <v>143</v>
      </c>
      <c r="AN80" s="439">
        <v>442.85011881106925</v>
      </c>
      <c r="AO80" s="439">
        <v>442.85011881106925</v>
      </c>
      <c r="AP80" s="440">
        <v>18599.704990064907</v>
      </c>
      <c r="AQ80" s="417" t="s">
        <v>143</v>
      </c>
      <c r="AR80" s="439">
        <f>AN80*(1+$AT$71)</f>
        <v>451.44141111600402</v>
      </c>
      <c r="AS80" s="439">
        <f t="shared" ref="AS80:AT80" si="29">AO80*(1+$AT$71)</f>
        <v>451.44141111600402</v>
      </c>
      <c r="AT80" s="439">
        <f t="shared" si="29"/>
        <v>18960.539266872169</v>
      </c>
      <c r="AU80" s="439">
        <f>AR80*(1+$AW$71)</f>
        <v>467.96416676284974</v>
      </c>
      <c r="AV80" s="439">
        <f>AS80*(1+$AW$71)</f>
        <v>467.96416676284974</v>
      </c>
      <c r="AW80" s="439">
        <f>AT80*(1+$AW$71)</f>
        <v>19654.495004039691</v>
      </c>
      <c r="AX80" s="439">
        <f>AU80*(1+$AZ$71)</f>
        <v>499.64534085269469</v>
      </c>
      <c r="AY80" s="439">
        <f>AV80*(1+$AZ$71)</f>
        <v>499.64534085269469</v>
      </c>
      <c r="AZ80" s="439">
        <f>AW80*(1+$AZ$71)</f>
        <v>20985.10431581318</v>
      </c>
      <c r="BA80" s="439">
        <f>AX80*(1+$BC$71)</f>
        <v>528.37494795172472</v>
      </c>
      <c r="BB80" s="439">
        <f>AY80*(1+$BC$71)</f>
        <v>528.37494795172472</v>
      </c>
      <c r="BC80" s="439">
        <f>AZ80*(1+$BC$71)</f>
        <v>22191.747813972441</v>
      </c>
    </row>
    <row r="81" spans="1:55" ht="14.25" customHeight="1" thickBot="1">
      <c r="A81" s="203"/>
      <c r="B81" s="203"/>
      <c r="C81" s="203"/>
      <c r="D81" s="203"/>
      <c r="E81" s="203"/>
      <c r="F81" s="203"/>
      <c r="G81" s="203"/>
      <c r="H81" s="203"/>
      <c r="I81" s="203"/>
      <c r="J81" s="203"/>
      <c r="K81" s="203"/>
      <c r="L81" s="203"/>
      <c r="M81" s="203"/>
      <c r="N81" s="203"/>
      <c r="O81" s="203"/>
      <c r="P81" s="203"/>
      <c r="Q81" s="203"/>
      <c r="Z81" s="577" t="s">
        <v>155</v>
      </c>
      <c r="AA81" s="577"/>
      <c r="AD81" s="577" t="s">
        <v>156</v>
      </c>
      <c r="AE81" s="577"/>
      <c r="AG81" s="577" t="s">
        <v>205</v>
      </c>
      <c r="AH81" s="577"/>
      <c r="AJ81" s="577" t="s">
        <v>205</v>
      </c>
      <c r="AK81" s="577"/>
      <c r="AM81" s="419" t="s">
        <v>152</v>
      </c>
      <c r="AN81" s="443">
        <v>60.636068751069253</v>
      </c>
      <c r="AO81" s="552"/>
      <c r="AP81" s="553"/>
      <c r="AQ81" s="419" t="s">
        <v>152</v>
      </c>
      <c r="AR81" s="443">
        <f>AN81*(1+$AT$71)</f>
        <v>61.812408484839999</v>
      </c>
      <c r="AS81" s="552"/>
      <c r="AT81" s="553"/>
      <c r="AU81" s="443">
        <f>AR81*(1+$AW$71)</f>
        <v>64.074742635385135</v>
      </c>
      <c r="AV81" s="552"/>
      <c r="AW81" s="553"/>
      <c r="AX81" s="443">
        <f>AU81*(1+$AZ$71)</f>
        <v>68.412602711800716</v>
      </c>
      <c r="AY81" s="552"/>
      <c r="AZ81" s="553"/>
      <c r="BA81" s="443">
        <f>AX81*(1+$BC$71)</f>
        <v>72.346327367729259</v>
      </c>
      <c r="BB81" s="552"/>
      <c r="BC81" s="553"/>
    </row>
    <row r="82" spans="1:55">
      <c r="A82" s="203"/>
      <c r="B82" s="203"/>
      <c r="C82" s="203"/>
      <c r="D82" s="203"/>
      <c r="E82" s="203"/>
      <c r="F82" s="203"/>
      <c r="G82" s="203"/>
      <c r="H82" s="203"/>
      <c r="I82" s="203"/>
      <c r="J82" s="203"/>
      <c r="K82" s="203"/>
      <c r="L82" s="203"/>
      <c r="M82" s="203"/>
      <c r="N82" s="203"/>
      <c r="O82" s="203"/>
      <c r="P82" s="203"/>
      <c r="Q82" s="203"/>
      <c r="Z82" s="577"/>
      <c r="AA82" s="577"/>
      <c r="AD82" s="577"/>
      <c r="AE82" s="577"/>
      <c r="AG82" s="577"/>
      <c r="AH82" s="577"/>
      <c r="AJ82" s="577"/>
      <c r="AK82" s="577"/>
    </row>
    <row r="83" spans="1:55" ht="83.25" customHeight="1">
      <c r="A83" s="203"/>
      <c r="B83" s="203"/>
      <c r="C83" s="203"/>
      <c r="D83" s="203"/>
      <c r="E83" s="203"/>
      <c r="F83" s="203"/>
      <c r="G83" s="203"/>
      <c r="H83" s="203"/>
      <c r="I83" s="203"/>
      <c r="J83" s="203"/>
      <c r="K83" s="203"/>
      <c r="L83" s="203"/>
      <c r="M83" s="203"/>
      <c r="N83" s="203"/>
      <c r="O83" s="203"/>
      <c r="P83" s="203"/>
      <c r="Q83" s="203"/>
      <c r="Z83" s="572" t="s">
        <v>157</v>
      </c>
      <c r="AA83" s="572"/>
      <c r="AD83" s="572" t="s">
        <v>158</v>
      </c>
      <c r="AE83" s="572"/>
      <c r="AG83" s="306" t="s">
        <v>206</v>
      </c>
      <c r="AJ83" s="306" t="s">
        <v>206</v>
      </c>
    </row>
    <row r="84" spans="1:55">
      <c r="A84" s="203"/>
      <c r="B84" s="203"/>
      <c r="C84" s="203"/>
      <c r="D84" s="203"/>
      <c r="E84" s="203"/>
      <c r="F84" s="203"/>
      <c r="G84" s="203"/>
      <c r="H84" s="203"/>
      <c r="I84" s="203"/>
      <c r="J84" s="203"/>
      <c r="K84" s="203"/>
      <c r="L84" s="203"/>
      <c r="M84" s="203"/>
      <c r="N84" s="203"/>
      <c r="O84" s="203"/>
      <c r="P84" s="203"/>
      <c r="Q84" s="203"/>
      <c r="AD84" s="572"/>
      <c r="AE84" s="572"/>
    </row>
    <row r="85" spans="1:55">
      <c r="A85" s="203"/>
      <c r="B85" s="203"/>
      <c r="C85" s="203"/>
      <c r="D85" s="203"/>
      <c r="E85" s="203"/>
      <c r="F85" s="203"/>
      <c r="G85" s="203"/>
      <c r="H85" s="203"/>
      <c r="I85" s="203"/>
      <c r="J85" s="203"/>
      <c r="K85" s="203"/>
      <c r="L85" s="203"/>
      <c r="M85" s="203"/>
      <c r="N85" s="203"/>
      <c r="O85" s="203"/>
      <c r="P85" s="203"/>
      <c r="Q85" s="203"/>
      <c r="AD85" s="572"/>
      <c r="AE85" s="572"/>
    </row>
    <row r="86" spans="1:55">
      <c r="A86" s="203"/>
      <c r="B86" s="203"/>
      <c r="C86" s="203"/>
      <c r="D86" s="203"/>
      <c r="E86" s="203"/>
      <c r="F86" s="203"/>
      <c r="G86" s="203"/>
      <c r="H86" s="203"/>
      <c r="I86" s="203"/>
      <c r="J86" s="203"/>
      <c r="K86" s="203"/>
      <c r="L86" s="203"/>
      <c r="M86" s="203"/>
      <c r="N86" s="203"/>
      <c r="O86" s="203"/>
      <c r="P86" s="203"/>
      <c r="Q86" s="203"/>
      <c r="AD86" s="572"/>
      <c r="AE86" s="572"/>
    </row>
    <row r="87" spans="1:55">
      <c r="A87" s="203"/>
      <c r="B87" s="203"/>
      <c r="C87" s="203"/>
      <c r="D87" s="203"/>
      <c r="E87" s="203"/>
      <c r="F87" s="203"/>
      <c r="G87" s="203"/>
      <c r="H87" s="203"/>
      <c r="I87" s="203"/>
      <c r="J87" s="203"/>
      <c r="K87" s="203"/>
      <c r="L87" s="203"/>
      <c r="M87" s="203"/>
      <c r="N87" s="203"/>
      <c r="O87" s="203"/>
      <c r="P87" s="203"/>
      <c r="Q87" s="203"/>
      <c r="AD87" s="572"/>
      <c r="AE87" s="572"/>
    </row>
    <row r="88" spans="1:55">
      <c r="A88" s="203"/>
      <c r="B88" s="203"/>
      <c r="C88" s="203"/>
      <c r="D88" s="203"/>
      <c r="E88" s="203"/>
      <c r="F88" s="203"/>
      <c r="G88" s="203"/>
      <c r="H88" s="203"/>
      <c r="I88" s="203"/>
      <c r="J88" s="203"/>
      <c r="K88" s="203"/>
      <c r="L88" s="203"/>
      <c r="M88" s="203"/>
      <c r="N88" s="203"/>
      <c r="O88" s="203"/>
      <c r="P88" s="203"/>
      <c r="Q88" s="203"/>
      <c r="AD88" s="572"/>
      <c r="AE88" s="572"/>
    </row>
    <row r="89" spans="1:55">
      <c r="A89" s="203"/>
      <c r="B89" s="203"/>
      <c r="C89" s="203"/>
      <c r="D89" s="203"/>
      <c r="E89" s="203"/>
      <c r="F89" s="203"/>
      <c r="G89" s="203"/>
      <c r="H89" s="203"/>
      <c r="I89" s="203"/>
      <c r="J89" s="203"/>
      <c r="K89" s="203"/>
      <c r="L89" s="203"/>
      <c r="M89" s="203"/>
      <c r="N89" s="203"/>
      <c r="O89" s="203"/>
      <c r="P89" s="203"/>
      <c r="Q89" s="203"/>
      <c r="AD89" s="572"/>
      <c r="AE89" s="572"/>
    </row>
    <row r="90" spans="1:55">
      <c r="A90" s="203"/>
      <c r="B90" s="203"/>
      <c r="C90" s="203"/>
      <c r="D90" s="203"/>
      <c r="E90" s="203"/>
      <c r="F90" s="203"/>
      <c r="G90" s="203"/>
      <c r="H90" s="203"/>
      <c r="I90" s="203"/>
      <c r="J90" s="203"/>
      <c r="K90" s="203"/>
      <c r="L90" s="203"/>
      <c r="M90" s="203"/>
      <c r="N90" s="203"/>
      <c r="O90" s="203"/>
      <c r="P90" s="203"/>
      <c r="Q90" s="203"/>
      <c r="AD90" s="203" t="s">
        <v>159</v>
      </c>
      <c r="AG90" s="204" t="s">
        <v>207</v>
      </c>
      <c r="AJ90" s="204" t="s">
        <v>207</v>
      </c>
    </row>
    <row r="91" spans="1:55">
      <c r="A91" s="203"/>
      <c r="B91" s="203"/>
      <c r="C91" s="203"/>
      <c r="D91" s="203"/>
      <c r="E91" s="203"/>
      <c r="F91" s="203"/>
      <c r="G91" s="203"/>
      <c r="H91" s="203"/>
      <c r="I91" s="203"/>
      <c r="J91" s="203"/>
      <c r="K91" s="203"/>
      <c r="L91" s="203"/>
      <c r="M91" s="203"/>
      <c r="N91" s="203"/>
      <c r="O91" s="203"/>
      <c r="P91" s="203"/>
      <c r="Q91" s="203"/>
    </row>
    <row r="92" spans="1:55">
      <c r="A92" s="203"/>
      <c r="B92" s="203"/>
      <c r="C92" s="203"/>
      <c r="D92" s="203"/>
      <c r="E92" s="203"/>
      <c r="F92" s="203"/>
      <c r="G92" s="203"/>
      <c r="H92" s="203"/>
      <c r="I92" s="203"/>
      <c r="J92" s="203"/>
      <c r="K92" s="203"/>
      <c r="L92" s="203"/>
      <c r="M92" s="203"/>
      <c r="N92" s="203"/>
      <c r="O92" s="203"/>
      <c r="P92" s="203"/>
      <c r="Q92" s="203"/>
    </row>
    <row r="93" spans="1:55">
      <c r="A93" s="203"/>
      <c r="B93" s="203"/>
      <c r="C93" s="203"/>
      <c r="D93" s="203"/>
      <c r="E93" s="203"/>
      <c r="F93" s="203"/>
      <c r="G93" s="203"/>
      <c r="H93" s="203"/>
      <c r="I93" s="203"/>
      <c r="J93" s="203"/>
      <c r="K93" s="203"/>
      <c r="L93" s="203"/>
      <c r="M93" s="203"/>
      <c r="N93" s="203"/>
      <c r="O93" s="203"/>
      <c r="P93" s="203"/>
      <c r="Q93" s="203"/>
    </row>
    <row r="94" spans="1:55">
      <c r="A94" s="203"/>
      <c r="B94" s="203"/>
      <c r="C94" s="203"/>
      <c r="D94" s="203"/>
      <c r="E94" s="203"/>
      <c r="F94" s="203"/>
      <c r="G94" s="203"/>
      <c r="H94" s="203"/>
      <c r="I94" s="203"/>
      <c r="J94" s="203"/>
      <c r="K94" s="203"/>
      <c r="L94" s="203"/>
      <c r="M94" s="203"/>
      <c r="N94" s="203"/>
      <c r="O94" s="203"/>
      <c r="P94" s="203"/>
      <c r="Q94" s="203"/>
    </row>
    <row r="95" spans="1:55">
      <c r="A95" s="203"/>
      <c r="B95" s="203"/>
      <c r="C95" s="203"/>
      <c r="D95" s="203"/>
      <c r="E95" s="203"/>
      <c r="F95" s="203"/>
      <c r="G95" s="203"/>
      <c r="H95" s="203"/>
      <c r="I95" s="203"/>
      <c r="J95" s="203"/>
      <c r="K95" s="203"/>
      <c r="L95" s="203"/>
      <c r="M95" s="203"/>
      <c r="N95" s="203"/>
      <c r="O95" s="203"/>
      <c r="P95" s="203"/>
      <c r="Q95" s="203"/>
    </row>
    <row r="96" spans="1:55">
      <c r="A96" s="203"/>
      <c r="B96" s="203"/>
      <c r="C96" s="203"/>
      <c r="D96" s="203"/>
      <c r="E96" s="203"/>
      <c r="F96" s="203"/>
      <c r="G96" s="203"/>
      <c r="H96" s="203"/>
      <c r="I96" s="203"/>
      <c r="J96" s="203"/>
      <c r="K96" s="203"/>
      <c r="L96" s="203"/>
      <c r="M96" s="203"/>
      <c r="N96" s="203"/>
      <c r="O96" s="203"/>
      <c r="P96" s="203"/>
      <c r="Q96" s="203"/>
    </row>
    <row r="97" spans="1:233">
      <c r="A97" s="203"/>
      <c r="B97" s="203"/>
      <c r="C97" s="203"/>
      <c r="D97" s="203"/>
      <c r="E97" s="203"/>
      <c r="F97" s="203"/>
      <c r="G97" s="203"/>
      <c r="H97" s="203"/>
      <c r="I97" s="203"/>
      <c r="J97" s="203"/>
      <c r="K97" s="203"/>
      <c r="L97" s="203"/>
      <c r="M97" s="203"/>
      <c r="N97" s="203"/>
      <c r="O97" s="203"/>
      <c r="P97" s="203"/>
      <c r="Q97" s="203"/>
    </row>
    <row r="98" spans="1:233">
      <c r="A98" s="203"/>
      <c r="B98" s="203"/>
      <c r="C98" s="203"/>
      <c r="D98" s="203"/>
      <c r="E98" s="203"/>
      <c r="F98" s="203"/>
      <c r="G98" s="203"/>
      <c r="H98" s="203"/>
      <c r="I98" s="203"/>
      <c r="J98" s="203"/>
      <c r="K98" s="203"/>
      <c r="L98" s="203"/>
      <c r="M98" s="203"/>
      <c r="N98" s="203"/>
      <c r="O98" s="203"/>
      <c r="P98" s="203"/>
      <c r="Q98" s="203"/>
    </row>
    <row r="99" spans="1:233">
      <c r="A99" s="203"/>
      <c r="B99" s="203"/>
      <c r="C99" s="203"/>
      <c r="D99" s="203"/>
      <c r="E99" s="203"/>
      <c r="F99" s="203"/>
      <c r="G99" s="203"/>
      <c r="H99" s="203"/>
      <c r="I99" s="203"/>
      <c r="J99" s="203"/>
      <c r="K99" s="203"/>
      <c r="L99" s="203"/>
      <c r="M99" s="203"/>
      <c r="N99" s="203"/>
      <c r="O99" s="203"/>
      <c r="P99" s="203"/>
      <c r="Q99" s="203"/>
    </row>
    <row r="100" spans="1:233">
      <c r="A100" s="203"/>
      <c r="B100" s="203"/>
      <c r="C100" s="203"/>
      <c r="D100" s="203"/>
      <c r="E100" s="203"/>
      <c r="F100" s="203"/>
      <c r="G100" s="203"/>
      <c r="H100" s="203"/>
      <c r="I100" s="203"/>
      <c r="J100" s="203"/>
      <c r="K100" s="203"/>
      <c r="L100" s="203"/>
      <c r="M100" s="203"/>
      <c r="N100" s="203"/>
      <c r="O100" s="203"/>
      <c r="P100" s="203"/>
      <c r="Q100" s="203"/>
    </row>
    <row r="101" spans="1:233">
      <c r="A101" s="203"/>
      <c r="B101" s="203"/>
      <c r="C101" s="203"/>
      <c r="D101" s="203"/>
      <c r="E101" s="203"/>
      <c r="F101" s="203"/>
      <c r="G101" s="203"/>
      <c r="H101" s="203"/>
      <c r="I101" s="203"/>
      <c r="J101" s="203"/>
      <c r="K101" s="203"/>
      <c r="L101" s="203"/>
      <c r="M101" s="203"/>
      <c r="N101" s="203"/>
      <c r="O101" s="203"/>
      <c r="P101" s="203"/>
      <c r="Q101" s="203"/>
    </row>
    <row r="102" spans="1:233">
      <c r="A102" s="203"/>
      <c r="B102" s="203"/>
      <c r="C102" s="203"/>
      <c r="D102" s="203"/>
      <c r="E102" s="203"/>
      <c r="F102" s="203"/>
      <c r="G102" s="203"/>
      <c r="H102" s="203"/>
      <c r="I102" s="203"/>
      <c r="J102" s="203"/>
      <c r="K102" s="203"/>
      <c r="L102" s="203"/>
      <c r="M102" s="203"/>
      <c r="N102" s="203"/>
      <c r="O102" s="203"/>
      <c r="P102" s="203"/>
      <c r="Q102" s="203"/>
    </row>
    <row r="103" spans="1:233" s="149" customFormat="1" ht="14.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c r="GT103" s="204"/>
      <c r="GU103" s="204"/>
      <c r="GV103" s="204"/>
      <c r="GW103" s="204"/>
      <c r="GX103" s="204"/>
      <c r="GY103" s="204"/>
      <c r="GZ103" s="204"/>
      <c r="HA103" s="204"/>
      <c r="HB103" s="204"/>
      <c r="HC103" s="204"/>
      <c r="HD103" s="204"/>
      <c r="HE103" s="204"/>
      <c r="HF103" s="204"/>
      <c r="HG103" s="204"/>
      <c r="HH103" s="204"/>
      <c r="HI103" s="204"/>
      <c r="HJ103" s="204"/>
      <c r="HK103" s="204"/>
      <c r="HL103" s="204"/>
      <c r="HM103" s="204"/>
      <c r="HN103" s="204"/>
      <c r="HO103" s="204"/>
      <c r="HP103" s="204"/>
      <c r="HQ103" s="204"/>
      <c r="HR103" s="204"/>
      <c r="HS103" s="204"/>
      <c r="HT103" s="204"/>
      <c r="HU103" s="204"/>
      <c r="HV103" s="204"/>
      <c r="HW103" s="204"/>
      <c r="HX103" s="204"/>
      <c r="HY103" s="204"/>
    </row>
    <row r="104" spans="1:233" s="149" customFormat="1" ht="14.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row>
    <row r="105" spans="1:233" s="149" customFormat="1" ht="14.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row>
    <row r="106" spans="1:233" s="149" customFormat="1" ht="14.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row>
    <row r="107" spans="1:233" s="149" customFormat="1" ht="14.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row>
    <row r="108" spans="1:233" s="149" customFormat="1" ht="14.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row>
    <row r="109" spans="1:233" s="149" customFormat="1" ht="14.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row>
    <row r="110" spans="1:233" s="149" customFormat="1" ht="14.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row>
    <row r="111" spans="1:233" s="149" customFormat="1" ht="14.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row>
    <row r="112" spans="1:233" s="149" customFormat="1" ht="14.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row>
    <row r="113" spans="1:233" s="149" customFormat="1" ht="14.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row>
    <row r="114" spans="1:233" s="149" customFormat="1" ht="14.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row>
    <row r="115" spans="1:233" s="149" customFormat="1" ht="14.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row>
    <row r="116" spans="1:233" s="149" customFormat="1" ht="14.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row>
    <row r="117" spans="1:233" s="149" customFormat="1" ht="14.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row>
    <row r="118" spans="1:233" s="149" customFormat="1" ht="14.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row>
    <row r="119" spans="1:233" s="149" customFormat="1" ht="14.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row>
    <row r="120" spans="1:233" s="149" customFormat="1" ht="14.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row>
    <row r="121" spans="1:233" s="149" customFormat="1" ht="14.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row>
    <row r="122" spans="1:233" s="149" customFormat="1" ht="14.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row>
    <row r="123" spans="1:233" s="149" customFormat="1" ht="14.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row>
    <row r="124" spans="1:233" s="149" customFormat="1" ht="14.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row>
    <row r="125" spans="1:233" s="149" customFormat="1" ht="14.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row>
    <row r="126" spans="1:233" s="149" customFormat="1" ht="14.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row>
    <row r="127" spans="1:233" s="149" customFormat="1" ht="14.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row>
    <row r="128" spans="1:233" s="149" customFormat="1" ht="14.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row>
    <row r="129" spans="1:233" s="149" customFormat="1" ht="14.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row>
    <row r="130" spans="1:233" s="149" customFormat="1" ht="14.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row>
    <row r="131" spans="1:233" s="149" customFormat="1" ht="14.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row>
    <row r="132" spans="1:233" s="149" customFormat="1" ht="14.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row>
    <row r="133" spans="1:233" s="149" customFormat="1" ht="14.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row>
    <row r="134" spans="1:233" s="149" customFormat="1" ht="14.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row>
    <row r="135" spans="1:233" s="149" customFormat="1" ht="14.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row>
    <row r="136" spans="1:233" s="149" customFormat="1" ht="14.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row>
    <row r="137" spans="1:233" s="149" customFormat="1" ht="14.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row>
    <row r="138" spans="1:233" s="149" customFormat="1" ht="14.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row>
    <row r="139" spans="1:233" s="149" customFormat="1" ht="14.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row>
    <row r="140" spans="1:233" s="149" customFormat="1" ht="14.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row>
    <row r="141" spans="1:233" s="149" customFormat="1" ht="14.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row>
    <row r="142" spans="1:233" s="149" customFormat="1" ht="14.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row>
    <row r="143" spans="1:233" s="149" customFormat="1" ht="14.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row>
    <row r="144" spans="1:233" s="149" customFormat="1" ht="14.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row>
    <row r="145" spans="1:233" s="149" customFormat="1" ht="14.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row>
    <row r="146" spans="1:233" s="149" customFormat="1" ht="14.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row>
    <row r="147" spans="1:233" s="149" customFormat="1" ht="14.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row>
    <row r="148" spans="1:233" s="149" customFormat="1" ht="14.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row>
    <row r="149" spans="1:233" s="149" customFormat="1" ht="14.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c r="CE149" s="203"/>
      <c r="CF149" s="203"/>
      <c r="CG149" s="203"/>
      <c r="CH149" s="203"/>
      <c r="CI149" s="203"/>
      <c r="CJ149" s="203"/>
      <c r="CK149" s="203"/>
      <c r="CL149" s="203"/>
      <c r="CM149" s="203"/>
      <c r="CN149" s="203"/>
      <c r="CO149" s="203"/>
      <c r="CP149" s="203"/>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c r="EK149" s="203"/>
      <c r="EL149" s="203"/>
      <c r="EM149" s="203"/>
      <c r="EN149" s="203"/>
      <c r="EO149" s="203"/>
      <c r="EP149" s="203"/>
      <c r="EQ149" s="203"/>
      <c r="ER149" s="203"/>
      <c r="ES149" s="203"/>
      <c r="ET149" s="203"/>
      <c r="EU149" s="203"/>
      <c r="EV149" s="203"/>
      <c r="EW149" s="203"/>
      <c r="EX149" s="203"/>
      <c r="EY149" s="203"/>
      <c r="EZ149" s="203"/>
      <c r="FA149" s="203"/>
      <c r="FB149" s="203"/>
      <c r="FC149" s="203"/>
      <c r="FD149" s="203"/>
      <c r="FE149" s="203"/>
      <c r="FF149" s="203"/>
      <c r="FG149" s="203"/>
      <c r="FH149" s="203"/>
      <c r="FI149" s="203"/>
      <c r="FJ149" s="203"/>
      <c r="FK149" s="203"/>
      <c r="FL149" s="203"/>
      <c r="FM149" s="203"/>
      <c r="FN149" s="203"/>
      <c r="FO149" s="203"/>
      <c r="FP149" s="203"/>
      <c r="FQ149" s="203"/>
      <c r="FR149" s="203"/>
      <c r="FS149" s="203"/>
      <c r="FT149" s="203"/>
      <c r="FU149" s="203"/>
      <c r="FV149" s="203"/>
      <c r="FW149" s="203"/>
      <c r="FX149" s="203"/>
      <c r="FY149" s="203"/>
      <c r="FZ149" s="203"/>
      <c r="GA149" s="203"/>
      <c r="GB149" s="203"/>
      <c r="GC149" s="203"/>
      <c r="GD149" s="203"/>
      <c r="GE149" s="203"/>
      <c r="GF149" s="203"/>
      <c r="GG149" s="203"/>
      <c r="GH149" s="203"/>
      <c r="GI149" s="203"/>
      <c r="GJ149" s="203"/>
      <c r="GK149" s="203"/>
      <c r="GL149" s="203"/>
      <c r="GM149" s="203"/>
      <c r="GN149" s="203"/>
      <c r="GO149" s="203"/>
      <c r="GP149" s="203"/>
      <c r="GQ149" s="203"/>
      <c r="GR149" s="203"/>
      <c r="GS149" s="203"/>
      <c r="GT149" s="203"/>
      <c r="GU149" s="203"/>
      <c r="GV149" s="203"/>
      <c r="GW149" s="203"/>
      <c r="GX149" s="203"/>
      <c r="GY149" s="203"/>
      <c r="GZ149" s="203"/>
      <c r="HA149" s="203"/>
      <c r="HB149" s="203"/>
      <c r="HC149" s="203"/>
      <c r="HD149" s="203"/>
      <c r="HE149" s="203"/>
      <c r="HF149" s="203"/>
      <c r="HG149" s="203"/>
      <c r="HH149" s="203"/>
      <c r="HI149" s="203"/>
      <c r="HJ149" s="203"/>
      <c r="HK149" s="203"/>
      <c r="HL149" s="203"/>
      <c r="HM149" s="203"/>
      <c r="HN149" s="203"/>
      <c r="HO149" s="203"/>
      <c r="HP149" s="203"/>
      <c r="HQ149" s="203"/>
      <c r="HR149" s="203"/>
      <c r="HS149" s="203"/>
      <c r="HT149" s="203"/>
      <c r="HU149" s="203"/>
      <c r="HV149" s="203"/>
      <c r="HW149" s="203"/>
      <c r="HX149" s="203"/>
      <c r="HY149" s="203"/>
    </row>
    <row r="150" spans="1:233" s="149" customFormat="1" ht="14.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c r="EK150" s="203"/>
      <c r="EL150" s="203"/>
      <c r="EM150" s="203"/>
      <c r="EN150" s="203"/>
      <c r="EO150" s="203"/>
      <c r="EP150" s="203"/>
      <c r="EQ150" s="203"/>
      <c r="ER150" s="203"/>
      <c r="ES150" s="203"/>
      <c r="ET150" s="203"/>
      <c r="EU150" s="203"/>
      <c r="EV150" s="203"/>
      <c r="EW150" s="203"/>
      <c r="EX150" s="203"/>
      <c r="EY150" s="203"/>
      <c r="EZ150" s="203"/>
      <c r="FA150" s="203"/>
      <c r="FB150" s="203"/>
      <c r="FC150" s="203"/>
      <c r="FD150" s="203"/>
      <c r="FE150" s="203"/>
      <c r="FF150" s="203"/>
      <c r="FG150" s="203"/>
      <c r="FH150" s="203"/>
      <c r="FI150" s="203"/>
      <c r="FJ150" s="203"/>
      <c r="FK150" s="203"/>
      <c r="FL150" s="203"/>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03"/>
      <c r="GR150" s="203"/>
      <c r="GS150" s="203"/>
      <c r="GT150" s="203"/>
      <c r="GU150" s="203"/>
      <c r="GV150" s="203"/>
      <c r="GW150" s="203"/>
      <c r="GX150" s="203"/>
      <c r="GY150" s="203"/>
      <c r="GZ150" s="203"/>
      <c r="HA150" s="203"/>
      <c r="HB150" s="203"/>
      <c r="HC150" s="203"/>
      <c r="HD150" s="203"/>
      <c r="HE150" s="203"/>
      <c r="HF150" s="203"/>
      <c r="HG150" s="203"/>
      <c r="HH150" s="203"/>
      <c r="HI150" s="203"/>
      <c r="HJ150" s="203"/>
      <c r="HK150" s="203"/>
      <c r="HL150" s="203"/>
      <c r="HM150" s="203"/>
      <c r="HN150" s="203"/>
      <c r="HO150" s="203"/>
      <c r="HP150" s="203"/>
      <c r="HQ150" s="203"/>
      <c r="HR150" s="203"/>
      <c r="HS150" s="203"/>
      <c r="HT150" s="203"/>
      <c r="HU150" s="203"/>
      <c r="HV150" s="203"/>
      <c r="HW150" s="203"/>
      <c r="HX150" s="203"/>
      <c r="HY150" s="203"/>
    </row>
    <row r="151" spans="1:233" s="149" customFormat="1" ht="14.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c r="CE151" s="203"/>
      <c r="CF151" s="203"/>
      <c r="CG151" s="203"/>
      <c r="CH151" s="203"/>
      <c r="CI151" s="203"/>
      <c r="CJ151" s="203"/>
      <c r="CK151" s="203"/>
      <c r="CL151" s="203"/>
      <c r="CM151" s="203"/>
      <c r="CN151" s="203"/>
      <c r="CO151" s="203"/>
      <c r="CP151" s="203"/>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c r="EK151" s="203"/>
      <c r="EL151" s="203"/>
      <c r="EM151" s="203"/>
      <c r="EN151" s="203"/>
      <c r="EO151" s="203"/>
      <c r="EP151" s="203"/>
      <c r="EQ151" s="203"/>
      <c r="ER151" s="203"/>
      <c r="ES151" s="203"/>
      <c r="ET151" s="203"/>
      <c r="EU151" s="203"/>
      <c r="EV151" s="203"/>
      <c r="EW151" s="203"/>
      <c r="EX151" s="203"/>
      <c r="EY151" s="203"/>
      <c r="EZ151" s="203"/>
      <c r="FA151" s="203"/>
      <c r="FB151" s="203"/>
      <c r="FC151" s="203"/>
      <c r="FD151" s="203"/>
      <c r="FE151" s="203"/>
      <c r="FF151" s="203"/>
      <c r="FG151" s="203"/>
      <c r="FH151" s="203"/>
      <c r="FI151" s="203"/>
      <c r="FJ151" s="203"/>
      <c r="FK151" s="203"/>
      <c r="FL151" s="203"/>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03"/>
      <c r="GR151" s="203"/>
      <c r="GS151" s="203"/>
      <c r="GT151" s="203"/>
      <c r="GU151" s="203"/>
      <c r="GV151" s="203"/>
      <c r="GW151" s="203"/>
      <c r="GX151" s="203"/>
      <c r="GY151" s="203"/>
      <c r="GZ151" s="203"/>
      <c r="HA151" s="203"/>
      <c r="HB151" s="203"/>
      <c r="HC151" s="203"/>
      <c r="HD151" s="203"/>
      <c r="HE151" s="203"/>
      <c r="HF151" s="203"/>
      <c r="HG151" s="203"/>
      <c r="HH151" s="203"/>
      <c r="HI151" s="203"/>
      <c r="HJ151" s="203"/>
      <c r="HK151" s="203"/>
      <c r="HL151" s="203"/>
      <c r="HM151" s="203"/>
      <c r="HN151" s="203"/>
      <c r="HO151" s="203"/>
      <c r="HP151" s="203"/>
      <c r="HQ151" s="203"/>
      <c r="HR151" s="203"/>
      <c r="HS151" s="203"/>
      <c r="HT151" s="203"/>
      <c r="HU151" s="203"/>
      <c r="HV151" s="203"/>
      <c r="HW151" s="203"/>
      <c r="HX151" s="203"/>
      <c r="HY151" s="203"/>
    </row>
    <row r="152" spans="1:233" s="149" customFormat="1" ht="14.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c r="CE152" s="203"/>
      <c r="CF152" s="203"/>
      <c r="CG152" s="203"/>
      <c r="CH152" s="203"/>
      <c r="CI152" s="203"/>
      <c r="CJ152" s="203"/>
      <c r="CK152" s="203"/>
      <c r="CL152" s="203"/>
      <c r="CM152" s="203"/>
      <c r="CN152" s="203"/>
      <c r="CO152" s="203"/>
      <c r="CP152" s="203"/>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3"/>
      <c r="GQ152" s="203"/>
      <c r="GR152" s="203"/>
      <c r="GS152" s="203"/>
      <c r="GT152" s="203"/>
      <c r="GU152" s="203"/>
      <c r="GV152" s="203"/>
      <c r="GW152" s="203"/>
      <c r="GX152" s="203"/>
      <c r="GY152" s="203"/>
      <c r="GZ152" s="203"/>
      <c r="HA152" s="203"/>
      <c r="HB152" s="203"/>
      <c r="HC152" s="203"/>
      <c r="HD152" s="203"/>
      <c r="HE152" s="203"/>
      <c r="HF152" s="203"/>
      <c r="HG152" s="203"/>
      <c r="HH152" s="203"/>
      <c r="HI152" s="203"/>
      <c r="HJ152" s="203"/>
      <c r="HK152" s="203"/>
      <c r="HL152" s="203"/>
      <c r="HM152" s="203"/>
      <c r="HN152" s="203"/>
      <c r="HO152" s="203"/>
      <c r="HP152" s="203"/>
      <c r="HQ152" s="203"/>
      <c r="HR152" s="203"/>
      <c r="HS152" s="203"/>
      <c r="HT152" s="203"/>
      <c r="HU152" s="203"/>
      <c r="HV152" s="203"/>
      <c r="HW152" s="203"/>
      <c r="HX152" s="203"/>
      <c r="HY152" s="203"/>
    </row>
    <row r="153" spans="1:233" s="149" customFormat="1" ht="14.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c r="CE153" s="203"/>
      <c r="CF153" s="203"/>
      <c r="CG153" s="203"/>
      <c r="CH153" s="203"/>
      <c r="CI153" s="203"/>
      <c r="CJ153" s="203"/>
      <c r="CK153" s="203"/>
      <c r="CL153" s="203"/>
      <c r="CM153" s="203"/>
      <c r="CN153" s="203"/>
      <c r="CO153" s="203"/>
      <c r="CP153" s="203"/>
      <c r="CQ153" s="203"/>
      <c r="CR153" s="203"/>
      <c r="CS153" s="203"/>
      <c r="CT153" s="203"/>
      <c r="CU153" s="203"/>
      <c r="CV153" s="203"/>
      <c r="CW153" s="203"/>
      <c r="CX153" s="203"/>
      <c r="CY153" s="20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3"/>
      <c r="GQ153" s="203"/>
      <c r="GR153" s="203"/>
      <c r="GS153" s="203"/>
      <c r="GT153" s="203"/>
      <c r="GU153" s="203"/>
      <c r="GV153" s="203"/>
      <c r="GW153" s="203"/>
      <c r="GX153" s="203"/>
      <c r="GY153" s="203"/>
      <c r="GZ153" s="203"/>
      <c r="HA153" s="203"/>
      <c r="HB153" s="203"/>
      <c r="HC153" s="203"/>
      <c r="HD153" s="203"/>
      <c r="HE153" s="203"/>
      <c r="HF153" s="203"/>
      <c r="HG153" s="203"/>
      <c r="HH153" s="203"/>
      <c r="HI153" s="203"/>
      <c r="HJ153" s="203"/>
      <c r="HK153" s="203"/>
      <c r="HL153" s="203"/>
      <c r="HM153" s="203"/>
      <c r="HN153" s="203"/>
      <c r="HO153" s="203"/>
      <c r="HP153" s="203"/>
      <c r="HQ153" s="203"/>
      <c r="HR153" s="203"/>
      <c r="HS153" s="203"/>
      <c r="HT153" s="203"/>
      <c r="HU153" s="203"/>
      <c r="HV153" s="203"/>
      <c r="HW153" s="203"/>
      <c r="HX153" s="203"/>
      <c r="HY153" s="203"/>
    </row>
    <row r="154" spans="1:233" s="149" customFormat="1" ht="14.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c r="CE154" s="203"/>
      <c r="CF154" s="203"/>
      <c r="CG154" s="203"/>
      <c r="CH154" s="203"/>
      <c r="CI154" s="203"/>
      <c r="CJ154" s="203"/>
      <c r="CK154" s="203"/>
      <c r="CL154" s="203"/>
      <c r="CM154" s="203"/>
      <c r="CN154" s="203"/>
      <c r="CO154" s="203"/>
      <c r="CP154" s="203"/>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3"/>
      <c r="GQ154" s="203"/>
      <c r="GR154" s="203"/>
      <c r="GS154" s="203"/>
      <c r="GT154" s="203"/>
      <c r="GU154" s="203"/>
      <c r="GV154" s="203"/>
      <c r="GW154" s="203"/>
      <c r="GX154" s="203"/>
      <c r="GY154" s="203"/>
      <c r="GZ154" s="203"/>
      <c r="HA154" s="203"/>
      <c r="HB154" s="203"/>
      <c r="HC154" s="203"/>
      <c r="HD154" s="203"/>
      <c r="HE154" s="203"/>
      <c r="HF154" s="203"/>
      <c r="HG154" s="203"/>
      <c r="HH154" s="203"/>
      <c r="HI154" s="203"/>
      <c r="HJ154" s="203"/>
      <c r="HK154" s="203"/>
      <c r="HL154" s="203"/>
      <c r="HM154" s="203"/>
      <c r="HN154" s="203"/>
      <c r="HO154" s="203"/>
      <c r="HP154" s="203"/>
      <c r="HQ154" s="203"/>
      <c r="HR154" s="203"/>
      <c r="HS154" s="203"/>
      <c r="HT154" s="203"/>
      <c r="HU154" s="203"/>
      <c r="HV154" s="203"/>
      <c r="HW154" s="203"/>
      <c r="HX154" s="203"/>
      <c r="HY154" s="203"/>
    </row>
    <row r="155" spans="1:233" s="149" customFormat="1" ht="14.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c r="CE155" s="203"/>
      <c r="CF155" s="203"/>
      <c r="CG155" s="203"/>
      <c r="CH155" s="203"/>
      <c r="CI155" s="203"/>
      <c r="CJ155" s="203"/>
      <c r="CK155" s="203"/>
      <c r="CL155" s="203"/>
      <c r="CM155" s="203"/>
      <c r="CN155" s="203"/>
      <c r="CO155" s="203"/>
      <c r="CP155" s="203"/>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3"/>
      <c r="GQ155" s="203"/>
      <c r="GR155" s="203"/>
      <c r="GS155" s="203"/>
      <c r="GT155" s="203"/>
      <c r="GU155" s="203"/>
      <c r="GV155" s="203"/>
      <c r="GW155" s="203"/>
      <c r="GX155" s="203"/>
      <c r="GY155" s="203"/>
      <c r="GZ155" s="203"/>
      <c r="HA155" s="203"/>
      <c r="HB155" s="203"/>
      <c r="HC155" s="203"/>
      <c r="HD155" s="203"/>
      <c r="HE155" s="203"/>
      <c r="HF155" s="203"/>
      <c r="HG155" s="203"/>
      <c r="HH155" s="203"/>
      <c r="HI155" s="203"/>
      <c r="HJ155" s="203"/>
      <c r="HK155" s="203"/>
      <c r="HL155" s="203"/>
      <c r="HM155" s="203"/>
      <c r="HN155" s="203"/>
      <c r="HO155" s="203"/>
      <c r="HP155" s="203"/>
      <c r="HQ155" s="203"/>
      <c r="HR155" s="203"/>
      <c r="HS155" s="203"/>
      <c r="HT155" s="203"/>
      <c r="HU155" s="203"/>
      <c r="HV155" s="203"/>
      <c r="HW155" s="203"/>
      <c r="HX155" s="203"/>
      <c r="HY155" s="203"/>
    </row>
    <row r="156" spans="1:233" s="149" customFormat="1" ht="14.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203"/>
      <c r="HG156" s="203"/>
      <c r="HH156" s="203"/>
      <c r="HI156" s="203"/>
      <c r="HJ156" s="203"/>
      <c r="HK156" s="203"/>
      <c r="HL156" s="203"/>
      <c r="HM156" s="203"/>
      <c r="HN156" s="203"/>
      <c r="HO156" s="203"/>
      <c r="HP156" s="203"/>
      <c r="HQ156" s="203"/>
      <c r="HR156" s="203"/>
      <c r="HS156" s="203"/>
      <c r="HT156" s="203"/>
      <c r="HU156" s="203"/>
      <c r="HV156" s="203"/>
      <c r="HW156" s="203"/>
      <c r="HX156" s="203"/>
      <c r="HY156" s="203"/>
    </row>
    <row r="157" spans="1:233" s="149" customFormat="1" ht="14.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row>
    <row r="158" spans="1:233" s="149" customFormat="1" ht="14.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c r="EK158" s="203"/>
      <c r="EL158" s="203"/>
      <c r="EM158" s="203"/>
      <c r="EN158" s="203"/>
      <c r="EO158" s="203"/>
      <c r="EP158" s="203"/>
      <c r="EQ158" s="203"/>
      <c r="ER158" s="203"/>
      <c r="ES158" s="203"/>
      <c r="ET158" s="203"/>
      <c r="EU158" s="203"/>
      <c r="EV158" s="203"/>
      <c r="EW158" s="203"/>
      <c r="EX158" s="203"/>
      <c r="EY158" s="203"/>
      <c r="EZ158" s="203"/>
      <c r="FA158" s="203"/>
      <c r="FB158" s="203"/>
      <c r="FC158" s="203"/>
      <c r="FD158" s="203"/>
      <c r="FE158" s="203"/>
      <c r="FF158" s="203"/>
      <c r="FG158" s="203"/>
      <c r="FH158" s="203"/>
      <c r="FI158" s="203"/>
      <c r="FJ158" s="203"/>
      <c r="FK158" s="203"/>
      <c r="FL158" s="203"/>
      <c r="FM158" s="203"/>
      <c r="FN158" s="203"/>
      <c r="FO158" s="203"/>
      <c r="FP158" s="203"/>
      <c r="FQ158" s="203"/>
      <c r="FR158" s="203"/>
      <c r="FS158" s="203"/>
      <c r="FT158" s="203"/>
      <c r="FU158" s="203"/>
      <c r="FV158" s="203"/>
      <c r="FW158" s="203"/>
      <c r="FX158" s="203"/>
      <c r="FY158" s="203"/>
      <c r="FZ158" s="203"/>
      <c r="GA158" s="203"/>
      <c r="GB158" s="203"/>
      <c r="GC158" s="203"/>
      <c r="GD158" s="203"/>
      <c r="GE158" s="203"/>
      <c r="GF158" s="203"/>
      <c r="GG158" s="203"/>
      <c r="GH158" s="203"/>
      <c r="GI158" s="203"/>
      <c r="GJ158" s="203"/>
      <c r="GK158" s="203"/>
      <c r="GL158" s="203"/>
      <c r="GM158" s="203"/>
      <c r="GN158" s="203"/>
      <c r="GO158" s="203"/>
      <c r="GP158" s="203"/>
      <c r="GQ158" s="203"/>
      <c r="GR158" s="203"/>
      <c r="GS158" s="203"/>
      <c r="GT158" s="203"/>
      <c r="GU158" s="203"/>
      <c r="GV158" s="203"/>
      <c r="GW158" s="203"/>
      <c r="GX158" s="203"/>
      <c r="GY158" s="203"/>
      <c r="GZ158" s="203"/>
      <c r="HA158" s="203"/>
      <c r="HB158" s="203"/>
      <c r="HC158" s="203"/>
      <c r="HD158" s="203"/>
      <c r="HE158" s="203"/>
      <c r="HF158" s="203"/>
      <c r="HG158" s="203"/>
      <c r="HH158" s="203"/>
      <c r="HI158" s="203"/>
      <c r="HJ158" s="203"/>
      <c r="HK158" s="203"/>
      <c r="HL158" s="203"/>
      <c r="HM158" s="203"/>
      <c r="HN158" s="203"/>
      <c r="HO158" s="203"/>
      <c r="HP158" s="203"/>
      <c r="HQ158" s="203"/>
      <c r="HR158" s="203"/>
      <c r="HS158" s="203"/>
      <c r="HT158" s="203"/>
      <c r="HU158" s="203"/>
      <c r="HV158" s="203"/>
      <c r="HW158" s="203"/>
      <c r="HX158" s="203"/>
      <c r="HY158" s="203"/>
    </row>
    <row r="159" spans="1:233" s="149" customFormat="1" ht="14.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c r="EK159" s="203"/>
      <c r="EL159" s="203"/>
      <c r="EM159" s="203"/>
      <c r="EN159" s="203"/>
      <c r="EO159" s="203"/>
      <c r="EP159" s="203"/>
      <c r="EQ159" s="203"/>
      <c r="ER159" s="203"/>
      <c r="ES159" s="203"/>
      <c r="ET159" s="203"/>
      <c r="EU159" s="203"/>
      <c r="EV159" s="203"/>
      <c r="EW159" s="203"/>
      <c r="EX159" s="203"/>
      <c r="EY159" s="203"/>
      <c r="EZ159" s="203"/>
      <c r="FA159" s="203"/>
      <c r="FB159" s="203"/>
      <c r="FC159" s="203"/>
      <c r="FD159" s="203"/>
      <c r="FE159" s="203"/>
      <c r="FF159" s="203"/>
      <c r="FG159" s="203"/>
      <c r="FH159" s="203"/>
      <c r="FI159" s="203"/>
      <c r="FJ159" s="203"/>
      <c r="FK159" s="203"/>
      <c r="FL159" s="203"/>
      <c r="FM159" s="203"/>
      <c r="FN159" s="203"/>
      <c r="FO159" s="203"/>
      <c r="FP159" s="203"/>
      <c r="FQ159" s="203"/>
      <c r="FR159" s="203"/>
      <c r="FS159" s="203"/>
      <c r="FT159" s="203"/>
      <c r="FU159" s="203"/>
      <c r="FV159" s="203"/>
      <c r="FW159" s="203"/>
      <c r="FX159" s="203"/>
      <c r="FY159" s="203"/>
      <c r="FZ159" s="203"/>
      <c r="GA159" s="203"/>
      <c r="GB159" s="203"/>
      <c r="GC159" s="203"/>
      <c r="GD159" s="203"/>
      <c r="GE159" s="203"/>
      <c r="GF159" s="203"/>
      <c r="GG159" s="203"/>
      <c r="GH159" s="203"/>
      <c r="GI159" s="203"/>
      <c r="GJ159" s="203"/>
      <c r="GK159" s="203"/>
      <c r="GL159" s="203"/>
      <c r="GM159" s="203"/>
      <c r="GN159" s="203"/>
      <c r="GO159" s="203"/>
      <c r="GP159" s="203"/>
      <c r="GQ159" s="203"/>
      <c r="GR159" s="203"/>
      <c r="GS159" s="203"/>
      <c r="GT159" s="203"/>
      <c r="GU159" s="203"/>
      <c r="GV159" s="203"/>
      <c r="GW159" s="203"/>
      <c r="GX159" s="203"/>
      <c r="GY159" s="203"/>
      <c r="GZ159" s="203"/>
      <c r="HA159" s="203"/>
      <c r="HB159" s="203"/>
      <c r="HC159" s="203"/>
      <c r="HD159" s="203"/>
      <c r="HE159" s="203"/>
      <c r="HF159" s="203"/>
      <c r="HG159" s="203"/>
      <c r="HH159" s="203"/>
      <c r="HI159" s="203"/>
      <c r="HJ159" s="203"/>
      <c r="HK159" s="203"/>
      <c r="HL159" s="203"/>
      <c r="HM159" s="203"/>
      <c r="HN159" s="203"/>
      <c r="HO159" s="203"/>
      <c r="HP159" s="203"/>
      <c r="HQ159" s="203"/>
      <c r="HR159" s="203"/>
      <c r="HS159" s="203"/>
      <c r="HT159" s="203"/>
      <c r="HU159" s="203"/>
      <c r="HV159" s="203"/>
      <c r="HW159" s="203"/>
      <c r="HX159" s="203"/>
      <c r="HY159" s="203"/>
    </row>
    <row r="160" spans="1:233" s="149" customFormat="1" ht="14.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c r="EP160" s="203"/>
      <c r="EQ160" s="203"/>
      <c r="ER160" s="203"/>
      <c r="ES160" s="203"/>
      <c r="ET160" s="203"/>
      <c r="EU160" s="203"/>
      <c r="EV160" s="203"/>
      <c r="EW160" s="203"/>
      <c r="EX160" s="203"/>
      <c r="EY160" s="203"/>
      <c r="EZ160" s="203"/>
      <c r="FA160" s="203"/>
      <c r="FB160" s="203"/>
      <c r="FC160" s="203"/>
      <c r="FD160" s="203"/>
      <c r="FE160" s="203"/>
      <c r="FF160" s="203"/>
      <c r="FG160" s="203"/>
      <c r="FH160" s="203"/>
      <c r="FI160" s="203"/>
      <c r="FJ160" s="203"/>
      <c r="FK160" s="203"/>
      <c r="FL160" s="203"/>
      <c r="FM160" s="203"/>
      <c r="FN160" s="203"/>
      <c r="FO160" s="203"/>
      <c r="FP160" s="203"/>
      <c r="FQ160" s="203"/>
      <c r="FR160" s="203"/>
      <c r="FS160" s="203"/>
      <c r="FT160" s="203"/>
      <c r="FU160" s="203"/>
      <c r="FV160" s="203"/>
      <c r="FW160" s="203"/>
      <c r="FX160" s="203"/>
      <c r="FY160" s="203"/>
      <c r="FZ160" s="203"/>
      <c r="GA160" s="203"/>
      <c r="GB160" s="203"/>
      <c r="GC160" s="203"/>
      <c r="GD160" s="203"/>
      <c r="GE160" s="203"/>
      <c r="GF160" s="203"/>
      <c r="GG160" s="203"/>
      <c r="GH160" s="203"/>
      <c r="GI160" s="203"/>
      <c r="GJ160" s="203"/>
      <c r="GK160" s="203"/>
      <c r="GL160" s="203"/>
      <c r="GM160" s="203"/>
      <c r="GN160" s="203"/>
      <c r="GO160" s="203"/>
      <c r="GP160" s="203"/>
      <c r="GQ160" s="203"/>
      <c r="GR160" s="203"/>
      <c r="GS160" s="203"/>
      <c r="GT160" s="203"/>
      <c r="GU160" s="203"/>
      <c r="GV160" s="203"/>
      <c r="GW160" s="203"/>
      <c r="GX160" s="203"/>
      <c r="GY160" s="203"/>
      <c r="GZ160" s="203"/>
      <c r="HA160" s="203"/>
      <c r="HB160" s="203"/>
      <c r="HC160" s="203"/>
      <c r="HD160" s="203"/>
      <c r="HE160" s="203"/>
      <c r="HF160" s="203"/>
      <c r="HG160" s="203"/>
      <c r="HH160" s="203"/>
      <c r="HI160" s="203"/>
      <c r="HJ160" s="203"/>
      <c r="HK160" s="203"/>
      <c r="HL160" s="203"/>
      <c r="HM160" s="203"/>
      <c r="HN160" s="203"/>
      <c r="HO160" s="203"/>
      <c r="HP160" s="203"/>
      <c r="HQ160" s="203"/>
      <c r="HR160" s="203"/>
      <c r="HS160" s="203"/>
      <c r="HT160" s="203"/>
      <c r="HU160" s="203"/>
      <c r="HV160" s="203"/>
      <c r="HW160" s="203"/>
      <c r="HX160" s="203"/>
      <c r="HY160" s="203"/>
    </row>
    <row r="161" spans="1:233" s="149" customFormat="1" ht="14.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row>
    <row r="162" spans="1:233" s="149" customFormat="1" ht="14.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c r="EP162" s="203"/>
      <c r="EQ162" s="203"/>
      <c r="ER162" s="203"/>
      <c r="ES162" s="203"/>
      <c r="ET162" s="203"/>
      <c r="EU162" s="203"/>
      <c r="EV162" s="203"/>
      <c r="EW162" s="203"/>
      <c r="EX162" s="203"/>
      <c r="EY162" s="203"/>
      <c r="EZ162" s="203"/>
      <c r="FA162" s="203"/>
      <c r="FB162" s="203"/>
      <c r="FC162" s="203"/>
      <c r="FD162" s="203"/>
      <c r="FE162" s="203"/>
      <c r="FF162" s="203"/>
      <c r="FG162" s="203"/>
      <c r="FH162" s="203"/>
      <c r="FI162" s="203"/>
      <c r="FJ162" s="203"/>
      <c r="FK162" s="203"/>
      <c r="FL162" s="203"/>
      <c r="FM162" s="203"/>
      <c r="FN162" s="203"/>
      <c r="FO162" s="203"/>
      <c r="FP162" s="203"/>
      <c r="FQ162" s="203"/>
      <c r="FR162" s="203"/>
      <c r="FS162" s="203"/>
      <c r="FT162" s="203"/>
      <c r="FU162" s="203"/>
      <c r="FV162" s="203"/>
      <c r="FW162" s="203"/>
      <c r="FX162" s="203"/>
      <c r="FY162" s="203"/>
      <c r="FZ162" s="203"/>
      <c r="GA162" s="203"/>
      <c r="GB162" s="203"/>
      <c r="GC162" s="203"/>
      <c r="GD162" s="203"/>
      <c r="GE162" s="203"/>
      <c r="GF162" s="203"/>
      <c r="GG162" s="203"/>
      <c r="GH162" s="203"/>
      <c r="GI162" s="203"/>
      <c r="GJ162" s="203"/>
      <c r="GK162" s="203"/>
      <c r="GL162" s="203"/>
      <c r="GM162" s="203"/>
      <c r="GN162" s="203"/>
      <c r="GO162" s="203"/>
      <c r="GP162" s="203"/>
      <c r="GQ162" s="203"/>
      <c r="GR162" s="203"/>
      <c r="GS162" s="203"/>
      <c r="GT162" s="203"/>
      <c r="GU162" s="203"/>
      <c r="GV162" s="203"/>
      <c r="GW162" s="203"/>
      <c r="GX162" s="203"/>
      <c r="GY162" s="203"/>
      <c r="GZ162" s="203"/>
      <c r="HA162" s="203"/>
      <c r="HB162" s="203"/>
      <c r="HC162" s="203"/>
      <c r="HD162" s="203"/>
      <c r="HE162" s="203"/>
      <c r="HF162" s="203"/>
      <c r="HG162" s="203"/>
      <c r="HH162" s="203"/>
      <c r="HI162" s="203"/>
      <c r="HJ162" s="203"/>
      <c r="HK162" s="203"/>
      <c r="HL162" s="203"/>
      <c r="HM162" s="203"/>
      <c r="HN162" s="203"/>
      <c r="HO162" s="203"/>
      <c r="HP162" s="203"/>
      <c r="HQ162" s="203"/>
      <c r="HR162" s="203"/>
      <c r="HS162" s="203"/>
      <c r="HT162" s="203"/>
      <c r="HU162" s="203"/>
      <c r="HV162" s="203"/>
      <c r="HW162" s="203"/>
      <c r="HX162" s="203"/>
      <c r="HY162" s="203"/>
    </row>
    <row r="163" spans="1:233" s="149" customFormat="1" ht="14.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c r="EP163" s="203"/>
      <c r="EQ163" s="203"/>
      <c r="ER163" s="203"/>
      <c r="ES163" s="203"/>
      <c r="ET163" s="203"/>
      <c r="EU163" s="203"/>
      <c r="EV163" s="203"/>
      <c r="EW163" s="203"/>
      <c r="EX163" s="203"/>
      <c r="EY163" s="203"/>
      <c r="EZ163" s="203"/>
      <c r="FA163" s="203"/>
      <c r="FB163" s="203"/>
      <c r="FC163" s="203"/>
      <c r="FD163" s="203"/>
      <c r="FE163" s="203"/>
      <c r="FF163" s="203"/>
      <c r="FG163" s="203"/>
      <c r="FH163" s="203"/>
      <c r="FI163" s="203"/>
      <c r="FJ163" s="203"/>
      <c r="FK163" s="203"/>
      <c r="FL163" s="203"/>
      <c r="FM163" s="203"/>
      <c r="FN163" s="203"/>
      <c r="FO163" s="203"/>
      <c r="FP163" s="203"/>
      <c r="FQ163" s="203"/>
      <c r="FR163" s="203"/>
      <c r="FS163" s="203"/>
      <c r="FT163" s="203"/>
      <c r="FU163" s="203"/>
      <c r="FV163" s="203"/>
      <c r="FW163" s="203"/>
      <c r="FX163" s="203"/>
      <c r="FY163" s="203"/>
      <c r="FZ163" s="203"/>
      <c r="GA163" s="203"/>
      <c r="GB163" s="203"/>
      <c r="GC163" s="203"/>
      <c r="GD163" s="203"/>
      <c r="GE163" s="203"/>
      <c r="GF163" s="203"/>
      <c r="GG163" s="203"/>
      <c r="GH163" s="203"/>
      <c r="GI163" s="203"/>
      <c r="GJ163" s="203"/>
      <c r="GK163" s="203"/>
      <c r="GL163" s="203"/>
      <c r="GM163" s="203"/>
      <c r="GN163" s="203"/>
      <c r="GO163" s="203"/>
      <c r="GP163" s="203"/>
      <c r="GQ163" s="203"/>
      <c r="GR163" s="203"/>
      <c r="GS163" s="203"/>
      <c r="GT163" s="203"/>
      <c r="GU163" s="203"/>
      <c r="GV163" s="203"/>
      <c r="GW163" s="203"/>
      <c r="GX163" s="203"/>
      <c r="GY163" s="203"/>
      <c r="GZ163" s="203"/>
      <c r="HA163" s="203"/>
      <c r="HB163" s="203"/>
      <c r="HC163" s="203"/>
      <c r="HD163" s="203"/>
      <c r="HE163" s="203"/>
      <c r="HF163" s="203"/>
      <c r="HG163" s="203"/>
      <c r="HH163" s="203"/>
      <c r="HI163" s="203"/>
      <c r="HJ163" s="203"/>
      <c r="HK163" s="203"/>
      <c r="HL163" s="203"/>
      <c r="HM163" s="203"/>
      <c r="HN163" s="203"/>
      <c r="HO163" s="203"/>
      <c r="HP163" s="203"/>
      <c r="HQ163" s="203"/>
      <c r="HR163" s="203"/>
      <c r="HS163" s="203"/>
      <c r="HT163" s="203"/>
      <c r="HU163" s="203"/>
      <c r="HV163" s="203"/>
      <c r="HW163" s="203"/>
      <c r="HX163" s="203"/>
      <c r="HY163" s="203"/>
    </row>
    <row r="164" spans="1:233" s="149" customFormat="1" ht="14.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c r="EP164" s="203"/>
      <c r="EQ164" s="203"/>
      <c r="ER164" s="203"/>
      <c r="ES164" s="203"/>
      <c r="ET164" s="203"/>
      <c r="EU164" s="203"/>
      <c r="EV164" s="203"/>
      <c r="EW164" s="203"/>
      <c r="EX164" s="203"/>
      <c r="EY164" s="203"/>
      <c r="EZ164" s="203"/>
      <c r="FA164" s="203"/>
      <c r="FB164" s="203"/>
      <c r="FC164" s="203"/>
      <c r="FD164" s="203"/>
      <c r="FE164" s="203"/>
      <c r="FF164" s="203"/>
      <c r="FG164" s="203"/>
      <c r="FH164" s="203"/>
      <c r="FI164" s="203"/>
      <c r="FJ164" s="203"/>
      <c r="FK164" s="203"/>
      <c r="FL164" s="203"/>
      <c r="FM164" s="203"/>
      <c r="FN164" s="203"/>
      <c r="FO164" s="203"/>
      <c r="FP164" s="203"/>
      <c r="FQ164" s="203"/>
      <c r="FR164" s="203"/>
      <c r="FS164" s="203"/>
      <c r="FT164" s="203"/>
      <c r="FU164" s="203"/>
      <c r="FV164" s="203"/>
      <c r="FW164" s="203"/>
      <c r="FX164" s="203"/>
      <c r="FY164" s="203"/>
      <c r="FZ164" s="203"/>
      <c r="GA164" s="203"/>
      <c r="GB164" s="203"/>
      <c r="GC164" s="203"/>
      <c r="GD164" s="203"/>
      <c r="GE164" s="203"/>
      <c r="GF164" s="203"/>
      <c r="GG164" s="203"/>
      <c r="GH164" s="203"/>
      <c r="GI164" s="203"/>
      <c r="GJ164" s="203"/>
      <c r="GK164" s="203"/>
      <c r="GL164" s="203"/>
      <c r="GM164" s="203"/>
      <c r="GN164" s="203"/>
      <c r="GO164" s="203"/>
      <c r="GP164" s="203"/>
      <c r="GQ164" s="203"/>
      <c r="GR164" s="203"/>
      <c r="GS164" s="203"/>
      <c r="GT164" s="203"/>
      <c r="GU164" s="203"/>
      <c r="GV164" s="203"/>
      <c r="GW164" s="203"/>
      <c r="GX164" s="203"/>
      <c r="GY164" s="203"/>
      <c r="GZ164" s="203"/>
      <c r="HA164" s="203"/>
      <c r="HB164" s="203"/>
      <c r="HC164" s="203"/>
      <c r="HD164" s="203"/>
      <c r="HE164" s="203"/>
      <c r="HF164" s="203"/>
      <c r="HG164" s="203"/>
      <c r="HH164" s="203"/>
      <c r="HI164" s="203"/>
      <c r="HJ164" s="203"/>
      <c r="HK164" s="203"/>
      <c r="HL164" s="203"/>
      <c r="HM164" s="203"/>
      <c r="HN164" s="203"/>
      <c r="HO164" s="203"/>
      <c r="HP164" s="203"/>
      <c r="HQ164" s="203"/>
      <c r="HR164" s="203"/>
      <c r="HS164" s="203"/>
      <c r="HT164" s="203"/>
      <c r="HU164" s="203"/>
      <c r="HV164" s="203"/>
      <c r="HW164" s="203"/>
      <c r="HX164" s="203"/>
      <c r="HY164" s="203"/>
    </row>
    <row r="165" spans="1:233" s="149" customFormat="1" ht="14.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c r="EP165" s="203"/>
      <c r="EQ165" s="203"/>
      <c r="ER165" s="203"/>
      <c r="ES165" s="203"/>
      <c r="ET165" s="203"/>
      <c r="EU165" s="203"/>
      <c r="EV165" s="203"/>
      <c r="EW165" s="203"/>
      <c r="EX165" s="203"/>
      <c r="EY165" s="203"/>
      <c r="EZ165" s="203"/>
      <c r="FA165" s="203"/>
      <c r="FB165" s="203"/>
      <c r="FC165" s="203"/>
      <c r="FD165" s="203"/>
      <c r="FE165" s="203"/>
      <c r="FF165" s="203"/>
      <c r="FG165" s="203"/>
      <c r="FH165" s="203"/>
      <c r="FI165" s="203"/>
      <c r="FJ165" s="203"/>
      <c r="FK165" s="203"/>
      <c r="FL165" s="203"/>
      <c r="FM165" s="203"/>
      <c r="FN165" s="203"/>
      <c r="FO165" s="203"/>
      <c r="FP165" s="203"/>
      <c r="FQ165" s="203"/>
      <c r="FR165" s="203"/>
      <c r="FS165" s="203"/>
      <c r="FT165" s="203"/>
      <c r="FU165" s="203"/>
      <c r="FV165" s="203"/>
      <c r="FW165" s="203"/>
      <c r="FX165" s="203"/>
      <c r="FY165" s="203"/>
      <c r="FZ165" s="203"/>
      <c r="GA165" s="203"/>
      <c r="GB165" s="203"/>
      <c r="GC165" s="203"/>
      <c r="GD165" s="203"/>
      <c r="GE165" s="203"/>
      <c r="GF165" s="203"/>
      <c r="GG165" s="203"/>
      <c r="GH165" s="203"/>
      <c r="GI165" s="203"/>
      <c r="GJ165" s="203"/>
      <c r="GK165" s="203"/>
      <c r="GL165" s="203"/>
      <c r="GM165" s="203"/>
      <c r="GN165" s="203"/>
      <c r="GO165" s="203"/>
      <c r="GP165" s="203"/>
      <c r="GQ165" s="203"/>
      <c r="GR165" s="203"/>
      <c r="GS165" s="203"/>
      <c r="GT165" s="203"/>
      <c r="GU165" s="203"/>
      <c r="GV165" s="203"/>
      <c r="GW165" s="203"/>
      <c r="GX165" s="203"/>
      <c r="GY165" s="203"/>
      <c r="GZ165" s="203"/>
      <c r="HA165" s="203"/>
      <c r="HB165" s="203"/>
      <c r="HC165" s="203"/>
      <c r="HD165" s="203"/>
      <c r="HE165" s="203"/>
      <c r="HF165" s="203"/>
      <c r="HG165" s="203"/>
      <c r="HH165" s="203"/>
      <c r="HI165" s="203"/>
      <c r="HJ165" s="203"/>
      <c r="HK165" s="203"/>
      <c r="HL165" s="203"/>
      <c r="HM165" s="203"/>
      <c r="HN165" s="203"/>
      <c r="HO165" s="203"/>
      <c r="HP165" s="203"/>
      <c r="HQ165" s="203"/>
      <c r="HR165" s="203"/>
      <c r="HS165" s="203"/>
      <c r="HT165" s="203"/>
      <c r="HU165" s="203"/>
      <c r="HV165" s="203"/>
      <c r="HW165" s="203"/>
      <c r="HX165" s="203"/>
      <c r="HY165" s="203"/>
    </row>
    <row r="166" spans="1:233" s="149" customFormat="1" ht="14.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203"/>
      <c r="EU166" s="203"/>
      <c r="EV166" s="203"/>
      <c r="EW166" s="203"/>
      <c r="EX166" s="203"/>
      <c r="EY166" s="203"/>
      <c r="EZ166" s="203"/>
      <c r="FA166" s="203"/>
      <c r="FB166" s="203"/>
      <c r="FC166" s="203"/>
      <c r="FD166" s="203"/>
      <c r="FE166" s="203"/>
      <c r="FF166" s="203"/>
      <c r="FG166" s="203"/>
      <c r="FH166" s="203"/>
      <c r="FI166" s="203"/>
      <c r="FJ166" s="203"/>
      <c r="FK166" s="203"/>
      <c r="FL166" s="203"/>
      <c r="FM166" s="203"/>
      <c r="FN166" s="203"/>
      <c r="FO166" s="203"/>
      <c r="FP166" s="203"/>
      <c r="FQ166" s="203"/>
      <c r="FR166" s="203"/>
      <c r="FS166" s="203"/>
      <c r="FT166" s="203"/>
      <c r="FU166" s="203"/>
      <c r="FV166" s="203"/>
      <c r="FW166" s="203"/>
      <c r="FX166" s="203"/>
      <c r="FY166" s="203"/>
      <c r="FZ166" s="203"/>
      <c r="GA166" s="203"/>
      <c r="GB166" s="203"/>
      <c r="GC166" s="203"/>
      <c r="GD166" s="203"/>
      <c r="GE166" s="203"/>
      <c r="GF166" s="203"/>
      <c r="GG166" s="203"/>
      <c r="GH166" s="203"/>
      <c r="GI166" s="203"/>
      <c r="GJ166" s="203"/>
      <c r="GK166" s="203"/>
      <c r="GL166" s="203"/>
      <c r="GM166" s="203"/>
      <c r="GN166" s="203"/>
      <c r="GO166" s="203"/>
      <c r="GP166" s="203"/>
      <c r="GQ166" s="203"/>
      <c r="GR166" s="203"/>
      <c r="GS166" s="203"/>
      <c r="GT166" s="203"/>
      <c r="GU166" s="203"/>
      <c r="GV166" s="203"/>
      <c r="GW166" s="203"/>
      <c r="GX166" s="203"/>
      <c r="GY166" s="203"/>
      <c r="GZ166" s="203"/>
      <c r="HA166" s="203"/>
      <c r="HB166" s="203"/>
      <c r="HC166" s="203"/>
      <c r="HD166" s="203"/>
      <c r="HE166" s="203"/>
      <c r="HF166" s="203"/>
      <c r="HG166" s="203"/>
      <c r="HH166" s="203"/>
      <c r="HI166" s="203"/>
      <c r="HJ166" s="203"/>
      <c r="HK166" s="203"/>
      <c r="HL166" s="203"/>
      <c r="HM166" s="203"/>
      <c r="HN166" s="203"/>
      <c r="HO166" s="203"/>
      <c r="HP166" s="203"/>
      <c r="HQ166" s="203"/>
      <c r="HR166" s="203"/>
      <c r="HS166" s="203"/>
      <c r="HT166" s="203"/>
      <c r="HU166" s="203"/>
      <c r="HV166" s="203"/>
      <c r="HW166" s="203"/>
      <c r="HX166" s="203"/>
      <c r="HY166" s="203"/>
    </row>
    <row r="167" spans="1:233" s="149" customFormat="1" ht="14.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c r="EP167" s="203"/>
      <c r="EQ167" s="203"/>
      <c r="ER167" s="203"/>
      <c r="ES167" s="203"/>
      <c r="ET167" s="203"/>
      <c r="EU167" s="203"/>
      <c r="EV167" s="203"/>
      <c r="EW167" s="203"/>
      <c r="EX167" s="203"/>
      <c r="EY167" s="203"/>
      <c r="EZ167" s="203"/>
      <c r="FA167" s="203"/>
      <c r="FB167" s="203"/>
      <c r="FC167" s="203"/>
      <c r="FD167" s="203"/>
      <c r="FE167" s="203"/>
      <c r="FF167" s="203"/>
      <c r="FG167" s="203"/>
      <c r="FH167" s="203"/>
      <c r="FI167" s="203"/>
      <c r="FJ167" s="203"/>
      <c r="FK167" s="203"/>
      <c r="FL167" s="203"/>
      <c r="FM167" s="203"/>
      <c r="FN167" s="203"/>
      <c r="FO167" s="203"/>
      <c r="FP167" s="203"/>
      <c r="FQ167" s="203"/>
      <c r="FR167" s="203"/>
      <c r="FS167" s="203"/>
      <c r="FT167" s="203"/>
      <c r="FU167" s="203"/>
      <c r="FV167" s="203"/>
      <c r="FW167" s="203"/>
      <c r="FX167" s="203"/>
      <c r="FY167" s="203"/>
      <c r="FZ167" s="203"/>
      <c r="GA167" s="203"/>
      <c r="GB167" s="203"/>
      <c r="GC167" s="203"/>
      <c r="GD167" s="203"/>
      <c r="GE167" s="203"/>
      <c r="GF167" s="203"/>
      <c r="GG167" s="203"/>
      <c r="GH167" s="203"/>
      <c r="GI167" s="203"/>
      <c r="GJ167" s="203"/>
      <c r="GK167" s="203"/>
      <c r="GL167" s="203"/>
      <c r="GM167" s="203"/>
      <c r="GN167" s="203"/>
      <c r="GO167" s="203"/>
      <c r="GP167" s="203"/>
      <c r="GQ167" s="203"/>
      <c r="GR167" s="203"/>
      <c r="GS167" s="203"/>
      <c r="GT167" s="203"/>
      <c r="GU167" s="203"/>
      <c r="GV167" s="203"/>
      <c r="GW167" s="203"/>
      <c r="GX167" s="203"/>
      <c r="GY167" s="203"/>
      <c r="GZ167" s="203"/>
      <c r="HA167" s="203"/>
      <c r="HB167" s="203"/>
      <c r="HC167" s="203"/>
      <c r="HD167" s="203"/>
      <c r="HE167" s="203"/>
      <c r="HF167" s="203"/>
      <c r="HG167" s="203"/>
      <c r="HH167" s="203"/>
      <c r="HI167" s="203"/>
      <c r="HJ167" s="203"/>
      <c r="HK167" s="203"/>
      <c r="HL167" s="203"/>
      <c r="HM167" s="203"/>
      <c r="HN167" s="203"/>
      <c r="HO167" s="203"/>
      <c r="HP167" s="203"/>
      <c r="HQ167" s="203"/>
      <c r="HR167" s="203"/>
      <c r="HS167" s="203"/>
      <c r="HT167" s="203"/>
      <c r="HU167" s="203"/>
      <c r="HV167" s="203"/>
      <c r="HW167" s="203"/>
      <c r="HX167" s="203"/>
      <c r="HY167" s="203"/>
    </row>
    <row r="168" spans="1:233" s="149" customFormat="1" ht="14.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c r="EP168" s="203"/>
      <c r="EQ168" s="203"/>
      <c r="ER168" s="203"/>
      <c r="ES168" s="203"/>
      <c r="ET168" s="203"/>
      <c r="EU168" s="203"/>
      <c r="EV168" s="203"/>
      <c r="EW168" s="203"/>
      <c r="EX168" s="203"/>
      <c r="EY168" s="203"/>
      <c r="EZ168" s="203"/>
      <c r="FA168" s="203"/>
      <c r="FB168" s="203"/>
      <c r="FC168" s="203"/>
      <c r="FD168" s="203"/>
      <c r="FE168" s="203"/>
      <c r="FF168" s="203"/>
      <c r="FG168" s="203"/>
      <c r="FH168" s="203"/>
      <c r="FI168" s="203"/>
      <c r="FJ168" s="203"/>
      <c r="FK168" s="203"/>
      <c r="FL168" s="203"/>
      <c r="FM168" s="203"/>
      <c r="FN168" s="203"/>
      <c r="FO168" s="203"/>
      <c r="FP168" s="203"/>
      <c r="FQ168" s="203"/>
      <c r="FR168" s="203"/>
      <c r="FS168" s="203"/>
      <c r="FT168" s="203"/>
      <c r="FU168" s="203"/>
      <c r="FV168" s="203"/>
      <c r="FW168" s="203"/>
      <c r="FX168" s="203"/>
      <c r="FY168" s="203"/>
      <c r="FZ168" s="203"/>
      <c r="GA168" s="203"/>
      <c r="GB168" s="203"/>
      <c r="GC168" s="203"/>
      <c r="GD168" s="203"/>
      <c r="GE168" s="203"/>
      <c r="GF168" s="203"/>
      <c r="GG168" s="203"/>
      <c r="GH168" s="203"/>
      <c r="GI168" s="203"/>
      <c r="GJ168" s="203"/>
      <c r="GK168" s="203"/>
      <c r="GL168" s="203"/>
      <c r="GM168" s="203"/>
      <c r="GN168" s="203"/>
      <c r="GO168" s="203"/>
      <c r="GP168" s="203"/>
      <c r="GQ168" s="203"/>
      <c r="GR168" s="203"/>
      <c r="GS168" s="203"/>
      <c r="GT168" s="203"/>
      <c r="GU168" s="203"/>
      <c r="GV168" s="203"/>
      <c r="GW168" s="203"/>
      <c r="GX168" s="203"/>
      <c r="GY168" s="203"/>
      <c r="GZ168" s="203"/>
      <c r="HA168" s="203"/>
      <c r="HB168" s="203"/>
      <c r="HC168" s="203"/>
      <c r="HD168" s="203"/>
      <c r="HE168" s="203"/>
      <c r="HF168" s="203"/>
      <c r="HG168" s="203"/>
      <c r="HH168" s="203"/>
      <c r="HI168" s="203"/>
      <c r="HJ168" s="203"/>
      <c r="HK168" s="203"/>
      <c r="HL168" s="203"/>
      <c r="HM168" s="203"/>
      <c r="HN168" s="203"/>
      <c r="HO168" s="203"/>
      <c r="HP168" s="203"/>
      <c r="HQ168" s="203"/>
      <c r="HR168" s="203"/>
      <c r="HS168" s="203"/>
      <c r="HT168" s="203"/>
      <c r="HU168" s="203"/>
      <c r="HV168" s="203"/>
      <c r="HW168" s="203"/>
      <c r="HX168" s="203"/>
      <c r="HY168" s="203"/>
    </row>
    <row r="169" spans="1:233" s="149" customFormat="1" ht="14.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c r="EP169" s="203"/>
      <c r="EQ169" s="203"/>
      <c r="ER169" s="203"/>
      <c r="ES169" s="203"/>
      <c r="ET169" s="203"/>
      <c r="EU169" s="203"/>
      <c r="EV169" s="203"/>
      <c r="EW169" s="203"/>
      <c r="EX169" s="203"/>
      <c r="EY169" s="203"/>
      <c r="EZ169" s="203"/>
      <c r="FA169" s="203"/>
      <c r="FB169" s="203"/>
      <c r="FC169" s="203"/>
      <c r="FD169" s="203"/>
      <c r="FE169" s="203"/>
      <c r="FF169" s="203"/>
      <c r="FG169" s="203"/>
      <c r="FH169" s="203"/>
      <c r="FI169" s="203"/>
      <c r="FJ169" s="203"/>
      <c r="FK169" s="203"/>
      <c r="FL169" s="203"/>
      <c r="FM169" s="203"/>
      <c r="FN169" s="203"/>
      <c r="FO169" s="203"/>
      <c r="FP169" s="203"/>
      <c r="FQ169" s="203"/>
      <c r="FR169" s="203"/>
      <c r="FS169" s="203"/>
      <c r="FT169" s="203"/>
      <c r="FU169" s="203"/>
      <c r="FV169" s="203"/>
      <c r="FW169" s="203"/>
      <c r="FX169" s="203"/>
      <c r="FY169" s="203"/>
      <c r="FZ169" s="203"/>
      <c r="GA169" s="203"/>
      <c r="GB169" s="203"/>
      <c r="GC169" s="203"/>
      <c r="GD169" s="203"/>
      <c r="GE169" s="203"/>
      <c r="GF169" s="203"/>
      <c r="GG169" s="203"/>
      <c r="GH169" s="203"/>
      <c r="GI169" s="203"/>
      <c r="GJ169" s="203"/>
      <c r="GK169" s="203"/>
      <c r="GL169" s="203"/>
      <c r="GM169" s="203"/>
      <c r="GN169" s="203"/>
      <c r="GO169" s="203"/>
      <c r="GP169" s="203"/>
      <c r="GQ169" s="203"/>
      <c r="GR169" s="203"/>
      <c r="GS169" s="203"/>
      <c r="GT169" s="203"/>
      <c r="GU169" s="203"/>
      <c r="GV169" s="203"/>
      <c r="GW169" s="203"/>
      <c r="GX169" s="203"/>
      <c r="GY169" s="203"/>
      <c r="GZ169" s="203"/>
      <c r="HA169" s="203"/>
      <c r="HB169" s="203"/>
      <c r="HC169" s="203"/>
      <c r="HD169" s="203"/>
      <c r="HE169" s="203"/>
      <c r="HF169" s="203"/>
      <c r="HG169" s="203"/>
      <c r="HH169" s="203"/>
      <c r="HI169" s="203"/>
      <c r="HJ169" s="203"/>
      <c r="HK169" s="203"/>
      <c r="HL169" s="203"/>
      <c r="HM169" s="203"/>
      <c r="HN169" s="203"/>
      <c r="HO169" s="203"/>
      <c r="HP169" s="203"/>
      <c r="HQ169" s="203"/>
      <c r="HR169" s="203"/>
      <c r="HS169" s="203"/>
      <c r="HT169" s="203"/>
      <c r="HU169" s="203"/>
      <c r="HV169" s="203"/>
      <c r="HW169" s="203"/>
      <c r="HX169" s="203"/>
      <c r="HY169" s="203"/>
    </row>
    <row r="170" spans="1:233" s="149" customFormat="1" ht="14.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c r="EP170" s="203"/>
      <c r="EQ170" s="203"/>
      <c r="ER170" s="203"/>
      <c r="ES170" s="203"/>
      <c r="ET170" s="203"/>
      <c r="EU170" s="203"/>
      <c r="EV170" s="203"/>
      <c r="EW170" s="203"/>
      <c r="EX170" s="203"/>
      <c r="EY170" s="203"/>
      <c r="EZ170" s="203"/>
      <c r="FA170" s="203"/>
      <c r="FB170" s="203"/>
      <c r="FC170" s="203"/>
      <c r="FD170" s="203"/>
      <c r="FE170" s="203"/>
      <c r="FF170" s="203"/>
      <c r="FG170" s="203"/>
      <c r="FH170" s="203"/>
      <c r="FI170" s="203"/>
      <c r="FJ170" s="203"/>
      <c r="FK170" s="203"/>
      <c r="FL170" s="203"/>
      <c r="FM170" s="203"/>
      <c r="FN170" s="203"/>
      <c r="FO170" s="203"/>
      <c r="FP170" s="203"/>
      <c r="FQ170" s="203"/>
      <c r="FR170" s="203"/>
      <c r="FS170" s="203"/>
      <c r="FT170" s="203"/>
      <c r="FU170" s="203"/>
      <c r="FV170" s="203"/>
      <c r="FW170" s="203"/>
      <c r="FX170" s="203"/>
      <c r="FY170" s="203"/>
      <c r="FZ170" s="203"/>
      <c r="GA170" s="203"/>
      <c r="GB170" s="203"/>
      <c r="GC170" s="203"/>
      <c r="GD170" s="203"/>
      <c r="GE170" s="203"/>
      <c r="GF170" s="203"/>
      <c r="GG170" s="203"/>
      <c r="GH170" s="203"/>
      <c r="GI170" s="203"/>
      <c r="GJ170" s="203"/>
      <c r="GK170" s="203"/>
      <c r="GL170" s="203"/>
      <c r="GM170" s="203"/>
      <c r="GN170" s="203"/>
      <c r="GO170" s="203"/>
      <c r="GP170" s="203"/>
      <c r="GQ170" s="203"/>
      <c r="GR170" s="203"/>
      <c r="GS170" s="203"/>
      <c r="GT170" s="203"/>
      <c r="GU170" s="203"/>
      <c r="GV170" s="203"/>
      <c r="GW170" s="203"/>
      <c r="GX170" s="203"/>
      <c r="GY170" s="203"/>
      <c r="GZ170" s="203"/>
      <c r="HA170" s="203"/>
      <c r="HB170" s="203"/>
      <c r="HC170" s="203"/>
      <c r="HD170" s="203"/>
      <c r="HE170" s="203"/>
      <c r="HF170" s="203"/>
      <c r="HG170" s="203"/>
      <c r="HH170" s="203"/>
      <c r="HI170" s="203"/>
      <c r="HJ170" s="203"/>
      <c r="HK170" s="203"/>
      <c r="HL170" s="203"/>
      <c r="HM170" s="203"/>
      <c r="HN170" s="203"/>
      <c r="HO170" s="203"/>
      <c r="HP170" s="203"/>
      <c r="HQ170" s="203"/>
      <c r="HR170" s="203"/>
      <c r="HS170" s="203"/>
      <c r="HT170" s="203"/>
      <c r="HU170" s="203"/>
      <c r="HV170" s="203"/>
      <c r="HW170" s="203"/>
      <c r="HX170" s="203"/>
      <c r="HY170" s="203"/>
    </row>
    <row r="171" spans="1:233" s="149" customFormat="1" ht="14.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c r="GL171" s="203"/>
      <c r="GM171" s="203"/>
      <c r="GN171" s="203"/>
      <c r="GO171" s="203"/>
      <c r="GP171" s="203"/>
      <c r="GQ171" s="203"/>
      <c r="GR171" s="203"/>
      <c r="GS171" s="203"/>
      <c r="GT171" s="203"/>
      <c r="GU171" s="203"/>
      <c r="GV171" s="203"/>
      <c r="GW171" s="203"/>
      <c r="GX171" s="203"/>
      <c r="GY171" s="203"/>
      <c r="GZ171" s="203"/>
      <c r="HA171" s="203"/>
      <c r="HB171" s="203"/>
      <c r="HC171" s="203"/>
      <c r="HD171" s="203"/>
      <c r="HE171" s="203"/>
      <c r="HF171" s="203"/>
      <c r="HG171" s="203"/>
      <c r="HH171" s="203"/>
      <c r="HI171" s="203"/>
      <c r="HJ171" s="203"/>
      <c r="HK171" s="203"/>
      <c r="HL171" s="203"/>
      <c r="HM171" s="203"/>
      <c r="HN171" s="203"/>
      <c r="HO171" s="203"/>
      <c r="HP171" s="203"/>
      <c r="HQ171" s="203"/>
      <c r="HR171" s="203"/>
      <c r="HS171" s="203"/>
      <c r="HT171" s="203"/>
      <c r="HU171" s="203"/>
      <c r="HV171" s="203"/>
      <c r="HW171" s="203"/>
      <c r="HX171" s="203"/>
      <c r="HY171" s="203"/>
    </row>
    <row r="172" spans="1:233" s="149" customFormat="1" ht="14.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c r="GL172" s="203"/>
      <c r="GM172" s="203"/>
      <c r="GN172" s="203"/>
      <c r="GO172" s="203"/>
      <c r="GP172" s="203"/>
      <c r="GQ172" s="203"/>
      <c r="GR172" s="203"/>
      <c r="GS172" s="203"/>
      <c r="GT172" s="203"/>
      <c r="GU172" s="203"/>
      <c r="GV172" s="203"/>
      <c r="GW172" s="203"/>
      <c r="GX172" s="203"/>
      <c r="GY172" s="203"/>
      <c r="GZ172" s="203"/>
      <c r="HA172" s="203"/>
      <c r="HB172" s="203"/>
      <c r="HC172" s="203"/>
      <c r="HD172" s="203"/>
      <c r="HE172" s="203"/>
      <c r="HF172" s="203"/>
      <c r="HG172" s="203"/>
      <c r="HH172" s="203"/>
      <c r="HI172" s="203"/>
      <c r="HJ172" s="203"/>
      <c r="HK172" s="203"/>
      <c r="HL172" s="203"/>
      <c r="HM172" s="203"/>
      <c r="HN172" s="203"/>
      <c r="HO172" s="203"/>
      <c r="HP172" s="203"/>
      <c r="HQ172" s="203"/>
      <c r="HR172" s="203"/>
      <c r="HS172" s="203"/>
      <c r="HT172" s="203"/>
      <c r="HU172" s="203"/>
      <c r="HV172" s="203"/>
      <c r="HW172" s="203"/>
      <c r="HX172" s="203"/>
      <c r="HY172" s="203"/>
    </row>
    <row r="173" spans="1:233" s="149" customFormat="1" ht="14.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203"/>
      <c r="GL173" s="203"/>
      <c r="GM173" s="203"/>
      <c r="GN173" s="203"/>
      <c r="GO173" s="203"/>
      <c r="GP173" s="203"/>
      <c r="GQ173" s="203"/>
      <c r="GR173" s="203"/>
      <c r="GS173" s="203"/>
      <c r="GT173" s="203"/>
      <c r="GU173" s="203"/>
      <c r="GV173" s="203"/>
      <c r="GW173" s="203"/>
      <c r="GX173" s="203"/>
      <c r="GY173" s="203"/>
      <c r="GZ173" s="203"/>
      <c r="HA173" s="203"/>
      <c r="HB173" s="203"/>
      <c r="HC173" s="203"/>
      <c r="HD173" s="203"/>
      <c r="HE173" s="203"/>
      <c r="HF173" s="203"/>
      <c r="HG173" s="203"/>
      <c r="HH173" s="203"/>
      <c r="HI173" s="203"/>
      <c r="HJ173" s="203"/>
      <c r="HK173" s="203"/>
      <c r="HL173" s="203"/>
      <c r="HM173" s="203"/>
      <c r="HN173" s="203"/>
      <c r="HO173" s="203"/>
      <c r="HP173" s="203"/>
      <c r="HQ173" s="203"/>
      <c r="HR173" s="203"/>
      <c r="HS173" s="203"/>
      <c r="HT173" s="203"/>
      <c r="HU173" s="203"/>
      <c r="HV173" s="203"/>
      <c r="HW173" s="203"/>
      <c r="HX173" s="203"/>
      <c r="HY173" s="203"/>
    </row>
    <row r="174" spans="1:233">
      <c r="A174" s="203"/>
      <c r="B174" s="203"/>
      <c r="C174" s="203"/>
      <c r="D174" s="203"/>
      <c r="E174" s="203"/>
      <c r="F174" s="203"/>
      <c r="G174" s="203"/>
      <c r="H174" s="203"/>
      <c r="I174" s="203"/>
      <c r="J174" s="203"/>
      <c r="K174" s="203"/>
      <c r="L174" s="203"/>
      <c r="M174" s="203"/>
      <c r="N174" s="203"/>
      <c r="O174" s="203"/>
      <c r="P174" s="203"/>
      <c r="Q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203"/>
      <c r="GL174" s="203"/>
      <c r="GM174" s="203"/>
      <c r="GN174" s="203"/>
      <c r="GO174" s="203"/>
      <c r="GP174" s="203"/>
      <c r="GQ174" s="203"/>
      <c r="GR174" s="203"/>
      <c r="GS174" s="203"/>
      <c r="GT174" s="203"/>
      <c r="GU174" s="203"/>
      <c r="GV174" s="203"/>
      <c r="GW174" s="203"/>
      <c r="GX174" s="203"/>
      <c r="GY174" s="203"/>
      <c r="GZ174" s="203"/>
      <c r="HA174" s="203"/>
      <c r="HB174" s="203"/>
      <c r="HC174" s="203"/>
      <c r="HD174" s="203"/>
      <c r="HE174" s="203"/>
      <c r="HF174" s="203"/>
      <c r="HG174" s="203"/>
      <c r="HH174" s="203"/>
      <c r="HI174" s="203"/>
      <c r="HJ174" s="203"/>
      <c r="HK174" s="203"/>
      <c r="HL174" s="203"/>
      <c r="HM174" s="203"/>
      <c r="HN174" s="203"/>
      <c r="HO174" s="203"/>
      <c r="HP174" s="203"/>
      <c r="HQ174" s="203"/>
      <c r="HR174" s="203"/>
      <c r="HS174" s="203"/>
      <c r="HT174" s="203"/>
      <c r="HU174" s="203"/>
      <c r="HV174" s="203"/>
      <c r="HW174" s="203"/>
      <c r="HX174" s="203"/>
      <c r="HY174" s="203"/>
    </row>
    <row r="175" spans="1:233">
      <c r="A175" s="203"/>
      <c r="B175" s="203"/>
      <c r="C175" s="203"/>
      <c r="D175" s="203"/>
      <c r="E175" s="203"/>
      <c r="F175" s="203"/>
      <c r="G175" s="203"/>
      <c r="H175" s="203"/>
      <c r="I175" s="203"/>
      <c r="J175" s="203"/>
      <c r="K175" s="203"/>
      <c r="L175" s="203"/>
      <c r="M175" s="203"/>
      <c r="N175" s="203"/>
      <c r="O175" s="203"/>
      <c r="P175" s="203"/>
      <c r="Q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203"/>
      <c r="GL175" s="203"/>
      <c r="GM175" s="203"/>
      <c r="GN175" s="203"/>
      <c r="GO175" s="203"/>
      <c r="GP175" s="203"/>
      <c r="GQ175" s="203"/>
      <c r="GR175" s="203"/>
      <c r="GS175" s="203"/>
      <c r="GT175" s="203"/>
      <c r="GU175" s="203"/>
      <c r="GV175" s="203"/>
      <c r="GW175" s="203"/>
      <c r="GX175" s="203"/>
      <c r="GY175" s="203"/>
      <c r="GZ175" s="203"/>
      <c r="HA175" s="203"/>
      <c r="HB175" s="203"/>
      <c r="HC175" s="203"/>
      <c r="HD175" s="203"/>
      <c r="HE175" s="203"/>
      <c r="HF175" s="203"/>
      <c r="HG175" s="203"/>
      <c r="HH175" s="203"/>
      <c r="HI175" s="203"/>
      <c r="HJ175" s="203"/>
      <c r="HK175" s="203"/>
      <c r="HL175" s="203"/>
      <c r="HM175" s="203"/>
      <c r="HN175" s="203"/>
      <c r="HO175" s="203"/>
      <c r="HP175" s="203"/>
      <c r="HQ175" s="203"/>
      <c r="HR175" s="203"/>
      <c r="HS175" s="203"/>
      <c r="HT175" s="203"/>
      <c r="HU175" s="203"/>
      <c r="HV175" s="203"/>
      <c r="HW175" s="203"/>
      <c r="HX175" s="203"/>
      <c r="HY175" s="203"/>
    </row>
    <row r="176" spans="1:233">
      <c r="A176" s="203"/>
      <c r="B176" s="203"/>
      <c r="C176" s="203"/>
      <c r="D176" s="203"/>
      <c r="E176" s="203"/>
      <c r="F176" s="203"/>
      <c r="G176" s="203"/>
      <c r="H176" s="203"/>
      <c r="I176" s="203"/>
      <c r="J176" s="203"/>
      <c r="K176" s="203"/>
      <c r="L176" s="203"/>
      <c r="M176" s="203"/>
      <c r="N176" s="203"/>
      <c r="O176" s="203"/>
      <c r="P176" s="203"/>
      <c r="Q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203"/>
      <c r="GL176" s="203"/>
      <c r="GM176" s="203"/>
      <c r="GN176" s="203"/>
      <c r="GO176" s="203"/>
      <c r="GP176" s="203"/>
      <c r="GQ176" s="203"/>
      <c r="GR176" s="203"/>
      <c r="GS176" s="203"/>
      <c r="GT176" s="203"/>
      <c r="GU176" s="203"/>
      <c r="GV176" s="203"/>
      <c r="GW176" s="203"/>
      <c r="GX176" s="203"/>
      <c r="GY176" s="203"/>
      <c r="GZ176" s="203"/>
      <c r="HA176" s="203"/>
      <c r="HB176" s="203"/>
      <c r="HC176" s="203"/>
      <c r="HD176" s="203"/>
      <c r="HE176" s="203"/>
      <c r="HF176" s="203"/>
      <c r="HG176" s="203"/>
      <c r="HH176" s="203"/>
      <c r="HI176" s="203"/>
      <c r="HJ176" s="203"/>
      <c r="HK176" s="203"/>
      <c r="HL176" s="203"/>
      <c r="HM176" s="203"/>
      <c r="HN176" s="203"/>
      <c r="HO176" s="203"/>
      <c r="HP176" s="203"/>
      <c r="HQ176" s="203"/>
      <c r="HR176" s="203"/>
      <c r="HS176" s="203"/>
      <c r="HT176" s="203"/>
      <c r="HU176" s="203"/>
      <c r="HV176" s="203"/>
      <c r="HW176" s="203"/>
      <c r="HX176" s="203"/>
      <c r="HY176" s="203"/>
    </row>
    <row r="177" spans="1:233">
      <c r="A177" s="203"/>
      <c r="B177" s="203"/>
      <c r="C177" s="203"/>
      <c r="D177" s="203"/>
      <c r="E177" s="203"/>
      <c r="F177" s="203"/>
      <c r="G177" s="203"/>
      <c r="H177" s="203"/>
      <c r="I177" s="203"/>
      <c r="J177" s="203"/>
      <c r="K177" s="203"/>
      <c r="L177" s="203"/>
      <c r="M177" s="203"/>
      <c r="N177" s="203"/>
      <c r="O177" s="203"/>
      <c r="P177" s="203"/>
      <c r="Q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203"/>
      <c r="GL177" s="203"/>
      <c r="GM177" s="203"/>
      <c r="GN177" s="203"/>
      <c r="GO177" s="203"/>
      <c r="GP177" s="203"/>
      <c r="GQ177" s="203"/>
      <c r="GR177" s="203"/>
      <c r="GS177" s="203"/>
      <c r="GT177" s="203"/>
      <c r="GU177" s="203"/>
      <c r="GV177" s="203"/>
      <c r="GW177" s="203"/>
      <c r="GX177" s="203"/>
      <c r="GY177" s="203"/>
      <c r="GZ177" s="203"/>
      <c r="HA177" s="203"/>
      <c r="HB177" s="203"/>
      <c r="HC177" s="203"/>
      <c r="HD177" s="203"/>
      <c r="HE177" s="203"/>
      <c r="HF177" s="203"/>
      <c r="HG177" s="203"/>
      <c r="HH177" s="203"/>
      <c r="HI177" s="203"/>
      <c r="HJ177" s="203"/>
      <c r="HK177" s="203"/>
      <c r="HL177" s="203"/>
      <c r="HM177" s="203"/>
      <c r="HN177" s="203"/>
      <c r="HO177" s="203"/>
      <c r="HP177" s="203"/>
      <c r="HQ177" s="203"/>
      <c r="HR177" s="203"/>
      <c r="HS177" s="203"/>
      <c r="HT177" s="203"/>
      <c r="HU177" s="203"/>
      <c r="HV177" s="203"/>
      <c r="HW177" s="203"/>
      <c r="HX177" s="203"/>
      <c r="HY177" s="203"/>
    </row>
    <row r="178" spans="1:233">
      <c r="A178" s="203"/>
      <c r="B178" s="203"/>
      <c r="C178" s="203"/>
      <c r="D178" s="203"/>
      <c r="E178" s="203"/>
      <c r="F178" s="203"/>
      <c r="G178" s="203"/>
      <c r="H178" s="203"/>
      <c r="I178" s="203"/>
      <c r="J178" s="203"/>
      <c r="K178" s="203"/>
      <c r="L178" s="203"/>
      <c r="M178" s="203"/>
      <c r="N178" s="203"/>
      <c r="O178" s="203"/>
      <c r="P178" s="203"/>
      <c r="Q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203"/>
      <c r="GL178" s="203"/>
      <c r="GM178" s="203"/>
      <c r="GN178" s="203"/>
      <c r="GO178" s="203"/>
      <c r="GP178" s="203"/>
      <c r="GQ178" s="203"/>
      <c r="GR178" s="203"/>
      <c r="GS178" s="203"/>
      <c r="GT178" s="203"/>
      <c r="GU178" s="203"/>
      <c r="GV178" s="203"/>
      <c r="GW178" s="203"/>
      <c r="GX178" s="203"/>
      <c r="GY178" s="203"/>
      <c r="GZ178" s="203"/>
      <c r="HA178" s="203"/>
      <c r="HB178" s="203"/>
      <c r="HC178" s="203"/>
      <c r="HD178" s="203"/>
      <c r="HE178" s="203"/>
      <c r="HF178" s="203"/>
      <c r="HG178" s="203"/>
      <c r="HH178" s="203"/>
      <c r="HI178" s="203"/>
      <c r="HJ178" s="203"/>
      <c r="HK178" s="203"/>
      <c r="HL178" s="203"/>
      <c r="HM178" s="203"/>
      <c r="HN178" s="203"/>
      <c r="HO178" s="203"/>
      <c r="HP178" s="203"/>
      <c r="HQ178" s="203"/>
      <c r="HR178" s="203"/>
      <c r="HS178" s="203"/>
      <c r="HT178" s="203"/>
      <c r="HU178" s="203"/>
      <c r="HV178" s="203"/>
      <c r="HW178" s="203"/>
      <c r="HX178" s="203"/>
      <c r="HY178" s="203"/>
    </row>
  </sheetData>
  <mergeCells count="64">
    <mergeCell ref="BA76:BC78"/>
    <mergeCell ref="BA79:BC79"/>
    <mergeCell ref="BB81:BC81"/>
    <mergeCell ref="BA1:BC1"/>
    <mergeCell ref="BA2:BB3"/>
    <mergeCell ref="BC2:BC3"/>
    <mergeCell ref="BA72:BC72"/>
    <mergeCell ref="BA74:BC74"/>
    <mergeCell ref="AU76:AW78"/>
    <mergeCell ref="AU79:AW79"/>
    <mergeCell ref="AV81:AW81"/>
    <mergeCell ref="AU1:AW1"/>
    <mergeCell ref="AU2:AV3"/>
    <mergeCell ref="AW2:AW3"/>
    <mergeCell ref="AU72:AW72"/>
    <mergeCell ref="AU74:AW74"/>
    <mergeCell ref="O3:Q3"/>
    <mergeCell ref="R3:T3"/>
    <mergeCell ref="U3:W3"/>
    <mergeCell ref="A2:B3"/>
    <mergeCell ref="C3:E3"/>
    <mergeCell ref="F3:H3"/>
    <mergeCell ref="I3:K3"/>
    <mergeCell ref="L3:N3"/>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AN76:AP78"/>
    <mergeCell ref="AN79:AP79"/>
    <mergeCell ref="AO81:AP81"/>
    <mergeCell ref="Z83:AA83"/>
    <mergeCell ref="AD83:AE88"/>
    <mergeCell ref="AN1:AP1"/>
    <mergeCell ref="AN2:AO3"/>
    <mergeCell ref="AP2:AP3"/>
    <mergeCell ref="AN72:AP72"/>
    <mergeCell ref="AN74:AP74"/>
    <mergeCell ref="AR76:AT78"/>
    <mergeCell ref="AR79:AT79"/>
    <mergeCell ref="AS81:AT81"/>
    <mergeCell ref="AR1:AT1"/>
    <mergeCell ref="AR2:AS3"/>
    <mergeCell ref="AT2:AT3"/>
    <mergeCell ref="AR72:AT72"/>
    <mergeCell ref="AR74:AT74"/>
    <mergeCell ref="AX76:AZ78"/>
    <mergeCell ref="AX79:AZ79"/>
    <mergeCell ref="AY81:AZ81"/>
    <mergeCell ref="AX1:AZ1"/>
    <mergeCell ref="AX2:AY3"/>
    <mergeCell ref="AZ2:AZ3"/>
    <mergeCell ref="AX72:AZ72"/>
    <mergeCell ref="AX74:AZ74"/>
  </mergeCells>
  <phoneticPr fontId="10"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tabSelected="1"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activeCell="F7" sqref="F7"/>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405</v>
      </c>
      <c r="B1" s="4"/>
      <c r="C1" s="4">
        <v>7.2405999999999997</v>
      </c>
      <c r="D1" s="6"/>
      <c r="E1" s="7"/>
      <c r="F1" s="5"/>
    </row>
    <row r="2" spans="1:9" s="62" customFormat="1" ht="21.75" customHeight="1" thickTop="1">
      <c r="A2" s="583" t="str">
        <f>CONCATENATE("ESTRUCTURAS DE PRECIOS DE COMBUSTIBLES LIQUIDOS VIGENTES A PARTIR DE ",$A$1)</f>
        <v>ESTRUCTURAS DE PRECIOS DE COMBUSTIBLES LIQUIDOS VIGENTES A PARTIR DE 1° DE ABRIL DE 2017</v>
      </c>
      <c r="B2" s="584"/>
      <c r="C2" s="584"/>
      <c r="D2" s="584"/>
      <c r="E2" s="584"/>
      <c r="F2" s="585"/>
    </row>
    <row r="3" spans="1:9" s="62" customFormat="1" ht="21.75" customHeight="1">
      <c r="A3" s="333" t="s">
        <v>0</v>
      </c>
      <c r="B3" s="193"/>
      <c r="C3" s="193"/>
      <c r="D3" s="193"/>
      <c r="E3" s="193"/>
      <c r="F3" s="334"/>
    </row>
    <row r="4" spans="1:9" s="56" customFormat="1" ht="24" customHeight="1">
      <c r="A4" s="589" t="s">
        <v>1</v>
      </c>
      <c r="B4" s="591" t="s">
        <v>25</v>
      </c>
      <c r="C4" s="593" t="s">
        <v>10</v>
      </c>
      <c r="D4" s="594"/>
      <c r="E4" s="591" t="s">
        <v>218</v>
      </c>
      <c r="F4" s="335" t="s">
        <v>379</v>
      </c>
    </row>
    <row r="5" spans="1:9" s="56" customFormat="1" ht="24" customHeight="1">
      <c r="A5" s="589"/>
      <c r="B5" s="592"/>
      <c r="C5" s="71" t="s">
        <v>51</v>
      </c>
      <c r="D5" s="71" t="s">
        <v>52</v>
      </c>
      <c r="E5" s="592"/>
      <c r="F5" s="336" t="s">
        <v>183</v>
      </c>
    </row>
    <row r="6" spans="1:9" s="56" customFormat="1" ht="24" customHeight="1" thickBot="1">
      <c r="A6" s="590"/>
      <c r="B6" s="194" t="str">
        <f>+A1</f>
        <v>1° DE ABRIL DE 2017</v>
      </c>
      <c r="C6" s="195" t="str">
        <f>+B6</f>
        <v>1° DE ABRIL DE 2017</v>
      </c>
      <c r="D6" s="194" t="str">
        <f>+C6</f>
        <v>1° DE ABRIL DE 2017</v>
      </c>
      <c r="E6" s="194" t="str">
        <f>+D6</f>
        <v>1° DE ABRIL DE 2017</v>
      </c>
      <c r="F6" s="337" t="str">
        <f>+C6</f>
        <v>1° DE ABRIL DE 2017</v>
      </c>
    </row>
    <row r="7" spans="1:9" ht="22.5" customHeight="1" thickTop="1">
      <c r="A7" s="80" t="s">
        <v>3</v>
      </c>
      <c r="B7" s="506">
        <v>3893.32</v>
      </c>
      <c r="C7" s="190">
        <v>5110</v>
      </c>
      <c r="D7" s="190">
        <f>+C7</f>
        <v>5110</v>
      </c>
      <c r="E7" s="190">
        <v>3999.53</v>
      </c>
      <c r="F7" s="477">
        <v>5570</v>
      </c>
    </row>
    <row r="8" spans="1:9" ht="22.5" customHeight="1">
      <c r="A8" s="72" t="s">
        <v>57</v>
      </c>
      <c r="B8" s="528">
        <f>7.45</f>
        <v>7.45</v>
      </c>
      <c r="C8" s="504">
        <f>+B8</f>
        <v>7.45</v>
      </c>
      <c r="D8" s="504">
        <f>+C8</f>
        <v>7.45</v>
      </c>
      <c r="E8" s="504">
        <f>D8</f>
        <v>7.45</v>
      </c>
      <c r="F8" s="338"/>
    </row>
    <row r="9" spans="1:9" ht="22.5" customHeight="1">
      <c r="A9" s="72" t="s">
        <v>241</v>
      </c>
      <c r="B9" s="73" t="s">
        <v>11</v>
      </c>
      <c r="C9" s="73" t="s">
        <v>11</v>
      </c>
      <c r="D9" s="73" t="s">
        <v>11</v>
      </c>
      <c r="E9" s="73" t="s">
        <v>11</v>
      </c>
      <c r="F9" s="339" t="s">
        <v>11</v>
      </c>
    </row>
    <row r="10" spans="1:9" ht="22.5" customHeight="1">
      <c r="A10" s="72" t="s">
        <v>231</v>
      </c>
      <c r="B10" s="74">
        <v>71.510000000000005</v>
      </c>
      <c r="C10" s="74">
        <f>B10</f>
        <v>71.510000000000005</v>
      </c>
      <c r="D10" s="74">
        <f>B10</f>
        <v>71.510000000000005</v>
      </c>
      <c r="E10" s="74">
        <f>B10</f>
        <v>71.510000000000005</v>
      </c>
      <c r="F10" s="340"/>
    </row>
    <row r="11" spans="1:9" ht="22.5" customHeight="1">
      <c r="A11" s="72" t="s">
        <v>274</v>
      </c>
      <c r="B11" s="505">
        <f>+Variables!C19</f>
        <v>490</v>
      </c>
      <c r="C11" s="74">
        <f>+Variables!C22</f>
        <v>930</v>
      </c>
      <c r="D11" s="74">
        <f>+ROUND(C11,2)</f>
        <v>930</v>
      </c>
      <c r="E11" s="74">
        <f>+Variables!C26</f>
        <v>469</v>
      </c>
      <c r="F11" s="79"/>
      <c r="H11" s="509"/>
      <c r="I11" s="509"/>
    </row>
    <row r="12" spans="1:9" ht="22.5" customHeight="1">
      <c r="A12" s="72" t="s">
        <v>286</v>
      </c>
      <c r="B12" s="505"/>
      <c r="C12" s="534" t="s">
        <v>404</v>
      </c>
      <c r="D12" s="534" t="s">
        <v>404</v>
      </c>
      <c r="E12" s="534" t="s">
        <v>404</v>
      </c>
      <c r="F12" s="535" t="s">
        <v>404</v>
      </c>
    </row>
    <row r="13" spans="1:9" ht="22.5" customHeight="1">
      <c r="A13" s="72" t="s">
        <v>381</v>
      </c>
      <c r="B13" s="505">
        <f>Variables!C44</f>
        <v>135</v>
      </c>
      <c r="C13" s="74">
        <f>Variables!C44</f>
        <v>135</v>
      </c>
      <c r="D13" s="74">
        <f>Variables!C44</f>
        <v>135</v>
      </c>
      <c r="E13" s="74">
        <f>Variables!C45</f>
        <v>152</v>
      </c>
      <c r="F13" s="79"/>
    </row>
    <row r="14" spans="1:9" ht="22.5" customHeight="1">
      <c r="A14" s="72" t="s">
        <v>23</v>
      </c>
      <c r="B14" s="73" t="s">
        <v>12</v>
      </c>
      <c r="C14" s="73" t="s">
        <v>12</v>
      </c>
      <c r="D14" s="73" t="s">
        <v>12</v>
      </c>
      <c r="E14" s="73" t="s">
        <v>12</v>
      </c>
      <c r="F14" s="339"/>
    </row>
    <row r="15" spans="1:9" ht="22.5" customHeight="1">
      <c r="A15" s="72" t="s">
        <v>232</v>
      </c>
      <c r="B15" s="73" t="s">
        <v>22</v>
      </c>
      <c r="C15" s="73"/>
      <c r="D15" s="73"/>
      <c r="E15" s="73" t="str">
        <f>+B15</f>
        <v>(***)</v>
      </c>
      <c r="F15" s="341"/>
    </row>
    <row r="16" spans="1:9" ht="22.5" customHeight="1">
      <c r="A16" s="72" t="s">
        <v>8</v>
      </c>
      <c r="B16" s="74">
        <f>+ROUND(0.25*Variables!E19,2)</f>
        <v>1269.69</v>
      </c>
      <c r="C16" s="74">
        <f>+ROUND(Variables!E22*0.25,2)</f>
        <v>1776.95</v>
      </c>
      <c r="D16" s="74">
        <f>+ROUND(C16,2)</f>
        <v>1776.95</v>
      </c>
      <c r="E16" s="74">
        <f>+ROUND(Variables!E26*0.06,2)</f>
        <v>301.48</v>
      </c>
      <c r="F16" s="342" t="s">
        <v>2</v>
      </c>
    </row>
    <row r="17" spans="1:6" ht="22.5" customHeight="1">
      <c r="A17" s="72" t="s">
        <v>5</v>
      </c>
      <c r="B17" s="73" t="s">
        <v>12</v>
      </c>
      <c r="C17" s="73" t="s">
        <v>12</v>
      </c>
      <c r="D17" s="73" t="s">
        <v>12</v>
      </c>
      <c r="E17" s="73" t="s">
        <v>12</v>
      </c>
      <c r="F17" s="342" t="s">
        <v>2</v>
      </c>
    </row>
    <row r="18" spans="1:6" ht="22.5" customHeight="1">
      <c r="A18" s="72" t="s">
        <v>233</v>
      </c>
      <c r="B18" s="73" t="s">
        <v>22</v>
      </c>
      <c r="C18" s="73"/>
      <c r="D18" s="73"/>
      <c r="E18" s="73" t="str">
        <f>+B18</f>
        <v>(***)</v>
      </c>
      <c r="F18" s="342" t="s">
        <v>2</v>
      </c>
    </row>
    <row r="19" spans="1:6" ht="22.5" customHeight="1">
      <c r="A19" s="72" t="s">
        <v>7</v>
      </c>
      <c r="B19" s="73" t="s">
        <v>234</v>
      </c>
      <c r="C19" s="73"/>
      <c r="D19" s="73"/>
      <c r="E19" s="73"/>
      <c r="F19" s="343" t="s">
        <v>2</v>
      </c>
    </row>
    <row r="20" spans="1:6" ht="22.5" customHeight="1">
      <c r="A20" s="72" t="s">
        <v>238</v>
      </c>
      <c r="B20" s="73" t="s">
        <v>22</v>
      </c>
      <c r="C20" s="74"/>
      <c r="D20" s="74"/>
      <c r="E20" s="73" t="str">
        <f>+B20</f>
        <v>(***)</v>
      </c>
      <c r="F20" s="342" t="s">
        <v>2</v>
      </c>
    </row>
    <row r="21" spans="1:6" ht="22.5" customHeight="1" thickBot="1">
      <c r="A21" s="77" t="s">
        <v>9</v>
      </c>
      <c r="B21" s="78" t="s">
        <v>12</v>
      </c>
      <c r="C21" s="78" t="s">
        <v>12</v>
      </c>
      <c r="D21" s="78" t="s">
        <v>12</v>
      </c>
      <c r="E21" s="78" t="s">
        <v>12</v>
      </c>
      <c r="F21" s="344" t="s">
        <v>2</v>
      </c>
    </row>
    <row r="22" spans="1:6" ht="21.75" customHeight="1" thickTop="1">
      <c r="A22" s="587"/>
      <c r="B22" s="588"/>
      <c r="C22" s="588"/>
      <c r="D22" s="588"/>
      <c r="E22" s="588"/>
      <c r="F22" s="588"/>
    </row>
    <row r="23" spans="1:6" s="70" customFormat="1" ht="30" customHeight="1">
      <c r="A23" s="582" t="s">
        <v>230</v>
      </c>
      <c r="B23" s="582"/>
      <c r="C23" s="582"/>
      <c r="D23" s="582"/>
      <c r="E23" s="582"/>
      <c r="F23" s="582"/>
    </row>
    <row r="24" spans="1:6" s="70" customFormat="1" ht="11.25" customHeight="1">
      <c r="A24" s="330"/>
      <c r="B24" s="330"/>
      <c r="C24" s="330"/>
      <c r="D24" s="330"/>
      <c r="E24" s="330"/>
      <c r="F24" s="330"/>
    </row>
    <row r="25" spans="1:6" s="70" customFormat="1" ht="31.5" customHeight="1">
      <c r="A25" s="582" t="s">
        <v>226</v>
      </c>
      <c r="B25" s="582"/>
      <c r="C25" s="582"/>
      <c r="D25" s="582"/>
      <c r="E25" s="582"/>
      <c r="F25" s="582"/>
    </row>
    <row r="26" spans="1:6" s="70" customFormat="1" ht="7.5" customHeight="1">
      <c r="A26" s="16"/>
      <c r="B26" s="331"/>
      <c r="C26" s="331"/>
      <c r="D26" s="331"/>
      <c r="E26" s="331"/>
      <c r="F26" s="331"/>
    </row>
    <row r="27" spans="1:6" ht="43.5" customHeight="1">
      <c r="A27" s="586" t="s">
        <v>227</v>
      </c>
      <c r="B27" s="586"/>
      <c r="C27" s="586"/>
      <c r="D27" s="586"/>
      <c r="E27" s="586"/>
      <c r="F27" s="586"/>
    </row>
    <row r="28" spans="1:6" s="11" customFormat="1" ht="8.25" customHeight="1">
      <c r="A28" s="332"/>
      <c r="B28" s="332"/>
      <c r="C28" s="332"/>
      <c r="D28" s="332"/>
      <c r="E28" s="332"/>
      <c r="F28" s="332"/>
    </row>
    <row r="29" spans="1:6" ht="18" customHeight="1">
      <c r="A29" s="582" t="s">
        <v>228</v>
      </c>
      <c r="B29" s="582"/>
      <c r="C29" s="582"/>
      <c r="D29" s="582"/>
      <c r="E29" s="582"/>
      <c r="F29" s="582"/>
    </row>
    <row r="30" spans="1:6" ht="7.5" customHeight="1">
      <c r="A30" s="587"/>
      <c r="B30" s="588"/>
      <c r="C30" s="588"/>
      <c r="D30" s="588"/>
      <c r="E30" s="588"/>
      <c r="F30" s="588"/>
    </row>
    <row r="31" spans="1:6" ht="29.25" customHeight="1">
      <c r="A31" s="582" t="s">
        <v>314</v>
      </c>
      <c r="B31" s="582"/>
      <c r="C31" s="582"/>
      <c r="D31" s="582"/>
      <c r="E31" s="582"/>
      <c r="F31" s="582"/>
    </row>
    <row r="32" spans="1:6" s="12" customFormat="1" ht="18" customHeight="1">
      <c r="A32" s="582" t="s">
        <v>322</v>
      </c>
      <c r="B32" s="582"/>
      <c r="C32" s="582"/>
      <c r="D32" s="582"/>
      <c r="E32" s="582"/>
      <c r="F32" s="582"/>
    </row>
    <row r="33" spans="1:6" s="12" customFormat="1">
      <c r="A33" s="582" t="s">
        <v>380</v>
      </c>
      <c r="B33" s="582"/>
      <c r="C33" s="582"/>
      <c r="D33" s="582"/>
      <c r="E33" s="582"/>
      <c r="F33" s="582"/>
    </row>
    <row r="34" spans="1:6" s="12" customFormat="1">
      <c r="A34" s="530"/>
      <c r="B34" s="530"/>
      <c r="C34" s="530"/>
      <c r="D34" s="530"/>
      <c r="E34" s="530"/>
      <c r="F34" s="530"/>
    </row>
    <row r="35" spans="1:6" s="12" customFormat="1">
      <c r="A35" s="582" t="s">
        <v>403</v>
      </c>
      <c r="B35" s="582"/>
      <c r="C35" s="582"/>
      <c r="D35" s="582"/>
      <c r="E35" s="582"/>
      <c r="F35" s="582"/>
    </row>
    <row r="36" spans="1:6" s="12" customFormat="1" ht="14.25" customHeight="1">
      <c r="A36" s="582" t="s">
        <v>401</v>
      </c>
      <c r="B36" s="582"/>
      <c r="C36" s="582"/>
      <c r="D36" s="582"/>
      <c r="E36" s="582"/>
      <c r="F36" s="582"/>
    </row>
    <row r="37" spans="1:6" s="12" customFormat="1">
      <c r="A37" s="582" t="s">
        <v>402</v>
      </c>
      <c r="B37" s="582"/>
      <c r="C37" s="582"/>
      <c r="D37" s="582"/>
      <c r="E37" s="582"/>
      <c r="F37" s="582"/>
    </row>
    <row r="38" spans="1:6" s="12" customFormat="1" ht="90" customHeight="1">
      <c r="A38" s="595" t="s">
        <v>355</v>
      </c>
      <c r="B38" s="595"/>
      <c r="C38" s="595"/>
      <c r="D38" s="595"/>
      <c r="E38" s="595"/>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mergeCells count="18">
    <mergeCell ref="A33:F33"/>
    <mergeCell ref="A36:F36"/>
    <mergeCell ref="A35:F35"/>
    <mergeCell ref="A37:F37"/>
    <mergeCell ref="A38:E38"/>
    <mergeCell ref="A32:F32"/>
    <mergeCell ref="A2:F2"/>
    <mergeCell ref="A23:F23"/>
    <mergeCell ref="A25:F25"/>
    <mergeCell ref="A27:F27"/>
    <mergeCell ref="A29:F29"/>
    <mergeCell ref="A22:F22"/>
    <mergeCell ref="A30:F30"/>
    <mergeCell ref="A31:F31"/>
    <mergeCell ref="A4:A6"/>
    <mergeCell ref="B4:B5"/>
    <mergeCell ref="E4:E5"/>
    <mergeCell ref="C4:D4"/>
  </mergeCells>
  <phoneticPr fontId="10"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2"/>
  <sheetViews>
    <sheetView showGridLines="0" zoomScale="74" zoomScaleNormal="74" zoomScaleSheetLayoutView="50" workbookViewId="0">
      <pane xSplit="1" ySplit="6" topLeftCell="B7" activePane="bottomRight" state="frozen"/>
      <selection activeCell="B7" sqref="B7"/>
      <selection pane="topRight" activeCell="B7" sqref="B7"/>
      <selection pane="bottomLeft" activeCell="B7" sqref="B7"/>
      <selection pane="bottomRight" activeCell="A38" sqref="A38:F40"/>
    </sheetView>
  </sheetViews>
  <sheetFormatPr baseColWidth="10" defaultColWidth="9.85546875" defaultRowHeight="14.25" outlineLevelCol="1"/>
  <cols>
    <col min="1" max="1" width="60.5703125" style="5" customWidth="1"/>
    <col min="2" max="2" width="22" style="5" customWidth="1"/>
    <col min="3" max="4" width="21" style="5" customWidth="1"/>
    <col min="5" max="5" width="20.28515625" style="5" customWidth="1"/>
    <col min="6" max="6" width="20.28515625" style="5" customWidth="1" outlineLevel="1"/>
    <col min="7" max="7" width="18.85546875" style="9" customWidth="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62" customFormat="1" ht="27.75" customHeight="1">
      <c r="A2" s="596" t="str">
        <f>CONCATENATE("ESTRUCTURAS DE PRECIOS PARA GASOLINA MOTOR CORRIENTE OXIGENADA VIGENTES A PARTIR DE ",'COMBUSTIBLES '!$A$1)</f>
        <v>ESTRUCTURAS DE PRECIOS PARA GASOLINA MOTOR CORRIENTE OXIGENADA VIGENTES A PARTIR DE 1° DE ABRIL DE 2017</v>
      </c>
      <c r="B2" s="597"/>
      <c r="C2" s="597"/>
      <c r="D2" s="597"/>
      <c r="E2" s="597"/>
      <c r="F2" s="597"/>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s="62" customFormat="1" ht="27.75" customHeight="1">
      <c r="A3" s="598" t="s">
        <v>0</v>
      </c>
      <c r="B3" s="599"/>
      <c r="C3" s="599"/>
      <c r="D3" s="599"/>
      <c r="E3" s="599"/>
      <c r="F3" s="599"/>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row>
    <row r="4" spans="1:61" s="56" customFormat="1" ht="46.5" customHeight="1">
      <c r="A4" s="601" t="s">
        <v>1</v>
      </c>
      <c r="B4" s="600" t="s">
        <v>27</v>
      </c>
      <c r="C4" s="600" t="s">
        <v>186</v>
      </c>
      <c r="D4" s="401" t="s">
        <v>28</v>
      </c>
      <c r="E4" s="493" t="s">
        <v>28</v>
      </c>
      <c r="F4" s="515" t="s">
        <v>28</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row>
    <row r="5" spans="1:61" s="56" customFormat="1" ht="19.5" customHeight="1">
      <c r="A5" s="589"/>
      <c r="B5" s="592"/>
      <c r="C5" s="592"/>
      <c r="D5" s="319">
        <v>0.08</v>
      </c>
      <c r="E5" s="319">
        <v>0.1</v>
      </c>
      <c r="F5" s="319">
        <v>0.06</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row>
    <row r="6" spans="1:61" s="56" customFormat="1" ht="25.5" customHeight="1" thickBot="1">
      <c r="A6" s="590"/>
      <c r="B6" s="196" t="str">
        <f>+'COMBUSTIBLES '!B6</f>
        <v>1° DE ABRIL DE 2017</v>
      </c>
      <c r="C6" s="195" t="str">
        <f>'COMBUSTIBLES '!B6</f>
        <v>1° DE ABRIL DE 2017</v>
      </c>
      <c r="D6" s="195" t="str">
        <f>+C6</f>
        <v>1° DE ABRIL DE 2017</v>
      </c>
      <c r="E6" s="195" t="str">
        <f>+D6</f>
        <v>1° DE ABRIL DE 2017</v>
      </c>
      <c r="F6" s="195" t="str">
        <f>+B6</f>
        <v>1° DE ABRIL DE 2017</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row>
    <row r="7" spans="1:61" s="8" customFormat="1" ht="31.5" customHeight="1" thickTop="1">
      <c r="A7" s="89" t="s">
        <v>3</v>
      </c>
      <c r="B7" s="316">
        <v>8211.2800000000007</v>
      </c>
      <c r="C7" s="316">
        <f>+'COMBUSTIBLES '!B7</f>
        <v>3893.32</v>
      </c>
      <c r="D7" s="477"/>
      <c r="E7" s="477"/>
      <c r="F7" s="477"/>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83" t="s">
        <v>188</v>
      </c>
      <c r="B8" s="188"/>
      <c r="C8" s="76"/>
      <c r="D8" s="338">
        <f>ROUND($C$7*(1-D5),2)</f>
        <v>3581.85</v>
      </c>
      <c r="E8" s="338">
        <f>ROUND($C$7*(1-E5),2)</f>
        <v>3503.99</v>
      </c>
      <c r="F8" s="338">
        <f>ROUND($C$7*(1-F5),2)+0.01</f>
        <v>3659.73</v>
      </c>
      <c r="G8" s="50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83" t="s">
        <v>187</v>
      </c>
      <c r="B9" s="188"/>
      <c r="C9" s="76"/>
      <c r="D9" s="338">
        <f>+ROUND(B7*D5,2)</f>
        <v>656.9</v>
      </c>
      <c r="E9" s="338">
        <f>+ROUND(B7*E5,2)</f>
        <v>821.13</v>
      </c>
      <c r="F9" s="338">
        <f>+ROUND(B7*F5,2)</f>
        <v>492.68</v>
      </c>
      <c r="G9" s="50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83" t="s">
        <v>49</v>
      </c>
      <c r="B10" s="188"/>
      <c r="C10" s="76"/>
      <c r="D10" s="338">
        <f>D8+D9</f>
        <v>4238.75</v>
      </c>
      <c r="E10" s="338">
        <f>E8+E9</f>
        <v>4325.12</v>
      </c>
      <c r="F10" s="338">
        <f>F8+F9-0.01</f>
        <v>4152.3999999999996</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83" t="str">
        <f>+'COMBUSTIBLES '!A11</f>
        <v>Impuesto Nacional a la Gasolina y al ACPM</v>
      </c>
      <c r="B11" s="188"/>
      <c r="C11" s="134">
        <f>+Variables!C20</f>
        <v>490</v>
      </c>
      <c r="D11" s="338">
        <f>+C11*(1-D5)</f>
        <v>450.8</v>
      </c>
      <c r="E11" s="338">
        <f>+C11*(1-E5)</f>
        <v>441</v>
      </c>
      <c r="F11" s="338">
        <f>+C11*(1-F5)</f>
        <v>460.59999999999997</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83" t="str">
        <f>+'COMBUSTIBLES '!A12</f>
        <v>Impuesto sobre las Ventas</v>
      </c>
      <c r="B12" s="188"/>
      <c r="C12" s="528" t="str">
        <f>+'COMBUSTIBLES '!C12</f>
        <v>(3)</v>
      </c>
      <c r="D12" s="338" t="str">
        <f>+C12</f>
        <v>(3)</v>
      </c>
      <c r="E12" s="338" t="str">
        <f>+D12</f>
        <v>(3)</v>
      </c>
      <c r="F12" s="338" t="str">
        <f>+E12</f>
        <v>(3)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83" t="str">
        <f>+'COMBUSTIBLES '!A13</f>
        <v>Impuesto al carbono</v>
      </c>
      <c r="B13" s="188"/>
      <c r="C13" s="134">
        <f>Variables!C44</f>
        <v>135</v>
      </c>
      <c r="D13" s="338">
        <f>ROUND(C13*(1-D5),2)</f>
        <v>124.2</v>
      </c>
      <c r="E13" s="338">
        <f>ROUND(C13*(1-E5),2)</f>
        <v>121.5</v>
      </c>
      <c r="F13" s="338">
        <f>ROUND(C13*(1-F5),2)</f>
        <v>126.9</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83" t="s">
        <v>57</v>
      </c>
      <c r="B14" s="188"/>
      <c r="C14" s="76">
        <f>'COMBUSTIBLES '!B8</f>
        <v>7.45</v>
      </c>
      <c r="D14" s="338">
        <f>C14</f>
        <v>7.45</v>
      </c>
      <c r="E14" s="338">
        <f>+D14</f>
        <v>7.45</v>
      </c>
      <c r="F14" s="338">
        <f>C14</f>
        <v>7.45</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83" t="s">
        <v>189</v>
      </c>
      <c r="B15" s="188"/>
      <c r="C15" s="76"/>
      <c r="D15" s="490" t="s">
        <v>11</v>
      </c>
      <c r="E15" s="490" t="s">
        <v>11</v>
      </c>
      <c r="F15" s="490"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83" t="s">
        <v>190</v>
      </c>
      <c r="B16" s="188"/>
      <c r="C16" s="85"/>
      <c r="D16" s="490" t="s">
        <v>12</v>
      </c>
      <c r="E16" s="490" t="s">
        <v>12</v>
      </c>
      <c r="F16" s="490"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83" t="s">
        <v>231</v>
      </c>
      <c r="B17" s="188"/>
      <c r="C17" s="76">
        <f>'COMBUSTIBLES '!B10</f>
        <v>71.510000000000005</v>
      </c>
      <c r="D17" s="490">
        <f>C17</f>
        <v>71.510000000000005</v>
      </c>
      <c r="E17" s="490">
        <f>D17</f>
        <v>71.510000000000005</v>
      </c>
      <c r="F17" s="490">
        <f>C17</f>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83" t="s">
        <v>50</v>
      </c>
      <c r="B18" s="188"/>
      <c r="C18" s="76" t="s">
        <v>22</v>
      </c>
      <c r="D18" s="490" t="s">
        <v>22</v>
      </c>
      <c r="E18" s="490" t="s">
        <v>22</v>
      </c>
      <c r="F18" s="490"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83" t="s">
        <v>8</v>
      </c>
      <c r="B19" s="188"/>
      <c r="C19" s="76">
        <f>+ROUND('COMBUSTIBLES '!B16,2)</f>
        <v>1269.69</v>
      </c>
      <c r="D19" s="490">
        <f>+ROUND(C19*(1-D5)+0.005,2)-0.01</f>
        <v>1168.1099999999999</v>
      </c>
      <c r="E19" s="490">
        <f>+ROUND(C19*(1-E5)+0.005,2)-0.01</f>
        <v>1142.72</v>
      </c>
      <c r="F19" s="490">
        <f>+ROUND(C19*(1-F5)+0.005,2)</f>
        <v>1193.51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83" t="s">
        <v>47</v>
      </c>
      <c r="B20" s="188"/>
      <c r="C20" s="134" t="s">
        <v>161</v>
      </c>
      <c r="D20" s="490" t="s">
        <v>234</v>
      </c>
      <c r="E20" s="490" t="s">
        <v>234</v>
      </c>
      <c r="F20" s="490" t="s">
        <v>234</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83" t="s">
        <v>63</v>
      </c>
      <c r="B21" s="188"/>
      <c r="C21" s="76" t="s">
        <v>161</v>
      </c>
      <c r="D21" s="490" t="s">
        <v>22</v>
      </c>
      <c r="E21" s="490" t="s">
        <v>22</v>
      </c>
      <c r="F21" s="490"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83" t="s">
        <v>48</v>
      </c>
      <c r="B22" s="188"/>
      <c r="C22" s="74" t="s">
        <v>161</v>
      </c>
      <c r="D22" s="490" t="str">
        <f>+D20</f>
        <v>(****)</v>
      </c>
      <c r="E22" s="490" t="str">
        <f>+E20</f>
        <v>(****)</v>
      </c>
      <c r="F22" s="490" t="str">
        <f>+F20</f>
        <v>(****)</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83" t="s">
        <v>61</v>
      </c>
      <c r="B23" s="188"/>
      <c r="C23" s="76" t="s">
        <v>161</v>
      </c>
      <c r="D23" s="490" t="s">
        <v>60</v>
      </c>
      <c r="E23" s="490" t="s">
        <v>60</v>
      </c>
      <c r="F23" s="490"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83" t="s">
        <v>238</v>
      </c>
      <c r="B24" s="188"/>
      <c r="C24" s="76" t="s">
        <v>161</v>
      </c>
      <c r="D24" s="490" t="str">
        <f>+D22</f>
        <v>(****)</v>
      </c>
      <c r="E24" s="490" t="str">
        <f>+E22</f>
        <v>(****)</v>
      </c>
      <c r="F24" s="490" t="str">
        <f>+F22</f>
        <v>(****)</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86" t="s">
        <v>62</v>
      </c>
      <c r="B25" s="189"/>
      <c r="C25" s="87" t="s">
        <v>161</v>
      </c>
      <c r="D25" s="491" t="s">
        <v>22</v>
      </c>
      <c r="E25" s="491" t="s">
        <v>22</v>
      </c>
      <c r="F25" s="491"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51" customFormat="1" ht="35.25" customHeight="1">
      <c r="A27" s="602" t="s">
        <v>265</v>
      </c>
      <c r="B27" s="602"/>
      <c r="C27" s="602"/>
      <c r="D27" s="602"/>
      <c r="E27" s="602"/>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s="350" customFormat="1" ht="8.25" customHeight="1">
      <c r="A28" s="352"/>
      <c r="B28" s="352"/>
      <c r="C28" s="352"/>
      <c r="D28" s="516"/>
      <c r="E28" s="352"/>
      <c r="F28" s="495"/>
    </row>
    <row r="29" spans="1:61" s="350" customFormat="1" ht="48" customHeight="1">
      <c r="A29" s="603" t="s">
        <v>266</v>
      </c>
      <c r="B29" s="603"/>
      <c r="C29" s="603"/>
      <c r="D29" s="603"/>
      <c r="E29" s="603"/>
    </row>
    <row r="30" spans="1:61" s="350" customFormat="1" ht="12.75">
      <c r="A30" s="353"/>
      <c r="B30" s="353"/>
      <c r="C30" s="354"/>
      <c r="D30" s="354"/>
      <c r="E30" s="354"/>
      <c r="F30" s="354"/>
    </row>
    <row r="31" spans="1:61" s="350" customFormat="1" ht="35.25" customHeight="1">
      <c r="A31" s="603" t="s">
        <v>235</v>
      </c>
      <c r="B31" s="603"/>
      <c r="C31" s="603"/>
      <c r="D31" s="603"/>
      <c r="E31" s="603"/>
    </row>
    <row r="32" spans="1:61" s="350" customFormat="1" ht="12.75">
      <c r="A32" s="353"/>
      <c r="B32" s="353"/>
      <c r="C32" s="354"/>
      <c r="D32" s="354"/>
      <c r="E32" s="354"/>
      <c r="F32" s="354"/>
    </row>
    <row r="33" spans="1:7" s="393" customFormat="1" ht="36.75" customHeight="1">
      <c r="A33" s="604" t="s">
        <v>236</v>
      </c>
      <c r="B33" s="604"/>
      <c r="C33" s="604"/>
      <c r="D33" s="604"/>
      <c r="E33" s="604"/>
    </row>
    <row r="34" spans="1:7" s="350" customFormat="1" ht="9" customHeight="1">
      <c r="A34" s="353"/>
      <c r="B34" s="353"/>
      <c r="C34" s="354"/>
      <c r="D34" s="354"/>
      <c r="E34" s="354"/>
      <c r="F34" s="354"/>
    </row>
    <row r="35" spans="1:7" s="350" customFormat="1" ht="12.75">
      <c r="A35" s="603" t="s">
        <v>237</v>
      </c>
      <c r="B35" s="603"/>
      <c r="C35" s="603"/>
      <c r="D35" s="603"/>
      <c r="E35" s="603"/>
    </row>
    <row r="36" spans="1:7" s="350" customFormat="1" ht="10.5" customHeight="1">
      <c r="A36" s="355"/>
      <c r="B36" s="355"/>
      <c r="C36" s="355"/>
      <c r="D36" s="517"/>
      <c r="E36" s="355"/>
      <c r="F36" s="494"/>
    </row>
    <row r="37" spans="1:7" s="350" customFormat="1" ht="30.75" customHeight="1">
      <c r="A37" s="582" t="s">
        <v>314</v>
      </c>
      <c r="B37" s="582"/>
      <c r="C37" s="582"/>
      <c r="D37" s="582"/>
      <c r="E37" s="582"/>
      <c r="F37" s="582"/>
      <c r="G37" s="582"/>
    </row>
    <row r="38" spans="1:7" s="350" customFormat="1" ht="12.75">
      <c r="A38" s="582" t="s">
        <v>403</v>
      </c>
      <c r="B38" s="582"/>
      <c r="C38" s="582"/>
      <c r="D38" s="582"/>
      <c r="E38" s="582"/>
      <c r="F38" s="582"/>
      <c r="G38" s="530"/>
    </row>
    <row r="39" spans="1:7" s="350" customFormat="1" ht="12.75">
      <c r="A39" s="582" t="s">
        <v>401</v>
      </c>
      <c r="B39" s="582"/>
      <c r="C39" s="582"/>
      <c r="D39" s="582"/>
      <c r="E39" s="582"/>
      <c r="F39" s="582"/>
      <c r="G39" s="530"/>
    </row>
    <row r="40" spans="1:7">
      <c r="A40" s="582" t="s">
        <v>402</v>
      </c>
      <c r="B40" s="582"/>
      <c r="C40" s="582"/>
      <c r="D40" s="582"/>
      <c r="E40" s="582"/>
      <c r="F40" s="582"/>
    </row>
    <row r="42" spans="1:7" ht="98.25" customHeight="1">
      <c r="A42" s="595" t="s">
        <v>355</v>
      </c>
      <c r="B42" s="595"/>
      <c r="C42" s="595"/>
      <c r="D42" s="595"/>
      <c r="E42" s="595"/>
      <c r="F42" s="595"/>
    </row>
  </sheetData>
  <mergeCells count="15">
    <mergeCell ref="A2:F2"/>
    <mergeCell ref="A3:F3"/>
    <mergeCell ref="A42:F42"/>
    <mergeCell ref="B4:B5"/>
    <mergeCell ref="A4:A6"/>
    <mergeCell ref="C4:C5"/>
    <mergeCell ref="A27:E27"/>
    <mergeCell ref="A29:E29"/>
    <mergeCell ref="A31:E31"/>
    <mergeCell ref="A33:E33"/>
    <mergeCell ref="A35:E35"/>
    <mergeCell ref="A37:G37"/>
    <mergeCell ref="A38:F38"/>
    <mergeCell ref="A39:F39"/>
    <mergeCell ref="A40:F40"/>
  </mergeCells>
  <phoneticPr fontId="10"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8" t="s">
        <v>334</v>
      </c>
    </row>
    <row r="3" spans="1:16" ht="13.5" thickBot="1"/>
    <row r="4" spans="1:16" ht="15.75" customHeight="1" thickTop="1">
      <c r="A4" s="605" t="s">
        <v>323</v>
      </c>
      <c r="B4" s="606"/>
      <c r="C4" s="606"/>
      <c r="D4" s="606"/>
      <c r="E4" s="606"/>
      <c r="F4" s="606"/>
      <c r="G4" s="606"/>
      <c r="H4" s="606"/>
      <c r="I4" s="606"/>
      <c r="J4" s="606"/>
      <c r="K4" s="606"/>
      <c r="L4" s="606"/>
      <c r="M4" s="606"/>
      <c r="N4" s="606"/>
      <c r="O4" s="606"/>
      <c r="P4" s="607"/>
    </row>
    <row r="5" spans="1:16" ht="18" customHeight="1">
      <c r="A5" s="608"/>
      <c r="B5" s="609"/>
      <c r="C5" s="609"/>
      <c r="D5" s="609"/>
      <c r="E5" s="609"/>
      <c r="F5" s="609"/>
      <c r="G5" s="609"/>
      <c r="H5" s="609"/>
      <c r="I5" s="609"/>
      <c r="J5" s="609"/>
      <c r="K5" s="609"/>
      <c r="L5" s="609"/>
      <c r="M5" s="609"/>
      <c r="N5" s="609"/>
      <c r="O5" s="609"/>
      <c r="P5" s="610"/>
    </row>
    <row r="6" spans="1:16" ht="51" customHeight="1">
      <c r="A6" s="447" t="s">
        <v>1</v>
      </c>
      <c r="B6" s="480" t="s">
        <v>325</v>
      </c>
      <c r="C6" s="480" t="s">
        <v>324</v>
      </c>
      <c r="D6" s="446" t="s">
        <v>300</v>
      </c>
      <c r="E6" s="480" t="s">
        <v>326</v>
      </c>
      <c r="F6" s="446" t="s">
        <v>301</v>
      </c>
      <c r="G6" s="446" t="s">
        <v>302</v>
      </c>
      <c r="H6" s="446" t="s">
        <v>303</v>
      </c>
      <c r="I6" s="480" t="s">
        <v>327</v>
      </c>
      <c r="J6" s="446" t="s">
        <v>304</v>
      </c>
      <c r="K6" s="446" t="s">
        <v>305</v>
      </c>
      <c r="L6" s="446" t="s">
        <v>328</v>
      </c>
      <c r="M6" s="446" t="s">
        <v>329</v>
      </c>
      <c r="N6" s="484" t="s">
        <v>306</v>
      </c>
      <c r="O6" s="484" t="s">
        <v>330</v>
      </c>
      <c r="P6" s="449" t="s">
        <v>331</v>
      </c>
    </row>
    <row r="7" spans="1:16" ht="21.75" customHeight="1">
      <c r="A7" s="89" t="s">
        <v>3</v>
      </c>
      <c r="B7" s="450">
        <v>4898.18</v>
      </c>
      <c r="C7" s="450">
        <v>4880.5</v>
      </c>
      <c r="D7" s="450">
        <v>4973.8500000000004</v>
      </c>
      <c r="E7" s="450">
        <v>4979.33</v>
      </c>
      <c r="F7" s="450">
        <v>4938.42</v>
      </c>
      <c r="G7" s="450">
        <v>4897.41</v>
      </c>
      <c r="H7" s="450">
        <v>4864.58</v>
      </c>
      <c r="I7" s="450">
        <v>4880.16</v>
      </c>
      <c r="J7" s="450">
        <v>4881.16</v>
      </c>
      <c r="K7" s="450">
        <v>4882.17</v>
      </c>
      <c r="L7" s="450">
        <v>4888.16</v>
      </c>
      <c r="M7" s="450">
        <v>4908.13</v>
      </c>
      <c r="N7" s="485">
        <v>4896.76</v>
      </c>
      <c r="O7" s="485">
        <v>4888.46</v>
      </c>
      <c r="P7" s="451">
        <v>4888.46</v>
      </c>
    </row>
    <row r="8" spans="1:16" ht="17.25" customHeight="1">
      <c r="A8" s="83" t="str">
        <f>+'COMBUSTIBLES '!A11</f>
        <v>Impuesto Nacional a la Gasolina y al ACPM</v>
      </c>
      <c r="B8" s="454">
        <f>+'COMBUSTIBLES '!B11</f>
        <v>490</v>
      </c>
      <c r="C8" s="454">
        <f>+B8</f>
        <v>490</v>
      </c>
      <c r="D8" s="454">
        <f>+B8</f>
        <v>490</v>
      </c>
      <c r="E8" s="454">
        <f t="shared" ref="E8:O8" si="0">+C8</f>
        <v>490</v>
      </c>
      <c r="F8" s="454">
        <f t="shared" si="0"/>
        <v>490</v>
      </c>
      <c r="G8" s="454">
        <f t="shared" si="0"/>
        <v>490</v>
      </c>
      <c r="H8" s="454">
        <f t="shared" si="0"/>
        <v>490</v>
      </c>
      <c r="I8" s="454">
        <f t="shared" si="0"/>
        <v>490</v>
      </c>
      <c r="J8" s="454">
        <f t="shared" si="0"/>
        <v>490</v>
      </c>
      <c r="K8" s="454">
        <f t="shared" si="0"/>
        <v>490</v>
      </c>
      <c r="L8" s="454">
        <f t="shared" si="0"/>
        <v>490</v>
      </c>
      <c r="M8" s="454">
        <f t="shared" si="0"/>
        <v>490</v>
      </c>
      <c r="N8" s="454">
        <f t="shared" si="0"/>
        <v>490</v>
      </c>
      <c r="O8" s="454">
        <f t="shared" si="0"/>
        <v>490</v>
      </c>
      <c r="P8" s="455">
        <f>+M8</f>
        <v>490</v>
      </c>
    </row>
    <row r="9" spans="1:16" ht="19.5" customHeight="1">
      <c r="A9" s="83" t="s">
        <v>57</v>
      </c>
      <c r="B9" s="454">
        <v>5.56</v>
      </c>
      <c r="C9" s="454">
        <f t="shared" ref="C9:C18" si="1">+B9</f>
        <v>5.56</v>
      </c>
      <c r="D9" s="454">
        <v>5.56</v>
      </c>
      <c r="E9" s="454">
        <v>5.56</v>
      </c>
      <c r="F9" s="454">
        <v>5.56</v>
      </c>
      <c r="G9" s="454">
        <v>5.56</v>
      </c>
      <c r="H9" s="454">
        <v>5.56</v>
      </c>
      <c r="I9" s="454">
        <v>5.56</v>
      </c>
      <c r="J9" s="454">
        <v>5.56</v>
      </c>
      <c r="K9" s="454">
        <v>5.56</v>
      </c>
      <c r="L9" s="454">
        <v>5.56</v>
      </c>
      <c r="M9" s="454">
        <v>5.56</v>
      </c>
      <c r="N9" s="454">
        <v>5.56</v>
      </c>
      <c r="O9" s="454">
        <v>5.56</v>
      </c>
      <c r="P9" s="455">
        <v>5.56</v>
      </c>
    </row>
    <row r="10" spans="1:16" ht="19.5" customHeight="1">
      <c r="A10" s="83" t="s">
        <v>299</v>
      </c>
      <c r="B10" s="454" t="str">
        <f>+'COMBUSTIBLES '!B9</f>
        <v>(*)</v>
      </c>
      <c r="C10" s="454" t="str">
        <f t="shared" si="1"/>
        <v>(*)</v>
      </c>
      <c r="D10" s="454" t="str">
        <f>+C10</f>
        <v>(*)</v>
      </c>
      <c r="E10" s="454" t="str">
        <f t="shared" ref="E10:O10" si="2">+D10</f>
        <v>(*)</v>
      </c>
      <c r="F10" s="454" t="str">
        <f t="shared" si="2"/>
        <v>(*)</v>
      </c>
      <c r="G10" s="454" t="str">
        <f t="shared" si="2"/>
        <v>(*)</v>
      </c>
      <c r="H10" s="454" t="str">
        <f t="shared" si="2"/>
        <v>(*)</v>
      </c>
      <c r="I10" s="454" t="str">
        <f t="shared" si="2"/>
        <v>(*)</v>
      </c>
      <c r="J10" s="454" t="str">
        <f t="shared" si="2"/>
        <v>(*)</v>
      </c>
      <c r="K10" s="454" t="str">
        <f t="shared" si="2"/>
        <v>(*)</v>
      </c>
      <c r="L10" s="454" t="str">
        <f t="shared" si="2"/>
        <v>(*)</v>
      </c>
      <c r="M10" s="454" t="str">
        <f t="shared" si="2"/>
        <v>(*)</v>
      </c>
      <c r="N10" s="454" t="str">
        <f t="shared" si="2"/>
        <v>(*)</v>
      </c>
      <c r="O10" s="454" t="str">
        <f t="shared" si="2"/>
        <v>(*)</v>
      </c>
      <c r="P10" s="455" t="str">
        <f>+O10</f>
        <v>(*)</v>
      </c>
    </row>
    <row r="11" spans="1:16" ht="19.5" customHeight="1">
      <c r="A11" s="83" t="s">
        <v>298</v>
      </c>
      <c r="B11" s="454">
        <f>'COMBUSTIBLES '!B10</f>
        <v>71.510000000000005</v>
      </c>
      <c r="C11" s="454">
        <f t="shared" si="1"/>
        <v>71.510000000000005</v>
      </c>
      <c r="D11" s="454">
        <f>+B11</f>
        <v>71.510000000000005</v>
      </c>
      <c r="E11" s="454">
        <f t="shared" ref="E11:O11" si="3">+C11</f>
        <v>71.510000000000005</v>
      </c>
      <c r="F11" s="454">
        <f t="shared" si="3"/>
        <v>71.510000000000005</v>
      </c>
      <c r="G11" s="454">
        <f t="shared" si="3"/>
        <v>71.510000000000005</v>
      </c>
      <c r="H11" s="454">
        <f t="shared" si="3"/>
        <v>71.510000000000005</v>
      </c>
      <c r="I11" s="454">
        <f t="shared" si="3"/>
        <v>71.510000000000005</v>
      </c>
      <c r="J11" s="454">
        <f t="shared" si="3"/>
        <v>71.510000000000005</v>
      </c>
      <c r="K11" s="454">
        <f t="shared" si="3"/>
        <v>71.510000000000005</v>
      </c>
      <c r="L11" s="454">
        <f t="shared" si="3"/>
        <v>71.510000000000005</v>
      </c>
      <c r="M11" s="454">
        <f t="shared" si="3"/>
        <v>71.510000000000005</v>
      </c>
      <c r="N11" s="454">
        <f t="shared" si="3"/>
        <v>71.510000000000005</v>
      </c>
      <c r="O11" s="454">
        <f t="shared" si="3"/>
        <v>71.510000000000005</v>
      </c>
      <c r="P11" s="455">
        <f>+M11</f>
        <v>71.510000000000005</v>
      </c>
    </row>
    <row r="12" spans="1:16" ht="30">
      <c r="A12" s="83" t="s">
        <v>50</v>
      </c>
      <c r="B12" s="454" t="str">
        <f>+'COMBUSTIBLES '!B14</f>
        <v>(**)</v>
      </c>
      <c r="C12" s="454" t="str">
        <f>+B12</f>
        <v>(**)</v>
      </c>
      <c r="D12" s="454" t="str">
        <f>+C12</f>
        <v>(**)</v>
      </c>
      <c r="E12" s="454" t="str">
        <f t="shared" ref="E12:O12" si="4">+D12</f>
        <v>(**)</v>
      </c>
      <c r="F12" s="454" t="str">
        <f t="shared" si="4"/>
        <v>(**)</v>
      </c>
      <c r="G12" s="454" t="str">
        <f t="shared" si="4"/>
        <v>(**)</v>
      </c>
      <c r="H12" s="454" t="str">
        <f t="shared" si="4"/>
        <v>(**)</v>
      </c>
      <c r="I12" s="454" t="str">
        <f t="shared" si="4"/>
        <v>(**)</v>
      </c>
      <c r="J12" s="454" t="str">
        <f t="shared" si="4"/>
        <v>(**)</v>
      </c>
      <c r="K12" s="454" t="str">
        <f t="shared" si="4"/>
        <v>(**)</v>
      </c>
      <c r="L12" s="454" t="str">
        <f t="shared" si="4"/>
        <v>(**)</v>
      </c>
      <c r="M12" s="454" t="str">
        <f t="shared" si="4"/>
        <v>(**)</v>
      </c>
      <c r="N12" s="454" t="str">
        <f t="shared" si="4"/>
        <v>(**)</v>
      </c>
      <c r="O12" s="454" t="str">
        <f t="shared" si="4"/>
        <v>(**)</v>
      </c>
      <c r="P12" s="455" t="str">
        <f>+O12</f>
        <v>(**)</v>
      </c>
    </row>
    <row r="13" spans="1:16" ht="19.5" customHeight="1">
      <c r="A13" s="83" t="s">
        <v>8</v>
      </c>
      <c r="B13" s="454">
        <f>+ROUND('COMBUSTIBLES '!B16,2)</f>
        <v>1269.69</v>
      </c>
      <c r="C13" s="454">
        <f t="shared" si="1"/>
        <v>1269.69</v>
      </c>
      <c r="D13" s="454">
        <f>+B13</f>
        <v>1269.69</v>
      </c>
      <c r="E13" s="454">
        <f t="shared" ref="E13:O13" si="5">+C13</f>
        <v>1269.69</v>
      </c>
      <c r="F13" s="454">
        <f t="shared" si="5"/>
        <v>1269.69</v>
      </c>
      <c r="G13" s="454">
        <f t="shared" si="5"/>
        <v>1269.69</v>
      </c>
      <c r="H13" s="454">
        <f t="shared" si="5"/>
        <v>1269.69</v>
      </c>
      <c r="I13" s="454">
        <f t="shared" si="5"/>
        <v>1269.69</v>
      </c>
      <c r="J13" s="454">
        <f t="shared" si="5"/>
        <v>1269.69</v>
      </c>
      <c r="K13" s="454">
        <f t="shared" si="5"/>
        <v>1269.69</v>
      </c>
      <c r="L13" s="454">
        <f t="shared" si="5"/>
        <v>1269.69</v>
      </c>
      <c r="M13" s="454">
        <f t="shared" si="5"/>
        <v>1269.69</v>
      </c>
      <c r="N13" s="454">
        <f t="shared" si="5"/>
        <v>1269.69</v>
      </c>
      <c r="O13" s="454">
        <f t="shared" si="5"/>
        <v>1269.69</v>
      </c>
      <c r="P13" s="455">
        <f>+M13</f>
        <v>1269.69</v>
      </c>
    </row>
    <row r="14" spans="1:16" ht="22.5" customHeight="1">
      <c r="A14" s="83" t="s">
        <v>47</v>
      </c>
      <c r="B14" s="454" t="str">
        <f>+'COMBUSTIBLES '!B15</f>
        <v>(***)</v>
      </c>
      <c r="C14" s="454" t="str">
        <f t="shared" si="1"/>
        <v>(***)</v>
      </c>
      <c r="D14" s="454" t="str">
        <f t="shared" ref="D14:D19" si="6">+C14</f>
        <v>(***)</v>
      </c>
      <c r="E14" s="454" t="str">
        <f t="shared" ref="E14:O14" si="7">+D14</f>
        <v>(***)</v>
      </c>
      <c r="F14" s="454" t="str">
        <f t="shared" si="7"/>
        <v>(***)</v>
      </c>
      <c r="G14" s="454" t="str">
        <f t="shared" si="7"/>
        <v>(***)</v>
      </c>
      <c r="H14" s="454" t="str">
        <f t="shared" si="7"/>
        <v>(***)</v>
      </c>
      <c r="I14" s="454" t="str">
        <f t="shared" si="7"/>
        <v>(***)</v>
      </c>
      <c r="J14" s="454" t="str">
        <f t="shared" si="7"/>
        <v>(***)</v>
      </c>
      <c r="K14" s="454" t="str">
        <f t="shared" si="7"/>
        <v>(***)</v>
      </c>
      <c r="L14" s="454" t="str">
        <f t="shared" si="7"/>
        <v>(***)</v>
      </c>
      <c r="M14" s="454" t="str">
        <f t="shared" si="7"/>
        <v>(***)</v>
      </c>
      <c r="N14" s="454" t="str">
        <f t="shared" si="7"/>
        <v>(***)</v>
      </c>
      <c r="O14" s="454" t="str">
        <f t="shared" si="7"/>
        <v>(***)</v>
      </c>
      <c r="P14" s="455" t="str">
        <f t="shared" ref="P14:P19" si="8">+O14</f>
        <v>(***)</v>
      </c>
    </row>
    <row r="15" spans="1:16" ht="30">
      <c r="A15" s="83" t="s">
        <v>63</v>
      </c>
      <c r="B15" s="454" t="str">
        <f>+'COMBUSTIBLES '!B17</f>
        <v>(**)</v>
      </c>
      <c r="C15" s="454" t="str">
        <f>+B15</f>
        <v>(**)</v>
      </c>
      <c r="D15" s="454" t="str">
        <f t="shared" si="6"/>
        <v>(**)</v>
      </c>
      <c r="E15" s="454" t="str">
        <f t="shared" ref="E15:O15" si="9">+D15</f>
        <v>(**)</v>
      </c>
      <c r="F15" s="454" t="str">
        <f t="shared" si="9"/>
        <v>(**)</v>
      </c>
      <c r="G15" s="454" t="str">
        <f t="shared" si="9"/>
        <v>(**)</v>
      </c>
      <c r="H15" s="454" t="str">
        <f t="shared" si="9"/>
        <v>(**)</v>
      </c>
      <c r="I15" s="454" t="str">
        <f t="shared" si="9"/>
        <v>(**)</v>
      </c>
      <c r="J15" s="454" t="str">
        <f t="shared" si="9"/>
        <v>(**)</v>
      </c>
      <c r="K15" s="454" t="str">
        <f t="shared" si="9"/>
        <v>(**)</v>
      </c>
      <c r="L15" s="454" t="str">
        <f t="shared" si="9"/>
        <v>(**)</v>
      </c>
      <c r="M15" s="454" t="str">
        <f t="shared" si="9"/>
        <v>(**)</v>
      </c>
      <c r="N15" s="454" t="str">
        <f t="shared" si="9"/>
        <v>(**)</v>
      </c>
      <c r="O15" s="454" t="str">
        <f t="shared" si="9"/>
        <v>(**)</v>
      </c>
      <c r="P15" s="455" t="str">
        <f t="shared" si="8"/>
        <v>(**)</v>
      </c>
    </row>
    <row r="16" spans="1:16" ht="18.75" customHeight="1">
      <c r="A16" s="83" t="s">
        <v>48</v>
      </c>
      <c r="B16" s="454" t="str">
        <f>+'COMBUSTIBLES '!B18</f>
        <v>(***)</v>
      </c>
      <c r="C16" s="454" t="str">
        <f t="shared" si="1"/>
        <v>(***)</v>
      </c>
      <c r="D16" s="486" t="str">
        <f t="shared" si="6"/>
        <v>(***)</v>
      </c>
      <c r="E16" s="486" t="str">
        <f t="shared" ref="E16:O16" si="10">+D16</f>
        <v>(***)</v>
      </c>
      <c r="F16" s="486" t="str">
        <f t="shared" si="10"/>
        <v>(***)</v>
      </c>
      <c r="G16" s="486" t="str">
        <f t="shared" si="10"/>
        <v>(***)</v>
      </c>
      <c r="H16" s="486" t="str">
        <f t="shared" si="10"/>
        <v>(***)</v>
      </c>
      <c r="I16" s="486" t="str">
        <f t="shared" si="10"/>
        <v>(***)</v>
      </c>
      <c r="J16" s="486" t="str">
        <f t="shared" si="10"/>
        <v>(***)</v>
      </c>
      <c r="K16" s="486" t="str">
        <f t="shared" si="10"/>
        <v>(***)</v>
      </c>
      <c r="L16" s="486" t="str">
        <f t="shared" si="10"/>
        <v>(***)</v>
      </c>
      <c r="M16" s="486" t="str">
        <f t="shared" si="10"/>
        <v>(***)</v>
      </c>
      <c r="N16" s="486" t="str">
        <f t="shared" si="10"/>
        <v>(***)</v>
      </c>
      <c r="O16" s="486" t="str">
        <f t="shared" si="10"/>
        <v>(***)</v>
      </c>
      <c r="P16" s="487" t="str">
        <f t="shared" si="8"/>
        <v>(***)</v>
      </c>
    </row>
    <row r="17" spans="1:16" ht="18.75" customHeight="1">
      <c r="A17" s="83" t="s">
        <v>61</v>
      </c>
      <c r="B17" s="454" t="str">
        <f>+'COMBUSTIBLES '!B19</f>
        <v>(****)</v>
      </c>
      <c r="C17" s="454" t="str">
        <f t="shared" si="1"/>
        <v>(****)</v>
      </c>
      <c r="D17" s="454" t="str">
        <f t="shared" si="6"/>
        <v>(****)</v>
      </c>
      <c r="E17" s="454" t="str">
        <f t="shared" ref="E17:O17" si="11">+D17</f>
        <v>(****)</v>
      </c>
      <c r="F17" s="454" t="str">
        <f t="shared" si="11"/>
        <v>(****)</v>
      </c>
      <c r="G17" s="454" t="str">
        <f t="shared" si="11"/>
        <v>(****)</v>
      </c>
      <c r="H17" s="454" t="str">
        <f t="shared" si="11"/>
        <v>(****)</v>
      </c>
      <c r="I17" s="454" t="str">
        <f t="shared" si="11"/>
        <v>(****)</v>
      </c>
      <c r="J17" s="454" t="str">
        <f t="shared" si="11"/>
        <v>(****)</v>
      </c>
      <c r="K17" s="454" t="str">
        <f t="shared" si="11"/>
        <v>(****)</v>
      </c>
      <c r="L17" s="454" t="str">
        <f t="shared" si="11"/>
        <v>(****)</v>
      </c>
      <c r="M17" s="454" t="str">
        <f t="shared" si="11"/>
        <v>(****)</v>
      </c>
      <c r="N17" s="454" t="str">
        <f t="shared" si="11"/>
        <v>(****)</v>
      </c>
      <c r="O17" s="454" t="str">
        <f t="shared" si="11"/>
        <v>(****)</v>
      </c>
      <c r="P17" s="455" t="str">
        <f t="shared" si="8"/>
        <v>(****)</v>
      </c>
    </row>
    <row r="18" spans="1:16" ht="30">
      <c r="A18" s="83" t="s">
        <v>238</v>
      </c>
      <c r="B18" s="454" t="str">
        <f>+'COMBUSTIBLES '!B20</f>
        <v>(***)</v>
      </c>
      <c r="C18" s="454" t="str">
        <f t="shared" si="1"/>
        <v>(***)</v>
      </c>
      <c r="D18" s="454" t="str">
        <f t="shared" si="6"/>
        <v>(***)</v>
      </c>
      <c r="E18" s="454" t="str">
        <f t="shared" ref="E18:O18" si="12">+D18</f>
        <v>(***)</v>
      </c>
      <c r="F18" s="454" t="str">
        <f t="shared" si="12"/>
        <v>(***)</v>
      </c>
      <c r="G18" s="454" t="str">
        <f t="shared" si="12"/>
        <v>(***)</v>
      </c>
      <c r="H18" s="454" t="str">
        <f t="shared" si="12"/>
        <v>(***)</v>
      </c>
      <c r="I18" s="454" t="str">
        <f t="shared" si="12"/>
        <v>(***)</v>
      </c>
      <c r="J18" s="454" t="str">
        <f t="shared" si="12"/>
        <v>(***)</v>
      </c>
      <c r="K18" s="454" t="str">
        <f t="shared" si="12"/>
        <v>(***)</v>
      </c>
      <c r="L18" s="454" t="str">
        <f t="shared" si="12"/>
        <v>(***)</v>
      </c>
      <c r="M18" s="454" t="str">
        <f t="shared" si="12"/>
        <v>(***)</v>
      </c>
      <c r="N18" s="454" t="str">
        <f t="shared" si="12"/>
        <v>(***)</v>
      </c>
      <c r="O18" s="454" t="str">
        <f t="shared" si="12"/>
        <v>(***)</v>
      </c>
      <c r="P18" s="455" t="str">
        <f t="shared" si="8"/>
        <v>(***)</v>
      </c>
    </row>
    <row r="19" spans="1:16" ht="30.75" thickBot="1">
      <c r="A19" s="86" t="s">
        <v>62</v>
      </c>
      <c r="B19" s="460" t="str">
        <f>+'COMBUSTIBLES '!B21</f>
        <v>(**)</v>
      </c>
      <c r="C19" s="460" t="str">
        <f>+B19</f>
        <v>(**)</v>
      </c>
      <c r="D19" s="460" t="str">
        <f t="shared" si="6"/>
        <v>(**)</v>
      </c>
      <c r="E19" s="460" t="str">
        <f t="shared" ref="E19:O19" si="13">+D19</f>
        <v>(**)</v>
      </c>
      <c r="F19" s="460" t="str">
        <f t="shared" si="13"/>
        <v>(**)</v>
      </c>
      <c r="G19" s="460" t="str">
        <f t="shared" si="13"/>
        <v>(**)</v>
      </c>
      <c r="H19" s="460" t="str">
        <f t="shared" si="13"/>
        <v>(**)</v>
      </c>
      <c r="I19" s="460" t="str">
        <f t="shared" si="13"/>
        <v>(**)</v>
      </c>
      <c r="J19" s="460" t="str">
        <f t="shared" si="13"/>
        <v>(**)</v>
      </c>
      <c r="K19" s="460" t="str">
        <f t="shared" si="13"/>
        <v>(**)</v>
      </c>
      <c r="L19" s="460" t="str">
        <f t="shared" si="13"/>
        <v>(**)</v>
      </c>
      <c r="M19" s="460" t="str">
        <f t="shared" si="13"/>
        <v>(**)</v>
      </c>
      <c r="N19" s="460" t="str">
        <f t="shared" si="13"/>
        <v>(**)</v>
      </c>
      <c r="O19" s="460" t="str">
        <f t="shared" si="13"/>
        <v>(**)</v>
      </c>
      <c r="P19" s="461" t="str">
        <f t="shared" si="8"/>
        <v>(**)</v>
      </c>
    </row>
    <row r="20" spans="1:16" ht="13.5" thickTop="1"/>
    <row r="21" spans="1:16" ht="15">
      <c r="A21" s="611" t="s">
        <v>354</v>
      </c>
      <c r="B21" s="612"/>
      <c r="C21" s="612"/>
      <c r="D21" s="612"/>
      <c r="E21" s="612"/>
      <c r="F21" s="612"/>
      <c r="G21" s="612"/>
      <c r="H21" s="612"/>
      <c r="I21" s="612"/>
      <c r="J21" s="612"/>
      <c r="K21" s="612"/>
      <c r="L21" s="612"/>
      <c r="M21" s="612"/>
      <c r="N21" s="612"/>
      <c r="O21" s="612"/>
      <c r="P21" s="612"/>
    </row>
    <row r="22" spans="1:16" ht="15">
      <c r="A22" s="482"/>
      <c r="B22" s="483"/>
      <c r="C22" s="483"/>
      <c r="D22" s="483"/>
      <c r="E22" s="483"/>
      <c r="F22" s="483"/>
      <c r="G22" s="483"/>
      <c r="H22" s="483"/>
      <c r="I22" s="483"/>
      <c r="J22" s="483"/>
      <c r="K22" s="483"/>
      <c r="L22" s="483"/>
      <c r="M22" s="483"/>
      <c r="N22" s="483"/>
      <c r="O22" s="483"/>
      <c r="P22" s="483"/>
    </row>
    <row r="23" spans="1:16">
      <c r="A23" s="582" t="s">
        <v>230</v>
      </c>
      <c r="B23" s="582"/>
      <c r="C23" s="582"/>
      <c r="D23" s="582"/>
      <c r="E23" s="582"/>
      <c r="F23" s="582"/>
    </row>
    <row r="24" spans="1:16">
      <c r="A24" s="478"/>
      <c r="B24" s="478"/>
      <c r="C24" s="478"/>
      <c r="D24" s="478"/>
      <c r="E24" s="478"/>
      <c r="F24" s="478"/>
    </row>
    <row r="25" spans="1:16">
      <c r="A25" s="582" t="s">
        <v>226</v>
      </c>
      <c r="B25" s="582"/>
      <c r="C25" s="582"/>
      <c r="D25" s="582"/>
      <c r="E25" s="582"/>
      <c r="F25" s="582"/>
    </row>
    <row r="26" spans="1:16" ht="15">
      <c r="A26" s="16"/>
      <c r="B26" s="331"/>
      <c r="C26" s="331"/>
      <c r="D26" s="331"/>
      <c r="E26" s="331"/>
      <c r="F26" s="331"/>
    </row>
    <row r="27" spans="1:16">
      <c r="A27" s="586" t="s">
        <v>227</v>
      </c>
      <c r="B27" s="586"/>
      <c r="C27" s="586"/>
      <c r="D27" s="586"/>
      <c r="E27" s="586"/>
      <c r="F27" s="586"/>
    </row>
    <row r="28" spans="1:16">
      <c r="A28" s="479"/>
      <c r="B28" s="479"/>
      <c r="C28" s="479"/>
      <c r="D28" s="479"/>
      <c r="E28" s="479"/>
      <c r="F28" s="479"/>
    </row>
    <row r="29" spans="1:16">
      <c r="A29" s="582" t="s">
        <v>228</v>
      </c>
      <c r="B29" s="582"/>
      <c r="C29" s="582"/>
      <c r="D29" s="582"/>
      <c r="E29" s="582"/>
      <c r="F29" s="582"/>
    </row>
    <row r="30" spans="1:16" ht="15">
      <c r="A30" s="587"/>
      <c r="B30" s="588"/>
      <c r="C30" s="588"/>
      <c r="D30" s="588"/>
      <c r="E30" s="588"/>
      <c r="F30" s="588"/>
    </row>
    <row r="31" spans="1:16">
      <c r="A31" s="582" t="s">
        <v>314</v>
      </c>
      <c r="B31" s="582"/>
      <c r="C31" s="582"/>
      <c r="D31" s="582"/>
      <c r="E31" s="582"/>
      <c r="F31" s="582"/>
    </row>
    <row r="32" spans="1:16">
      <c r="A32" s="582" t="s">
        <v>322</v>
      </c>
      <c r="B32" s="582"/>
      <c r="C32" s="582"/>
      <c r="D32" s="582"/>
      <c r="E32" s="582"/>
      <c r="F32" s="582"/>
    </row>
    <row r="35" spans="1:5" ht="114.75" customHeight="1">
      <c r="A35" s="595" t="s">
        <v>355</v>
      </c>
      <c r="B35" s="595"/>
      <c r="C35" s="595"/>
      <c r="D35" s="595"/>
      <c r="E35" s="595"/>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7"/>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sheetView>
  </sheetViews>
  <sheetFormatPr baseColWidth="10" defaultColWidth="9.85546875" defaultRowHeight="14.25" outlineLevelCol="1"/>
  <cols>
    <col min="1" max="1" width="55.28515625" style="14" customWidth="1"/>
    <col min="2" max="3" width="22.5703125" style="14" customWidth="1"/>
    <col min="4" max="4" width="22.5703125" style="9" customWidth="1"/>
    <col min="5" max="5" width="26" style="9" customWidth="1"/>
    <col min="6" max="6" width="27.85546875" style="9" customWidth="1" outlineLevel="1"/>
    <col min="7" max="53" width="9.85546875" style="9" customWidth="1"/>
    <col min="54" max="16384" width="9.85546875" style="8"/>
  </cols>
  <sheetData>
    <row r="1" spans="1:53" ht="15">
      <c r="A1" s="15"/>
      <c r="B1" s="5"/>
      <c r="C1" s="5"/>
    </row>
    <row r="2" spans="1:53" s="65" customFormat="1" ht="42.75" customHeight="1">
      <c r="A2" s="613" t="str">
        <f>CONCATENATE("ESTRUCTURA DE PRECIOS DE GASOLINA EXTRA OXIGENADA VIGENTE A PARTIR DE ",'COMBUSTIBLES '!$A$1)</f>
        <v>ESTRUCTURA DE PRECIOS DE GASOLINA EXTRA OXIGENADA VIGENTE A PARTIR DE 1° DE ABRIL DE 2017</v>
      </c>
      <c r="B2" s="614"/>
      <c r="C2" s="614"/>
      <c r="D2" s="614"/>
      <c r="E2" s="614"/>
      <c r="F2" s="61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row>
    <row r="3" spans="1:53" s="65" customFormat="1" ht="22.5" customHeight="1">
      <c r="A3" s="615" t="s">
        <v>0</v>
      </c>
      <c r="B3" s="616"/>
      <c r="C3" s="616"/>
      <c r="D3" s="616"/>
      <c r="E3" s="616"/>
      <c r="F3" s="616"/>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ht="36" customHeight="1">
      <c r="A4" s="601" t="s">
        <v>1</v>
      </c>
      <c r="B4" s="600" t="s">
        <v>27</v>
      </c>
      <c r="C4" s="600" t="s">
        <v>56</v>
      </c>
      <c r="D4" s="102" t="s">
        <v>29</v>
      </c>
      <c r="E4" s="102" t="s">
        <v>29</v>
      </c>
      <c r="F4" s="102" t="s">
        <v>29</v>
      </c>
    </row>
    <row r="5" spans="1:53" ht="21.75" customHeight="1">
      <c r="A5" s="589"/>
      <c r="B5" s="592"/>
      <c r="C5" s="592"/>
      <c r="D5" s="103">
        <v>0.08</v>
      </c>
      <c r="E5" s="103">
        <v>0.1</v>
      </c>
      <c r="F5" s="103">
        <v>0.06</v>
      </c>
    </row>
    <row r="6" spans="1:53" ht="35.25" customHeight="1" thickBot="1">
      <c r="A6" s="590"/>
      <c r="B6" s="81" t="str">
        <f>C6</f>
        <v>1° DE ABRIL DE 2017</v>
      </c>
      <c r="C6" s="81" t="str">
        <f>+'COMBUSTIBLES '!C6</f>
        <v>1° DE ABRIL DE 2017</v>
      </c>
      <c r="D6" s="82" t="str">
        <f>B6</f>
        <v>1° DE ABRIL DE 2017</v>
      </c>
      <c r="E6" s="82" t="str">
        <f>C6</f>
        <v>1° DE ABRIL DE 2017</v>
      </c>
      <c r="F6" s="82" t="str">
        <f>D6</f>
        <v>1° DE ABRIL DE 2017</v>
      </c>
    </row>
    <row r="7" spans="1:53" ht="22.5" customHeight="1" thickTop="1">
      <c r="A7" s="80" t="s">
        <v>3</v>
      </c>
      <c r="B7" s="106">
        <f>+'GASOLINA CORRIENTE OXIGENADA'!B7</f>
        <v>8211.2800000000007</v>
      </c>
      <c r="C7" s="106">
        <f>'COMBUSTIBLES '!C7</f>
        <v>5110</v>
      </c>
      <c r="D7" s="107">
        <f>+ROUND((C7*(1-D5))+($B$7*D5),2)</f>
        <v>5358.1</v>
      </c>
      <c r="E7" s="107">
        <f>+ROUND((C7*(1-E5))+($B$7*E5),2)</f>
        <v>5420.13</v>
      </c>
      <c r="F7" s="107">
        <f>+ROUND((C7*(1-F5))+($B$7*F5),2)</f>
        <v>5296.08</v>
      </c>
    </row>
    <row r="8" spans="1:53" ht="22.5" customHeight="1">
      <c r="A8" s="72" t="s">
        <v>26</v>
      </c>
      <c r="B8" s="74"/>
      <c r="C8" s="74">
        <f>'GASOLINA CORRIENTE OXIGENADA'!D14</f>
        <v>7.45</v>
      </c>
      <c r="D8" s="79">
        <f>+C8</f>
        <v>7.45</v>
      </c>
      <c r="E8" s="79">
        <f>+D8</f>
        <v>7.45</v>
      </c>
      <c r="F8" s="79">
        <f>+E8</f>
        <v>7.45</v>
      </c>
    </row>
    <row r="9" spans="1:53" ht="22.5" customHeight="1">
      <c r="A9" s="72" t="s">
        <v>241</v>
      </c>
      <c r="B9" s="76"/>
      <c r="C9" s="76" t="s">
        <v>11</v>
      </c>
      <c r="D9" s="84" t="s">
        <v>11</v>
      </c>
      <c r="E9" s="84" t="s">
        <v>11</v>
      </c>
      <c r="F9" s="84" t="s">
        <v>11</v>
      </c>
    </row>
    <row r="10" spans="1:53" ht="22.5" customHeight="1">
      <c r="A10" s="72" t="s">
        <v>239</v>
      </c>
      <c r="B10" s="76"/>
      <c r="C10" s="76">
        <f>'COMBUSTIBLES '!B10</f>
        <v>71.510000000000005</v>
      </c>
      <c r="D10" s="84">
        <f>C10</f>
        <v>71.510000000000005</v>
      </c>
      <c r="E10" s="84">
        <f>D10</f>
        <v>71.510000000000005</v>
      </c>
      <c r="F10" s="84">
        <f>E10</f>
        <v>71.510000000000005</v>
      </c>
    </row>
    <row r="11" spans="1:53" ht="22.5" customHeight="1">
      <c r="A11" s="72" t="str">
        <f>+'COMBUSTIBLES '!A11</f>
        <v>Impuesto Nacional a la Gasolina y al ACPM</v>
      </c>
      <c r="B11" s="74"/>
      <c r="C11" s="74">
        <f>+'COMBUSTIBLES '!C11</f>
        <v>930</v>
      </c>
      <c r="D11" s="79">
        <f>+ROUND(+C11*(1-D5),2)</f>
        <v>855.6</v>
      </c>
      <c r="E11" s="79">
        <f>+ROUND(+C11*(1-E5),2)</f>
        <v>837</v>
      </c>
      <c r="F11" s="79">
        <f>+ROUND(+C11*(1-F5),2)</f>
        <v>874.2</v>
      </c>
    </row>
    <row r="12" spans="1:53" ht="22.5" customHeight="1">
      <c r="A12" s="72" t="str">
        <f>+'COMBUSTIBLES '!A12</f>
        <v>Impuesto sobre las Ventas</v>
      </c>
      <c r="B12" s="74"/>
      <c r="C12" s="504" t="str">
        <f>+'COMBUSTIBLES '!C12</f>
        <v>(3)</v>
      </c>
      <c r="D12" s="535" t="str">
        <f>+C12</f>
        <v>(3)</v>
      </c>
      <c r="E12" s="535" t="str">
        <f t="shared" ref="E12:F12" si="0">+D12</f>
        <v>(3)</v>
      </c>
      <c r="F12" s="535" t="str">
        <f t="shared" si="0"/>
        <v>(3)</v>
      </c>
    </row>
    <row r="13" spans="1:53" ht="22.5" customHeight="1">
      <c r="A13" s="72" t="str">
        <f>+'COMBUSTIBLES '!A13</f>
        <v>Impuesto al carbono</v>
      </c>
      <c r="B13" s="74"/>
      <c r="C13" s="74">
        <f>Variables!C44</f>
        <v>135</v>
      </c>
      <c r="D13" s="79">
        <f>+ROUND(+C13*(1-D5),2)</f>
        <v>124.2</v>
      </c>
      <c r="E13" s="79">
        <f>+ROUND(+C13*(1-E5),2)</f>
        <v>121.5</v>
      </c>
      <c r="F13" s="79">
        <f>+ROUND(+C13*(1-F5),2)</f>
        <v>126.9</v>
      </c>
    </row>
    <row r="14" spans="1:53" ht="22.5" customHeight="1">
      <c r="A14" s="72" t="s">
        <v>267</v>
      </c>
      <c r="B14" s="76"/>
      <c r="C14" s="76" t="s">
        <v>12</v>
      </c>
      <c r="D14" s="84" t="s">
        <v>12</v>
      </c>
      <c r="E14" s="84" t="s">
        <v>12</v>
      </c>
      <c r="F14" s="84" t="s">
        <v>12</v>
      </c>
    </row>
    <row r="15" spans="1:53" ht="22.5" customHeight="1">
      <c r="A15" s="72" t="s">
        <v>4</v>
      </c>
      <c r="B15" s="74"/>
      <c r="C15" s="104"/>
      <c r="D15" s="345"/>
      <c r="E15" s="345"/>
      <c r="F15" s="345"/>
    </row>
    <row r="16" spans="1:53" ht="22.5" customHeight="1">
      <c r="A16" s="72" t="s">
        <v>8</v>
      </c>
      <c r="B16" s="74"/>
      <c r="C16" s="74">
        <f>+'COMBUSTIBLES '!C16</f>
        <v>1776.95</v>
      </c>
      <c r="D16" s="79">
        <f>+ROUND(+C16*(1-D5),2)</f>
        <v>1634.79</v>
      </c>
      <c r="E16" s="79">
        <f>+ROUND(+C16*(1-E5),2)</f>
        <v>1599.26</v>
      </c>
      <c r="F16" s="79">
        <f>+ROUND(+C16*(1-F5),2)</f>
        <v>1670.33</v>
      </c>
    </row>
    <row r="17" spans="1:6" ht="22.5" customHeight="1">
      <c r="A17" s="72" t="s">
        <v>5</v>
      </c>
      <c r="B17" s="75"/>
      <c r="C17" s="75"/>
      <c r="D17" s="105"/>
      <c r="E17" s="105"/>
      <c r="F17" s="105"/>
    </row>
    <row r="18" spans="1:6" ht="22.5" customHeight="1">
      <c r="A18" s="72" t="s">
        <v>6</v>
      </c>
      <c r="B18" s="74"/>
      <c r="C18" s="104"/>
      <c r="D18" s="345"/>
      <c r="E18" s="345"/>
      <c r="F18" s="345"/>
    </row>
    <row r="19" spans="1:6" ht="22.5" customHeight="1">
      <c r="A19" s="72" t="s">
        <v>7</v>
      </c>
      <c r="B19" s="74"/>
      <c r="C19" s="74"/>
      <c r="D19" s="79"/>
      <c r="E19" s="79"/>
      <c r="F19" s="79"/>
    </row>
    <row r="20" spans="1:6" ht="22.5" customHeight="1">
      <c r="A20" s="72" t="s">
        <v>238</v>
      </c>
      <c r="B20" s="74"/>
      <c r="C20" s="74"/>
      <c r="D20" s="79"/>
      <c r="E20" s="79"/>
      <c r="F20" s="79"/>
    </row>
    <row r="21" spans="1:6" ht="22.5" customHeight="1" thickBot="1">
      <c r="A21" s="77" t="s">
        <v>9</v>
      </c>
      <c r="B21" s="87"/>
      <c r="C21" s="87" t="s">
        <v>12</v>
      </c>
      <c r="D21" s="88" t="s">
        <v>12</v>
      </c>
      <c r="E21" s="88" t="s">
        <v>12</v>
      </c>
      <c r="F21" s="88" t="s">
        <v>12</v>
      </c>
    </row>
    <row r="22" spans="1:6" ht="12.75" customHeight="1" thickTop="1">
      <c r="A22" s="16"/>
      <c r="B22" s="17"/>
      <c r="C22" s="17"/>
      <c r="D22" s="17"/>
      <c r="E22" s="17"/>
    </row>
    <row r="23" spans="1:6" ht="45" customHeight="1">
      <c r="A23" s="582" t="s">
        <v>225</v>
      </c>
      <c r="B23" s="582"/>
      <c r="C23" s="582"/>
      <c r="D23" s="582"/>
    </row>
    <row r="24" spans="1:6" ht="10.5" customHeight="1">
      <c r="A24" s="330"/>
      <c r="B24" s="330"/>
      <c r="C24" s="330"/>
      <c r="D24" s="330"/>
      <c r="E24" s="492"/>
    </row>
    <row r="25" spans="1:6" ht="31.5" customHeight="1">
      <c r="A25" s="582" t="s">
        <v>240</v>
      </c>
      <c r="B25" s="582"/>
      <c r="C25" s="582"/>
      <c r="D25" s="582"/>
    </row>
    <row r="26" spans="1:6" ht="12.75" customHeight="1">
      <c r="A26" s="330"/>
      <c r="B26" s="330"/>
      <c r="C26" s="330"/>
      <c r="D26" s="330"/>
      <c r="E26" s="492"/>
    </row>
    <row r="27" spans="1:6" ht="57" customHeight="1">
      <c r="A27" s="582" t="s">
        <v>314</v>
      </c>
      <c r="B27" s="582"/>
      <c r="C27" s="582"/>
      <c r="D27" s="582"/>
      <c r="E27" s="582"/>
      <c r="F27" s="582"/>
    </row>
    <row r="28" spans="1:6">
      <c r="A28" s="582" t="s">
        <v>403</v>
      </c>
      <c r="B28" s="582"/>
      <c r="C28" s="582"/>
      <c r="D28" s="582"/>
      <c r="E28" s="582"/>
      <c r="F28" s="582"/>
    </row>
    <row r="29" spans="1:6">
      <c r="A29" s="582" t="s">
        <v>401</v>
      </c>
      <c r="B29" s="582"/>
      <c r="C29" s="582"/>
      <c r="D29" s="582"/>
      <c r="E29" s="582"/>
      <c r="F29" s="582"/>
    </row>
    <row r="30" spans="1:6">
      <c r="A30" s="582" t="s">
        <v>402</v>
      </c>
      <c r="B30" s="582"/>
      <c r="C30" s="582"/>
      <c r="D30" s="582"/>
      <c r="E30" s="582"/>
      <c r="F30" s="582"/>
    </row>
    <row r="31" spans="1:6" ht="103.5" customHeight="1">
      <c r="A31" s="595" t="s">
        <v>355</v>
      </c>
      <c r="B31" s="595"/>
      <c r="C31" s="595"/>
      <c r="D31" s="595"/>
      <c r="E31" s="595"/>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mergeCells count="12">
    <mergeCell ref="A2:F2"/>
    <mergeCell ref="A3:F3"/>
    <mergeCell ref="A31:E31"/>
    <mergeCell ref="A25:D25"/>
    <mergeCell ref="A23:D23"/>
    <mergeCell ref="B4:B5"/>
    <mergeCell ref="C4:C5"/>
    <mergeCell ref="A4:A6"/>
    <mergeCell ref="A27:F27"/>
    <mergeCell ref="A28:F28"/>
    <mergeCell ref="A29:F29"/>
    <mergeCell ref="A30:F30"/>
  </mergeCells>
  <phoneticPr fontId="10"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7"/>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C12" sqref="C12"/>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2.42578125" style="9" customWidth="1"/>
    <col min="8" max="8" width="23.140625" style="9" customWidth="1"/>
    <col min="9" max="9" width="22" style="9" hidden="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61" customFormat="1" ht="15.75" thickBot="1">
      <c r="A1" s="60"/>
    </row>
    <row r="2" spans="1:78" s="56" customFormat="1" ht="42.75" customHeight="1" thickTop="1">
      <c r="A2" s="617" t="str">
        <f>CONCATENATE("ESTRUCTURAS DE PRECIOS PARA LA MEZCLA DE BIOCOMBUSTIBLE PARA USO EN MOTORES DIESEL CON EL ACPM VIGENTES A PARTIR DE ",'COMBUSTIBLES '!$A$1)</f>
        <v>ESTRUCTURAS DE PRECIOS PARA LA MEZCLA DE BIOCOMBUSTIBLE PARA USO EN MOTORES DIESEL CON EL ACPM VIGENTES A PARTIR DE 1° DE ABRIL DE 2017</v>
      </c>
      <c r="B2" s="618"/>
      <c r="C2" s="618"/>
      <c r="D2" s="618"/>
      <c r="E2" s="618"/>
      <c r="F2" s="618"/>
      <c r="G2" s="618"/>
      <c r="H2" s="618"/>
      <c r="I2" s="618"/>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s="56" customFormat="1" ht="19.5" customHeight="1">
      <c r="A3" s="619" t="s">
        <v>0</v>
      </c>
      <c r="B3" s="620"/>
      <c r="C3" s="620"/>
      <c r="D3" s="620"/>
      <c r="E3" s="620"/>
      <c r="F3" s="620"/>
      <c r="G3" s="620"/>
      <c r="H3" s="620"/>
      <c r="I3" s="620"/>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s="8" customFormat="1" ht="56.25" customHeight="1">
      <c r="A4" s="621" t="s">
        <v>1</v>
      </c>
      <c r="B4" s="92" t="s">
        <v>166</v>
      </c>
      <c r="C4" s="624" t="s">
        <v>65</v>
      </c>
      <c r="D4" s="624" t="s">
        <v>66</v>
      </c>
      <c r="E4" s="93" t="s">
        <v>315</v>
      </c>
      <c r="F4" s="93" t="s">
        <v>284</v>
      </c>
      <c r="G4" s="93" t="s">
        <v>273</v>
      </c>
      <c r="H4" s="93" t="s">
        <v>272</v>
      </c>
      <c r="I4" s="93" t="s">
        <v>297</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622"/>
      <c r="B5" s="94">
        <v>1</v>
      </c>
      <c r="C5" s="625"/>
      <c r="D5" s="625"/>
      <c r="E5" s="95">
        <v>0.02</v>
      </c>
      <c r="F5" s="95">
        <v>0.04</v>
      </c>
      <c r="G5" s="95">
        <v>0.08</v>
      </c>
      <c r="H5" s="95">
        <v>0.1</v>
      </c>
      <c r="I5" s="95">
        <v>0.02</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623"/>
      <c r="B6" s="191" t="str">
        <f>+'COMBUSTIBLES '!C6</f>
        <v>1° DE ABRIL DE 2017</v>
      </c>
      <c r="C6" s="191" t="str">
        <f>+B6</f>
        <v>1° DE ABRIL DE 2017</v>
      </c>
      <c r="D6" s="191" t="str">
        <f>+C6</f>
        <v>1° DE ABRIL DE 2017</v>
      </c>
      <c r="E6" s="192" t="str">
        <f>+G6</f>
        <v>1° DE ABRIL DE 2017</v>
      </c>
      <c r="F6" s="192" t="str">
        <f>+H6</f>
        <v>1° DE ABRIL DE 2017</v>
      </c>
      <c r="G6" s="192" t="str">
        <f>+D6</f>
        <v>1° DE ABRIL DE 2017</v>
      </c>
      <c r="H6" s="192" t="str">
        <f>+G6</f>
        <v>1° DE ABRIL DE 2017</v>
      </c>
      <c r="I6" s="192" t="str">
        <f t="shared" ref="I6" si="0">+G6</f>
        <v>1° DE ABRIL DE 2017</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9" customFormat="1" ht="31.5" customHeight="1" thickTop="1">
      <c r="A7" s="136" t="s">
        <v>3</v>
      </c>
      <c r="B7" s="472">
        <v>10574.9</v>
      </c>
      <c r="C7" s="472">
        <f>+'COMBUSTIBLES '!E7</f>
        <v>3999.53</v>
      </c>
      <c r="D7" s="472">
        <f>+C7</f>
        <v>3999.53</v>
      </c>
      <c r="E7" s="137"/>
      <c r="F7" s="137"/>
      <c r="G7" s="143"/>
      <c r="H7" s="137"/>
      <c r="I7" s="470"/>
      <c r="J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row>
    <row r="8" spans="1:78" s="139" customFormat="1" ht="31.5" customHeight="1">
      <c r="A8" s="140" t="s">
        <v>64</v>
      </c>
      <c r="B8" s="144"/>
      <c r="C8" s="97"/>
      <c r="D8" s="97"/>
      <c r="E8" s="96">
        <f>+ROUND(C7*(1-E5), 2)</f>
        <v>3919.54</v>
      </c>
      <c r="F8" s="96">
        <f>+ROUND(C7*(1-F5), 2)</f>
        <v>3839.55</v>
      </c>
      <c r="G8" s="96">
        <f>+ROUND(D7*(1-G5),2)</f>
        <v>3679.57</v>
      </c>
      <c r="H8" s="96">
        <f>+ROUND(+C7*(1-H5),2)</f>
        <v>3599.58</v>
      </c>
      <c r="I8" s="463">
        <f>+ROUND($D$7*(1-I5),2)+0.01</f>
        <v>3919.55</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row>
    <row r="9" spans="1:78" s="139" customFormat="1" ht="31.5" customHeight="1">
      <c r="A9" s="140" t="s">
        <v>196</v>
      </c>
      <c r="B9" s="98"/>
      <c r="C9" s="98"/>
      <c r="D9" s="98"/>
      <c r="E9" s="96">
        <f>+ROUND($B$7*E5,2)</f>
        <v>211.5</v>
      </c>
      <c r="F9" s="96">
        <f>+ROUND($B$7*F5,2)</f>
        <v>423</v>
      </c>
      <c r="G9" s="96">
        <f>+ROUND($B$7*G5,2)</f>
        <v>845.99</v>
      </c>
      <c r="H9" s="96">
        <f>+ROUND($B$7*H5,2)</f>
        <v>1057.49</v>
      </c>
      <c r="I9" s="463">
        <f>+ROUND($B$7*I5,2)</f>
        <v>211.5</v>
      </c>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row>
    <row r="10" spans="1:78" s="139" customFormat="1" ht="31.5" customHeight="1">
      <c r="A10" s="140" t="s">
        <v>296</v>
      </c>
      <c r="B10" s="98"/>
      <c r="C10" s="98"/>
      <c r="D10" s="98"/>
      <c r="E10" s="96">
        <f>+E9+E8</f>
        <v>4131.04</v>
      </c>
      <c r="F10" s="96">
        <f>+F9+F8</f>
        <v>4262.55</v>
      </c>
      <c r="G10" s="96">
        <f>+G9+G8</f>
        <v>4525.5600000000004</v>
      </c>
      <c r="H10" s="96">
        <f>+H9+H8</f>
        <v>4657.07</v>
      </c>
      <c r="I10" s="463">
        <f t="shared" ref="I10" si="1">+I9+I8</f>
        <v>4131.05</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row>
    <row r="11" spans="1:78" s="139" customFormat="1" ht="31.5" customHeight="1">
      <c r="A11" s="140" t="str">
        <f>+'COMBUSTIBLES '!A11</f>
        <v>Impuesto Nacional a la Gasolina y al ACPM</v>
      </c>
      <c r="B11" s="98"/>
      <c r="C11" s="98">
        <f>+Variables!C30</f>
        <v>469</v>
      </c>
      <c r="D11" s="98">
        <f>+Variables!C29</f>
        <v>469</v>
      </c>
      <c r="E11" s="96">
        <f>+ROUND($C$11*(1-E5),2)</f>
        <v>459.62</v>
      </c>
      <c r="F11" s="96">
        <f>+ROUND($C$11*(1-F5),2)</f>
        <v>450.24</v>
      </c>
      <c r="G11" s="96">
        <f>+ROUND(C$11*(1-G5),2)</f>
        <v>431.48</v>
      </c>
      <c r="H11" s="96">
        <f>+ROUND($D$11*(1-H5),2)</f>
        <v>422.1</v>
      </c>
      <c r="I11" s="463">
        <f>+ROUND($C$11*(1-I5),2)</f>
        <v>459.62</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row>
    <row r="12" spans="1:78" s="139" customFormat="1" ht="31.5" customHeight="1">
      <c r="A12" s="140" t="str">
        <f>+'COMBUSTIBLES '!A12</f>
        <v>Impuesto sobre las Ventas</v>
      </c>
      <c r="B12" s="98"/>
      <c r="C12" s="98" t="str">
        <f>+'COMBUSTIBLES '!C12</f>
        <v>(3)</v>
      </c>
      <c r="D12" s="98" t="str">
        <f>+C12</f>
        <v>(3)</v>
      </c>
      <c r="E12" s="96" t="str">
        <f>+D12</f>
        <v>(3)</v>
      </c>
      <c r="F12" s="96" t="str">
        <f t="shared" ref="F12:H12" si="2">+E12</f>
        <v>(3)</v>
      </c>
      <c r="G12" s="96" t="str">
        <f t="shared" si="2"/>
        <v>(3)</v>
      </c>
      <c r="H12" s="96" t="str">
        <f t="shared" si="2"/>
        <v>(3)</v>
      </c>
      <c r="I12" s="463"/>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139" customFormat="1" ht="31.5" customHeight="1">
      <c r="A13" s="140" t="str">
        <f>+'COMBUSTIBLES '!A13</f>
        <v>Impuesto al carbono</v>
      </c>
      <c r="B13" s="98"/>
      <c r="C13" s="98">
        <f>Variables!C45</f>
        <v>152</v>
      </c>
      <c r="D13" s="98">
        <f>C13</f>
        <v>152</v>
      </c>
      <c r="E13" s="96">
        <f>ROUND(D13*(1-E5),2)</f>
        <v>148.96</v>
      </c>
      <c r="F13" s="96">
        <f>ROUND(D13*(1-F5),2)</f>
        <v>145.91999999999999</v>
      </c>
      <c r="G13" s="96">
        <f>ROUND(D13*(1-G5),2)</f>
        <v>139.84</v>
      </c>
      <c r="H13" s="96">
        <f>ROUND(D13*(1-H5),2)</f>
        <v>136.80000000000001</v>
      </c>
      <c r="I13" s="463"/>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row>
    <row r="14" spans="1:78" s="139" customFormat="1" ht="31.5" customHeight="1">
      <c r="A14" s="140" t="s">
        <v>57</v>
      </c>
      <c r="B14" s="98"/>
      <c r="C14" s="475">
        <f>'GASOLINA EXTRA OXIGENADA'!C8</f>
        <v>7.45</v>
      </c>
      <c r="D14" s="475">
        <f>+C14</f>
        <v>7.45</v>
      </c>
      <c r="E14" s="96">
        <f>+D14</f>
        <v>7.45</v>
      </c>
      <c r="F14" s="96">
        <f>+E14</f>
        <v>7.45</v>
      </c>
      <c r="G14" s="96">
        <f>+F14</f>
        <v>7.45</v>
      </c>
      <c r="H14" s="96">
        <f>+C14</f>
        <v>7.45</v>
      </c>
      <c r="I14" s="463">
        <v>5.13</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row>
    <row r="15" spans="1:78" s="139" customFormat="1" ht="31.5" customHeight="1">
      <c r="A15" s="140" t="s">
        <v>242</v>
      </c>
      <c r="B15" s="98"/>
      <c r="C15" s="98" t="s">
        <v>11</v>
      </c>
      <c r="D15" s="98" t="str">
        <f>+C15</f>
        <v>(*)</v>
      </c>
      <c r="E15" s="96" t="str">
        <f>+D15</f>
        <v>(*)</v>
      </c>
      <c r="F15" s="96" t="str">
        <f>+E15</f>
        <v>(*)</v>
      </c>
      <c r="G15" s="96" t="str">
        <f>+C15</f>
        <v>(*)</v>
      </c>
      <c r="H15" s="96" t="str">
        <f>+D15</f>
        <v>(*)</v>
      </c>
      <c r="I15" s="463" t="str">
        <f>+C15</f>
        <v>(*)</v>
      </c>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row>
    <row r="16" spans="1:78" s="139" customFormat="1" ht="31.5" customHeight="1">
      <c r="A16" s="140" t="s">
        <v>243</v>
      </c>
      <c r="B16" s="98" t="s">
        <v>161</v>
      </c>
      <c r="C16" s="98"/>
      <c r="D16" s="98"/>
      <c r="E16" s="96" t="str">
        <f>+I16</f>
        <v>(**)</v>
      </c>
      <c r="F16" s="96" t="str">
        <f>+E16</f>
        <v>(**)</v>
      </c>
      <c r="G16" s="96" t="s">
        <v>12</v>
      </c>
      <c r="H16" s="96" t="str">
        <f>+E16</f>
        <v>(**)</v>
      </c>
      <c r="I16" s="463" t="str">
        <f>+G16</f>
        <v>(**)</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row>
    <row r="17" spans="1:78" s="139" customFormat="1" ht="31.5" customHeight="1">
      <c r="A17" s="83" t="s">
        <v>231</v>
      </c>
      <c r="B17" s="98"/>
      <c r="C17" s="98">
        <f>'COMBUSTIBLES '!E10</f>
        <v>71.510000000000005</v>
      </c>
      <c r="D17" s="98">
        <f>+C17</f>
        <v>71.510000000000005</v>
      </c>
      <c r="E17" s="96">
        <f>+C17</f>
        <v>71.510000000000005</v>
      </c>
      <c r="F17" s="96">
        <f>+D17</f>
        <v>71.510000000000005</v>
      </c>
      <c r="G17" s="96">
        <f>+C17</f>
        <v>71.510000000000005</v>
      </c>
      <c r="H17" s="96">
        <f>+E17</f>
        <v>71.510000000000005</v>
      </c>
      <c r="I17" s="463">
        <f>C17</f>
        <v>71.510000000000005</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row>
    <row r="18" spans="1:78" s="139" customFormat="1" ht="31.5" customHeight="1">
      <c r="A18" s="140" t="s">
        <v>50</v>
      </c>
      <c r="B18" s="98"/>
      <c r="C18" s="98"/>
      <c r="D18" s="98"/>
      <c r="E18" s="96"/>
      <c r="F18" s="96"/>
      <c r="G18" s="96"/>
      <c r="H18" s="96"/>
      <c r="I18" s="463"/>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row>
    <row r="19" spans="1:78" s="139" customFormat="1" ht="31.5" customHeight="1">
      <c r="A19" s="140" t="s">
        <v>47</v>
      </c>
      <c r="B19" s="141"/>
      <c r="C19" s="142"/>
      <c r="D19" s="142"/>
      <c r="E19" s="135" t="s">
        <v>161</v>
      </c>
      <c r="F19" s="135"/>
      <c r="G19" s="135" t="s">
        <v>161</v>
      </c>
      <c r="H19" s="462" t="s">
        <v>234</v>
      </c>
      <c r="I19" s="464" t="s">
        <v>234</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row>
    <row r="20" spans="1:78" s="139" customFormat="1" ht="31.5" customHeight="1">
      <c r="A20" s="140" t="s">
        <v>63</v>
      </c>
      <c r="B20" s="141"/>
      <c r="C20" s="141"/>
      <c r="D20" s="141"/>
      <c r="E20" s="135" t="s">
        <v>161</v>
      </c>
      <c r="F20" s="135"/>
      <c r="G20" s="135" t="s">
        <v>161</v>
      </c>
      <c r="H20" s="135" t="s">
        <v>22</v>
      </c>
      <c r="I20" s="465" t="s">
        <v>22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139" customFormat="1" ht="31.5" customHeight="1">
      <c r="A21" s="140" t="s">
        <v>48</v>
      </c>
      <c r="B21" s="141"/>
      <c r="C21" s="141"/>
      <c r="D21" s="141"/>
      <c r="E21" s="135" t="s">
        <v>161</v>
      </c>
      <c r="F21" s="135"/>
      <c r="G21" s="135" t="s">
        <v>161</v>
      </c>
      <c r="H21" s="96" t="s">
        <v>234</v>
      </c>
      <c r="I21" s="463" t="s">
        <v>234</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139" customFormat="1" ht="31.5" customHeight="1">
      <c r="A22" s="140" t="s">
        <v>245</v>
      </c>
      <c r="B22" s="141"/>
      <c r="C22" s="141"/>
      <c r="D22" s="141"/>
      <c r="E22" s="135" t="s">
        <v>161</v>
      </c>
      <c r="F22" s="135"/>
      <c r="G22" s="135" t="s">
        <v>161</v>
      </c>
      <c r="H22" s="96" t="s">
        <v>234</v>
      </c>
      <c r="I22" s="463" t="s">
        <v>234</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s="147" customFormat="1" ht="31.5" customHeight="1">
      <c r="A23" s="145" t="s">
        <v>8</v>
      </c>
      <c r="B23" s="98"/>
      <c r="C23" s="98"/>
      <c r="D23" s="98"/>
      <c r="E23" s="96"/>
      <c r="F23" s="96"/>
      <c r="G23" s="96">
        <f>'COMBUSTIBLES '!E16</f>
        <v>301.48</v>
      </c>
      <c r="H23" s="96">
        <f>'COMBUSTIBLES '!E16</f>
        <v>301.48</v>
      </c>
      <c r="I23" s="463">
        <v>301.48</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67" customFormat="1" ht="31.5" customHeight="1" thickBot="1">
      <c r="A24" s="99" t="s">
        <v>62</v>
      </c>
      <c r="B24" s="100"/>
      <c r="C24" s="100"/>
      <c r="D24" s="100"/>
      <c r="E24" s="101" t="s">
        <v>161</v>
      </c>
      <c r="F24" s="101"/>
      <c r="G24" s="101" t="s">
        <v>161</v>
      </c>
      <c r="H24" s="101" t="s">
        <v>22</v>
      </c>
      <c r="I24" s="466" t="s">
        <v>22</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9" customFormat="1" ht="25.5" customHeight="1">
      <c r="A26" s="403" t="s">
        <v>165</v>
      </c>
      <c r="B26" s="403"/>
      <c r="C26" s="403"/>
      <c r="D26" s="403"/>
      <c r="E26" s="347"/>
      <c r="F26" s="347"/>
      <c r="G26" s="347"/>
      <c r="H26" s="348"/>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9" customFormat="1" ht="25.5" customHeight="1">
      <c r="A28" s="403" t="s">
        <v>285</v>
      </c>
      <c r="B28" s="403"/>
      <c r="C28" s="403"/>
      <c r="D28" s="403"/>
      <c r="E28" s="347"/>
      <c r="F28" s="347"/>
      <c r="G28" s="403"/>
      <c r="H28" s="348"/>
      <c r="I28" s="403"/>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row>
    <row r="29" spans="1:78" s="8" customFormat="1" ht="9.75" customHeight="1">
      <c r="A29" s="398"/>
      <c r="B29" s="399"/>
      <c r="C29" s="399"/>
      <c r="D29" s="399"/>
      <c r="E29" s="2"/>
      <c r="F29" s="2"/>
      <c r="G29" s="399"/>
      <c r="H29" s="9"/>
      <c r="I29" s="39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404" t="s">
        <v>225</v>
      </c>
      <c r="B30" s="404"/>
      <c r="C30" s="404"/>
      <c r="D30" s="404"/>
      <c r="E30" s="346"/>
      <c r="F30" s="346"/>
      <c r="G30" s="404"/>
      <c r="H30" s="346"/>
      <c r="I30" s="404"/>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405"/>
      <c r="B31" s="405"/>
      <c r="C31" s="405"/>
      <c r="D31" s="405"/>
      <c r="E31" s="396"/>
      <c r="F31" s="445"/>
      <c r="G31" s="405"/>
      <c r="H31" s="396"/>
      <c r="I31" s="40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61" customFormat="1" ht="24.75" customHeight="1">
      <c r="A32" s="404" t="s">
        <v>263</v>
      </c>
      <c r="B32" s="404"/>
      <c r="C32" s="404"/>
      <c r="D32" s="404"/>
      <c r="E32" s="90"/>
      <c r="F32" s="90"/>
      <c r="G32" s="404"/>
      <c r="H32" s="90"/>
      <c r="I32" s="404"/>
    </row>
    <row r="33" spans="1:9" s="61" customFormat="1" ht="11.25" customHeight="1">
      <c r="A33" s="24" t="s">
        <v>161</v>
      </c>
      <c r="B33" s="25"/>
      <c r="C33" s="25"/>
      <c r="D33" s="25"/>
      <c r="E33" s="90"/>
      <c r="F33" s="90"/>
      <c r="G33" s="400"/>
      <c r="H33" s="90"/>
      <c r="I33" s="400"/>
    </row>
    <row r="34" spans="1:9" s="61" customFormat="1" ht="32.25" customHeight="1">
      <c r="A34" s="404" t="s">
        <v>244</v>
      </c>
      <c r="B34" s="404"/>
      <c r="C34" s="404"/>
      <c r="D34" s="404"/>
      <c r="E34" s="90"/>
      <c r="F34" s="90"/>
      <c r="G34" s="404"/>
      <c r="H34" s="90"/>
      <c r="I34" s="404"/>
    </row>
    <row r="35" spans="1:9" s="61" customFormat="1" ht="10.5" customHeight="1">
      <c r="A35" s="405"/>
      <c r="B35" s="405"/>
      <c r="C35" s="405"/>
      <c r="D35" s="405"/>
      <c r="E35" s="90"/>
      <c r="F35" s="90"/>
      <c r="G35" s="400"/>
      <c r="H35" s="90"/>
      <c r="I35" s="400"/>
    </row>
    <row r="36" spans="1:9" s="61" customFormat="1" ht="30" customHeight="1">
      <c r="A36" s="404" t="s">
        <v>236</v>
      </c>
      <c r="B36" s="404"/>
      <c r="C36" s="404"/>
      <c r="D36" s="404"/>
      <c r="E36" s="90"/>
      <c r="F36" s="90"/>
      <c r="G36" s="404"/>
      <c r="H36" s="90"/>
      <c r="I36" s="404"/>
    </row>
    <row r="37" spans="1:9" s="61" customFormat="1" ht="7.5" customHeight="1">
      <c r="A37" s="24"/>
      <c r="B37" s="25"/>
      <c r="C37" s="25"/>
      <c r="D37" s="25"/>
      <c r="E37" s="90"/>
      <c r="F37" s="90"/>
      <c r="G37" s="400"/>
      <c r="H37" s="90"/>
      <c r="I37" s="400"/>
    </row>
    <row r="38" spans="1:9" s="61" customFormat="1" ht="31.5" customHeight="1">
      <c r="A38" s="582" t="s">
        <v>314</v>
      </c>
      <c r="B38" s="582"/>
      <c r="C38" s="582"/>
      <c r="D38" s="582"/>
      <c r="E38" s="582"/>
      <c r="F38" s="582"/>
      <c r="G38" s="404"/>
      <c r="H38" s="91"/>
      <c r="I38" s="404"/>
    </row>
    <row r="39" spans="1:9" s="61" customFormat="1">
      <c r="A39" s="582" t="s">
        <v>403</v>
      </c>
      <c r="B39" s="582"/>
      <c r="C39" s="582"/>
      <c r="D39" s="582"/>
      <c r="E39" s="582"/>
      <c r="F39" s="582"/>
      <c r="G39" s="404"/>
      <c r="H39" s="91"/>
      <c r="I39" s="404"/>
    </row>
    <row r="40" spans="1:9" s="61" customFormat="1">
      <c r="A40" s="582" t="s">
        <v>401</v>
      </c>
      <c r="B40" s="582"/>
      <c r="C40" s="582"/>
      <c r="D40" s="582"/>
      <c r="E40" s="582"/>
      <c r="F40" s="582"/>
      <c r="G40" s="404"/>
      <c r="H40" s="91"/>
      <c r="I40" s="404"/>
    </row>
    <row r="41" spans="1:9" s="61" customFormat="1">
      <c r="A41" s="582" t="s">
        <v>402</v>
      </c>
      <c r="B41" s="582"/>
      <c r="C41" s="582"/>
      <c r="D41" s="582"/>
      <c r="E41" s="582"/>
      <c r="F41" s="582"/>
      <c r="G41" s="404"/>
      <c r="H41" s="91"/>
      <c r="I41" s="404"/>
    </row>
    <row r="42" spans="1:9" s="61" customFormat="1">
      <c r="A42" s="91"/>
      <c r="B42" s="91"/>
      <c r="C42" s="91"/>
      <c r="D42" s="91"/>
      <c r="E42" s="91"/>
      <c r="F42" s="91"/>
      <c r="G42" s="91"/>
      <c r="H42" s="91"/>
      <c r="I42" s="91"/>
    </row>
    <row r="43" spans="1:9" s="61" customFormat="1" ht="93.75" customHeight="1">
      <c r="A43" s="595" t="s">
        <v>355</v>
      </c>
      <c r="B43" s="595"/>
      <c r="C43" s="595"/>
      <c r="D43" s="595"/>
      <c r="E43" s="595"/>
    </row>
    <row r="47" spans="1:9">
      <c r="G47" s="19"/>
    </row>
  </sheetData>
  <mergeCells count="10">
    <mergeCell ref="A43:E43"/>
    <mergeCell ref="A2:I2"/>
    <mergeCell ref="A3:I3"/>
    <mergeCell ref="A4:A6"/>
    <mergeCell ref="C4:C5"/>
    <mergeCell ref="D4:D5"/>
    <mergeCell ref="A38:F38"/>
    <mergeCell ref="A39:F39"/>
    <mergeCell ref="A40:F40"/>
    <mergeCell ref="A41:F41"/>
  </mergeCells>
  <phoneticPr fontId="10"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8" t="s">
        <v>332</v>
      </c>
    </row>
    <row r="3" spans="1:17" ht="13.5" thickBot="1">
      <c r="B3" s="489">
        <v>0.98</v>
      </c>
      <c r="C3" s="489">
        <v>0.96</v>
      </c>
    </row>
    <row r="4" spans="1:17" ht="15.75" customHeight="1" thickTop="1">
      <c r="A4" s="626" t="s">
        <v>333</v>
      </c>
      <c r="B4" s="627"/>
      <c r="C4" s="627"/>
      <c r="D4" s="627"/>
      <c r="E4" s="627"/>
      <c r="F4" s="627"/>
      <c r="G4" s="627"/>
      <c r="H4" s="627"/>
      <c r="I4" s="627"/>
      <c r="J4" s="627"/>
      <c r="K4" s="627"/>
      <c r="L4" s="627"/>
      <c r="M4" s="627"/>
      <c r="N4" s="627"/>
      <c r="O4" s="627"/>
      <c r="P4" s="628"/>
    </row>
    <row r="5" spans="1:17" ht="18" customHeight="1">
      <c r="A5" s="629"/>
      <c r="B5" s="630"/>
      <c r="C5" s="630"/>
      <c r="D5" s="630"/>
      <c r="E5" s="630"/>
      <c r="F5" s="630"/>
      <c r="G5" s="630"/>
      <c r="H5" s="630"/>
      <c r="I5" s="630"/>
      <c r="J5" s="630"/>
      <c r="K5" s="630"/>
      <c r="L5" s="630"/>
      <c r="M5" s="630"/>
      <c r="N5" s="630"/>
      <c r="O5" s="630"/>
      <c r="P5" s="631"/>
    </row>
    <row r="6" spans="1:17" ht="66" customHeight="1">
      <c r="A6" s="447" t="s">
        <v>1</v>
      </c>
      <c r="B6" s="481" t="s">
        <v>337</v>
      </c>
      <c r="C6" s="481" t="s">
        <v>338</v>
      </c>
      <c r="D6" s="481" t="s">
        <v>339</v>
      </c>
      <c r="E6" s="481" t="s">
        <v>340</v>
      </c>
      <c r="F6" s="481" t="s">
        <v>341</v>
      </c>
      <c r="G6" s="481" t="s">
        <v>342</v>
      </c>
      <c r="H6" s="481" t="s">
        <v>343</v>
      </c>
      <c r="I6" s="481" t="s">
        <v>344</v>
      </c>
      <c r="J6" s="481" t="s">
        <v>345</v>
      </c>
      <c r="K6" s="481" t="s">
        <v>346</v>
      </c>
      <c r="L6" s="481" t="s">
        <v>347</v>
      </c>
      <c r="M6" s="481" t="s">
        <v>348</v>
      </c>
      <c r="N6" s="484" t="s">
        <v>349</v>
      </c>
      <c r="O6" s="484" t="s">
        <v>350</v>
      </c>
      <c r="P6" s="449" t="s">
        <v>351</v>
      </c>
    </row>
    <row r="7" spans="1:17" ht="21" customHeight="1">
      <c r="A7" s="89" t="s">
        <v>352</v>
      </c>
      <c r="B7" s="450">
        <v>5490.5</v>
      </c>
      <c r="C7" s="450">
        <v>5492.35</v>
      </c>
      <c r="D7" s="450">
        <v>5509.95</v>
      </c>
      <c r="E7" s="450">
        <v>5505.06</v>
      </c>
      <c r="F7" s="450">
        <v>5549.42</v>
      </c>
      <c r="G7" s="450">
        <v>5561.15</v>
      </c>
      <c r="H7" s="450">
        <v>5558.95</v>
      </c>
      <c r="I7" s="450">
        <v>5550.75</v>
      </c>
      <c r="J7" s="450">
        <v>5560.41</v>
      </c>
      <c r="K7" s="450">
        <v>5554.3</v>
      </c>
      <c r="L7" s="450">
        <v>5541.47</v>
      </c>
      <c r="M7" s="450">
        <v>5541.5</v>
      </c>
      <c r="N7" s="450">
        <v>5542.49</v>
      </c>
      <c r="O7" s="450">
        <v>5552.05</v>
      </c>
      <c r="P7" s="451">
        <v>5546.91</v>
      </c>
      <c r="Q7" s="467"/>
    </row>
    <row r="8" spans="1:17" ht="21" customHeight="1">
      <c r="A8" s="89" t="s">
        <v>335</v>
      </c>
      <c r="B8" s="450">
        <f>B7*$B$3</f>
        <v>5380.69</v>
      </c>
      <c r="C8" s="450">
        <f>C7*$B$3</f>
        <v>5382.5030000000006</v>
      </c>
      <c r="D8" s="450">
        <f>D7*$C$3</f>
        <v>5289.5519999999997</v>
      </c>
      <c r="E8" s="450">
        <f>E7*$C$3</f>
        <v>5284.8576000000003</v>
      </c>
      <c r="F8" s="450">
        <f t="shared" ref="F8:O8" si="0">F7*$B$3</f>
        <v>5438.4315999999999</v>
      </c>
      <c r="G8" s="450">
        <f t="shared" si="0"/>
        <v>5449.9269999999997</v>
      </c>
      <c r="H8" s="450">
        <f t="shared" si="0"/>
        <v>5447.7709999999997</v>
      </c>
      <c r="I8" s="450">
        <f t="shared" si="0"/>
        <v>5439.7349999999997</v>
      </c>
      <c r="J8" s="450">
        <f t="shared" si="0"/>
        <v>5449.2017999999998</v>
      </c>
      <c r="K8" s="450">
        <f t="shared" si="0"/>
        <v>5443.2139999999999</v>
      </c>
      <c r="L8" s="450">
        <f t="shared" si="0"/>
        <v>5430.6405999999997</v>
      </c>
      <c r="M8" s="450">
        <f t="shared" si="0"/>
        <v>5430.67</v>
      </c>
      <c r="N8" s="450">
        <f t="shared" si="0"/>
        <v>5431.6401999999998</v>
      </c>
      <c r="O8" s="450">
        <f t="shared" si="0"/>
        <v>5441.009</v>
      </c>
      <c r="P8" s="451">
        <f>P7*$B$3</f>
        <v>5435.9717999999993</v>
      </c>
      <c r="Q8" s="488"/>
    </row>
    <row r="9" spans="1:17" ht="21" customHeight="1">
      <c r="A9" s="89" t="s">
        <v>336</v>
      </c>
      <c r="B9" s="450">
        <f>+BIODIESEL!E9</f>
        <v>211.5</v>
      </c>
      <c r="C9" s="450">
        <f>+B9</f>
        <v>211.5</v>
      </c>
      <c r="D9" s="450">
        <f>+BIODIESEL!F9</f>
        <v>423</v>
      </c>
      <c r="E9" s="450">
        <f>+D9</f>
        <v>423</v>
      </c>
      <c r="F9" s="450">
        <f>+B9</f>
        <v>211.5</v>
      </c>
      <c r="G9" s="450">
        <f>+B9</f>
        <v>211.5</v>
      </c>
      <c r="H9" s="450">
        <f>+B9</f>
        <v>211.5</v>
      </c>
      <c r="I9" s="450">
        <f>+C9</f>
        <v>211.5</v>
      </c>
      <c r="J9" s="450">
        <f>+B9</f>
        <v>211.5</v>
      </c>
      <c r="K9" s="450">
        <f>+B9</f>
        <v>211.5</v>
      </c>
      <c r="L9" s="450">
        <f>+B9</f>
        <v>211.5</v>
      </c>
      <c r="M9" s="450">
        <f t="shared" ref="M9" si="1">+C9</f>
        <v>211.5</v>
      </c>
      <c r="N9" s="450">
        <f>+M9</f>
        <v>211.5</v>
      </c>
      <c r="O9" s="450">
        <f>+N9</f>
        <v>211.5</v>
      </c>
      <c r="P9" s="451">
        <f>+B9</f>
        <v>211.5</v>
      </c>
      <c r="Q9" s="468"/>
    </row>
    <row r="10" spans="1:17" ht="21" customHeight="1">
      <c r="A10" s="83" t="s">
        <v>307</v>
      </c>
      <c r="B10" s="452">
        <f>+B8+B9</f>
        <v>5592.19</v>
      </c>
      <c r="C10" s="452">
        <f t="shared" ref="C10:P10" si="2">+C8+C9</f>
        <v>5594.0030000000006</v>
      </c>
      <c r="D10" s="452">
        <f t="shared" si="2"/>
        <v>5712.5519999999997</v>
      </c>
      <c r="E10" s="452">
        <f t="shared" si="2"/>
        <v>5707.8576000000003</v>
      </c>
      <c r="F10" s="452">
        <f t="shared" si="2"/>
        <v>5649.9315999999999</v>
      </c>
      <c r="G10" s="452">
        <f t="shared" si="2"/>
        <v>5661.4269999999997</v>
      </c>
      <c r="H10" s="452">
        <f t="shared" si="2"/>
        <v>5659.2709999999997</v>
      </c>
      <c r="I10" s="452">
        <f t="shared" si="2"/>
        <v>5651.2349999999997</v>
      </c>
      <c r="J10" s="452">
        <f t="shared" si="2"/>
        <v>5660.7017999999998</v>
      </c>
      <c r="K10" s="452">
        <f t="shared" si="2"/>
        <v>5654.7139999999999</v>
      </c>
      <c r="L10" s="452">
        <f t="shared" si="2"/>
        <v>5642.1405999999997</v>
      </c>
      <c r="M10" s="452">
        <f t="shared" si="2"/>
        <v>5642.17</v>
      </c>
      <c r="N10" s="452">
        <f t="shared" si="2"/>
        <v>5643.1401999999998</v>
      </c>
      <c r="O10" s="452">
        <f t="shared" si="2"/>
        <v>5652.509</v>
      </c>
      <c r="P10" s="452">
        <f t="shared" si="2"/>
        <v>5647.4717999999993</v>
      </c>
    </row>
    <row r="11" spans="1:17" ht="21" customHeight="1">
      <c r="A11" s="83" t="s">
        <v>308</v>
      </c>
      <c r="B11" s="452">
        <f>+BIODIESEL!E11</f>
        <v>459.62</v>
      </c>
      <c r="C11" s="452">
        <f>+BIODIESEL!F11</f>
        <v>450.24</v>
      </c>
      <c r="D11" s="452">
        <f>+BIODIESEL!F11</f>
        <v>450.24</v>
      </c>
      <c r="E11" s="452">
        <f>+D11</f>
        <v>450.24</v>
      </c>
      <c r="F11" s="452">
        <f>+B11</f>
        <v>459.62</v>
      </c>
      <c r="G11" s="452">
        <f>+B11</f>
        <v>459.62</v>
      </c>
      <c r="H11" s="452">
        <f>+B11</f>
        <v>459.62</v>
      </c>
      <c r="I11" s="452">
        <f>+C11</f>
        <v>450.24</v>
      </c>
      <c r="J11" s="452">
        <f>+B11</f>
        <v>459.62</v>
      </c>
      <c r="K11" s="452">
        <f>+B11</f>
        <v>459.62</v>
      </c>
      <c r="L11" s="452">
        <f>+B11</f>
        <v>459.62</v>
      </c>
      <c r="M11" s="452">
        <f t="shared" ref="M11:O12" si="3">+C11</f>
        <v>450.24</v>
      </c>
      <c r="N11" s="452">
        <f t="shared" si="3"/>
        <v>450.24</v>
      </c>
      <c r="O11" s="452">
        <f t="shared" si="3"/>
        <v>450.24</v>
      </c>
      <c r="P11" s="453">
        <f>+B11</f>
        <v>459.62</v>
      </c>
    </row>
    <row r="12" spans="1:17" ht="21" customHeight="1">
      <c r="A12" s="83" t="s">
        <v>57</v>
      </c>
      <c r="B12" s="454">
        <f>+BIODIESEL!E14</f>
        <v>7.45</v>
      </c>
      <c r="C12" s="454">
        <f>+B12</f>
        <v>7.45</v>
      </c>
      <c r="D12" s="469">
        <v>5.17</v>
      </c>
      <c r="E12" s="469">
        <f>+D12</f>
        <v>5.17</v>
      </c>
      <c r="F12" s="454">
        <f>+B12</f>
        <v>7.45</v>
      </c>
      <c r="G12" s="454">
        <f>+B12</f>
        <v>7.45</v>
      </c>
      <c r="H12" s="454">
        <f>+B12</f>
        <v>7.45</v>
      </c>
      <c r="I12" s="454">
        <f>+C12</f>
        <v>7.45</v>
      </c>
      <c r="J12" s="454">
        <f>+B12</f>
        <v>7.45</v>
      </c>
      <c r="K12" s="454">
        <f>+B12</f>
        <v>7.45</v>
      </c>
      <c r="L12" s="454">
        <f>+B12</f>
        <v>7.45</v>
      </c>
      <c r="M12" s="454">
        <f t="shared" si="3"/>
        <v>7.45</v>
      </c>
      <c r="N12" s="454">
        <f>+M12</f>
        <v>7.45</v>
      </c>
      <c r="O12" s="454">
        <f>+N12</f>
        <v>7.45</v>
      </c>
      <c r="P12" s="455">
        <f>+B12</f>
        <v>7.45</v>
      </c>
    </row>
    <row r="13" spans="1:17" ht="21" customHeight="1">
      <c r="A13" s="83" t="s">
        <v>310</v>
      </c>
      <c r="B13" s="454" t="str">
        <f>+BIODIESEL!C15</f>
        <v>(*)</v>
      </c>
      <c r="C13" s="454" t="str">
        <f>+B13</f>
        <v>(*)</v>
      </c>
      <c r="D13" s="454" t="str">
        <f t="shared" ref="D13:O13" si="4">+C13</f>
        <v>(*)</v>
      </c>
      <c r="E13" s="454" t="str">
        <f t="shared" si="4"/>
        <v>(*)</v>
      </c>
      <c r="F13" s="454" t="str">
        <f t="shared" si="4"/>
        <v>(*)</v>
      </c>
      <c r="G13" s="454" t="str">
        <f t="shared" si="4"/>
        <v>(*)</v>
      </c>
      <c r="H13" s="454" t="str">
        <f t="shared" si="4"/>
        <v>(*)</v>
      </c>
      <c r="I13" s="454" t="str">
        <f t="shared" si="4"/>
        <v>(*)</v>
      </c>
      <c r="J13" s="454" t="str">
        <f t="shared" si="4"/>
        <v>(*)</v>
      </c>
      <c r="K13" s="454" t="str">
        <f t="shared" si="4"/>
        <v>(*)</v>
      </c>
      <c r="L13" s="454" t="str">
        <f t="shared" si="4"/>
        <v>(*)</v>
      </c>
      <c r="M13" s="454" t="str">
        <f t="shared" si="4"/>
        <v>(*)</v>
      </c>
      <c r="N13" s="454" t="str">
        <f t="shared" si="4"/>
        <v>(*)</v>
      </c>
      <c r="O13" s="454" t="str">
        <f t="shared" si="4"/>
        <v>(*)</v>
      </c>
      <c r="P13" s="455" t="str">
        <f>+O13</f>
        <v>(*)</v>
      </c>
    </row>
    <row r="14" spans="1:17" ht="21" customHeight="1">
      <c r="A14" s="83" t="s">
        <v>311</v>
      </c>
      <c r="B14" s="454" t="str">
        <f>+BIODIESEL!E16</f>
        <v>(**)</v>
      </c>
      <c r="C14" s="454" t="str">
        <f>+B14</f>
        <v>(**)</v>
      </c>
      <c r="D14" s="454" t="str">
        <f t="shared" ref="D14:O14" si="5">+C14</f>
        <v>(**)</v>
      </c>
      <c r="E14" s="454" t="str">
        <f t="shared" si="5"/>
        <v>(**)</v>
      </c>
      <c r="F14" s="454" t="str">
        <f t="shared" si="5"/>
        <v>(**)</v>
      </c>
      <c r="G14" s="454" t="str">
        <f t="shared" si="5"/>
        <v>(**)</v>
      </c>
      <c r="H14" s="454" t="str">
        <f t="shared" si="5"/>
        <v>(**)</v>
      </c>
      <c r="I14" s="454" t="str">
        <f t="shared" si="5"/>
        <v>(**)</v>
      </c>
      <c r="J14" s="454" t="str">
        <f t="shared" si="5"/>
        <v>(**)</v>
      </c>
      <c r="K14" s="454" t="str">
        <f t="shared" si="5"/>
        <v>(**)</v>
      </c>
      <c r="L14" s="454" t="str">
        <f t="shared" si="5"/>
        <v>(**)</v>
      </c>
      <c r="M14" s="454" t="str">
        <f t="shared" si="5"/>
        <v>(**)</v>
      </c>
      <c r="N14" s="454" t="str">
        <f t="shared" si="5"/>
        <v>(**)</v>
      </c>
      <c r="O14" s="454" t="str">
        <f t="shared" si="5"/>
        <v>(**)</v>
      </c>
      <c r="P14" s="455" t="str">
        <f>+O14</f>
        <v>(**)</v>
      </c>
    </row>
    <row r="15" spans="1:17" ht="21" customHeight="1">
      <c r="A15" s="83" t="s">
        <v>309</v>
      </c>
      <c r="B15" s="454">
        <f>+BIODIESEL!E17</f>
        <v>71.510000000000005</v>
      </c>
      <c r="C15" s="454">
        <f>+BIODIESEL!F17</f>
        <v>71.510000000000005</v>
      </c>
      <c r="D15" s="454">
        <f>+B15</f>
        <v>71.510000000000005</v>
      </c>
      <c r="E15" s="454">
        <f>+D15</f>
        <v>71.510000000000005</v>
      </c>
      <c r="F15" s="454">
        <f>+BIODIESEL!H17</f>
        <v>71.510000000000005</v>
      </c>
      <c r="G15" s="454">
        <f>+BIODIESEL!I17</f>
        <v>71.510000000000005</v>
      </c>
      <c r="H15" s="454">
        <f>+B15</f>
        <v>71.510000000000005</v>
      </c>
      <c r="I15" s="454">
        <f>+C15</f>
        <v>71.510000000000005</v>
      </c>
      <c r="J15" s="454">
        <f>+D15</f>
        <v>71.510000000000005</v>
      </c>
      <c r="K15" s="454">
        <f>+E15</f>
        <v>71.510000000000005</v>
      </c>
      <c r="L15" s="454">
        <f>+F15</f>
        <v>71.510000000000005</v>
      </c>
      <c r="M15" s="454">
        <f t="shared" ref="M15:O15" si="6">+G15</f>
        <v>71.510000000000005</v>
      </c>
      <c r="N15" s="454">
        <f t="shared" si="6"/>
        <v>71.510000000000005</v>
      </c>
      <c r="O15" s="454">
        <f t="shared" si="6"/>
        <v>71.510000000000005</v>
      </c>
      <c r="P15" s="455">
        <f>+G15</f>
        <v>71.510000000000005</v>
      </c>
    </row>
    <row r="16" spans="1:17" ht="21" customHeight="1">
      <c r="A16" s="83" t="s">
        <v>50</v>
      </c>
      <c r="B16" s="454"/>
      <c r="C16" s="454"/>
      <c r="D16" s="454"/>
      <c r="E16" s="454"/>
      <c r="F16" s="454"/>
      <c r="G16" s="454"/>
      <c r="H16" s="454"/>
      <c r="I16" s="454"/>
      <c r="J16" s="454"/>
      <c r="K16" s="454"/>
      <c r="L16" s="454"/>
      <c r="M16" s="454"/>
      <c r="N16" s="454"/>
      <c r="O16" s="454"/>
      <c r="P16" s="455"/>
    </row>
    <row r="17" spans="1:16" ht="21" customHeight="1">
      <c r="A17" s="83" t="s">
        <v>47</v>
      </c>
      <c r="B17" s="452" t="str">
        <f>+BIODIESEL!H19</f>
        <v>(****)</v>
      </c>
      <c r="C17" s="452" t="str">
        <f>+B17</f>
        <v>(****)</v>
      </c>
      <c r="D17" s="452" t="str">
        <f t="shared" ref="D17:O17" si="7">+C17</f>
        <v>(****)</v>
      </c>
      <c r="E17" s="452" t="str">
        <f t="shared" si="7"/>
        <v>(****)</v>
      </c>
      <c r="F17" s="452" t="str">
        <f t="shared" si="7"/>
        <v>(****)</v>
      </c>
      <c r="G17" s="452" t="str">
        <f t="shared" si="7"/>
        <v>(****)</v>
      </c>
      <c r="H17" s="452" t="str">
        <f t="shared" si="7"/>
        <v>(****)</v>
      </c>
      <c r="I17" s="452" t="str">
        <f t="shared" si="7"/>
        <v>(****)</v>
      </c>
      <c r="J17" s="452" t="str">
        <f t="shared" si="7"/>
        <v>(****)</v>
      </c>
      <c r="K17" s="452" t="str">
        <f t="shared" si="7"/>
        <v>(****)</v>
      </c>
      <c r="L17" s="452" t="str">
        <f t="shared" si="7"/>
        <v>(****)</v>
      </c>
      <c r="M17" s="452" t="str">
        <f t="shared" si="7"/>
        <v>(****)</v>
      </c>
      <c r="N17" s="452" t="str">
        <f t="shared" si="7"/>
        <v>(****)</v>
      </c>
      <c r="O17" s="452" t="str">
        <f t="shared" si="7"/>
        <v>(****)</v>
      </c>
      <c r="P17" s="453" t="str">
        <f>+O17</f>
        <v>(****)</v>
      </c>
    </row>
    <row r="18" spans="1:16" ht="21" customHeight="1">
      <c r="A18" s="83" t="s">
        <v>63</v>
      </c>
      <c r="B18" s="456" t="str">
        <f>+BIODIESEL!H20</f>
        <v>(***)</v>
      </c>
      <c r="C18" s="456" t="str">
        <f>+B18</f>
        <v>(***)</v>
      </c>
      <c r="D18" s="456" t="str">
        <f t="shared" ref="D18:O18" si="8">+C18</f>
        <v>(***)</v>
      </c>
      <c r="E18" s="456" t="str">
        <f t="shared" si="8"/>
        <v>(***)</v>
      </c>
      <c r="F18" s="456" t="str">
        <f t="shared" si="8"/>
        <v>(***)</v>
      </c>
      <c r="G18" s="456" t="str">
        <f t="shared" si="8"/>
        <v>(***)</v>
      </c>
      <c r="H18" s="456" t="str">
        <f t="shared" si="8"/>
        <v>(***)</v>
      </c>
      <c r="I18" s="456" t="str">
        <f t="shared" si="8"/>
        <v>(***)</v>
      </c>
      <c r="J18" s="456" t="str">
        <f t="shared" si="8"/>
        <v>(***)</v>
      </c>
      <c r="K18" s="456" t="str">
        <f t="shared" si="8"/>
        <v>(***)</v>
      </c>
      <c r="L18" s="456" t="str">
        <f t="shared" si="8"/>
        <v>(***)</v>
      </c>
      <c r="M18" s="456" t="str">
        <f t="shared" si="8"/>
        <v>(***)</v>
      </c>
      <c r="N18" s="456" t="str">
        <f t="shared" si="8"/>
        <v>(***)</v>
      </c>
      <c r="O18" s="456" t="str">
        <f t="shared" si="8"/>
        <v>(***)</v>
      </c>
      <c r="P18" s="457" t="str">
        <f>+O18</f>
        <v>(***)</v>
      </c>
    </row>
    <row r="19" spans="1:16" ht="21" customHeight="1">
      <c r="A19" s="83" t="s">
        <v>48</v>
      </c>
      <c r="B19" s="454" t="str">
        <f>+BIODIESEL!H21</f>
        <v>(****)</v>
      </c>
      <c r="C19" s="454" t="str">
        <f>+B19</f>
        <v>(****)</v>
      </c>
      <c r="D19" s="454" t="str">
        <f t="shared" ref="D19:O19" si="9">+C19</f>
        <v>(****)</v>
      </c>
      <c r="E19" s="454" t="str">
        <f t="shared" si="9"/>
        <v>(****)</v>
      </c>
      <c r="F19" s="454" t="str">
        <f t="shared" si="9"/>
        <v>(****)</v>
      </c>
      <c r="G19" s="454" t="str">
        <f t="shared" si="9"/>
        <v>(****)</v>
      </c>
      <c r="H19" s="454" t="str">
        <f t="shared" si="9"/>
        <v>(****)</v>
      </c>
      <c r="I19" s="454" t="str">
        <f t="shared" si="9"/>
        <v>(****)</v>
      </c>
      <c r="J19" s="454" t="str">
        <f t="shared" si="9"/>
        <v>(****)</v>
      </c>
      <c r="K19" s="454" t="str">
        <f t="shared" si="9"/>
        <v>(****)</v>
      </c>
      <c r="L19" s="454" t="str">
        <f t="shared" si="9"/>
        <v>(****)</v>
      </c>
      <c r="M19" s="454" t="str">
        <f t="shared" si="9"/>
        <v>(****)</v>
      </c>
      <c r="N19" s="454" t="str">
        <f t="shared" si="9"/>
        <v>(****)</v>
      </c>
      <c r="O19" s="454" t="str">
        <f t="shared" si="9"/>
        <v>(****)</v>
      </c>
      <c r="P19" s="455" t="str">
        <f>+O19</f>
        <v>(****)</v>
      </c>
    </row>
    <row r="20" spans="1:16" ht="21" customHeight="1">
      <c r="A20" s="83" t="s">
        <v>238</v>
      </c>
      <c r="B20" s="454" t="str">
        <f>+BIODIESEL!H22</f>
        <v>(****)</v>
      </c>
      <c r="C20" s="454" t="str">
        <f>+B20</f>
        <v>(****)</v>
      </c>
      <c r="D20" s="454" t="str">
        <f t="shared" ref="D20:O20" si="10">+C20</f>
        <v>(****)</v>
      </c>
      <c r="E20" s="454" t="str">
        <f t="shared" si="10"/>
        <v>(****)</v>
      </c>
      <c r="F20" s="454" t="str">
        <f t="shared" si="10"/>
        <v>(****)</v>
      </c>
      <c r="G20" s="454" t="str">
        <f t="shared" si="10"/>
        <v>(****)</v>
      </c>
      <c r="H20" s="454" t="str">
        <f t="shared" si="10"/>
        <v>(****)</v>
      </c>
      <c r="I20" s="454" t="str">
        <f t="shared" si="10"/>
        <v>(****)</v>
      </c>
      <c r="J20" s="454" t="str">
        <f t="shared" si="10"/>
        <v>(****)</v>
      </c>
      <c r="K20" s="454" t="str">
        <f t="shared" si="10"/>
        <v>(****)</v>
      </c>
      <c r="L20" s="454" t="str">
        <f t="shared" si="10"/>
        <v>(****)</v>
      </c>
      <c r="M20" s="454" t="str">
        <f t="shared" si="10"/>
        <v>(****)</v>
      </c>
      <c r="N20" s="454" t="str">
        <f t="shared" si="10"/>
        <v>(****)</v>
      </c>
      <c r="O20" s="454" t="str">
        <f t="shared" si="10"/>
        <v>(****)</v>
      </c>
      <c r="P20" s="455" t="str">
        <f>+O20</f>
        <v>(****)</v>
      </c>
    </row>
    <row r="21" spans="1:16" ht="21" customHeight="1">
      <c r="A21" s="83" t="s">
        <v>8</v>
      </c>
      <c r="B21" s="454">
        <f>+BIODIESEL!H23</f>
        <v>301.48</v>
      </c>
      <c r="C21" s="454">
        <f>+BIODIESEL!I23</f>
        <v>301.48</v>
      </c>
      <c r="D21" s="454">
        <f>+B21</f>
        <v>301.48</v>
      </c>
      <c r="E21" s="454">
        <f>+D21</f>
        <v>301.48</v>
      </c>
      <c r="F21" s="454">
        <f>+B21</f>
        <v>301.48</v>
      </c>
      <c r="G21" s="454">
        <f t="shared" ref="G21:I21" si="11">+D21</f>
        <v>301.48</v>
      </c>
      <c r="H21" s="454">
        <f t="shared" si="11"/>
        <v>301.48</v>
      </c>
      <c r="I21" s="454">
        <f t="shared" si="11"/>
        <v>301.48</v>
      </c>
      <c r="J21" s="454">
        <f>+F21</f>
        <v>301.48</v>
      </c>
      <c r="K21" s="454">
        <f>+G21</f>
        <v>301.48</v>
      </c>
      <c r="L21" s="454">
        <f>+H21</f>
        <v>301.48</v>
      </c>
      <c r="M21" s="454">
        <f t="shared" ref="M21:O21" si="12">+I21</f>
        <v>301.48</v>
      </c>
      <c r="N21" s="454">
        <f t="shared" si="12"/>
        <v>301.48</v>
      </c>
      <c r="O21" s="454">
        <f t="shared" si="12"/>
        <v>301.48</v>
      </c>
      <c r="P21" s="455">
        <f>+J21</f>
        <v>301.48</v>
      </c>
    </row>
    <row r="22" spans="1:16" ht="21" customHeight="1" thickBot="1">
      <c r="A22" s="86" t="s">
        <v>62</v>
      </c>
      <c r="B22" s="458" t="str">
        <f>+BIODIESEL!H24</f>
        <v>(***)</v>
      </c>
      <c r="C22" s="458" t="str">
        <f>+B22</f>
        <v>(***)</v>
      </c>
      <c r="D22" s="458" t="str">
        <f t="shared" ref="D22:O22" si="13">+C22</f>
        <v>(***)</v>
      </c>
      <c r="E22" s="458" t="str">
        <f t="shared" si="13"/>
        <v>(***)</v>
      </c>
      <c r="F22" s="458" t="str">
        <f t="shared" si="13"/>
        <v>(***)</v>
      </c>
      <c r="G22" s="458" t="str">
        <f t="shared" si="13"/>
        <v>(***)</v>
      </c>
      <c r="H22" s="458" t="str">
        <f t="shared" si="13"/>
        <v>(***)</v>
      </c>
      <c r="I22" s="458" t="str">
        <f t="shared" si="13"/>
        <v>(***)</v>
      </c>
      <c r="J22" s="458" t="str">
        <f t="shared" si="13"/>
        <v>(***)</v>
      </c>
      <c r="K22" s="458" t="str">
        <f t="shared" si="13"/>
        <v>(***)</v>
      </c>
      <c r="L22" s="458" t="str">
        <f t="shared" si="13"/>
        <v>(***)</v>
      </c>
      <c r="M22" s="458" t="str">
        <f t="shared" si="13"/>
        <v>(***)</v>
      </c>
      <c r="N22" s="458" t="str">
        <f t="shared" si="13"/>
        <v>(***)</v>
      </c>
      <c r="O22" s="458" t="str">
        <f t="shared" si="13"/>
        <v>(***)</v>
      </c>
      <c r="P22" s="459" t="str">
        <f>+O22</f>
        <v>(***)</v>
      </c>
    </row>
    <row r="23" spans="1:16" ht="13.5" thickTop="1"/>
    <row r="24" spans="1:16" ht="33" customHeight="1">
      <c r="A24" s="611" t="s">
        <v>353</v>
      </c>
      <c r="B24" s="612"/>
      <c r="C24" s="612"/>
      <c r="D24" s="612"/>
      <c r="E24" s="612"/>
      <c r="F24" s="612"/>
      <c r="G24" s="612"/>
      <c r="H24" s="612"/>
      <c r="I24" s="612"/>
      <c r="J24" s="612"/>
      <c r="K24" s="612"/>
      <c r="L24" s="612"/>
      <c r="M24" s="612"/>
      <c r="N24" s="612"/>
      <c r="O24" s="612"/>
      <c r="P24" s="612"/>
    </row>
    <row r="25" spans="1:16">
      <c r="A25" s="404" t="s">
        <v>225</v>
      </c>
    </row>
    <row r="26" spans="1:16">
      <c r="A26" s="405"/>
    </row>
    <row r="27" spans="1:16">
      <c r="A27" s="404" t="s">
        <v>263</v>
      </c>
    </row>
    <row r="28" spans="1:16" ht="14.25">
      <c r="A28" s="24" t="s">
        <v>161</v>
      </c>
    </row>
    <row r="29" spans="1:16">
      <c r="A29" s="404" t="s">
        <v>244</v>
      </c>
    </row>
    <row r="30" spans="1:16">
      <c r="A30" s="405"/>
    </row>
    <row r="31" spans="1:16">
      <c r="A31" s="404" t="s">
        <v>236</v>
      </c>
    </row>
    <row r="34" spans="1:5" ht="101.25" customHeight="1">
      <c r="A34" s="595" t="s">
        <v>355</v>
      </c>
      <c r="B34" s="595"/>
      <c r="C34" s="595"/>
      <c r="D34" s="595"/>
      <c r="E34" s="595"/>
    </row>
  </sheetData>
  <mergeCells count="3">
    <mergeCell ref="A4:P5"/>
    <mergeCell ref="A24:P24"/>
    <mergeCell ref="A34:E3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election activeCell="C12" sqref="C12:F12"/>
    </sheetView>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6" s="66" customFormat="1" ht="20.25" customHeight="1">
      <c r="B1" s="632" t="s">
        <v>13</v>
      </c>
      <c r="C1" s="632"/>
      <c r="D1" s="632"/>
      <c r="E1" s="632"/>
      <c r="F1" s="632"/>
    </row>
    <row r="2" spans="2:6" s="66" customFormat="1" ht="20.25" customHeight="1">
      <c r="B2" s="632" t="s">
        <v>220</v>
      </c>
      <c r="C2" s="632"/>
      <c r="D2" s="632"/>
      <c r="E2" s="632"/>
      <c r="F2" s="632"/>
    </row>
    <row r="3" spans="2:6" s="66" customFormat="1" ht="20.25">
      <c r="B3" s="632" t="s">
        <v>14</v>
      </c>
      <c r="C3" s="632"/>
      <c r="D3" s="632"/>
      <c r="E3" s="632"/>
      <c r="F3" s="632"/>
    </row>
    <row r="4" spans="2:6" ht="15">
      <c r="B4" s="32"/>
      <c r="C4" s="32"/>
      <c r="D4" s="32"/>
      <c r="E4" s="32"/>
    </row>
    <row r="5" spans="2:6" ht="15.75" thickBot="1">
      <c r="B5" s="54"/>
    </row>
    <row r="6" spans="2:6" ht="45" customHeight="1" thickTop="1">
      <c r="B6" s="109" t="s">
        <v>15</v>
      </c>
      <c r="C6" s="110" t="s">
        <v>16</v>
      </c>
      <c r="D6" s="110" t="s">
        <v>17</v>
      </c>
      <c r="E6" s="110" t="s">
        <v>18</v>
      </c>
      <c r="F6" s="111" t="s">
        <v>214</v>
      </c>
    </row>
    <row r="7" spans="2:6" ht="30" customHeight="1" thickBot="1">
      <c r="B7" s="129"/>
      <c r="C7" s="81" t="str">
        <f>+'COMBUSTIBLES '!B6</f>
        <v>1° DE ABRIL DE 2017</v>
      </c>
      <c r="D7" s="81" t="str">
        <f>'GASOLINA EXTRA OXIGENADA'!B6</f>
        <v>1° DE ABRIL DE 2017</v>
      </c>
      <c r="E7" s="81" t="str">
        <f>+D7</f>
        <v>1° DE ABRIL DE 2017</v>
      </c>
      <c r="F7" s="82" t="str">
        <f>+E7</f>
        <v>1° DE ABRIL DE 2017</v>
      </c>
    </row>
    <row r="8" spans="2:6" ht="27" customHeight="1" thickTop="1">
      <c r="B8" s="126" t="s">
        <v>19</v>
      </c>
      <c r="C8" s="127">
        <f>'COMBUSTIBLES '!B7</f>
        <v>3893.32</v>
      </c>
      <c r="D8" s="127">
        <f>'COMBUSTIBLES '!D7</f>
        <v>5110</v>
      </c>
      <c r="E8" s="127">
        <f>'COMBUSTIBLES '!E7</f>
        <v>3999.53</v>
      </c>
      <c r="F8" s="128">
        <f>+BIODIESEL!F10</f>
        <v>4262.55</v>
      </c>
    </row>
    <row r="9" spans="2:6" ht="27" customHeight="1">
      <c r="B9" s="397" t="s">
        <v>247</v>
      </c>
      <c r="C9" s="113" t="s">
        <v>60</v>
      </c>
      <c r="D9" s="113" t="str">
        <f>+C9</f>
        <v>(*****)</v>
      </c>
      <c r="E9" s="113" t="str">
        <f>+C9</f>
        <v>(*****)</v>
      </c>
      <c r="F9" s="113" t="str">
        <f>+D9</f>
        <v>(*****)</v>
      </c>
    </row>
    <row r="10" spans="2:6" ht="27" customHeight="1">
      <c r="B10" s="112" t="s">
        <v>312</v>
      </c>
      <c r="C10" s="113">
        <f>+'COMBUSTIBLES '!B8</f>
        <v>7.45</v>
      </c>
      <c r="D10" s="113">
        <f>+C10</f>
        <v>7.45</v>
      </c>
      <c r="E10" s="113">
        <f>+'COMBUSTIBLES '!E8</f>
        <v>7.45</v>
      </c>
      <c r="F10" s="114">
        <f>+BIODIESEL!F14</f>
        <v>7.45</v>
      </c>
    </row>
    <row r="11" spans="2:6" ht="27" customHeight="1">
      <c r="B11" s="115" t="s">
        <v>248</v>
      </c>
      <c r="C11" s="113">
        <f>'COMBUSTIBLES '!B10</f>
        <v>71.510000000000005</v>
      </c>
      <c r="D11" s="113">
        <f>'COMBUSTIBLES '!B10</f>
        <v>71.510000000000005</v>
      </c>
      <c r="E11" s="113">
        <f>'COMBUSTIBLES '!E10</f>
        <v>71.510000000000005</v>
      </c>
      <c r="F11" s="114">
        <f>+E11</f>
        <v>71.510000000000005</v>
      </c>
    </row>
    <row r="12" spans="2:6" ht="27" customHeight="1">
      <c r="B12" s="112" t="s">
        <v>397</v>
      </c>
      <c r="C12" s="113">
        <v>965.24</v>
      </c>
      <c r="D12" s="113">
        <v>1021.31</v>
      </c>
      <c r="E12" s="113">
        <v>639.51</v>
      </c>
      <c r="F12" s="114">
        <f>E12*96%</f>
        <v>613.92959999999994</v>
      </c>
    </row>
    <row r="13" spans="2:6" s="317" customFormat="1" ht="27" customHeight="1">
      <c r="B13" s="112" t="s">
        <v>286</v>
      </c>
      <c r="C13" s="116"/>
      <c r="D13" s="116"/>
      <c r="E13" s="116"/>
      <c r="F13" s="117"/>
    </row>
    <row r="14" spans="2:6" s="317" customFormat="1" ht="27" customHeight="1">
      <c r="B14" s="112" t="s">
        <v>381</v>
      </c>
      <c r="C14" s="116">
        <f>'COMBUSTIBLES '!B13</f>
        <v>135</v>
      </c>
      <c r="D14" s="116">
        <f>'COMBUSTIBLES '!C13</f>
        <v>135</v>
      </c>
      <c r="E14" s="116">
        <f>'COMBUSTIBLES '!E13</f>
        <v>152</v>
      </c>
      <c r="F14" s="117">
        <f>BIODIESEL!F13</f>
        <v>145.91999999999999</v>
      </c>
    </row>
    <row r="15" spans="2:6" ht="44.25" customHeight="1">
      <c r="B15" s="118" t="s">
        <v>23</v>
      </c>
      <c r="C15" s="119">
        <f>SUM(C8:C14)</f>
        <v>5072.5200000000004</v>
      </c>
      <c r="D15" s="119">
        <f>SUM(D8:D14)</f>
        <v>6345.27</v>
      </c>
      <c r="E15" s="119">
        <f>SUM(E8:E14)</f>
        <v>4870</v>
      </c>
      <c r="F15" s="120">
        <f>SUM(F8:F14)</f>
        <v>5101.3595999999998</v>
      </c>
    </row>
    <row r="16" spans="2:6" ht="32.25" customHeight="1">
      <c r="B16" s="112" t="s">
        <v>4</v>
      </c>
      <c r="C16" s="121" t="s">
        <v>12</v>
      </c>
      <c r="D16" s="113"/>
      <c r="E16" s="121" t="str">
        <f>+C16</f>
        <v>(**)</v>
      </c>
      <c r="F16" s="122" t="str">
        <f>+E16</f>
        <v>(**)</v>
      </c>
    </row>
    <row r="17" spans="2:7" s="55" customFormat="1" ht="29.25" customHeight="1">
      <c r="B17" s="148" t="s">
        <v>252</v>
      </c>
      <c r="C17" s="121" t="s">
        <v>22</v>
      </c>
      <c r="D17" s="121" t="str">
        <f>+C17</f>
        <v>(***)</v>
      </c>
      <c r="E17" s="121" t="str">
        <f>+D17</f>
        <v>(***)</v>
      </c>
      <c r="F17" s="122" t="str">
        <f>+E17</f>
        <v>(***)</v>
      </c>
    </row>
    <row r="18" spans="2:7" s="317" customFormat="1" ht="30" customHeight="1" thickBot="1">
      <c r="B18" s="123" t="s">
        <v>219</v>
      </c>
      <c r="C18" s="124" t="s">
        <v>234</v>
      </c>
      <c r="D18" s="124" t="str">
        <f>+C18</f>
        <v>(****)</v>
      </c>
      <c r="E18" s="124" t="str">
        <f>+D18</f>
        <v>(****)</v>
      </c>
      <c r="F18" s="125" t="str">
        <f>+E18</f>
        <v>(****)</v>
      </c>
    </row>
    <row r="19" spans="2:7" ht="15" thickTop="1"/>
    <row r="20" spans="2:7" s="108" customFormat="1" ht="40.5" customHeight="1">
      <c r="B20" s="633" t="s">
        <v>246</v>
      </c>
      <c r="C20" s="633"/>
      <c r="D20" s="633"/>
      <c r="E20" s="633"/>
    </row>
    <row r="21" spans="2:7" s="108" customFormat="1" ht="30.75" customHeight="1">
      <c r="B21" s="602" t="s">
        <v>295</v>
      </c>
      <c r="C21" s="602"/>
      <c r="D21" s="602"/>
      <c r="E21" s="602"/>
    </row>
    <row r="22" spans="2:7" s="108" customFormat="1" ht="5.25" customHeight="1">
      <c r="B22" s="352"/>
      <c r="C22" s="352"/>
      <c r="D22" s="352"/>
      <c r="E22" s="352"/>
    </row>
    <row r="23" spans="2:7" s="108" customFormat="1" ht="17.25" customHeight="1">
      <c r="B23" s="633" t="s">
        <v>249</v>
      </c>
      <c r="C23" s="633"/>
      <c r="D23" s="633"/>
      <c r="E23" s="633"/>
    </row>
    <row r="24" spans="2:7" s="108" customFormat="1" ht="3.75" customHeight="1">
      <c r="B24" s="318"/>
      <c r="C24" s="318"/>
      <c r="D24" s="318"/>
      <c r="E24" s="318"/>
    </row>
    <row r="25" spans="2:7" s="108" customFormat="1" ht="17.25" customHeight="1">
      <c r="B25" s="633" t="s">
        <v>268</v>
      </c>
      <c r="C25" s="633"/>
      <c r="D25" s="633"/>
      <c r="E25" s="633"/>
    </row>
    <row r="26" spans="2:7" s="108" customFormat="1" ht="8.25" customHeight="1">
      <c r="B26" s="318"/>
      <c r="C26" s="318"/>
      <c r="D26" s="318"/>
      <c r="E26" s="318"/>
    </row>
    <row r="27" spans="2:7" s="108" customFormat="1" ht="25.5" customHeight="1">
      <c r="B27" s="633" t="s">
        <v>250</v>
      </c>
      <c r="C27" s="633"/>
      <c r="D27" s="633"/>
      <c r="E27" s="633"/>
    </row>
    <row r="28" spans="2:7" ht="7.5" customHeight="1">
      <c r="B28" s="320"/>
      <c r="C28" s="320"/>
      <c r="D28" s="320"/>
      <c r="E28" s="320"/>
    </row>
    <row r="29" spans="2:7" s="317" customFormat="1" ht="45.75" customHeight="1">
      <c r="B29" s="582" t="s">
        <v>359</v>
      </c>
      <c r="C29" s="582"/>
      <c r="D29" s="582"/>
      <c r="E29" s="582"/>
    </row>
    <row r="30" spans="2:7" s="317" customFormat="1" ht="8.25" customHeight="1">
      <c r="B30" s="320"/>
      <c r="C30" s="320"/>
      <c r="D30" s="320"/>
      <c r="E30" s="320"/>
    </row>
    <row r="31" spans="2:7" ht="39.75" customHeight="1">
      <c r="B31" s="582" t="s">
        <v>314</v>
      </c>
      <c r="C31" s="582"/>
      <c r="D31" s="582"/>
      <c r="E31" s="582"/>
      <c r="F31" s="582"/>
      <c r="G31" s="582"/>
    </row>
    <row r="32" spans="2:7" ht="9.75" customHeight="1"/>
    <row r="33" spans="2:6">
      <c r="B33" s="602" t="s">
        <v>313</v>
      </c>
      <c r="C33" s="602"/>
      <c r="D33" s="602"/>
      <c r="E33" s="602"/>
    </row>
    <row r="35" spans="2:6">
      <c r="B35" s="602" t="s">
        <v>398</v>
      </c>
      <c r="C35" s="602"/>
      <c r="D35" s="602"/>
      <c r="E35" s="602"/>
    </row>
    <row r="36" spans="2:6" s="317" customFormat="1">
      <c r="B36" s="532"/>
      <c r="C36" s="532"/>
      <c r="D36" s="532"/>
      <c r="E36" s="532"/>
    </row>
    <row r="37" spans="2:6" ht="86.25" customHeight="1">
      <c r="B37" s="595" t="s">
        <v>355</v>
      </c>
      <c r="C37" s="595"/>
      <c r="D37" s="595"/>
      <c r="E37" s="595"/>
      <c r="F37" s="595"/>
    </row>
    <row r="42" spans="2:6">
      <c r="B42" s="582"/>
      <c r="C42" s="582"/>
      <c r="D42" s="582"/>
      <c r="E42" s="582"/>
    </row>
  </sheetData>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0"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12</vt:i4>
      </vt:variant>
    </vt:vector>
  </HeadingPairs>
  <TitlesOfParts>
    <vt:vector size="27" baseType="lpstr">
      <vt:lpstr>Variables</vt:lpstr>
      <vt:lpstr>TARIFAS DE TRANSPORTE</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2020-03-04T21:43:48Z</dcterms:modified>
</cp:coreProperties>
</file>