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941"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2" hidden="1">SP!$D$39:$L$90</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'!$C$25:$H$44</definedName>
    <definedName name="_xlnm.Print_Area" localSheetId="4">'GASOLINA CORRIENTE OXIGENADA'!$A$2:$D$25</definedName>
    <definedName name="_xlnm.Print_Area" localSheetId="6">'GASOLINA EXTRA OXIGENADA'!$A$2:$C$21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D31" i="91" l="1"/>
  <c r="F6" i="1"/>
  <c r="D9" i="70" l="1"/>
  <c r="H9" i="70" l="1"/>
  <c r="E9" i="70"/>
  <c r="C34" i="106" l="1"/>
  <c r="K87" i="114" l="1"/>
  <c r="K85" i="114"/>
  <c r="D6" i="91" l="1"/>
  <c r="E8" i="4"/>
  <c r="D30" i="91" s="1"/>
  <c r="C8" i="4"/>
  <c r="D8" i="4"/>
  <c r="I52" i="70" l="1"/>
  <c r="H52" i="70"/>
  <c r="E52" i="70"/>
  <c r="J51" i="70"/>
  <c r="J52" i="70" s="1"/>
  <c r="I51" i="70"/>
  <c r="H51" i="70"/>
  <c r="G51" i="70"/>
  <c r="G52" i="70" s="1"/>
  <c r="F51" i="70"/>
  <c r="F52" i="70" s="1"/>
  <c r="E51" i="70"/>
  <c r="D51" i="70"/>
  <c r="D52" i="70" s="1"/>
  <c r="C17" i="70"/>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B12" i="70"/>
  <c r="C12" i="70" s="1"/>
  <c r="D12" i="70" s="1"/>
  <c r="J12" i="70" s="1"/>
  <c r="H11" i="70"/>
  <c r="F11" i="70"/>
  <c r="E11" i="70"/>
  <c r="D11" i="70"/>
  <c r="J11" i="70" s="1"/>
  <c r="C11" i="70"/>
  <c r="G11" i="70" s="1"/>
  <c r="F10" i="70"/>
  <c r="D10" i="70"/>
  <c r="B10" i="70"/>
  <c r="G9" i="70"/>
  <c r="F9" i="70"/>
  <c r="J9" i="70"/>
  <c r="B9" i="70"/>
  <c r="J8" i="70"/>
  <c r="I8" i="70"/>
  <c r="C8" i="70"/>
  <c r="C9" i="70" s="1"/>
  <c r="J7" i="70"/>
  <c r="L51" i="70" s="1"/>
  <c r="L52" i="70" s="1"/>
  <c r="I7" i="70"/>
  <c r="K51" i="70" s="1"/>
  <c r="K52" i="70" s="1"/>
  <c r="A5" i="70"/>
  <c r="D94" i="91"/>
  <c r="D92" i="91"/>
  <c r="D91" i="91"/>
  <c r="D96" i="91" s="1"/>
  <c r="F80" i="91"/>
  <c r="E80" i="91"/>
  <c r="D80" i="91"/>
  <c r="F77" i="91"/>
  <c r="E77" i="91"/>
  <c r="D77" i="91"/>
  <c r="D76" i="91"/>
  <c r="F76" i="91" s="1"/>
  <c r="F81" i="91" s="1"/>
  <c r="F82" i="91" s="1"/>
  <c r="F58" i="91"/>
  <c r="E58" i="91"/>
  <c r="F57" i="91"/>
  <c r="E57" i="91"/>
  <c r="D57" i="91"/>
  <c r="D55" i="91"/>
  <c r="E55" i="91" s="1"/>
  <c r="F55" i="91" s="1"/>
  <c r="F53" i="91"/>
  <c r="H38" i="91"/>
  <c r="G38" i="91"/>
  <c r="F38" i="91"/>
  <c r="E38" i="91"/>
  <c r="H37" i="91"/>
  <c r="G37" i="91"/>
  <c r="F37" i="91"/>
  <c r="E37" i="91"/>
  <c r="F30" i="91"/>
  <c r="F29" i="91"/>
  <c r="E29" i="91"/>
  <c r="D29" i="91"/>
  <c r="D11" i="91"/>
  <c r="E11" i="91" s="1"/>
  <c r="J10" i="91"/>
  <c r="D10" i="91"/>
  <c r="E10" i="91" s="1"/>
  <c r="F10" i="91" s="1"/>
  <c r="F9" i="91"/>
  <c r="F33" i="91" s="1"/>
  <c r="E9" i="91"/>
  <c r="E33" i="91" s="1"/>
  <c r="E56" i="91" s="1"/>
  <c r="F56" i="91" s="1"/>
  <c r="D9" i="91"/>
  <c r="D56" i="91" s="1"/>
  <c r="E8" i="91"/>
  <c r="F8" i="91" s="1"/>
  <c r="I8" i="91" s="1"/>
  <c r="J8" i="91" s="1"/>
  <c r="D8" i="91"/>
  <c r="E7" i="91"/>
  <c r="F7" i="91" s="1"/>
  <c r="D7" i="91"/>
  <c r="D78" i="91" s="1"/>
  <c r="D93" i="91" s="1"/>
  <c r="E6" i="91"/>
  <c r="F18" i="4"/>
  <c r="E18" i="4"/>
  <c r="D18" i="4"/>
  <c r="F17" i="4"/>
  <c r="E17" i="4"/>
  <c r="D17" i="4"/>
  <c r="F16" i="4"/>
  <c r="E16" i="4"/>
  <c r="E14" i="4"/>
  <c r="D14" i="4"/>
  <c r="C14" i="4"/>
  <c r="E12" i="4"/>
  <c r="F12" i="4" s="1"/>
  <c r="D12" i="4"/>
  <c r="C12" i="4"/>
  <c r="E11" i="4"/>
  <c r="F11" i="4" s="1"/>
  <c r="D11" i="4"/>
  <c r="C11" i="4"/>
  <c r="E10" i="4"/>
  <c r="C10" i="4"/>
  <c r="D10" i="4" s="1"/>
  <c r="E9" i="4"/>
  <c r="D9" i="4"/>
  <c r="F9" i="4" s="1"/>
  <c r="C7" i="4"/>
  <c r="C4" i="91" s="1"/>
  <c r="C28" i="91" s="1"/>
  <c r="C51" i="91" s="1"/>
  <c r="C74" i="91" s="1"/>
  <c r="C89" i="91"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D9" i="108"/>
  <c r="E9" i="108" s="1"/>
  <c r="E10" i="108" s="1"/>
  <c r="C9" i="108"/>
  <c r="C10" i="108" s="1"/>
  <c r="B9" i="108"/>
  <c r="P9" i="108" s="1"/>
  <c r="P10" i="108" s="1"/>
  <c r="P8" i="108"/>
  <c r="O8" i="108"/>
  <c r="N8" i="108"/>
  <c r="M8" i="108"/>
  <c r="L8" i="108"/>
  <c r="K8" i="108"/>
  <c r="J8" i="108"/>
  <c r="I8" i="108"/>
  <c r="H8" i="108"/>
  <c r="G8" i="108"/>
  <c r="F8" i="108"/>
  <c r="E8" i="108"/>
  <c r="D8" i="108"/>
  <c r="C8" i="108"/>
  <c r="B8" i="108"/>
  <c r="G23" i="95"/>
  <c r="B21" i="108" s="1"/>
  <c r="D21" i="108" s="1"/>
  <c r="C17" i="95"/>
  <c r="E17" i="95" s="1"/>
  <c r="G17" i="95" s="1"/>
  <c r="F15" i="108" s="1"/>
  <c r="L15" i="108" s="1"/>
  <c r="G16" i="95"/>
  <c r="F16" i="95"/>
  <c r="G15" i="95"/>
  <c r="F15" i="95"/>
  <c r="E15" i="95"/>
  <c r="D15" i="95"/>
  <c r="C14" i="95"/>
  <c r="G14" i="95" s="1"/>
  <c r="C13" i="95"/>
  <c r="D13" i="95" s="1"/>
  <c r="A13" i="95"/>
  <c r="C12" i="95"/>
  <c r="D12" i="95" s="1"/>
  <c r="E12" i="95" s="1"/>
  <c r="A12" i="95"/>
  <c r="D11" i="95"/>
  <c r="G11" i="95" s="1"/>
  <c r="C11" i="95"/>
  <c r="F11" i="95" s="1"/>
  <c r="A11" i="95"/>
  <c r="G9" i="95"/>
  <c r="F9" i="95"/>
  <c r="E9" i="95"/>
  <c r="C7" i="95"/>
  <c r="G8" i="95" s="1"/>
  <c r="G10" i="95" s="1"/>
  <c r="B6" i="95"/>
  <c r="E6" i="95" s="1"/>
  <c r="A2" i="95"/>
  <c r="D13" i="96"/>
  <c r="C13" i="96"/>
  <c r="A13" i="96"/>
  <c r="C12" i="96"/>
  <c r="D12" i="96" s="1"/>
  <c r="A12" i="96"/>
  <c r="A11" i="96"/>
  <c r="C10" i="96"/>
  <c r="D10" i="96" s="1"/>
  <c r="C8" i="96"/>
  <c r="D8" i="96" s="1"/>
  <c r="C7" i="96"/>
  <c r="K127" i="114" s="1"/>
  <c r="B7" i="96"/>
  <c r="C6" i="96"/>
  <c r="B6" i="96" s="1"/>
  <c r="D7" i="4" s="1"/>
  <c r="E7" i="4" s="1"/>
  <c r="F7" i="4" s="1"/>
  <c r="A2" i="96"/>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D8" i="107"/>
  <c r="F8" i="107" s="1"/>
  <c r="H8" i="107" s="1"/>
  <c r="J8" i="107" s="1"/>
  <c r="L8" i="107" s="1"/>
  <c r="N8" i="107" s="1"/>
  <c r="B8" i="107"/>
  <c r="C8" i="107" s="1"/>
  <c r="E8" i="107" s="1"/>
  <c r="G8" i="107" s="1"/>
  <c r="I8" i="107" s="1"/>
  <c r="K8" i="107" s="1"/>
  <c r="M8" i="107" s="1"/>
  <c r="A8" i="107"/>
  <c r="D24" i="46"/>
  <c r="D22" i="46"/>
  <c r="C17" i="46"/>
  <c r="D17" i="46" s="1"/>
  <c r="C14" i="46"/>
  <c r="D14" i="46" s="1"/>
  <c r="C13" i="46"/>
  <c r="D13" i="46" s="1"/>
  <c r="A13" i="46"/>
  <c r="C9" i="91" s="1"/>
  <c r="C33" i="91" s="1"/>
  <c r="C56" i="91" s="1"/>
  <c r="C12" i="46"/>
  <c r="D12" i="46" s="1"/>
  <c r="A12" i="46"/>
  <c r="C8" i="91" s="1"/>
  <c r="C32" i="91" s="1"/>
  <c r="C55" i="91" s="1"/>
  <c r="C11" i="46"/>
  <c r="D11" i="46" s="1"/>
  <c r="A11" i="46"/>
  <c r="C7" i="91" s="1"/>
  <c r="C31" i="91" s="1"/>
  <c r="C54" i="91" s="1"/>
  <c r="D9" i="46"/>
  <c r="C7" i="46"/>
  <c r="D8" i="46" s="1"/>
  <c r="D10" i="46" s="1"/>
  <c r="D6" i="46"/>
  <c r="C6" i="46"/>
  <c r="B6" i="46"/>
  <c r="A2" i="46"/>
  <c r="E20" i="1"/>
  <c r="E18" i="1"/>
  <c r="E16" i="1"/>
  <c r="D13" i="91" s="1"/>
  <c r="C16" i="1"/>
  <c r="D16" i="1" s="1"/>
  <c r="B16" i="1"/>
  <c r="B13" i="107" s="1"/>
  <c r="E15" i="1"/>
  <c r="C11" i="1"/>
  <c r="C11" i="96" s="1"/>
  <c r="D11" i="96" s="1"/>
  <c r="E10" i="1"/>
  <c r="D10" i="1"/>
  <c r="C10" i="1"/>
  <c r="E8" i="1"/>
  <c r="D8" i="1"/>
  <c r="C8" i="1"/>
  <c r="B8" i="1"/>
  <c r="D7" i="1"/>
  <c r="G6" i="1"/>
  <c r="E6" i="1"/>
  <c r="D6" i="1"/>
  <c r="C6" i="1"/>
  <c r="B6" i="1"/>
  <c r="A2" i="1"/>
  <c r="D317" i="114"/>
  <c r="D314" i="114"/>
  <c r="D311" i="114"/>
  <c r="D308" i="114"/>
  <c r="D305" i="114"/>
  <c r="D302" i="114"/>
  <c r="D299" i="114"/>
  <c r="D296" i="114"/>
  <c r="D293" i="114"/>
  <c r="K272" i="114"/>
  <c r="K271" i="114"/>
  <c r="K270" i="114"/>
  <c r="K200" i="114"/>
  <c r="K196" i="114"/>
  <c r="K192" i="114"/>
  <c r="K123" i="114"/>
  <c r="K121" i="114"/>
  <c r="K125" i="114" s="1"/>
  <c r="K120" i="114"/>
  <c r="K95" i="114"/>
  <c r="K94" i="114"/>
  <c r="K83" i="114"/>
  <c r="K86" i="114" s="1"/>
  <c r="K82" i="114"/>
  <c r="K81" i="114"/>
  <c r="K80" i="114"/>
  <c r="K79" i="114"/>
  <c r="K78" i="114"/>
  <c r="K77" i="114"/>
  <c r="K76" i="114"/>
  <c r="K74" i="114"/>
  <c r="K73" i="114"/>
  <c r="K72" i="114"/>
  <c r="K71" i="114"/>
  <c r="K70" i="114"/>
  <c r="K67" i="114"/>
  <c r="K66" i="114"/>
  <c r="K65" i="114"/>
  <c r="K64" i="114"/>
  <c r="K63" i="114"/>
  <c r="K61" i="114"/>
  <c r="K59" i="114"/>
  <c r="K58" i="114"/>
  <c r="K57" i="114"/>
  <c r="K56" i="114"/>
  <c r="K55" i="114"/>
  <c r="E126" i="114" s="1"/>
  <c r="K54" i="114"/>
  <c r="K53" i="114"/>
  <c r="K49" i="114"/>
  <c r="K48" i="114"/>
  <c r="K47" i="114"/>
  <c r="K46" i="114"/>
  <c r="K44" i="114"/>
  <c r="R5"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49" i="106"/>
  <c r="C48" i="106"/>
  <c r="C47" i="106"/>
  <c r="C46" i="106"/>
  <c r="C42" i="106"/>
  <c r="C41" i="106"/>
  <c r="C33" i="106"/>
  <c r="C32" i="106"/>
  <c r="I31" i="106"/>
  <c r="H31" i="106"/>
  <c r="G31" i="106"/>
  <c r="F31" i="106"/>
  <c r="E31" i="106"/>
  <c r="C31" i="106"/>
  <c r="I30" i="106"/>
  <c r="H30" i="106"/>
  <c r="G30" i="106"/>
  <c r="F30" i="106"/>
  <c r="E30" i="106"/>
  <c r="C30" i="106"/>
  <c r="G29" i="106"/>
  <c r="F29" i="106"/>
  <c r="E29" i="106"/>
  <c r="C29" i="106"/>
  <c r="G28" i="106"/>
  <c r="F28" i="106"/>
  <c r="E28" i="106"/>
  <c r="C28" i="106"/>
  <c r="C27" i="106"/>
  <c r="C25" i="106"/>
  <c r="C24" i="106"/>
  <c r="I23" i="106"/>
  <c r="H23" i="106"/>
  <c r="C23" i="106"/>
  <c r="I22" i="106"/>
  <c r="H22" i="106"/>
  <c r="G22" i="106"/>
  <c r="F22" i="106"/>
  <c r="E22" i="106"/>
  <c r="C22" i="106"/>
  <c r="I21" i="106"/>
  <c r="H21" i="106"/>
  <c r="G21" i="106"/>
  <c r="F21" i="106"/>
  <c r="E21" i="106"/>
  <c r="C21" i="106"/>
  <c r="C20" i="106"/>
  <c r="I19" i="106"/>
  <c r="B17" i="106"/>
  <c r="B43" i="106" s="1"/>
  <c r="J9" i="91" l="1"/>
  <c r="D11" i="107"/>
  <c r="F11" i="107" s="1"/>
  <c r="H11" i="107" s="1"/>
  <c r="J11" i="107" s="1"/>
  <c r="L11" i="107" s="1"/>
  <c r="N11" i="107" s="1"/>
  <c r="C15" i="4"/>
  <c r="C16" i="96"/>
  <c r="D16" i="96" s="1"/>
  <c r="I9" i="91"/>
  <c r="D11" i="1"/>
  <c r="D6" i="96"/>
  <c r="D15" i="4"/>
  <c r="J7" i="91"/>
  <c r="E54" i="91" s="1"/>
  <c r="F54" i="91" s="1"/>
  <c r="D7" i="96"/>
  <c r="E11" i="95"/>
  <c r="E13" i="70" s="1"/>
  <c r="D34" i="91"/>
  <c r="E34" i="91" s="1"/>
  <c r="F34" i="91" s="1"/>
  <c r="G34" i="91" s="1"/>
  <c r="H34" i="91" s="1"/>
  <c r="D95"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9" i="91" s="1"/>
  <c r="C19" i="46"/>
  <c r="D19" i="46" s="1"/>
  <c r="D33" i="91"/>
  <c r="D35" i="91"/>
  <c r="D59" i="91" s="1"/>
  <c r="D79" i="91" s="1"/>
  <c r="I13" i="70"/>
  <c r="E17" i="70"/>
  <c r="F17" i="70" s="1"/>
  <c r="E15" i="4"/>
  <c r="D109" i="91"/>
  <c r="F6" i="91"/>
  <c r="I6" i="91" s="1"/>
  <c r="D12" i="91"/>
  <c r="E31" i="91"/>
  <c r="F31" i="91" s="1"/>
  <c r="H31" i="91" s="1"/>
  <c r="D40" i="91"/>
  <c r="D54" i="91"/>
  <c r="B18" i="70"/>
  <c r="G31" i="91"/>
  <c r="E118" i="114"/>
  <c r="E117" i="114"/>
  <c r="E76" i="91"/>
  <c r="E81" i="91" s="1"/>
  <c r="E82" i="91" s="1"/>
  <c r="D81" i="91"/>
  <c r="D82" i="91" s="1"/>
  <c r="E12" i="91"/>
  <c r="E30" i="91"/>
  <c r="D112" i="91"/>
  <c r="G13" i="95"/>
  <c r="E13" i="95"/>
  <c r="E15" i="70" s="1"/>
  <c r="H15" i="70" s="1"/>
  <c r="D7" i="95"/>
  <c r="D14" i="95"/>
  <c r="E14" i="95" s="1"/>
  <c r="K52" i="114" s="1"/>
  <c r="D17" i="95"/>
  <c r="F17" i="95" s="1"/>
  <c r="C15" i="108" s="1"/>
  <c r="I15" i="108" s="1"/>
  <c r="O15" i="108" s="1"/>
  <c r="E8" i="95"/>
  <c r="K88" i="114" s="1"/>
  <c r="D10" i="108"/>
  <c r="F14" i="70"/>
  <c r="H14" i="70" s="1"/>
  <c r="J14" i="70" s="1"/>
  <c r="D11" i="108"/>
  <c r="C11" i="108"/>
  <c r="M11" i="108" s="1"/>
  <c r="C13" i="70"/>
  <c r="F12" i="95"/>
  <c r="G12" i="95"/>
  <c r="I9" i="108"/>
  <c r="I10" i="108" s="1"/>
  <c r="C6" i="95"/>
  <c r="D6" i="95" s="1"/>
  <c r="G6" i="95"/>
  <c r="F8" i="95"/>
  <c r="F13" i="95"/>
  <c r="F14" i="4" s="1"/>
  <c r="K9" i="108"/>
  <c r="K10" i="108" s="1"/>
  <c r="B11" i="108"/>
  <c r="P11" i="108" s="1"/>
  <c r="B15" i="108"/>
  <c r="M15" i="108"/>
  <c r="H13" i="70"/>
  <c r="M9" i="108"/>
  <c r="M10" i="108" s="1"/>
  <c r="I11" i="70"/>
  <c r="F6" i="95"/>
  <c r="G9" i="108"/>
  <c r="G10" i="108" s="1"/>
  <c r="B10" i="108"/>
  <c r="E113" i="91"/>
  <c r="G21" i="108"/>
  <c r="K21" i="108" s="1"/>
  <c r="O21" i="108" s="1"/>
  <c r="E21" i="108"/>
  <c r="H21" i="108" s="1"/>
  <c r="L21" i="108" s="1"/>
  <c r="F9" i="108"/>
  <c r="F10" i="108" s="1"/>
  <c r="J9" i="108"/>
  <c r="J10" i="108" s="1"/>
  <c r="F21" i="108"/>
  <c r="I9" i="70"/>
  <c r="E12" i="70"/>
  <c r="F12" i="70" s="1"/>
  <c r="I12" i="70"/>
  <c r="E8" i="70"/>
  <c r="H9" i="108"/>
  <c r="H10" i="108" s="1"/>
  <c r="L9" i="108"/>
  <c r="L10" i="108" s="1"/>
  <c r="H10" i="70" l="1"/>
  <c r="K194" i="114"/>
  <c r="D36" i="91"/>
  <c r="D39" i="91" s="1"/>
  <c r="F11" i="108"/>
  <c r="L11" i="108"/>
  <c r="E36" i="91"/>
  <c r="E39" i="91" s="1"/>
  <c r="C18" i="70"/>
  <c r="E18" i="70"/>
  <c r="G18" i="70" s="1"/>
  <c r="D18" i="70"/>
  <c r="G17" i="70"/>
  <c r="H17" i="70"/>
  <c r="H11" i="108"/>
  <c r="K50" i="114"/>
  <c r="D83" i="91"/>
  <c r="D62" i="91"/>
  <c r="O13" i="107"/>
  <c r="P13" i="107"/>
  <c r="F35" i="91"/>
  <c r="I11" i="91"/>
  <c r="F12" i="91"/>
  <c r="J6" i="91"/>
  <c r="E109" i="91"/>
  <c r="F109" i="91" s="1"/>
  <c r="E112" i="91"/>
  <c r="F112" i="91" s="1"/>
  <c r="K225" i="114" s="1"/>
  <c r="E10" i="70"/>
  <c r="G10" i="70" s="1"/>
  <c r="F14" i="95"/>
  <c r="C10" i="70" s="1"/>
  <c r="E10" i="95"/>
  <c r="K84" i="114" s="1"/>
  <c r="K69" i="114"/>
  <c r="N9" i="108"/>
  <c r="B12" i="108"/>
  <c r="F10" i="95"/>
  <c r="K199" i="114"/>
  <c r="K62" i="114"/>
  <c r="I11" i="108"/>
  <c r="J11" i="108"/>
  <c r="K11" i="108"/>
  <c r="G11" i="108"/>
  <c r="N11" i="108"/>
  <c r="E11" i="108"/>
  <c r="O11" i="108" s="1"/>
  <c r="D15" i="108"/>
  <c r="H15" i="108"/>
  <c r="N15" i="108" s="1"/>
  <c r="H8" i="70"/>
  <c r="O9" i="108"/>
  <c r="O10" i="108" s="1"/>
  <c r="N10" i="108"/>
  <c r="G12" i="70"/>
  <c r="H12" i="70"/>
  <c r="I21" i="108"/>
  <c r="M21" i="108" s="1"/>
  <c r="J21" i="108"/>
  <c r="G35" i="91" l="1"/>
  <c r="G36" i="91" s="1"/>
  <c r="G39" i="91" s="1"/>
  <c r="J11" i="91"/>
  <c r="H35" i="91" s="1"/>
  <c r="H36" i="91" s="1"/>
  <c r="H39" i="91" s="1"/>
  <c r="F18" i="70"/>
  <c r="H18" i="70" s="1"/>
  <c r="I18" i="70"/>
  <c r="F59" i="91"/>
  <c r="F36" i="91"/>
  <c r="F39" i="91" s="1"/>
  <c r="J12" i="91"/>
  <c r="E111" i="91"/>
  <c r="E110" i="91"/>
  <c r="I12" i="91"/>
  <c r="K222" i="114"/>
  <c r="K221" i="114"/>
  <c r="K51" i="114"/>
  <c r="D53" i="91"/>
  <c r="D111" i="91"/>
  <c r="K193" i="114"/>
  <c r="K68" i="114"/>
  <c r="P12" i="108"/>
  <c r="K12" i="108"/>
  <c r="C12" i="108"/>
  <c r="F12" i="108"/>
  <c r="H12" i="108"/>
  <c r="J12" i="108"/>
  <c r="L12" i="108"/>
  <c r="G12" i="108"/>
  <c r="F10" i="4"/>
  <c r="J15" i="108"/>
  <c r="E15" i="108"/>
  <c r="K15" i="108" s="1"/>
  <c r="F8" i="4"/>
  <c r="K60" i="114"/>
  <c r="D110" i="91"/>
  <c r="K197" i="114"/>
  <c r="P21" i="108"/>
  <c r="N21" i="108"/>
  <c r="F15" i="4" l="1"/>
  <c r="F111" i="91"/>
  <c r="K224" i="114" s="1"/>
  <c r="F79" i="91"/>
  <c r="F60" i="91"/>
  <c r="F61" i="91" s="1"/>
  <c r="F110" i="91"/>
  <c r="K220" i="114" s="1"/>
  <c r="M12" i="108"/>
  <c r="N12" i="108" s="1"/>
  <c r="O12" i="108" s="1"/>
  <c r="I12" i="108"/>
  <c r="E53" i="91"/>
  <c r="E60" i="91" s="1"/>
  <c r="E61" i="91" s="1"/>
  <c r="D113" i="91"/>
  <c r="F113" i="91" s="1"/>
  <c r="K226" i="114" s="1"/>
  <c r="D60" i="91"/>
  <c r="D61" i="91" s="1"/>
  <c r="K223" i="114" l="1"/>
</calcChain>
</file>

<file path=xl/comments1.xml><?xml version="1.0" encoding="utf-8"?>
<comments xmlns="http://schemas.openxmlformats.org/spreadsheetml/2006/main">
  <authors>
    <author>Daniel Hernando Devis Chaparro</author>
    <author>Administrador</author>
  </authors>
  <commentList>
    <comment ref="C32" authorId="0">
      <text>
        <r>
          <rPr>
            <b/>
            <sz val="9"/>
            <color indexed="81"/>
            <rFont val="Tahoma"/>
            <family val="2"/>
          </rPr>
          <t>De acuerdo con el Decreto 0568 del 21032013</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<sst xmlns="http://schemas.openxmlformats.org/spreadsheetml/2006/main" count="1450" uniqueCount="707">
  <si>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</si>
  <si>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</si>
  <si>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</si>
  <si>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</si>
  <si>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</si>
  <si>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</si>
  <si>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</si>
  <si>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</si>
  <si>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</si>
  <si>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</si>
  <si>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</si>
  <si>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</si>
  <si>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</si>
  <si>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</si>
  <si>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</si>
  <si>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</si>
  <si>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</si>
  <si>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</si>
  <si>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</si>
  <si>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</si>
  <si>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</si>
  <si>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</si>
  <si>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</si>
  <si>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</si>
  <si>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</si>
  <si>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</si>
  <si>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</si>
  <si>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</si>
  <si>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</si>
  <si>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</si>
  <si>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</si>
  <si>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</si>
  <si>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</si>
  <si>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</si>
  <si>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</si>
  <si>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</si>
  <si>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</si>
  <si>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</si>
  <si>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</si>
  <si>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</si>
  <si>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</si>
  <si>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</si>
  <si>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</si>
  <si>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</si>
  <si>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</si>
  <si>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</si>
  <si>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</si>
  <si>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</si>
  <si>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</si>
  <si>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</si>
  <si>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</si>
  <si>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</si>
  <si>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</si>
  <si>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</si>
  <si>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</si>
  <si>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</si>
  <si>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</si>
  <si>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</si>
  <si>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</si>
  <si>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</si>
  <si>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</si>
  <si>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</si>
  <si>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</si>
  <si>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</si>
  <si>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</si>
  <si>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</si>
  <si>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</si>
  <si>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</si>
  <si>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</si>
  <si>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</si>
  <si>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</si>
  <si>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</si>
  <si>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</si>
  <si>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</si>
  <si>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</si>
  <si>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</si>
  <si>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</si>
  <si>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</si>
  <si>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</si>
  <si>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</si>
  <si>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</si>
  <si>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</si>
  <si>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</si>
  <si>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</si>
  <si>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</si>
  <si>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</si>
  <si>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</si>
  <si>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</si>
  <si>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</si>
  <si>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</si>
  <si>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</si>
  <si>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</si>
  <si>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</si>
  <si>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</si>
  <si>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</si>
  <si>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</si>
  <si>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</si>
  <si>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</si>
  <si>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</si>
  <si>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</si>
  <si>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</si>
  <si>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</si>
  <si>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</si>
  <si>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</si>
  <si>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</si>
  <si>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</si>
  <si>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</si>
  <si>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</si>
  <si>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</si>
  <si>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</si>
  <si>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</si>
  <si>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</si>
  <si>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</si>
  <si>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</si>
  <si>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</si>
  <si>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</si>
  <si>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</si>
  <si>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</si>
  <si>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</si>
  <si>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</si>
  <si>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</si>
  <si>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</si>
  <si>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</si>
  <si>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</si>
  <si>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</si>
  <si>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</si>
  <si>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</si>
  <si>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</si>
  <si>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</si>
  <si>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</si>
  <si>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</si>
  <si>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</si>
  <si>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</si>
  <si>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</si>
  <si>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</si>
  <si>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</si>
  <si>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</si>
  <si>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</si>
  <si>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</si>
  <si>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</si>
  <si>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</si>
  <si>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</si>
  <si>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</si>
  <si>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</si>
  <si>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</si>
  <si>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</si>
  <si>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</si>
  <si>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</si>
  <si>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</si>
  <si>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</si>
  <si>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</si>
  <si>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</si>
  <si>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</si>
  <si>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</si>
  <si>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</si>
  <si>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</si>
  <si>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</si>
  <si>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</si>
  <si>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</si>
  <si>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</si>
  <si>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</si>
  <si>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</si>
  <si>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</si>
  <si>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</si>
  <si>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</si>
  <si>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</si>
  <si>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</si>
  <si>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</si>
  <si>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</si>
  <si>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</si>
  <si>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</si>
  <si>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</si>
  <si>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</si>
  <si>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</si>
  <si>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</si>
  <si>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</si>
  <si>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</si>
  <si>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</si>
  <si>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</si>
  <si>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</si>
  <si>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</si>
  <si>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</si>
  <si>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</si>
  <si>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</si>
  <si>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</si>
  <si>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</si>
  <si>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</si>
  <si>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</si>
  <si>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</si>
  <si>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</si>
  <si>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</si>
  <si>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</si>
  <si>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</si>
  <si>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</si>
  <si>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</si>
  <si>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</si>
  <si>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</si>
  <si>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</si>
  <si>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</si>
  <si>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</si>
  <si>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</si>
  <si>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</si>
  <si>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</si>
  <si>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</si>
  <si>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</si>
  <si>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</si>
  <si>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</si>
  <si>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</si>
  <si>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</si>
  <si>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</si>
  <si>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</si>
  <si>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</si>
  <si>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</si>
  <si>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</si>
  <si>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</si>
  <si>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</si>
  <si>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</si>
  <si>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</si>
  <si>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</si>
  <si>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</si>
  <si>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</si>
  <si>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</si>
  <si>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</si>
  <si>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</si>
  <si>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</si>
  <si>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</si>
  <si>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</si>
  <si>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</si>
  <si>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</si>
  <si>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</si>
  <si>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</si>
  <si>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</si>
  <si>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</si>
  <si>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</si>
  <si>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</si>
  <si>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</si>
  <si>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</si>
  <si>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</si>
  <si>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</si>
  <si>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</si>
  <si>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</si>
  <si>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</si>
  <si>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</si>
  <si>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</si>
  <si>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</si>
  <si>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</si>
  <si>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</si>
  <si>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</si>
  <si>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</si>
  <si>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</si>
  <si>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</si>
  <si>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</si>
  <si>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</si>
  <si>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</si>
  <si>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</si>
  <si>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</si>
  <si>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</si>
  <si>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</si>
  <si>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</si>
  <si>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</si>
  <si>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</si>
  <si>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</si>
  <si>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</si>
  <si>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</si>
  <si>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</si>
  <si>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</si>
  <si>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</si>
  <si>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</si>
  <si>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</si>
  <si>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</si>
  <si>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</si>
  <si>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</si>
  <si>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</si>
  <si>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</si>
  <si>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</si>
  <si>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</si>
  <si>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</si>
  <si>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</si>
  <si>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</si>
  <si>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</si>
  <si>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</si>
  <si>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</si>
  <si>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</si>
  <si>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</si>
  <si>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</si>
  <si>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</si>
  <si>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</si>
  <si>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</si>
  <si>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</si>
  <si>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</si>
  <si>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</si>
  <si>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</si>
  <si>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</si>
  <si>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</si>
  <si>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</si>
  <si>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</si>
  <si>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</si>
  <si>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</si>
  <si>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</si>
  <si>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</si>
  <si>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</si>
  <si>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</si>
  <si>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</si>
  <si>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</si>
  <si>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</si>
  <si>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</si>
  <si>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</si>
  <si>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</si>
  <si>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</si>
  <si>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</si>
  <si>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</si>
  <si>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</si>
  <si>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</si>
  <si>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</si>
  <si>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</si>
  <si>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</si>
  <si>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</si>
  <si>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</si>
  <si>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</si>
  <si>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</si>
  <si>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</si>
  <si>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</si>
  <si>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</si>
  <si>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</si>
  <si>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</si>
  <si>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</si>
  <si>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</si>
  <si>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</si>
  <si>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</si>
  <si>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</si>
  <si>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</si>
  <si>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</si>
  <si>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</si>
  <si>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</si>
  <si>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</si>
  <si>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</si>
  <si>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</si>
  <si>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</si>
  <si>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</si>
  <si>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</si>
  <si>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</si>
  <si>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</si>
  <si>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</si>
  <si>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</si>
  <si>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</si>
  <si>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</si>
  <si>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</si>
  <si>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</si>
  <si>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</si>
  <si>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</si>
  <si>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</si>
  <si>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</si>
  <si>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</si>
  <si>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</si>
  <si>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</si>
  <si>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</si>
  <si>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</si>
  <si>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</si>
  <si>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</si>
  <si>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</si>
  <si>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</si>
  <si>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</si>
  <si>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</si>
  <si>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</si>
  <si>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</si>
  <si>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</si>
  <si>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</si>
  <si>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</si>
  <si>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</si>
  <si>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</si>
  <si>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</si>
  <si>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</si>
  <si>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</si>
  <si>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</si>
  <si>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</si>
  <si>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</si>
  <si>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</si>
  <si>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</si>
  <si>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</si>
  <si>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</si>
  <si>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</si>
  <si>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</si>
  <si>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</si>
  <si>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</si>
  <si>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</si>
  <si>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</si>
  <si>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</si>
  <si>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</si>
  <si>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</si>
  <si>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</si>
  <si>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</si>
  <si>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</si>
  <si>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</si>
  <si>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</si>
  <si>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</si>
  <si>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</si>
  <si>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</si>
  <si>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</si>
  <si>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</si>
  <si>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</si>
  <si>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</si>
  <si>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</si>
  <si>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</si>
  <si>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</si>
  <si>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</si>
  <si>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</si>
  <si>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</si>
  <si>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</si>
  <si>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</si>
  <si>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</si>
  <si>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</si>
  <si>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</si>
  <si>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</si>
  <si>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</si>
  <si>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</si>
  <si>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</si>
  <si>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</si>
  <si>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</si>
  <si>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</si>
  <si>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</si>
  <si>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</si>
  <si>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</si>
  <si>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</si>
  <si>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</si>
  <si>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</si>
  <si>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</si>
  <si>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</si>
  <si>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</si>
  <si>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</si>
  <si>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</si>
  <si>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</si>
  <si>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</si>
  <si>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</si>
  <si>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</si>
  <si>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</si>
  <si>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</si>
  <si>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</si>
  <si>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</si>
  <si>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</si>
  <si>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</si>
  <si>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</si>
  <si>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</si>
  <si>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</si>
  <si>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</si>
  <si>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</si>
  <si>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</si>
  <si>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</si>
  <si>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</si>
  <si>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</si>
  <si>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</si>
  <si>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</si>
  <si>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</si>
  <si>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</si>
  <si>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</si>
  <si>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</si>
  <si>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</si>
  <si>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</si>
  <si>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</si>
  <si>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</si>
  <si>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</si>
  <si>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</si>
  <si>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</si>
  <si>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</si>
  <si>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</si>
  <si>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</si>
  <si>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</si>
  <si>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</si>
  <si>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</si>
  <si>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</si>
  <si>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</si>
  <si>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</si>
  <si>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</si>
  <si>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</si>
  <si>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</si>
  <si>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</si>
  <si>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</si>
  <si>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</si>
  <si>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</si>
  <si>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</si>
  <si>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</si>
  <si>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</si>
  <si>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</si>
  <si>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</si>
  <si>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</si>
  <si>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</si>
  <si>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</si>
  <si>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</si>
  <si>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</si>
  <si>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</si>
  <si>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</si>
  <si>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</si>
  <si>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</si>
  <si>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</si>
  <si>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</si>
  <si>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</si>
  <si>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</si>
  <si>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</si>
  <si>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</si>
  <si>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</si>
  <si>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</si>
  <si>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</si>
  <si>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</si>
  <si>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</si>
  <si>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</si>
  <si>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</si>
  <si>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</si>
  <si>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</si>
  <si>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</si>
  <si>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</si>
  <si>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</si>
  <si>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</si>
  <si>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</si>
  <si>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</si>
  <si>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</si>
  <si>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</si>
  <si>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</si>
  <si>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</si>
  <si>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</si>
  <si>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</si>
  <si>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</si>
  <si>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</si>
  <si>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</si>
  <si>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</si>
  <si>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</si>
  <si>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</si>
  <si>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</si>
  <si>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</si>
  <si>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</si>
  <si>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</si>
  <si>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</si>
  <si>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</si>
  <si>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</si>
  <si>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</si>
  <si>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</si>
  <si>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</si>
  <si>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</si>
  <si>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</si>
  <si>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</si>
  <si>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</si>
  <si>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</si>
  <si>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</si>
  <si>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</si>
  <si>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</si>
  <si>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</si>
  <si>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</si>
  <si>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</si>
  <si>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</si>
  <si>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</si>
  <si>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</si>
  <si>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</si>
  <si>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</si>
  <si>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</si>
  <si>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</si>
  <si>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</si>
  <si>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</si>
  <si>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</si>
  <si>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</si>
  <si>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</si>
  <si>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</si>
  <si>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</si>
  <si>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</si>
  <si>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</si>
  <si>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</si>
  <si>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</si>
  <si>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</si>
  <si>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</si>
  <si>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</si>
  <si>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</si>
  <si>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</si>
  <si>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</si>
  <si>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</si>
  <si>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</si>
  <si>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</si>
  <si>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</si>
  <si>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</si>
  <si>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</si>
  <si>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</si>
  <si>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</si>
  <si>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</si>
  <si>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</si>
  <si>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</si>
  <si>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</si>
  <si>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</si>
  <si>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</si>
  <si>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</si>
  <si>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</si>
  <si>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</si>
  <si>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</si>
  <si>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</si>
  <si>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</si>
  <si>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</si>
  <si>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</si>
  <si>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</si>
  <si>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</si>
  <si>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</si>
  <si>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</si>
  <si>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</si>
  <si>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</si>
  <si>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</si>
  <si>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</si>
  <si>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</si>
  <si>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</si>
  <si>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</si>
  <si>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</si>
  <si>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</si>
  <si>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</si>
  <si>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</si>
  <si>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</si>
  <si>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</si>
  <si>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</si>
  <si>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</si>
  <si>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</si>
  <si>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</si>
  <si>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</si>
  <si>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</si>
  <si>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</si>
  <si>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</si>
  <si>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</si>
  <si>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</si>
  <si>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</si>
  <si>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</si>
  <si>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</si>
  <si>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</si>
  <si>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</si>
  <si>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</si>
  <si>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</si>
  <si>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</si>
  <si>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</si>
  <si>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</si>
  <si>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</si>
  <si>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</si>
  <si>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</si>
  <si>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</si>
  <si>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</si>
  <si>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</si>
  <si>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</si>
  <si>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</si>
  <si>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</si>
  <si>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</si>
  <si>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</si>
  <si>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</si>
  <si>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</si>
  <si>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</si>
  <si>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</si>
  <si>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</si>
  <si>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</si>
  <si>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</si>
  <si>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</si>
  <si>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</si>
  <si>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</si>
  <si>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</si>
  <si>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</si>
  <si>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</si>
  <si>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</si>
  <si>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</si>
  <si>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</si>
  <si>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</si>
  <si>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GASOLINA MOTOR REGULAR IAD81</t>
  </si>
  <si>
    <t>CO2</t>
  </si>
  <si>
    <t>UG6</t>
  </si>
  <si>
    <t>Hasta</t>
  </si>
  <si>
    <t>Desde</t>
  </si>
  <si>
    <t>Material</t>
  </si>
  <si>
    <t>Nombre</t>
  </si>
  <si>
    <t>Importe</t>
  </si>
  <si>
    <t>Por</t>
  </si>
  <si>
    <t>UM</t>
  </si>
  <si>
    <t>Clase condición ZPRE</t>
  </si>
  <si>
    <t>Moneda</t>
  </si>
  <si>
    <t>Actualizar</t>
  </si>
  <si>
    <t>NOMBRE EN SP</t>
  </si>
  <si>
    <t>ZONA DE FRONTERA</t>
  </si>
  <si>
    <t>GUAJIRA PRECIO ESPECIAL</t>
  </si>
  <si>
    <t>BALANCE VOLUMETRICO</t>
  </si>
  <si>
    <t>Empresa: Ecopetrol</t>
  </si>
  <si>
    <t>01.01.2019</t>
  </si>
  <si>
    <t>10.02.2019</t>
  </si>
  <si>
    <t>Año 2019</t>
  </si>
  <si>
    <t>FEB 1 A FEB 28  2019</t>
  </si>
  <si>
    <t>Inflación 2018</t>
  </si>
  <si>
    <t>ok</t>
  </si>
  <si>
    <t xml:space="preserve">Gasolina Corriente Base para Oxigenar </t>
  </si>
  <si>
    <t>OK</t>
  </si>
  <si>
    <t>VALOR</t>
  </si>
  <si>
    <t>DFD</t>
  </si>
  <si>
    <r>
      <t xml:space="preserve">Barrancabermeja (B2 o B2 extra) </t>
    </r>
    <r>
      <rPr>
        <b/>
        <sz val="8"/>
        <color theme="0"/>
        <rFont val="Arial"/>
        <family val="2"/>
      </rPr>
      <t>Estructura B10</t>
    </r>
  </si>
  <si>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</si>
  <si>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</si>
  <si>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</si>
  <si>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</si>
  <si>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</si>
  <si>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</si>
  <si>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</si>
  <si>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</si>
  <si>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</si>
  <si>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</si>
  <si>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1 DE JULIO 2019</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</si>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</sst>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 #,##0.00;[Red]\-&quot;$&quot;\ #,##0.00"/>
    <numFmt numFmtId="165" formatCode="_-* #,##0_-;\-* #,##0_-;_-* &quot;-&quot;_-;_-@_-"/>
    <numFmt numFmtId="166" formatCode="_-* #,##0.00_-;\-* #,##0.00_-;_-* &quot;-&quot;??_-;_-@_-"/>
    <numFmt numFmtId="167" formatCode="_(* #,##0.00_);_(* \(#,##0.00\);_(* &quot;-&quot;??_);_(@_)"/>
    <numFmt numFmtId="168" formatCode="#,##0.0000"/>
    <numFmt numFmtId="169" formatCode="General_)"/>
    <numFmt numFmtId="170" formatCode="_-* #,##0.0000_-;\-* #,##0.0000_-;_-* &quot;-&quot;??_-;_-@_-"/>
    <numFmt numFmtId="171" formatCode=";;;"/>
    <numFmt numFmtId="172" formatCode="#,##0.00000000"/>
    <numFmt numFmtId="173" formatCode="#,##0.00000000000"/>
    <numFmt numFmtId="174" formatCode="#,##0.00\ &quot;(*****)&quot;"/>
    <numFmt numFmtId="175" formatCode="_-* #,##0.0_-;\-* #,##0.0_-;_-* &quot;-&quot;??_-;_-@_-"/>
    <numFmt numFmtId="176" formatCode="_(* #,##0.00000_);_(* \(#,##0.00000\);_(* &quot;-&quot;??_);_(@_)"/>
    <numFmt numFmtId="177" formatCode="0.0000"/>
  </numFmts>
  <fonts count="9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s>
  <cellStyleXfs count="32">
    <xf numFmtId="0" fontId="0" fillId="0" borderId="0"/>
    <xf numFmtId="0" fontId="11" fillId="0" borderId="0"/>
    <xf numFmtId="0" fontId="12" fillId="0" borderId="0"/>
    <xf numFmtId="0" fontId="11" fillId="0" borderId="0"/>
    <xf numFmtId="0" fontId="12" fillId="0" borderId="0"/>
    <xf numFmtId="0" fontId="13" fillId="0" borderId="0">
      <protection locked="0"/>
    </xf>
    <xf numFmtId="0" fontId="14" fillId="0" borderId="0">
      <protection locked="0"/>
    </xf>
    <xf numFmtId="0" fontId="14"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166" fontId="10" fillId="0" borderId="0" applyFont="0" applyFill="0" applyBorder="0" applyAlignment="0" applyProtection="0"/>
    <xf numFmtId="0" fontId="10" fillId="0" borderId="0" applyFont="0" applyFill="0" applyBorder="0" applyAlignment="0" applyProtection="0"/>
    <xf numFmtId="0" fontId="13" fillId="0" borderId="0">
      <protection locked="0"/>
    </xf>
    <xf numFmtId="37" fontId="15" fillId="0" borderId="0"/>
    <xf numFmtId="0" fontId="10" fillId="0" borderId="0"/>
    <xf numFmtId="0" fontId="10" fillId="0" borderId="0"/>
    <xf numFmtId="0" fontId="31" fillId="0" borderId="0"/>
    <xf numFmtId="169" fontId="20" fillId="0" borderId="0"/>
    <xf numFmtId="9" fontId="10" fillId="0" borderId="0" applyFont="0" applyFill="0" applyBorder="0" applyAlignment="0" applyProtection="0"/>
    <xf numFmtId="9" fontId="10" fillId="0" borderId="0" applyFont="0" applyFill="0" applyBorder="0" applyAlignment="0" applyProtection="0"/>
    <xf numFmtId="169" fontId="17" fillId="0" borderId="0">
      <alignment horizontal="left"/>
    </xf>
    <xf numFmtId="38" fontId="16" fillId="0" borderId="0"/>
    <xf numFmtId="0" fontId="13" fillId="0" borderId="1">
      <protection locked="0"/>
    </xf>
    <xf numFmtId="0" fontId="9" fillId="0" borderId="0"/>
    <xf numFmtId="165" fontId="91" fillId="0" borderId="0" applyFont="0" applyFill="0" applyBorder="0" applyAlignment="0" applyProtection="0"/>
  </cellStyleXfs>
  <cellXfs count="757">
    <xf numFmtId="0" fontId="0" fillId="0" borderId="0" xfId="0"/>
    <xf numFmtId="0" fontId="44" fillId="2" borderId="0" xfId="0" applyFont="1" applyFill="1" applyAlignment="1" applyProtection="1">
      <alignment horizontal="left" vertical="center"/>
      <protection hidden="1"/>
    </xf>
    <xf numFmtId="0" fontId="45" fillId="2" borderId="0" xfId="0" applyFont="1" applyFill="1" applyAlignment="1" applyProtection="1">
      <alignment vertical="center"/>
      <protection hidden="1"/>
    </xf>
    <xf numFmtId="0" fontId="21" fillId="2" borderId="0" xfId="0" applyFont="1" applyFill="1" applyAlignment="1" applyProtection="1">
      <alignment vertical="center"/>
      <protection hidden="1"/>
    </xf>
    <xf numFmtId="167" fontId="21" fillId="2" borderId="0" xfId="0" applyNumberFormat="1" applyFont="1" applyFill="1" applyAlignment="1" applyProtection="1">
      <alignment vertical="center"/>
      <protection hidden="1"/>
    </xf>
    <xf numFmtId="2" fontId="21" fillId="2" borderId="0" xfId="0" applyNumberFormat="1" applyFont="1" applyFill="1" applyAlignment="1" applyProtection="1">
      <alignment vertical="center"/>
      <protection hidden="1"/>
    </xf>
    <xf numFmtId="0" fontId="21" fillId="0" borderId="0" xfId="0" applyFont="1" applyBorder="1" applyAlignment="1" applyProtection="1">
      <alignment vertical="center"/>
      <protection hidden="1"/>
    </xf>
    <xf numFmtId="0" fontId="21" fillId="12" borderId="0" xfId="0" applyFont="1" applyFill="1" applyBorder="1" applyAlignment="1" applyProtection="1">
      <alignment vertical="center"/>
      <protection hidden="1"/>
    </xf>
    <xf numFmtId="0" fontId="22" fillId="2" borderId="0" xfId="0" applyFont="1" applyFill="1" applyAlignment="1" applyProtection="1">
      <alignment vertical="center"/>
      <protection hidden="1"/>
    </xf>
    <xf numFmtId="0" fontId="22" fillId="2" borderId="0" xfId="0" applyFont="1" applyFill="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0" xfId="0" applyFont="1" applyAlignment="1" applyProtection="1">
      <alignment vertical="center"/>
      <protection hidden="1"/>
    </xf>
    <xf numFmtId="0" fontId="21" fillId="0" borderId="0" xfId="0" applyFont="1" applyAlignment="1" applyProtection="1">
      <alignment vertical="center"/>
      <protection hidden="1"/>
    </xf>
    <xf numFmtId="0" fontId="30" fillId="2" borderId="0" xfId="0" quotePrefix="1" applyFont="1" applyFill="1" applyAlignment="1" applyProtection="1">
      <alignment horizontal="left" vertical="center"/>
      <protection hidden="1"/>
    </xf>
    <xf numFmtId="0" fontId="22" fillId="0" borderId="0" xfId="0" applyFont="1" applyBorder="1" applyAlignment="1" applyProtection="1">
      <alignment horizontal="left" vertical="center" wrapText="1"/>
      <protection hidden="1"/>
    </xf>
    <xf numFmtId="166" fontId="22" fillId="2" borderId="0" xfId="17" applyFont="1" applyFill="1" applyBorder="1" applyAlignment="1" applyProtection="1">
      <alignment vertical="center" wrapText="1"/>
      <protection hidden="1"/>
    </xf>
    <xf numFmtId="0" fontId="21" fillId="12" borderId="0" xfId="0" applyFont="1" applyFill="1" applyAlignment="1" applyProtection="1">
      <alignment vertical="center"/>
      <protection hidden="1"/>
    </xf>
    <xf numFmtId="0" fontId="18" fillId="0" borderId="0" xfId="0" applyFont="1" applyAlignment="1" applyProtection="1">
      <alignment vertical="center"/>
      <protection hidden="1"/>
    </xf>
    <xf numFmtId="0" fontId="43" fillId="0" borderId="0" xfId="0" applyFont="1" applyAlignment="1" applyProtection="1">
      <alignment horizontal="left" vertical="center"/>
      <protection hidden="1"/>
    </xf>
    <xf numFmtId="0" fontId="46" fillId="0" borderId="0" xfId="0" applyFont="1" applyAlignment="1" applyProtection="1">
      <alignment horizontal="center" vertical="center"/>
      <protection hidden="1"/>
    </xf>
    <xf numFmtId="0" fontId="43" fillId="0" borderId="0" xfId="0" applyFont="1" applyAlignment="1" applyProtection="1">
      <alignment vertical="center"/>
      <protection hidden="1"/>
    </xf>
    <xf numFmtId="0" fontId="43" fillId="0" borderId="0" xfId="0" applyFont="1" applyFill="1" applyAlignment="1" applyProtection="1">
      <alignment horizontal="left" vertical="center"/>
      <protection hidden="1"/>
    </xf>
    <xf numFmtId="0" fontId="22" fillId="2" borderId="0" xfId="0" applyFont="1" applyFill="1" applyBorder="1" applyAlignment="1" applyProtection="1">
      <alignment horizontal="left" vertical="center" wrapText="1"/>
      <protection hidden="1"/>
    </xf>
    <xf numFmtId="166" fontId="22" fillId="2" borderId="0" xfId="17" applyNumberFormat="1" applyFont="1" applyFill="1" applyBorder="1" applyAlignment="1" applyProtection="1">
      <alignment vertical="center" wrapText="1"/>
      <protection hidden="1"/>
    </xf>
    <xf numFmtId="166" fontId="22" fillId="2" borderId="0" xfId="17" applyFont="1" applyFill="1" applyBorder="1" applyAlignment="1" applyProtection="1">
      <alignment horizontal="center" vertical="center" wrapText="1"/>
      <protection hidden="1"/>
    </xf>
    <xf numFmtId="0" fontId="47" fillId="0" borderId="0" xfId="0" quotePrefix="1" applyFont="1" applyAlignment="1" applyProtection="1">
      <alignment horizontal="left" vertical="center"/>
      <protection hidden="1"/>
    </xf>
    <xf numFmtId="0" fontId="45" fillId="2" borderId="0" xfId="0" quotePrefix="1" applyFont="1" applyFill="1" applyBorder="1" applyAlignment="1" applyProtection="1">
      <alignment horizontal="left" vertical="center"/>
      <protection hidden="1"/>
    </xf>
    <xf numFmtId="4" fontId="44" fillId="2" borderId="0" xfId="0" applyNumberFormat="1" applyFont="1" applyFill="1" applyBorder="1" applyAlignment="1" applyProtection="1">
      <alignment horizontal="right" vertical="center"/>
      <protection hidden="1"/>
    </xf>
    <xf numFmtId="0" fontId="22" fillId="0" borderId="0" xfId="0" applyFont="1" applyAlignment="1" applyProtection="1">
      <alignment horizontal="center" vertical="center"/>
      <protection hidden="1"/>
    </xf>
    <xf numFmtId="4" fontId="21" fillId="2" borderId="35" xfId="0" applyNumberFormat="1" applyFont="1" applyFill="1" applyBorder="1" applyAlignment="1" applyProtection="1">
      <alignment horizontal="right" vertical="center"/>
      <protection hidden="1"/>
    </xf>
    <xf numFmtId="4" fontId="21" fillId="2" borderId="0" xfId="0" applyNumberFormat="1" applyFont="1" applyFill="1" applyBorder="1" applyAlignment="1" applyProtection="1">
      <alignment horizontal="right" vertical="center"/>
      <protection hidden="1"/>
    </xf>
    <xf numFmtId="169" fontId="47" fillId="2" borderId="0" xfId="24" applyFont="1" applyFill="1" applyAlignment="1" applyProtection="1">
      <alignment horizontal="centerContinuous" vertical="center"/>
      <protection hidden="1"/>
    </xf>
    <xf numFmtId="0" fontId="46" fillId="2" borderId="0" xfId="0" applyFont="1" applyFill="1" applyAlignment="1" applyProtection="1">
      <alignment horizontal="centerContinuous" vertical="center"/>
      <protection hidden="1"/>
    </xf>
    <xf numFmtId="0" fontId="43" fillId="2" borderId="0" xfId="0" applyFont="1" applyFill="1" applyAlignment="1" applyProtection="1">
      <alignment horizontal="centerContinuous" vertical="center"/>
      <protection hidden="1"/>
    </xf>
    <xf numFmtId="0" fontId="21" fillId="2" borderId="0" xfId="0" applyFont="1" applyFill="1" applyAlignment="1" applyProtection="1">
      <alignment horizontal="centerContinuous" vertical="center"/>
      <protection hidden="1"/>
    </xf>
    <xf numFmtId="0" fontId="47" fillId="5" borderId="32" xfId="0" quotePrefix="1" applyFont="1" applyFill="1" applyBorder="1" applyAlignment="1" applyProtection="1">
      <alignment horizontal="left" vertical="center" wrapText="1"/>
      <protection hidden="1"/>
    </xf>
    <xf numFmtId="4" fontId="21" fillId="2" borderId="0" xfId="0" applyNumberFormat="1" applyFont="1" applyFill="1" applyAlignment="1" applyProtection="1">
      <alignment vertical="center"/>
      <protection hidden="1"/>
    </xf>
    <xf numFmtId="4" fontId="21" fillId="2" borderId="37" xfId="0" applyNumberFormat="1" applyFont="1" applyFill="1" applyBorder="1" applyAlignment="1" applyProtection="1">
      <alignment horizontal="right" vertical="center"/>
      <protection hidden="1"/>
    </xf>
    <xf numFmtId="0" fontId="43" fillId="2" borderId="0" xfId="0" applyFont="1" applyFill="1" applyAlignment="1" applyProtection="1">
      <alignment horizontal="fill" vertical="center" wrapText="1"/>
      <protection hidden="1"/>
    </xf>
    <xf numFmtId="0" fontId="21" fillId="2" borderId="0" xfId="0" applyFont="1" applyFill="1" applyAlignment="1" applyProtection="1">
      <alignment horizontal="fill" vertical="center" wrapText="1"/>
      <protection hidden="1"/>
    </xf>
    <xf numFmtId="0" fontId="48" fillId="12" borderId="0" xfId="0" applyFont="1" applyFill="1" applyBorder="1" applyAlignment="1" applyProtection="1">
      <alignment horizontal="left" vertical="center" wrapText="1"/>
      <protection hidden="1"/>
    </xf>
    <xf numFmtId="0" fontId="48" fillId="12" borderId="0" xfId="0" quotePrefix="1" applyFont="1" applyFill="1" applyBorder="1" applyAlignment="1" applyProtection="1">
      <alignment horizontal="left" vertical="center" wrapText="1"/>
      <protection hidden="1"/>
    </xf>
    <xf numFmtId="4" fontId="47" fillId="5" borderId="31" xfId="0" applyNumberFormat="1" applyFont="1" applyFill="1" applyBorder="1" applyAlignment="1" applyProtection="1">
      <alignment horizontal="right" vertical="center"/>
      <protection hidden="1"/>
    </xf>
    <xf numFmtId="4" fontId="47" fillId="5" borderId="36" xfId="0" applyNumberFormat="1" applyFont="1" applyFill="1" applyBorder="1" applyAlignment="1" applyProtection="1">
      <alignment horizontal="right" vertical="center"/>
      <protection hidden="1"/>
    </xf>
    <xf numFmtId="169" fontId="47" fillId="2" borderId="0" xfId="24" quotePrefix="1" applyFont="1" applyFill="1" applyAlignment="1" applyProtection="1">
      <alignment horizontal="centerContinuous" vertical="center"/>
      <protection hidden="1"/>
    </xf>
    <xf numFmtId="0" fontId="47" fillId="2" borderId="0" xfId="0" applyFont="1" applyFill="1" applyAlignment="1" applyProtection="1">
      <alignment horizontal="centerContinuous" vertical="center"/>
      <protection hidden="1"/>
    </xf>
    <xf numFmtId="0" fontId="47" fillId="2" borderId="0" xfId="0" applyFont="1" applyFill="1" applyBorder="1" applyAlignment="1" applyProtection="1">
      <alignment horizontal="centerContinuous" vertical="center"/>
      <protection hidden="1"/>
    </xf>
    <xf numFmtId="0" fontId="22" fillId="2" borderId="0" xfId="0" applyFont="1" applyFill="1" applyAlignment="1" applyProtection="1">
      <alignment horizontal="left" vertical="center"/>
      <protection hidden="1"/>
    </xf>
    <xf numFmtId="0" fontId="47" fillId="5" borderId="34" xfId="0" quotePrefix="1" applyFont="1" applyFill="1" applyBorder="1" applyAlignment="1" applyProtection="1">
      <alignment horizontal="left" vertical="center" wrapText="1"/>
      <protection hidden="1"/>
    </xf>
    <xf numFmtId="4" fontId="47" fillId="5" borderId="37" xfId="0" applyNumberFormat="1" applyFont="1" applyFill="1" applyBorder="1" applyAlignment="1" applyProtection="1">
      <alignment horizontal="right" vertical="center"/>
      <protection hidden="1"/>
    </xf>
    <xf numFmtId="15" fontId="47" fillId="0" borderId="0" xfId="0" quotePrefix="1" applyNumberFormat="1" applyFont="1" applyAlignment="1" applyProtection="1">
      <alignment horizontal="left" vertical="center"/>
      <protection hidden="1"/>
    </xf>
    <xf numFmtId="0" fontId="48" fillId="12" borderId="0" xfId="0" applyFont="1" applyFill="1" applyAlignment="1" applyProtection="1">
      <alignment vertical="center"/>
      <protection hidden="1"/>
    </xf>
    <xf numFmtId="0" fontId="45" fillId="0" borderId="0" xfId="0" applyFont="1" applyBorder="1" applyAlignment="1" applyProtection="1">
      <alignment vertical="center"/>
      <protection hidden="1"/>
    </xf>
    <xf numFmtId="0" fontId="45" fillId="12" borderId="0" xfId="0" applyFont="1" applyFill="1" applyBorder="1" applyAlignment="1" applyProtection="1">
      <alignment vertical="center"/>
      <protection hidden="1"/>
    </xf>
    <xf numFmtId="0" fontId="45" fillId="6" borderId="38" xfId="0" applyFont="1" applyFill="1" applyBorder="1" applyAlignment="1" applyProtection="1">
      <alignment horizontal="center" vertical="center"/>
      <protection hidden="1"/>
    </xf>
    <xf numFmtId="17" fontId="45" fillId="6" borderId="40" xfId="0" applyNumberFormat="1" applyFont="1" applyFill="1" applyBorder="1" applyAlignment="1" applyProtection="1">
      <alignment horizontal="center" vertical="center" wrapText="1"/>
      <protection hidden="1"/>
    </xf>
    <xf numFmtId="0" fontId="30" fillId="0" borderId="0" xfId="0" quotePrefix="1" applyFont="1" applyFill="1" applyAlignment="1" applyProtection="1">
      <alignment horizontal="left" vertical="center"/>
      <protection hidden="1"/>
    </xf>
    <xf numFmtId="0" fontId="21" fillId="0" borderId="0" xfId="0" applyFont="1" applyFill="1" applyBorder="1" applyAlignment="1" applyProtection="1">
      <alignment vertical="center"/>
      <protection hidden="1"/>
    </xf>
    <xf numFmtId="0" fontId="49" fillId="0" borderId="0" xfId="0" applyFont="1" applyBorder="1" applyAlignment="1" applyProtection="1">
      <alignment vertical="center"/>
      <protection hidden="1"/>
    </xf>
    <xf numFmtId="0" fontId="49" fillId="12" borderId="0" xfId="0" applyFont="1" applyFill="1" applyBorder="1" applyAlignment="1" applyProtection="1">
      <alignment vertical="center"/>
      <protection hidden="1"/>
    </xf>
    <xf numFmtId="0" fontId="33" fillId="12" borderId="0" xfId="0" applyFont="1" applyFill="1" applyBorder="1" applyAlignment="1" applyProtection="1">
      <alignment vertical="center"/>
      <protection hidden="1"/>
    </xf>
    <xf numFmtId="0" fontId="33" fillId="0" borderId="0" xfId="0" applyFont="1" applyBorder="1" applyAlignment="1" applyProtection="1">
      <alignment vertical="center"/>
      <protection hidden="1"/>
    </xf>
    <xf numFmtId="0" fontId="34" fillId="0" borderId="0" xfId="0" applyFont="1" applyAlignment="1" applyProtection="1">
      <alignment vertical="center"/>
      <protection hidden="1"/>
    </xf>
    <xf numFmtId="0" fontId="21" fillId="0" borderId="0" xfId="0" applyFont="1" applyBorder="1" applyAlignment="1" applyProtection="1">
      <alignment horizontal="center" vertical="center"/>
      <protection hidden="1"/>
    </xf>
    <xf numFmtId="0" fontId="21" fillId="12" borderId="0" xfId="0" applyFont="1" applyFill="1" applyBorder="1" applyAlignment="1" applyProtection="1">
      <alignment horizontal="center" vertical="center"/>
      <protection hidden="1"/>
    </xf>
    <xf numFmtId="0" fontId="21" fillId="2" borderId="34" xfId="0" quotePrefix="1" applyFont="1" applyFill="1" applyBorder="1" applyAlignment="1" applyProtection="1">
      <alignment horizontal="left" vertical="center" wrapText="1"/>
      <protection hidden="1"/>
    </xf>
    <xf numFmtId="0" fontId="43" fillId="0" borderId="0" xfId="0" applyFont="1" applyFill="1" applyBorder="1" applyAlignment="1" applyProtection="1">
      <alignment vertical="center"/>
      <protection hidden="1"/>
    </xf>
    <xf numFmtId="0" fontId="44" fillId="5" borderId="41" xfId="0" applyFont="1" applyFill="1" applyBorder="1" applyAlignment="1" applyProtection="1">
      <alignment horizontal="center" vertical="center" wrapText="1"/>
      <protection hidden="1"/>
    </xf>
    <xf numFmtId="0" fontId="22" fillId="0" borderId="42" xfId="0" applyFont="1" applyBorder="1" applyAlignment="1" applyProtection="1">
      <alignment horizontal="left" vertical="center" wrapText="1"/>
      <protection hidden="1"/>
    </xf>
    <xf numFmtId="2" fontId="46" fillId="0" borderId="41" xfId="0" applyNumberFormat="1" applyFont="1" applyFill="1" applyBorder="1" applyAlignment="1" applyProtection="1">
      <alignment horizontal="right" vertical="center" wrapText="1"/>
      <protection hidden="1"/>
    </xf>
    <xf numFmtId="166" fontId="22" fillId="0" borderId="41" xfId="17" applyFont="1" applyFill="1" applyBorder="1" applyAlignment="1" applyProtection="1">
      <alignment vertical="center" wrapText="1"/>
      <protection hidden="1"/>
    </xf>
    <xf numFmtId="2" fontId="22" fillId="0" borderId="41" xfId="0" quotePrefix="1" applyNumberFormat="1" applyFont="1" applyFill="1" applyBorder="1" applyAlignment="1" applyProtection="1">
      <alignment horizontal="right" vertical="center" wrapText="1"/>
      <protection hidden="1"/>
    </xf>
    <xf numFmtId="166" fontId="22" fillId="0" borderId="41" xfId="17" applyFont="1" applyFill="1" applyBorder="1" applyAlignment="1" applyProtection="1">
      <alignment horizontal="right" vertical="center" wrapText="1"/>
      <protection hidden="1"/>
    </xf>
    <xf numFmtId="0" fontId="22" fillId="0" borderId="43" xfId="0" applyFont="1" applyBorder="1" applyAlignment="1" applyProtection="1">
      <alignment horizontal="left" vertical="center" wrapText="1"/>
      <protection hidden="1"/>
    </xf>
    <xf numFmtId="2" fontId="46" fillId="0" borderId="44" xfId="0" applyNumberFormat="1" applyFont="1" applyFill="1" applyBorder="1" applyAlignment="1" applyProtection="1">
      <alignment horizontal="right" vertical="center" wrapText="1"/>
      <protection hidden="1"/>
    </xf>
    <xf numFmtId="166" fontId="22" fillId="0" borderId="45" xfId="17" applyFont="1" applyFill="1" applyBorder="1" applyAlignment="1" applyProtection="1">
      <alignment vertical="center" wrapText="1"/>
      <protection hidden="1"/>
    </xf>
    <xf numFmtId="0" fontId="22" fillId="0" borderId="46" xfId="0" applyFont="1" applyBorder="1" applyAlignment="1" applyProtection="1">
      <alignment horizontal="left" vertical="center" wrapText="1"/>
      <protection hidden="1"/>
    </xf>
    <xf numFmtId="15" fontId="45" fillId="5" borderId="44" xfId="0" quotePrefix="1" applyNumberFormat="1" applyFont="1" applyFill="1" applyBorder="1" applyAlignment="1" applyProtection="1">
      <alignment horizontal="center" vertical="center" wrapText="1"/>
      <protection hidden="1"/>
    </xf>
    <xf numFmtId="15" fontId="45" fillId="5" borderId="47" xfId="0" quotePrefix="1" applyNumberFormat="1" applyFont="1" applyFill="1" applyBorder="1" applyAlignment="1" applyProtection="1">
      <alignment horizontal="center" vertical="center" wrapText="1"/>
      <protection hidden="1"/>
    </xf>
    <xf numFmtId="0" fontId="22" fillId="0" borderId="42" xfId="0" applyFont="1" applyFill="1" applyBorder="1" applyAlignment="1" applyProtection="1">
      <alignment horizontal="left" vertical="center" wrapText="1"/>
      <protection hidden="1"/>
    </xf>
    <xf numFmtId="166" fontId="22" fillId="0" borderId="45" xfId="17" applyFont="1" applyFill="1" applyBorder="1" applyAlignment="1" applyProtection="1">
      <alignment horizontal="right" vertical="center" wrapText="1"/>
      <protection hidden="1"/>
    </xf>
    <xf numFmtId="0" fontId="21" fillId="0" borderId="41" xfId="0" applyFont="1" applyFill="1" applyBorder="1" applyAlignment="1" applyProtection="1">
      <alignment vertical="center"/>
      <protection hidden="1"/>
    </xf>
    <xf numFmtId="0" fontId="22" fillId="0" borderId="43" xfId="0" applyFont="1" applyFill="1" applyBorder="1" applyAlignment="1" applyProtection="1">
      <alignment horizontal="left" vertical="center" wrapText="1"/>
      <protection hidden="1"/>
    </xf>
    <xf numFmtId="166" fontId="22" fillId="0" borderId="44" xfId="17" applyFont="1" applyFill="1" applyBorder="1" applyAlignment="1" applyProtection="1">
      <alignment horizontal="right" vertical="center" wrapText="1"/>
      <protection hidden="1"/>
    </xf>
    <xf numFmtId="166" fontId="22" fillId="0" borderId="47" xfId="17" applyFont="1" applyFill="1" applyBorder="1" applyAlignment="1" applyProtection="1">
      <alignment horizontal="right" vertical="center" wrapText="1"/>
      <protection hidden="1"/>
    </xf>
    <xf numFmtId="0" fontId="22" fillId="0" borderId="46" xfId="0" applyFont="1" applyFill="1" applyBorder="1" applyAlignment="1" applyProtection="1">
      <alignment horizontal="left" vertical="center" wrapText="1"/>
      <protection hidden="1"/>
    </xf>
    <xf numFmtId="0" fontId="21" fillId="0" borderId="0" xfId="0" applyFont="1" applyFill="1" applyAlignment="1" applyProtection="1">
      <alignment vertical="center"/>
      <protection hidden="1"/>
    </xf>
    <xf numFmtId="0" fontId="21" fillId="0" borderId="0" xfId="0" applyFont="1" applyFill="1" applyAlignment="1" applyProtection="1">
      <alignment horizontal="left" vertical="center" wrapText="1"/>
      <protection hidden="1"/>
    </xf>
    <xf numFmtId="0" fontId="50" fillId="5" borderId="49" xfId="0" applyFont="1" applyFill="1" applyBorder="1" applyAlignment="1" applyProtection="1">
      <alignment horizontal="center" vertical="center" wrapText="1"/>
      <protection hidden="1"/>
    </xf>
    <xf numFmtId="0" fontId="44" fillId="16" borderId="49" xfId="0" applyFont="1" applyFill="1" applyBorder="1" applyAlignment="1" applyProtection="1">
      <alignment horizontal="center" vertical="center" wrapText="1"/>
      <protection hidden="1"/>
    </xf>
    <xf numFmtId="9" fontId="45" fillId="5" borderId="49" xfId="0" quotePrefix="1" applyNumberFormat="1" applyFont="1" applyFill="1" applyBorder="1" applyAlignment="1" applyProtection="1">
      <alignment horizontal="center" vertical="center" wrapText="1"/>
      <protection hidden="1"/>
    </xf>
    <xf numFmtId="9" fontId="45" fillId="16" borderId="49" xfId="0" quotePrefix="1" applyNumberFormat="1" applyFont="1" applyFill="1" applyBorder="1" applyAlignment="1" applyProtection="1">
      <alignment horizontal="center" vertical="center" wrapText="1"/>
      <protection hidden="1"/>
    </xf>
    <xf numFmtId="166" fontId="22" fillId="13" borderId="49" xfId="17" applyNumberFormat="1" applyFont="1" applyFill="1" applyBorder="1" applyAlignment="1" applyProtection="1">
      <alignment horizontal="center" vertical="center" wrapText="1"/>
      <protection hidden="1"/>
    </xf>
    <xf numFmtId="166" fontId="22" fillId="12" borderId="49" xfId="17" applyNumberFormat="1" applyFont="1" applyFill="1" applyBorder="1" applyAlignment="1" applyProtection="1">
      <alignment horizontal="center" vertical="center" wrapText="1"/>
      <protection hidden="1"/>
    </xf>
    <xf numFmtId="166" fontId="22" fillId="2" borderId="49" xfId="17" applyNumberFormat="1" applyFont="1" applyFill="1" applyBorder="1" applyAlignment="1" applyProtection="1">
      <alignment horizontal="center" vertical="center" wrapText="1"/>
      <protection hidden="1"/>
    </xf>
    <xf numFmtId="0" fontId="22" fillId="0" borderId="50" xfId="0" applyFont="1" applyBorder="1" applyAlignment="1" applyProtection="1">
      <alignment horizontal="left" vertical="center" wrapText="1"/>
      <protection hidden="1"/>
    </xf>
    <xf numFmtId="166" fontId="22" fillId="2" borderId="51" xfId="17" applyFont="1" applyFill="1" applyBorder="1" applyAlignment="1" applyProtection="1">
      <alignment horizontal="center" vertical="center" wrapText="1"/>
      <protection hidden="1"/>
    </xf>
    <xf numFmtId="166" fontId="22" fillId="13" borderId="51" xfId="17" applyFont="1" applyFill="1" applyBorder="1" applyAlignment="1" applyProtection="1">
      <alignment horizontal="center" vertical="center" wrapText="1"/>
      <protection hidden="1"/>
    </xf>
    <xf numFmtId="0" fontId="44" fillId="5" borderId="45" xfId="0" quotePrefix="1" applyFont="1" applyFill="1" applyBorder="1" applyAlignment="1" applyProtection="1">
      <alignment horizontal="center" vertical="center" wrapText="1"/>
      <protection hidden="1"/>
    </xf>
    <xf numFmtId="9" fontId="44" fillId="5" borderId="45" xfId="0" quotePrefix="1" applyNumberFormat="1" applyFont="1" applyFill="1" applyBorder="1" applyAlignment="1" applyProtection="1">
      <alignment horizontal="center" vertical="center" wrapText="1"/>
      <protection hidden="1"/>
    </xf>
    <xf numFmtId="166" fontId="23" fillId="0" borderId="41" xfId="17" applyFont="1" applyFill="1" applyBorder="1" applyAlignment="1" applyProtection="1">
      <alignment vertical="center" wrapText="1"/>
      <protection hidden="1"/>
    </xf>
    <xf numFmtId="2" fontId="22" fillId="0" borderId="45" xfId="0" quotePrefix="1" applyNumberFormat="1" applyFont="1" applyFill="1" applyBorder="1" applyAlignment="1" applyProtection="1">
      <alignment horizontal="right" vertical="center" wrapText="1"/>
      <protection hidden="1"/>
    </xf>
    <xf numFmtId="166" fontId="22" fillId="0" borderId="52" xfId="17" applyFont="1" applyFill="1" applyBorder="1" applyAlignment="1" applyProtection="1">
      <alignment vertical="center" wrapText="1"/>
      <protection hidden="1"/>
    </xf>
    <xf numFmtId="166" fontId="22" fillId="0" borderId="48" xfId="17" applyFont="1" applyFill="1" applyBorder="1" applyAlignment="1" applyProtection="1">
      <alignment vertical="center" wrapText="1"/>
      <protection hidden="1"/>
    </xf>
    <xf numFmtId="0" fontId="35" fillId="0" borderId="0" xfId="0" applyFont="1" applyFill="1" applyAlignment="1" applyProtection="1">
      <alignment vertical="center"/>
      <protection hidden="1"/>
    </xf>
    <xf numFmtId="0" fontId="45" fillId="6" borderId="53" xfId="0" applyFont="1" applyFill="1" applyBorder="1" applyAlignment="1" applyProtection="1">
      <alignment horizontal="center" vertical="center" wrapText="1"/>
      <protection hidden="1"/>
    </xf>
    <xf numFmtId="0" fontId="45" fillId="6" borderId="54" xfId="0" applyFont="1" applyFill="1" applyBorder="1" applyAlignment="1" applyProtection="1">
      <alignment horizontal="center" vertical="center" wrapText="1"/>
      <protection hidden="1"/>
    </xf>
    <xf numFmtId="0" fontId="45" fillId="6" borderId="55" xfId="0" applyFont="1" applyFill="1" applyBorder="1" applyAlignment="1" applyProtection="1">
      <alignment horizontal="center" vertical="center" wrapText="1"/>
      <protection hidden="1"/>
    </xf>
    <xf numFmtId="4" fontId="21" fillId="0" borderId="42" xfId="0" applyNumberFormat="1" applyFont="1" applyBorder="1" applyAlignment="1" applyProtection="1">
      <alignment vertical="center"/>
      <protection hidden="1"/>
    </xf>
    <xf numFmtId="4" fontId="21" fillId="0" borderId="41" xfId="0" applyNumberFormat="1" applyFont="1" applyFill="1" applyBorder="1" applyAlignment="1" applyProtection="1">
      <alignment horizontal="center" vertical="center"/>
      <protection hidden="1"/>
    </xf>
    <xf numFmtId="4" fontId="21" fillId="0" borderId="45" xfId="0" applyNumberFormat="1" applyFont="1" applyFill="1" applyBorder="1" applyAlignment="1" applyProtection="1">
      <alignment horizontal="center" vertical="center"/>
      <protection hidden="1"/>
    </xf>
    <xf numFmtId="0" fontId="21" fillId="0" borderId="42" xfId="0" applyFont="1" applyBorder="1" applyAlignment="1" applyProtection="1">
      <alignment horizontal="left" vertical="center" wrapText="1"/>
      <protection hidden="1"/>
    </xf>
    <xf numFmtId="4" fontId="21" fillId="0" borderId="41" xfId="0" applyNumberFormat="1" applyFont="1" applyBorder="1" applyAlignment="1" applyProtection="1">
      <alignment horizontal="center" vertical="center"/>
      <protection hidden="1"/>
    </xf>
    <xf numFmtId="4" fontId="21" fillId="0" borderId="45" xfId="0" applyNumberFormat="1" applyFont="1" applyBorder="1" applyAlignment="1" applyProtection="1">
      <alignment horizontal="center" vertical="center"/>
      <protection hidden="1"/>
    </xf>
    <xf numFmtId="4" fontId="44" fillId="17" borderId="42" xfId="0" applyNumberFormat="1" applyFont="1" applyFill="1" applyBorder="1" applyAlignment="1" applyProtection="1">
      <alignment horizontal="left" vertical="center" wrapText="1"/>
      <protection hidden="1"/>
    </xf>
    <xf numFmtId="4" fontId="44" fillId="17" borderId="41" xfId="0" applyNumberFormat="1" applyFont="1" applyFill="1" applyBorder="1" applyAlignment="1" applyProtection="1">
      <alignment horizontal="center" vertical="center" wrapText="1"/>
      <protection hidden="1"/>
    </xf>
    <xf numFmtId="4" fontId="44" fillId="17" borderId="45" xfId="0" applyNumberFormat="1" applyFont="1" applyFill="1" applyBorder="1" applyAlignment="1" applyProtection="1">
      <alignment horizontal="center" vertical="center" wrapText="1"/>
      <protection hidden="1"/>
    </xf>
    <xf numFmtId="4" fontId="22" fillId="0" borderId="41" xfId="0" applyNumberFormat="1" applyFont="1" applyFill="1" applyBorder="1" applyAlignment="1" applyProtection="1">
      <alignment horizontal="center" vertical="center"/>
      <protection hidden="1"/>
    </xf>
    <xf numFmtId="4" fontId="22" fillId="0" borderId="45" xfId="0" applyNumberFormat="1" applyFont="1" applyFill="1" applyBorder="1" applyAlignment="1" applyProtection="1">
      <alignment horizontal="center" vertical="center"/>
      <protection hidden="1"/>
    </xf>
    <xf numFmtId="4" fontId="21" fillId="0" borderId="43" xfId="0" applyNumberFormat="1" applyFont="1" applyBorder="1" applyAlignment="1" applyProtection="1">
      <alignment vertical="center"/>
      <protection hidden="1"/>
    </xf>
    <xf numFmtId="4" fontId="22" fillId="0" borderId="44" xfId="0" applyNumberFormat="1" applyFont="1" applyFill="1" applyBorder="1" applyAlignment="1" applyProtection="1">
      <alignment horizontal="center" vertical="center"/>
      <protection hidden="1"/>
    </xf>
    <xf numFmtId="4" fontId="22" fillId="0" borderId="47" xfId="0" applyNumberFormat="1" applyFont="1" applyFill="1" applyBorder="1" applyAlignment="1" applyProtection="1">
      <alignment horizontal="center" vertical="center"/>
      <protection hidden="1"/>
    </xf>
    <xf numFmtId="4" fontId="21" fillId="0" borderId="46" xfId="0" applyNumberFormat="1" applyFont="1" applyBorder="1" applyAlignment="1" applyProtection="1">
      <alignment vertical="center"/>
      <protection hidden="1"/>
    </xf>
    <xf numFmtId="4" fontId="21" fillId="0" borderId="52" xfId="0" applyNumberFormat="1" applyFont="1" applyFill="1" applyBorder="1" applyAlignment="1" applyProtection="1">
      <alignment horizontal="center" vertical="center"/>
      <protection hidden="1"/>
    </xf>
    <xf numFmtId="4" fontId="21" fillId="0" borderId="48" xfId="0" applyNumberFormat="1" applyFont="1" applyFill="1" applyBorder="1" applyAlignment="1" applyProtection="1">
      <alignment horizontal="center" vertical="center"/>
      <protection hidden="1"/>
    </xf>
    <xf numFmtId="15" fontId="45" fillId="5" borderId="43" xfId="0" quotePrefix="1" applyNumberFormat="1" applyFont="1" applyFill="1" applyBorder="1" applyAlignment="1" applyProtection="1">
      <alignment horizontal="center" vertical="center" wrapText="1"/>
      <protection hidden="1"/>
    </xf>
    <xf numFmtId="0" fontId="21" fillId="0" borderId="42" xfId="0" applyFont="1" applyBorder="1" applyAlignment="1" applyProtection="1">
      <alignment vertical="center"/>
      <protection hidden="1"/>
    </xf>
    <xf numFmtId="0" fontId="45" fillId="6" borderId="53" xfId="0" applyFont="1" applyFill="1" applyBorder="1" applyAlignment="1" applyProtection="1">
      <alignment horizontal="center" vertical="center"/>
      <protection hidden="1"/>
    </xf>
    <xf numFmtId="4" fontId="21" fillId="0" borderId="45" xfId="0" applyNumberFormat="1" applyFont="1" applyFill="1" applyBorder="1" applyAlignment="1" applyProtection="1">
      <alignment vertical="center"/>
      <protection hidden="1"/>
    </xf>
    <xf numFmtId="0" fontId="21" fillId="12" borderId="42" xfId="0" quotePrefix="1" applyFont="1" applyFill="1" applyBorder="1" applyAlignment="1" applyProtection="1">
      <alignment horizontal="left" vertical="center"/>
      <protection hidden="1"/>
    </xf>
    <xf numFmtId="166" fontId="22" fillId="0" borderId="41" xfId="17" applyNumberFormat="1" applyFont="1" applyFill="1" applyBorder="1" applyAlignment="1" applyProtection="1">
      <alignment horizontal="right" vertical="center" wrapText="1"/>
      <protection hidden="1"/>
    </xf>
    <xf numFmtId="170" fontId="22" fillId="13" borderId="49" xfId="17" applyNumberFormat="1" applyFont="1" applyFill="1" applyBorder="1" applyAlignment="1" applyProtection="1">
      <alignment horizontal="center" vertical="center" wrapText="1"/>
      <protection hidden="1"/>
    </xf>
    <xf numFmtId="170" fontId="22" fillId="0" borderId="56" xfId="17" applyNumberFormat="1" applyFont="1" applyBorder="1" applyAlignment="1" applyProtection="1">
      <alignment horizontal="left" vertical="center" wrapText="1"/>
      <protection hidden="1"/>
    </xf>
    <xf numFmtId="170" fontId="22" fillId="13" borderId="57" xfId="17" applyNumberFormat="1" applyFont="1" applyFill="1" applyBorder="1" applyAlignment="1" applyProtection="1">
      <alignment horizontal="center" vertical="center" wrapText="1"/>
      <protection hidden="1"/>
    </xf>
    <xf numFmtId="170" fontId="21" fillId="12" borderId="0" xfId="17" applyNumberFormat="1" applyFont="1" applyFill="1" applyBorder="1" applyAlignment="1" applyProtection="1">
      <alignment horizontal="center" vertical="center"/>
      <protection hidden="1"/>
    </xf>
    <xf numFmtId="170" fontId="21" fillId="0" borderId="0" xfId="17" applyNumberFormat="1" applyFont="1" applyBorder="1" applyAlignment="1" applyProtection="1">
      <alignment horizontal="center" vertical="center"/>
      <protection hidden="1"/>
    </xf>
    <xf numFmtId="170" fontId="22" fillId="0" borderId="58" xfId="17" applyNumberFormat="1" applyFont="1" applyBorder="1" applyAlignment="1" applyProtection="1">
      <alignment horizontal="left" vertical="center" wrapText="1"/>
      <protection hidden="1"/>
    </xf>
    <xf numFmtId="170" fontId="22" fillId="2" borderId="49" xfId="17" applyNumberFormat="1" applyFont="1" applyFill="1" applyBorder="1" applyAlignment="1" applyProtection="1">
      <alignment horizontal="center" vertical="center" wrapText="1"/>
      <protection hidden="1"/>
    </xf>
    <xf numFmtId="170" fontId="22" fillId="0" borderId="49" xfId="17" applyNumberFormat="1" applyFont="1" applyFill="1" applyBorder="1" applyAlignment="1" applyProtection="1">
      <alignment horizontal="center" vertical="center" wrapText="1"/>
      <protection hidden="1"/>
    </xf>
    <xf numFmtId="166" fontId="22" fillId="12" borderId="49" xfId="17" applyNumberFormat="1" applyFont="1" applyFill="1" applyBorder="1" applyAlignment="1" applyProtection="1">
      <alignment horizontal="center" wrapText="1"/>
      <protection hidden="1"/>
    </xf>
    <xf numFmtId="166" fontId="22" fillId="0" borderId="58" xfId="17" applyNumberFormat="1" applyFont="1" applyBorder="1" applyAlignment="1" applyProtection="1">
      <alignment horizontal="left" vertical="center" wrapText="1"/>
      <protection hidden="1"/>
    </xf>
    <xf numFmtId="166" fontId="21" fillId="12" borderId="0" xfId="17" applyNumberFormat="1" applyFont="1" applyFill="1" applyBorder="1" applyAlignment="1" applyProtection="1">
      <alignment horizontal="center" vertical="center"/>
      <protection hidden="1"/>
    </xf>
    <xf numFmtId="166" fontId="21" fillId="0" borderId="0" xfId="17" applyNumberFormat="1" applyFont="1" applyBorder="1" applyAlignment="1" applyProtection="1">
      <alignment horizontal="center" vertical="center"/>
      <protection hidden="1"/>
    </xf>
    <xf numFmtId="4" fontId="21" fillId="12" borderId="42" xfId="0" applyNumberFormat="1" applyFont="1" applyFill="1" applyBorder="1" applyAlignment="1" applyProtection="1">
      <alignment vertical="center" wrapText="1"/>
      <protection hidden="1"/>
    </xf>
    <xf numFmtId="0" fontId="21" fillId="12" borderId="0" xfId="21" applyFont="1" applyFill="1" applyProtection="1">
      <protection hidden="1"/>
    </xf>
    <xf numFmtId="0" fontId="37" fillId="0" borderId="0" xfId="0" applyFont="1" applyAlignment="1">
      <alignment horizontal="center" vertical="center"/>
    </xf>
    <xf numFmtId="0" fontId="37" fillId="0" borderId="0" xfId="0" applyFont="1" applyAlignment="1">
      <alignment vertical="center"/>
    </xf>
    <xf numFmtId="166" fontId="0" fillId="0" borderId="0" xfId="17" applyFont="1" applyAlignment="1">
      <alignment horizontal="center" vertical="center"/>
    </xf>
    <xf numFmtId="0" fontId="0" fillId="0" borderId="0" xfId="0" applyAlignment="1">
      <alignment vertical="center"/>
    </xf>
    <xf numFmtId="0" fontId="37" fillId="0" borderId="2" xfId="0" applyFont="1" applyBorder="1" applyAlignment="1">
      <alignment vertical="center"/>
    </xf>
    <xf numFmtId="166" fontId="0" fillId="0" borderId="2" xfId="17" applyFont="1" applyBorder="1" applyAlignment="1">
      <alignment horizontal="center" vertical="center"/>
    </xf>
    <xf numFmtId="166" fontId="10" fillId="0" borderId="2" xfId="17" applyFont="1" applyBorder="1" applyAlignment="1">
      <alignment horizontal="center" vertical="center"/>
    </xf>
    <xf numFmtId="0" fontId="52" fillId="18" borderId="2" xfId="0" applyFont="1" applyFill="1" applyBorder="1" applyAlignment="1">
      <alignment horizontal="center" vertical="center"/>
    </xf>
    <xf numFmtId="0" fontId="53" fillId="18" borderId="2" xfId="0" applyFont="1" applyFill="1" applyBorder="1" applyAlignment="1">
      <alignment horizontal="center" vertical="center"/>
    </xf>
    <xf numFmtId="0" fontId="41" fillId="0" borderId="0" xfId="0" applyFont="1" applyAlignment="1">
      <alignment horizontal="center" vertical="center"/>
    </xf>
    <xf numFmtId="0" fontId="53" fillId="19" borderId="2" xfId="0" applyFont="1" applyFill="1" applyBorder="1" applyAlignment="1">
      <alignment horizontal="center" vertical="center"/>
    </xf>
    <xf numFmtId="37" fontId="21" fillId="0" borderId="3" xfId="23" applyNumberFormat="1" applyFont="1" applyBorder="1" applyProtection="1"/>
    <xf numFmtId="37" fontId="21" fillId="0" borderId="4" xfId="23" applyNumberFormat="1" applyFont="1" applyBorder="1" applyProtection="1"/>
    <xf numFmtId="37" fontId="21" fillId="7" borderId="4" xfId="23" applyNumberFormat="1" applyFont="1" applyFill="1" applyBorder="1" applyProtection="1"/>
    <xf numFmtId="0" fontId="19" fillId="0" borderId="5" xfId="23" applyNumberFormat="1" applyFont="1" applyBorder="1" applyAlignment="1" applyProtection="1">
      <alignment horizontal="center"/>
    </xf>
    <xf numFmtId="4" fontId="10" fillId="3" borderId="5" xfId="21" applyNumberFormat="1" applyFill="1" applyBorder="1"/>
    <xf numFmtId="4" fontId="10" fillId="0" borderId="6" xfId="21" applyNumberFormat="1" applyBorder="1"/>
    <xf numFmtId="4" fontId="10" fillId="0" borderId="3" xfId="21" applyNumberFormat="1" applyBorder="1"/>
    <xf numFmtId="4" fontId="10" fillId="4" borderId="5" xfId="21" applyNumberFormat="1" applyFill="1" applyBorder="1"/>
    <xf numFmtId="4" fontId="10" fillId="0" borderId="5" xfId="21" applyNumberFormat="1" applyBorder="1"/>
    <xf numFmtId="4" fontId="10" fillId="20" borderId="6" xfId="21" applyNumberFormat="1" applyFill="1" applyBorder="1"/>
    <xf numFmtId="0" fontId="19" fillId="0" borderId="7" xfId="23" applyNumberFormat="1" applyFont="1" applyBorder="1" applyAlignment="1" applyProtection="1">
      <alignment horizontal="center"/>
    </xf>
    <xf numFmtId="4" fontId="10" fillId="3" borderId="7" xfId="21" applyNumberFormat="1" applyFill="1" applyBorder="1"/>
    <xf numFmtId="4" fontId="10" fillId="0" borderId="0" xfId="21" applyNumberFormat="1" applyBorder="1"/>
    <xf numFmtId="4" fontId="10" fillId="0" borderId="4" xfId="21" applyNumberFormat="1" applyBorder="1"/>
    <xf numFmtId="4" fontId="10" fillId="4" borderId="7" xfId="21" applyNumberFormat="1" applyFill="1" applyBorder="1"/>
    <xf numFmtId="4" fontId="10" fillId="0" borderId="7" xfId="21" applyNumberFormat="1" applyBorder="1"/>
    <xf numFmtId="4" fontId="10" fillId="20" borderId="0" xfId="21" applyNumberFormat="1" applyFill="1" applyBorder="1"/>
    <xf numFmtId="0" fontId="19" fillId="7" borderId="7" xfId="23" applyNumberFormat="1" applyFont="1" applyFill="1" applyBorder="1" applyAlignment="1" applyProtection="1">
      <alignment horizontal="center"/>
    </xf>
    <xf numFmtId="4" fontId="10" fillId="7" borderId="7" xfId="21" applyNumberFormat="1" applyFill="1" applyBorder="1"/>
    <xf numFmtId="4" fontId="10" fillId="7" borderId="0" xfId="21" applyNumberFormat="1" applyFill="1" applyBorder="1"/>
    <xf numFmtId="4" fontId="10" fillId="7" borderId="4" xfId="21" applyNumberFormat="1" applyFill="1" applyBorder="1"/>
    <xf numFmtId="4" fontId="10" fillId="3" borderId="0" xfId="21" applyNumberFormat="1" applyFill="1" applyBorder="1"/>
    <xf numFmtId="0" fontId="10" fillId="7" borderId="0" xfId="21" applyFill="1"/>
    <xf numFmtId="0" fontId="10" fillId="7" borderId="0" xfId="21" applyFill="1" applyAlignment="1">
      <alignment horizontal="left"/>
    </xf>
    <xf numFmtId="0" fontId="10" fillId="8" borderId="0" xfId="21" applyFill="1"/>
    <xf numFmtId="4" fontId="10" fillId="4" borderId="0" xfId="21" applyNumberFormat="1" applyFill="1" applyBorder="1"/>
    <xf numFmtId="4" fontId="10" fillId="19" borderId="0" xfId="21" applyNumberFormat="1" applyFill="1" applyBorder="1"/>
    <xf numFmtId="0" fontId="22" fillId="0" borderId="64" xfId="0" applyFont="1" applyFill="1" applyBorder="1" applyAlignment="1" applyProtection="1">
      <alignment horizontal="left" vertical="center" wrapText="1"/>
      <protection hidden="1"/>
    </xf>
    <xf numFmtId="0" fontId="22" fillId="0" borderId="65" xfId="0" applyFont="1" applyFill="1" applyBorder="1" applyAlignment="1" applyProtection="1">
      <alignment horizontal="left" vertical="center" wrapText="1"/>
      <protection hidden="1"/>
    </xf>
    <xf numFmtId="166" fontId="22" fillId="0" borderId="52" xfId="17" applyFont="1" applyFill="1" applyBorder="1" applyAlignment="1" applyProtection="1">
      <alignment horizontal="center" vertical="center" wrapText="1"/>
      <protection hidden="1"/>
    </xf>
    <xf numFmtId="15" fontId="54" fillId="5" borderId="51" xfId="0" quotePrefix="1" applyNumberFormat="1" applyFont="1" applyFill="1" applyBorder="1" applyAlignment="1" applyProtection="1">
      <alignment horizontal="center" vertical="center" wrapText="1"/>
      <protection hidden="1"/>
    </xf>
    <xf numFmtId="15" fontId="54" fillId="16" borderId="51" xfId="0" quotePrefix="1" applyNumberFormat="1" applyFont="1" applyFill="1" applyBorder="1" applyAlignment="1" applyProtection="1">
      <alignment horizontal="center" vertical="center" wrapText="1"/>
      <protection hidden="1"/>
    </xf>
    <xf numFmtId="0" fontId="49" fillId="6" borderId="0" xfId="0" applyFont="1" applyFill="1" applyBorder="1" applyAlignment="1" applyProtection="1">
      <alignment horizontal="center" vertical="center"/>
      <protection hidden="1"/>
    </xf>
    <xf numFmtId="15" fontId="55" fillId="5" borderId="44" xfId="0" applyNumberFormat="1" applyFont="1" applyFill="1" applyBorder="1" applyAlignment="1" applyProtection="1">
      <alignment horizontal="center" vertical="center" wrapText="1"/>
      <protection hidden="1"/>
    </xf>
    <xf numFmtId="15" fontId="55" fillId="5" borderId="44" xfId="0" quotePrefix="1" applyNumberFormat="1" applyFont="1" applyFill="1" applyBorder="1" applyAlignment="1" applyProtection="1">
      <alignment horizontal="center" vertical="center" wrapText="1"/>
      <protection hidden="1"/>
    </xf>
    <xf numFmtId="15" fontId="55" fillId="5" borderId="66" xfId="0" applyNumberFormat="1" applyFont="1" applyFill="1" applyBorder="1" applyAlignment="1" applyProtection="1">
      <alignment horizontal="center" vertical="center" wrapText="1"/>
      <protection hidden="1"/>
    </xf>
    <xf numFmtId="0" fontId="56" fillId="0" borderId="0" xfId="0" applyFont="1"/>
    <xf numFmtId="9" fontId="57" fillId="0" borderId="0" xfId="25" applyFont="1" applyFill="1" applyBorder="1" applyAlignment="1" applyProtection="1">
      <alignment horizontal="center" vertical="center"/>
      <protection hidden="1"/>
    </xf>
    <xf numFmtId="9" fontId="57" fillId="0" borderId="0" xfId="0" applyNumberFormat="1" applyFont="1" applyFill="1" applyAlignment="1" applyProtection="1">
      <alignment horizontal="center" vertical="center"/>
      <protection hidden="1"/>
    </xf>
    <xf numFmtId="171" fontId="18" fillId="2" borderId="7" xfId="23" applyNumberFormat="1" applyFont="1" applyFill="1" applyBorder="1" applyProtection="1"/>
    <xf numFmtId="0" fontId="18" fillId="2" borderId="0" xfId="23" applyFont="1" applyFill="1" applyBorder="1"/>
    <xf numFmtId="0" fontId="10" fillId="2" borderId="0" xfId="21" applyFill="1" applyBorder="1"/>
    <xf numFmtId="0" fontId="10" fillId="12" borderId="0" xfId="21" applyFill="1"/>
    <xf numFmtId="0" fontId="10" fillId="0" borderId="0" xfId="21"/>
    <xf numFmtId="37" fontId="32" fillId="9" borderId="0" xfId="23" applyNumberFormat="1" applyFont="1" applyFill="1" applyBorder="1" applyAlignment="1" applyProtection="1">
      <alignment horizontal="centerContinuous"/>
    </xf>
    <xf numFmtId="0" fontId="10" fillId="2" borderId="0" xfId="21" applyFill="1" applyAlignment="1">
      <alignment horizontal="centerContinuous"/>
    </xf>
    <xf numFmtId="0" fontId="38" fillId="10" borderId="5" xfId="21" applyFont="1" applyFill="1" applyBorder="1"/>
    <xf numFmtId="0" fontId="39" fillId="10" borderId="6" xfId="21" applyFont="1" applyFill="1" applyBorder="1" applyAlignment="1">
      <alignment horizontal="right"/>
    </xf>
    <xf numFmtId="10" fontId="39" fillId="10" borderId="3" xfId="26" applyNumberFormat="1" applyFont="1" applyFill="1" applyBorder="1" applyAlignment="1">
      <alignment horizontal="center"/>
    </xf>
    <xf numFmtId="0" fontId="39" fillId="10" borderId="6" xfId="21" quotePrefix="1" applyFont="1" applyFill="1" applyBorder="1" applyAlignment="1">
      <alignment horizontal="right"/>
    </xf>
    <xf numFmtId="0" fontId="10" fillId="0" borderId="8" xfId="21" applyBorder="1"/>
    <xf numFmtId="0" fontId="10" fillId="0" borderId="9" xfId="21" applyBorder="1"/>
    <xf numFmtId="49" fontId="40" fillId="11" borderId="10" xfId="21" applyNumberFormat="1" applyFont="1" applyFill="1" applyBorder="1" applyAlignment="1">
      <alignment horizontal="center" wrapText="1"/>
    </xf>
    <xf numFmtId="49" fontId="40" fillId="0" borderId="10" xfId="21" applyNumberFormat="1" applyFont="1" applyBorder="1" applyAlignment="1">
      <alignment horizontal="center" wrapText="1"/>
    </xf>
    <xf numFmtId="49" fontId="40" fillId="20" borderId="10" xfId="21" applyNumberFormat="1" applyFont="1" applyFill="1" applyBorder="1" applyAlignment="1">
      <alignment horizontal="center" wrapText="1"/>
    </xf>
    <xf numFmtId="171" fontId="18" fillId="0" borderId="5" xfId="23" applyNumberFormat="1" applyFont="1" applyBorder="1" applyProtection="1"/>
    <xf numFmtId="37" fontId="21" fillId="0" borderId="3" xfId="23" quotePrefix="1" applyNumberFormat="1" applyFont="1" applyBorder="1" applyAlignment="1" applyProtection="1">
      <alignment horizontal="left"/>
    </xf>
    <xf numFmtId="37" fontId="21" fillId="0" borderId="4" xfId="23" quotePrefix="1" applyNumberFormat="1" applyFont="1" applyBorder="1" applyAlignment="1" applyProtection="1">
      <alignment horizontal="left"/>
    </xf>
    <xf numFmtId="0" fontId="19" fillId="0" borderId="11" xfId="23" applyNumberFormat="1" applyFont="1" applyBorder="1" applyAlignment="1" applyProtection="1">
      <alignment horizontal="center"/>
    </xf>
    <xf numFmtId="37" fontId="21" fillId="0" borderId="12" xfId="23" applyNumberFormat="1" applyFont="1" applyFill="1" applyBorder="1" applyProtection="1"/>
    <xf numFmtId="4" fontId="10" fillId="3" borderId="11" xfId="21" applyNumberFormat="1" applyFill="1" applyBorder="1"/>
    <xf numFmtId="4" fontId="10" fillId="0" borderId="13" xfId="21" applyNumberFormat="1" applyBorder="1"/>
    <xf numFmtId="4" fontId="10" fillId="0" borderId="12" xfId="21" applyNumberFormat="1" applyBorder="1"/>
    <xf numFmtId="4" fontId="10" fillId="4" borderId="11" xfId="21" applyNumberFormat="1" applyFill="1" applyBorder="1"/>
    <xf numFmtId="4" fontId="10" fillId="20" borderId="13" xfId="21" applyNumberFormat="1" applyFill="1" applyBorder="1"/>
    <xf numFmtId="171" fontId="18" fillId="0" borderId="7" xfId="23" applyNumberFormat="1" applyFont="1" applyBorder="1" applyProtection="1"/>
    <xf numFmtId="37" fontId="21" fillId="0" borderId="4" xfId="23" applyNumberFormat="1" applyFont="1" applyFill="1" applyBorder="1" applyProtection="1"/>
    <xf numFmtId="171" fontId="18" fillId="0" borderId="11" xfId="23" applyNumberFormat="1" applyFont="1" applyBorder="1" applyProtection="1"/>
    <xf numFmtId="4" fontId="10" fillId="0" borderId="11" xfId="21" applyNumberFormat="1" applyBorder="1"/>
    <xf numFmtId="0" fontId="19" fillId="7" borderId="11" xfId="23" applyNumberFormat="1" applyFont="1" applyFill="1" applyBorder="1" applyAlignment="1" applyProtection="1">
      <alignment horizontal="center"/>
    </xf>
    <xf numFmtId="37" fontId="21" fillId="7" borderId="12" xfId="23" applyNumberFormat="1" applyFont="1" applyFill="1" applyBorder="1" applyProtection="1"/>
    <xf numFmtId="4" fontId="10" fillId="7" borderId="11" xfId="21" applyNumberFormat="1" applyFill="1" applyBorder="1"/>
    <xf numFmtId="4" fontId="10" fillId="7" borderId="13" xfId="21" applyNumberFormat="1" applyFill="1" applyBorder="1"/>
    <xf numFmtId="4" fontId="10" fillId="7" borderId="12" xfId="21" applyNumberFormat="1" applyFill="1" applyBorder="1"/>
    <xf numFmtId="4" fontId="10" fillId="4" borderId="6" xfId="21" applyNumberFormat="1" applyFill="1" applyBorder="1"/>
    <xf numFmtId="37" fontId="21" fillId="0" borderId="12" xfId="23" quotePrefix="1" applyNumberFormat="1" applyFont="1" applyFill="1" applyBorder="1" applyAlignment="1" applyProtection="1">
      <alignment horizontal="left"/>
    </xf>
    <xf numFmtId="4" fontId="10" fillId="4" borderId="13" xfId="21" applyNumberFormat="1" applyFill="1" applyBorder="1"/>
    <xf numFmtId="4" fontId="10" fillId="0" borderId="0" xfId="21" applyNumberFormat="1"/>
    <xf numFmtId="37" fontId="21" fillId="0" borderId="12" xfId="23" applyNumberFormat="1" applyFont="1" applyBorder="1" applyProtection="1"/>
    <xf numFmtId="0" fontId="19" fillId="0" borderId="7" xfId="23" applyNumberFormat="1" applyFont="1" applyFill="1" applyBorder="1" applyAlignment="1" applyProtection="1">
      <alignment horizontal="center"/>
    </xf>
    <xf numFmtId="4" fontId="10" fillId="0" borderId="7" xfId="21" applyNumberFormat="1" applyFill="1" applyBorder="1"/>
    <xf numFmtId="4" fontId="10" fillId="0" borderId="0" xfId="21" applyNumberFormat="1" applyFill="1" applyBorder="1"/>
    <xf numFmtId="4" fontId="10" fillId="0" borderId="4" xfId="21" applyNumberFormat="1" applyFill="1" applyBorder="1"/>
    <xf numFmtId="4" fontId="10" fillId="0" borderId="11" xfId="21" applyNumberFormat="1" applyFill="1" applyBorder="1"/>
    <xf numFmtId="4" fontId="10" fillId="0" borderId="13" xfId="21" applyNumberFormat="1" applyFill="1" applyBorder="1"/>
    <xf numFmtId="4" fontId="10" fillId="0" borderId="12" xfId="21" applyNumberFormat="1" applyFill="1" applyBorder="1"/>
    <xf numFmtId="4" fontId="10" fillId="2" borderId="0" xfId="21" applyNumberFormat="1" applyFill="1" applyBorder="1"/>
    <xf numFmtId="37" fontId="21" fillId="2" borderId="0" xfId="23" applyNumberFormat="1" applyFont="1" applyFill="1" applyBorder="1" applyProtection="1"/>
    <xf numFmtId="4" fontId="10" fillId="21" borderId="0" xfId="21" applyNumberFormat="1" applyFill="1" applyBorder="1"/>
    <xf numFmtId="0" fontId="19" fillId="2" borderId="8" xfId="23" applyNumberFormat="1" applyFont="1" applyFill="1" applyBorder="1" applyAlignment="1" applyProtection="1">
      <alignment horizontal="center"/>
    </xf>
    <xf numFmtId="37" fontId="22" fillId="2" borderId="9" xfId="23" applyNumberFormat="1" applyFont="1" applyFill="1" applyBorder="1" applyProtection="1"/>
    <xf numFmtId="0" fontId="10" fillId="2" borderId="9" xfId="21" applyFill="1" applyBorder="1"/>
    <xf numFmtId="10" fontId="41" fillId="2" borderId="0" xfId="26" applyNumberFormat="1" applyFont="1" applyFill="1" applyAlignment="1">
      <alignment horizontal="center"/>
    </xf>
    <xf numFmtId="0" fontId="41" fillId="2" borderId="0" xfId="21" quotePrefix="1" applyFont="1" applyFill="1" applyAlignment="1">
      <alignment horizontal="right"/>
    </xf>
    <xf numFmtId="0" fontId="41" fillId="2" borderId="0" xfId="21" applyFont="1" applyFill="1" applyAlignment="1">
      <alignment horizontal="left"/>
    </xf>
    <xf numFmtId="10" fontId="10" fillId="0" borderId="0" xfId="21" applyNumberFormat="1"/>
    <xf numFmtId="0" fontId="10" fillId="2" borderId="14" xfId="21" applyFill="1" applyBorder="1"/>
    <xf numFmtId="0" fontId="37" fillId="2" borderId="10" xfId="21" applyFont="1" applyFill="1" applyBorder="1" applyAlignment="1">
      <alignment horizontal="center"/>
    </xf>
    <xf numFmtId="0" fontId="35" fillId="2" borderId="10" xfId="21" applyFont="1" applyFill="1" applyBorder="1"/>
    <xf numFmtId="0" fontId="10" fillId="2" borderId="10" xfId="21" applyFill="1" applyBorder="1"/>
    <xf numFmtId="0" fontId="35" fillId="2" borderId="10" xfId="21" applyFont="1" applyFill="1" applyBorder="1" applyAlignment="1">
      <alignment horizontal="centerContinuous"/>
    </xf>
    <xf numFmtId="0" fontId="10" fillId="2" borderId="10" xfId="21" applyFill="1" applyBorder="1" applyAlignment="1">
      <alignment horizontal="centerContinuous"/>
    </xf>
    <xf numFmtId="0" fontId="35" fillId="2" borderId="10" xfId="21" applyFont="1" applyFill="1" applyBorder="1" applyAlignment="1">
      <alignment horizontal="left"/>
    </xf>
    <xf numFmtId="0" fontId="10" fillId="2" borderId="8" xfId="21" applyFill="1" applyBorder="1" applyAlignment="1">
      <alignment horizontal="centerContinuous"/>
    </xf>
    <xf numFmtId="0" fontId="10" fillId="2" borderId="15" xfId="21" applyFill="1" applyBorder="1" applyAlignment="1">
      <alignment horizontal="centerContinuous"/>
    </xf>
    <xf numFmtId="0" fontId="10" fillId="2" borderId="9" xfId="21" applyFill="1" applyBorder="1" applyAlignment="1">
      <alignment horizontal="centerContinuous"/>
    </xf>
    <xf numFmtId="0" fontId="10" fillId="2" borderId="16" xfId="21" applyFill="1" applyBorder="1"/>
    <xf numFmtId="4" fontId="10" fillId="2" borderId="10" xfId="21" applyNumberFormat="1" applyFill="1" applyBorder="1"/>
    <xf numFmtId="0" fontId="10" fillId="2" borderId="8" xfId="21" applyFill="1" applyBorder="1"/>
    <xf numFmtId="4" fontId="10" fillId="2" borderId="15" xfId="21" applyNumberFormat="1" applyFill="1" applyBorder="1"/>
    <xf numFmtId="4" fontId="10" fillId="2" borderId="15" xfId="21" applyNumberFormat="1" applyFill="1" applyBorder="1" applyAlignment="1">
      <alignment horizontal="centerContinuous"/>
    </xf>
    <xf numFmtId="4" fontId="10" fillId="2" borderId="9" xfId="21" applyNumberFormat="1" applyFill="1" applyBorder="1" applyAlignment="1">
      <alignment horizontal="centerContinuous"/>
    </xf>
    <xf numFmtId="0" fontId="10" fillId="2" borderId="15" xfId="21" applyFill="1" applyBorder="1"/>
    <xf numFmtId="4" fontId="10" fillId="2" borderId="0" xfId="21" applyNumberFormat="1" applyFill="1"/>
    <xf numFmtId="0" fontId="10" fillId="2" borderId="17" xfId="21" applyFill="1" applyBorder="1"/>
    <xf numFmtId="0" fontId="37" fillId="2" borderId="17" xfId="21" applyFont="1" applyFill="1" applyBorder="1" applyAlignment="1">
      <alignment horizontal="center"/>
    </xf>
    <xf numFmtId="0" fontId="35" fillId="2" borderId="17" xfId="21" applyFont="1" applyFill="1" applyBorder="1"/>
    <xf numFmtId="4" fontId="10" fillId="2" borderId="17" xfId="21" applyNumberFormat="1" applyFill="1" applyBorder="1"/>
    <xf numFmtId="0" fontId="10" fillId="2" borderId="18" xfId="21" applyFill="1" applyBorder="1" applyAlignment="1">
      <alignment horizontal="centerContinuous"/>
    </xf>
    <xf numFmtId="0" fontId="10" fillId="2" borderId="19" xfId="21" applyFill="1" applyBorder="1" applyAlignment="1">
      <alignment horizontal="centerContinuous"/>
    </xf>
    <xf numFmtId="0" fontId="35" fillId="2" borderId="17" xfId="21" applyFont="1" applyFill="1" applyBorder="1" applyAlignment="1">
      <alignment horizontal="centerContinuous"/>
    </xf>
    <xf numFmtId="0" fontId="10" fillId="2" borderId="17" xfId="21" applyFill="1" applyBorder="1" applyAlignment="1">
      <alignment horizontal="centerContinuous"/>
    </xf>
    <xf numFmtId="2" fontId="10" fillId="12" borderId="0" xfId="21" applyNumberFormat="1" applyFill="1"/>
    <xf numFmtId="0" fontId="10" fillId="2" borderId="20" xfId="21" applyFill="1" applyBorder="1"/>
    <xf numFmtId="0" fontId="10" fillId="2" borderId="21" xfId="21" applyFill="1" applyBorder="1"/>
    <xf numFmtId="4" fontId="10" fillId="2" borderId="21" xfId="21" applyNumberFormat="1" applyFill="1" applyBorder="1"/>
    <xf numFmtId="0" fontId="10" fillId="2" borderId="22" xfId="21" applyFill="1" applyBorder="1"/>
    <xf numFmtId="0" fontId="10" fillId="2" borderId="23" xfId="21" applyFill="1" applyBorder="1"/>
    <xf numFmtId="0" fontId="35" fillId="2" borderId="21" xfId="21" applyFont="1" applyFill="1" applyBorder="1" applyAlignment="1">
      <alignment horizontal="centerContinuous"/>
    </xf>
    <xf numFmtId="4" fontId="10" fillId="2" borderId="24" xfId="21" applyNumberFormat="1" applyFill="1" applyBorder="1" applyAlignment="1">
      <alignment horizontal="centerContinuous"/>
    </xf>
    <xf numFmtId="4" fontId="10" fillId="2" borderId="25" xfId="21" applyNumberFormat="1" applyFill="1" applyBorder="1" applyAlignment="1">
      <alignment horizontal="centerContinuous"/>
    </xf>
    <xf numFmtId="0" fontId="35" fillId="2" borderId="21" xfId="21" applyFont="1" applyFill="1" applyBorder="1" applyAlignment="1">
      <alignment horizontal="left"/>
    </xf>
    <xf numFmtId="0" fontId="10" fillId="2" borderId="26" xfId="21" applyFill="1" applyBorder="1"/>
    <xf numFmtId="0" fontId="10" fillId="2" borderId="27" xfId="21" applyFill="1" applyBorder="1"/>
    <xf numFmtId="0" fontId="10" fillId="2" borderId="28" xfId="21" applyFill="1" applyBorder="1"/>
    <xf numFmtId="4" fontId="10" fillId="2" borderId="28" xfId="21" applyNumberFormat="1" applyFill="1" applyBorder="1"/>
    <xf numFmtId="4" fontId="10" fillId="2" borderId="29" xfId="21" applyNumberFormat="1" applyFill="1" applyBorder="1"/>
    <xf numFmtId="4" fontId="10" fillId="2" borderId="30" xfId="21" applyNumberFormat="1" applyFill="1" applyBorder="1"/>
    <xf numFmtId="0" fontId="37" fillId="2" borderId="0" xfId="21" quotePrefix="1" applyFont="1" applyFill="1" applyAlignment="1">
      <alignment horizontal="left"/>
    </xf>
    <xf numFmtId="0" fontId="10" fillId="2" borderId="0" xfId="21" quotePrefix="1" applyFill="1" applyAlignment="1">
      <alignment horizontal="left"/>
    </xf>
    <xf numFmtId="2" fontId="10" fillId="0" borderId="0" xfId="21" applyNumberFormat="1" applyFill="1"/>
    <xf numFmtId="0" fontId="19" fillId="2" borderId="0" xfId="21" applyFont="1" applyFill="1"/>
    <xf numFmtId="172" fontId="10" fillId="2" borderId="0" xfId="21" applyNumberFormat="1" applyFill="1"/>
    <xf numFmtId="173" fontId="10" fillId="2" borderId="0" xfId="21" applyNumberFormat="1" applyFill="1"/>
    <xf numFmtId="9" fontId="10" fillId="12" borderId="0" xfId="25" applyFont="1" applyFill="1"/>
    <xf numFmtId="0" fontId="42" fillId="0" borderId="0" xfId="21" applyFont="1" applyAlignment="1">
      <alignment wrapText="1"/>
    </xf>
    <xf numFmtId="166" fontId="0" fillId="0" borderId="0" xfId="17" applyFont="1" applyAlignment="1">
      <alignment vertical="center"/>
    </xf>
    <xf numFmtId="166" fontId="0" fillId="0" borderId="0" xfId="17" applyNumberFormat="1" applyFont="1" applyAlignment="1">
      <alignment vertical="center"/>
    </xf>
    <xf numFmtId="0" fontId="21" fillId="2" borderId="2" xfId="0" applyFont="1" applyFill="1" applyBorder="1" applyAlignment="1" applyProtection="1">
      <alignment vertical="center"/>
      <protection hidden="1"/>
    </xf>
    <xf numFmtId="4" fontId="21" fillId="2" borderId="2" xfId="0" applyNumberFormat="1" applyFont="1" applyFill="1" applyBorder="1" applyAlignment="1" applyProtection="1">
      <alignment vertical="center"/>
      <protection hidden="1"/>
    </xf>
    <xf numFmtId="0" fontId="21" fillId="20" borderId="2" xfId="0" applyFont="1" applyFill="1" applyBorder="1" applyAlignment="1" applyProtection="1">
      <alignment horizontal="center" vertical="center"/>
      <protection hidden="1"/>
    </xf>
    <xf numFmtId="166" fontId="18" fillId="0" borderId="0" xfId="17" applyFont="1"/>
    <xf numFmtId="0" fontId="0" fillId="0" borderId="0" xfId="0" applyAlignment="1">
      <alignment vertical="top" wrapText="1"/>
    </xf>
    <xf numFmtId="17" fontId="45" fillId="6" borderId="39" xfId="0" applyNumberFormat="1" applyFont="1" applyFill="1" applyBorder="1" applyAlignment="1" applyProtection="1">
      <alignment horizontal="center" vertical="center" wrapText="1"/>
      <protection hidden="1"/>
    </xf>
    <xf numFmtId="169" fontId="47" fillId="2" borderId="0" xfId="24" applyFont="1" applyFill="1" applyAlignment="1" applyProtection="1">
      <alignment horizontal="left" vertical="center"/>
      <protection hidden="1"/>
    </xf>
    <xf numFmtId="166" fontId="22" fillId="12" borderId="52" xfId="17" applyFont="1" applyFill="1" applyBorder="1" applyAlignment="1" applyProtection="1">
      <alignment horizontal="right" vertical="center" wrapText="1"/>
      <protection hidden="1"/>
    </xf>
    <xf numFmtId="0" fontId="21" fillId="0" borderId="0" xfId="0" applyFont="1" applyAlignment="1" applyProtection="1">
      <alignment vertical="center"/>
      <protection hidden="1"/>
    </xf>
    <xf numFmtId="0" fontId="51" fillId="0" borderId="0" xfId="0" applyFont="1" applyFill="1" applyBorder="1" applyAlignment="1" applyProtection="1">
      <alignment horizontal="left" vertical="center" wrapText="1"/>
      <protection hidden="1"/>
    </xf>
    <xf numFmtId="9" fontId="44" fillId="5" borderId="52" xfId="25" quotePrefix="1" applyFont="1" applyFill="1" applyBorder="1" applyAlignment="1" applyProtection="1">
      <alignment horizontal="center" vertical="center" wrapText="1"/>
      <protection hidden="1"/>
    </xf>
    <xf numFmtId="0" fontId="10" fillId="0" borderId="0" xfId="0" applyFont="1" applyAlignment="1" applyProtection="1">
      <alignment vertical="center"/>
      <protection hidden="1"/>
    </xf>
    <xf numFmtId="0" fontId="21" fillId="14" borderId="32" xfId="0" quotePrefix="1" applyFont="1" applyFill="1" applyBorder="1" applyAlignment="1" applyProtection="1">
      <alignment horizontal="left" vertical="center"/>
      <protection hidden="1"/>
    </xf>
    <xf numFmtId="4" fontId="21" fillId="14" borderId="31" xfId="0" applyNumberFormat="1" applyFont="1" applyFill="1" applyBorder="1" applyAlignment="1" applyProtection="1">
      <alignment vertical="center"/>
      <protection hidden="1"/>
    </xf>
    <xf numFmtId="4" fontId="21" fillId="14" borderId="36" xfId="0" applyNumberFormat="1" applyFont="1" applyFill="1" applyBorder="1" applyAlignment="1" applyProtection="1">
      <alignment vertical="center"/>
      <protection hidden="1"/>
    </xf>
    <xf numFmtId="0" fontId="21" fillId="14" borderId="32" xfId="0" applyFont="1" applyFill="1" applyBorder="1" applyAlignment="1" applyProtection="1">
      <alignment horizontal="left" vertical="center"/>
      <protection hidden="1"/>
    </xf>
    <xf numFmtId="0" fontId="21" fillId="14" borderId="33" xfId="0" applyFont="1" applyFill="1" applyBorder="1" applyAlignment="1" applyProtection="1">
      <alignment horizontal="left" vertical="center" wrapText="1"/>
      <protection hidden="1"/>
    </xf>
    <xf numFmtId="4" fontId="21" fillId="14" borderId="31" xfId="0" applyNumberFormat="1" applyFont="1" applyFill="1" applyBorder="1" applyAlignment="1" applyProtection="1">
      <alignment horizontal="right" vertical="center"/>
      <protection hidden="1"/>
    </xf>
    <xf numFmtId="4" fontId="21" fillId="14" borderId="36" xfId="0" applyNumberFormat="1" applyFont="1" applyFill="1" applyBorder="1" applyAlignment="1" applyProtection="1">
      <alignment horizontal="right" vertical="center"/>
      <protection hidden="1"/>
    </xf>
    <xf numFmtId="4" fontId="22" fillId="14" borderId="31" xfId="0" applyNumberFormat="1" applyFont="1" applyFill="1" applyBorder="1" applyAlignment="1" applyProtection="1">
      <alignment vertical="center"/>
      <protection hidden="1"/>
    </xf>
    <xf numFmtId="4" fontId="22" fillId="14" borderId="36" xfId="0" applyNumberFormat="1" applyFont="1" applyFill="1" applyBorder="1" applyAlignment="1" applyProtection="1">
      <alignment vertical="center"/>
      <protection hidden="1"/>
    </xf>
    <xf numFmtId="0" fontId="51" fillId="0" borderId="0" xfId="0" applyFont="1" applyBorder="1" applyAlignment="1" applyProtection="1">
      <alignment horizontal="justify" vertical="top" wrapText="1"/>
      <protection hidden="1"/>
    </xf>
    <xf numFmtId="2" fontId="46" fillId="0" borderId="0" xfId="0" applyNumberFormat="1" applyFont="1" applyFill="1" applyBorder="1" applyAlignment="1" applyProtection="1">
      <alignment horizontal="right" vertical="center" wrapText="1"/>
      <protection hidden="1"/>
    </xf>
    <xf numFmtId="0" fontId="51" fillId="0" borderId="0" xfId="0" applyFont="1" applyBorder="1" applyAlignment="1" applyProtection="1">
      <alignment horizontal="left" vertical="top" wrapText="1"/>
      <protection hidden="1"/>
    </xf>
    <xf numFmtId="0" fontId="49" fillId="6" borderId="62" xfId="0" applyFont="1" applyFill="1" applyBorder="1" applyAlignment="1" applyProtection="1">
      <alignment horizontal="center" vertical="center" wrapText="1"/>
      <protection hidden="1"/>
    </xf>
    <xf numFmtId="0" fontId="49" fillId="6" borderId="63" xfId="0" applyFont="1" applyFill="1" applyBorder="1" applyAlignment="1" applyProtection="1">
      <alignment horizontal="center" vertical="center"/>
      <protection hidden="1"/>
    </xf>
    <xf numFmtId="0" fontId="44" fillId="5" borderId="48" xfId="0" applyFont="1" applyFill="1" applyBorder="1" applyAlignment="1" applyProtection="1">
      <alignment horizontal="center" vertical="center" wrapText="1"/>
      <protection hidden="1"/>
    </xf>
    <xf numFmtId="0" fontId="44" fillId="5" borderId="45" xfId="0" applyFont="1" applyFill="1" applyBorder="1" applyAlignment="1" applyProtection="1">
      <alignment horizontal="center" vertical="center" wrapText="1"/>
      <protection hidden="1"/>
    </xf>
    <xf numFmtId="15" fontId="55" fillId="5" borderId="47" xfId="0" applyNumberFormat="1" applyFont="1" applyFill="1" applyBorder="1" applyAlignment="1" applyProtection="1">
      <alignment horizontal="center" vertical="center" wrapText="1"/>
      <protection hidden="1"/>
    </xf>
    <xf numFmtId="166" fontId="22" fillId="12" borderId="45" xfId="17" applyFont="1" applyFill="1" applyBorder="1" applyAlignment="1" applyProtection="1">
      <alignment horizontal="center" vertical="center" wrapText="1"/>
      <protection hidden="1"/>
    </xf>
    <xf numFmtId="166" fontId="23" fillId="0" borderId="45" xfId="17" applyFont="1" applyFill="1" applyBorder="1" applyAlignment="1" applyProtection="1">
      <alignment vertical="center" wrapText="1"/>
      <protection hidden="1"/>
    </xf>
    <xf numFmtId="0" fontId="51" fillId="0" borderId="0" xfId="0" applyFont="1" applyBorder="1" applyAlignment="1" applyProtection="1">
      <alignment vertical="top" wrapText="1"/>
      <protection hidden="1"/>
    </xf>
    <xf numFmtId="0" fontId="10" fillId="12" borderId="0" xfId="0" applyFont="1" applyFill="1" applyBorder="1" applyAlignment="1" applyProtection="1">
      <alignment vertical="center"/>
      <protection hidden="1"/>
    </xf>
    <xf numFmtId="0" fontId="10" fillId="0" borderId="0" xfId="0" applyFont="1" applyBorder="1" applyAlignment="1" applyProtection="1">
      <alignment vertical="center"/>
      <protection hidden="1"/>
    </xf>
    <xf numFmtId="0" fontId="51" fillId="0" borderId="0" xfId="0" applyFont="1" applyFill="1" applyBorder="1" applyAlignment="1" applyProtection="1">
      <alignment horizontal="justify" vertical="center" wrapText="1"/>
      <protection hidden="1"/>
    </xf>
    <xf numFmtId="0" fontId="37" fillId="0" borderId="0" xfId="0" applyFont="1" applyFill="1" applyBorder="1" applyAlignment="1" applyProtection="1">
      <alignment horizontal="left" vertical="center" wrapText="1"/>
      <protection hidden="1"/>
    </xf>
    <xf numFmtId="166" fontId="37" fillId="0" borderId="0" xfId="17" applyFont="1" applyFill="1" applyBorder="1" applyAlignment="1" applyProtection="1">
      <alignment horizontal="right" vertical="center" wrapText="1"/>
      <protection hidden="1"/>
    </xf>
    <xf numFmtId="0" fontId="51" fillId="0" borderId="0" xfId="0" applyFont="1" applyFill="1" applyAlignment="1" applyProtection="1">
      <alignment horizontal="justify" vertical="center" wrapText="1"/>
      <protection hidden="1"/>
    </xf>
    <xf numFmtId="0" fontId="21" fillId="2" borderId="0" xfId="0" quotePrefix="1" applyFont="1" applyFill="1" applyBorder="1" applyAlignment="1" applyProtection="1">
      <alignment horizontal="left" vertical="center" wrapText="1"/>
      <protection hidden="1"/>
    </xf>
    <xf numFmtId="4" fontId="21" fillId="2" borderId="41" xfId="0" applyNumberFormat="1" applyFont="1" applyFill="1" applyBorder="1" applyAlignment="1" applyProtection="1">
      <alignment vertical="center"/>
      <protection hidden="1"/>
    </xf>
    <xf numFmtId="4" fontId="21" fillId="23" borderId="41" xfId="0" applyNumberFormat="1" applyFont="1" applyFill="1" applyBorder="1" applyAlignment="1" applyProtection="1">
      <alignment vertical="center"/>
      <protection hidden="1"/>
    </xf>
    <xf numFmtId="4" fontId="21" fillId="0" borderId="41" xfId="0" applyNumberFormat="1" applyFont="1" applyFill="1" applyBorder="1" applyAlignment="1" applyProtection="1">
      <alignment horizontal="right" vertical="center"/>
      <protection hidden="1"/>
    </xf>
    <xf numFmtId="4" fontId="21" fillId="0" borderId="41" xfId="0" applyNumberFormat="1" applyFont="1" applyFill="1" applyBorder="1" applyAlignment="1" applyProtection="1">
      <alignment vertical="center"/>
      <protection hidden="1"/>
    </xf>
    <xf numFmtId="4" fontId="47" fillId="5" borderId="41" xfId="0" applyNumberFormat="1" applyFont="1" applyFill="1" applyBorder="1" applyAlignment="1" applyProtection="1">
      <alignment vertical="center"/>
      <protection hidden="1"/>
    </xf>
    <xf numFmtId="17" fontId="45" fillId="6" borderId="54" xfId="0" applyNumberFormat="1" applyFont="1" applyFill="1" applyBorder="1" applyAlignment="1" applyProtection="1">
      <alignment horizontal="center" vertical="center" wrapText="1"/>
      <protection hidden="1"/>
    </xf>
    <xf numFmtId="17" fontId="45" fillId="6" borderId="55" xfId="0" applyNumberFormat="1" applyFont="1" applyFill="1" applyBorder="1" applyAlignment="1" applyProtection="1">
      <alignment horizontal="center" vertical="center" wrapText="1"/>
      <protection hidden="1"/>
    </xf>
    <xf numFmtId="0" fontId="21" fillId="2" borderId="42" xfId="0" quotePrefix="1" applyFont="1" applyFill="1" applyBorder="1" applyAlignment="1" applyProtection="1">
      <alignment horizontal="left" vertical="center"/>
      <protection hidden="1"/>
    </xf>
    <xf numFmtId="4" fontId="21" fillId="23" borderId="45" xfId="0" applyNumberFormat="1" applyFont="1" applyFill="1" applyBorder="1" applyAlignment="1" applyProtection="1">
      <alignment vertical="center"/>
      <protection hidden="1"/>
    </xf>
    <xf numFmtId="4" fontId="21" fillId="2" borderId="45" xfId="0" applyNumberFormat="1" applyFont="1" applyFill="1" applyBorder="1" applyAlignment="1" applyProtection="1">
      <alignment vertical="center"/>
      <protection hidden="1"/>
    </xf>
    <xf numFmtId="0" fontId="21" fillId="2" borderId="42" xfId="0" applyFont="1" applyFill="1" applyBorder="1" applyAlignment="1" applyProtection="1">
      <alignment horizontal="left" vertical="center"/>
      <protection hidden="1"/>
    </xf>
    <xf numFmtId="0" fontId="47" fillId="5" borderId="42" xfId="0" quotePrefix="1" applyFont="1" applyFill="1" applyBorder="1" applyAlignment="1" applyProtection="1">
      <alignment horizontal="left" vertical="center" wrapText="1"/>
      <protection hidden="1"/>
    </xf>
    <xf numFmtId="4" fontId="47" fillId="5" borderId="45" xfId="0" applyNumberFormat="1" applyFont="1" applyFill="1" applyBorder="1" applyAlignment="1" applyProtection="1">
      <alignment vertical="center"/>
      <protection hidden="1"/>
    </xf>
    <xf numFmtId="0" fontId="21" fillId="2" borderId="43" xfId="0" quotePrefix="1" applyFont="1" applyFill="1" applyBorder="1" applyAlignment="1" applyProtection="1">
      <alignment horizontal="left" vertical="center" wrapText="1"/>
      <protection hidden="1"/>
    </xf>
    <xf numFmtId="4" fontId="21" fillId="2" borderId="44" xfId="0" applyNumberFormat="1" applyFont="1" applyFill="1" applyBorder="1" applyAlignment="1" applyProtection="1">
      <alignment horizontal="right" vertical="center"/>
      <protection hidden="1"/>
    </xf>
    <xf numFmtId="4" fontId="21" fillId="2" borderId="47" xfId="0" applyNumberFormat="1" applyFont="1" applyFill="1" applyBorder="1" applyAlignment="1" applyProtection="1">
      <alignment horizontal="right" vertical="center"/>
      <protection hidden="1"/>
    </xf>
    <xf numFmtId="0" fontId="43" fillId="2" borderId="0" xfId="0" applyNumberFormat="1" applyFont="1" applyFill="1" applyAlignment="1" applyProtection="1">
      <alignment horizontal="justify" vertical="center" wrapText="1"/>
      <protection hidden="1"/>
    </xf>
    <xf numFmtId="0" fontId="47" fillId="5" borderId="42" xfId="0" quotePrefix="1" applyFont="1" applyFill="1" applyBorder="1" applyAlignment="1" applyProtection="1">
      <alignment horizontal="left" vertical="center"/>
      <protection hidden="1"/>
    </xf>
    <xf numFmtId="4" fontId="22" fillId="2" borderId="41" xfId="0" applyNumberFormat="1" applyFont="1" applyFill="1" applyBorder="1" applyAlignment="1" applyProtection="1">
      <alignment vertical="center"/>
      <protection hidden="1"/>
    </xf>
    <xf numFmtId="4" fontId="22" fillId="2" borderId="45" xfId="0" applyNumberFormat="1" applyFont="1" applyFill="1" applyBorder="1" applyAlignment="1" applyProtection="1">
      <alignment vertical="center"/>
      <protection hidden="1"/>
    </xf>
    <xf numFmtId="4" fontId="47" fillId="5" borderId="41" xfId="0" applyNumberFormat="1" applyFont="1" applyFill="1" applyBorder="1" applyAlignment="1" applyProtection="1">
      <alignment horizontal="right" vertical="center"/>
      <protection hidden="1"/>
    </xf>
    <xf numFmtId="4" fontId="47" fillId="5" borderId="45" xfId="0" applyNumberFormat="1" applyFont="1" applyFill="1" applyBorder="1" applyAlignment="1" applyProtection="1">
      <alignment horizontal="right" vertical="center"/>
      <protection hidden="1"/>
    </xf>
    <xf numFmtId="0" fontId="44" fillId="15" borderId="53" xfId="0" applyFont="1" applyFill="1" applyBorder="1" applyAlignment="1" applyProtection="1">
      <alignment horizontal="center" vertical="center" wrapText="1"/>
      <protection hidden="1"/>
    </xf>
    <xf numFmtId="17" fontId="44" fillId="15" borderId="54" xfId="0" applyNumberFormat="1" applyFont="1" applyFill="1" applyBorder="1" applyAlignment="1" applyProtection="1">
      <alignment horizontal="center" vertical="center" wrapText="1"/>
      <protection hidden="1"/>
    </xf>
    <xf numFmtId="17" fontId="44" fillId="15" borderId="55" xfId="0" applyNumberFormat="1" applyFont="1" applyFill="1" applyBorder="1" applyAlignment="1" applyProtection="1">
      <alignment horizontal="center" vertical="center" wrapText="1"/>
      <protection hidden="1"/>
    </xf>
    <xf numFmtId="166" fontId="21" fillId="2" borderId="41" xfId="17" applyFont="1" applyFill="1" applyBorder="1" applyAlignment="1" applyProtection="1">
      <alignment horizontal="right" vertical="center"/>
      <protection hidden="1"/>
    </xf>
    <xf numFmtId="4" fontId="21" fillId="2" borderId="41" xfId="0" applyNumberFormat="1" applyFont="1" applyFill="1" applyBorder="1" applyAlignment="1" applyProtection="1">
      <alignment horizontal="right" vertical="center"/>
      <protection hidden="1"/>
    </xf>
    <xf numFmtId="166" fontId="21" fillId="2" borderId="45" xfId="17" applyFont="1" applyFill="1" applyBorder="1" applyAlignment="1" applyProtection="1">
      <alignment horizontal="right" vertical="center"/>
      <protection hidden="1"/>
    </xf>
    <xf numFmtId="0" fontId="22" fillId="2" borderId="42" xfId="0" applyFont="1" applyFill="1" applyBorder="1" applyAlignment="1" applyProtection="1">
      <alignment horizontal="left" vertical="center" wrapText="1"/>
      <protection hidden="1"/>
    </xf>
    <xf numFmtId="4" fontId="22" fillId="2" borderId="41" xfId="0" applyNumberFormat="1" applyFont="1" applyFill="1" applyBorder="1" applyAlignment="1" applyProtection="1">
      <alignment horizontal="right" vertical="center"/>
      <protection hidden="1"/>
    </xf>
    <xf numFmtId="4" fontId="22" fillId="2" borderId="45" xfId="0" applyNumberFormat="1" applyFont="1" applyFill="1" applyBorder="1" applyAlignment="1" applyProtection="1">
      <alignment horizontal="right" vertical="center"/>
      <protection hidden="1"/>
    </xf>
    <xf numFmtId="4" fontId="21" fillId="2" borderId="45" xfId="0" applyNumberFormat="1" applyFont="1" applyFill="1" applyBorder="1" applyAlignment="1" applyProtection="1">
      <alignment horizontal="right" vertical="center"/>
      <protection hidden="1"/>
    </xf>
    <xf numFmtId="4" fontId="21" fillId="12" borderId="41" xfId="0" applyNumberFormat="1" applyFont="1" applyFill="1" applyBorder="1" applyAlignment="1" applyProtection="1">
      <alignment horizontal="right" vertical="center"/>
      <protection hidden="1"/>
    </xf>
    <xf numFmtId="0" fontId="21" fillId="2" borderId="43" xfId="0" quotePrefix="1" applyFont="1" applyFill="1" applyBorder="1" applyAlignment="1" applyProtection="1">
      <alignment horizontal="left" vertical="center"/>
      <protection hidden="1"/>
    </xf>
    <xf numFmtId="0" fontId="51" fillId="0" borderId="0" xfId="0" applyFont="1" applyAlignment="1" applyProtection="1">
      <alignment horizontal="left" vertical="center"/>
      <protection hidden="1"/>
    </xf>
    <xf numFmtId="0" fontId="51" fillId="2" borderId="0" xfId="0" quotePrefix="1" applyFont="1" applyFill="1" applyBorder="1" applyAlignment="1" applyProtection="1">
      <alignment horizontal="left" vertical="center"/>
      <protection hidden="1"/>
    </xf>
    <xf numFmtId="0" fontId="10" fillId="12" borderId="0" xfId="0" applyFont="1" applyFill="1" applyBorder="1" applyAlignment="1" applyProtection="1">
      <alignment vertical="top"/>
      <protection hidden="1"/>
    </xf>
    <xf numFmtId="0" fontId="51" fillId="12" borderId="0" xfId="0" applyFont="1" applyFill="1" applyAlignment="1" applyProtection="1">
      <alignment vertical="top" wrapText="1"/>
      <protection hidden="1"/>
    </xf>
    <xf numFmtId="0" fontId="10" fillId="0" borderId="0" xfId="0" applyFont="1" applyAlignment="1">
      <alignment vertical="top" wrapText="1"/>
    </xf>
    <xf numFmtId="4" fontId="21" fillId="0" borderId="42" xfId="0" applyNumberFormat="1" applyFont="1" applyBorder="1" applyAlignment="1" applyProtection="1">
      <alignment vertical="center" wrapText="1"/>
      <protection hidden="1"/>
    </xf>
    <xf numFmtId="0" fontId="45" fillId="0" borderId="0" xfId="0" applyFont="1" applyAlignment="1" applyProtection="1">
      <alignment vertical="center"/>
      <protection hidden="1"/>
    </xf>
    <xf numFmtId="0" fontId="51" fillId="0" borderId="0" xfId="0" applyFont="1" applyBorder="1" applyAlignment="1" applyProtection="1">
      <alignment vertical="top"/>
      <protection hidden="1"/>
    </xf>
    <xf numFmtId="0" fontId="51" fillId="0" borderId="0" xfId="0" applyFont="1" applyBorder="1" applyAlignment="1" applyProtection="1">
      <alignment horizontal="left" vertical="top"/>
      <protection hidden="1"/>
    </xf>
    <xf numFmtId="37" fontId="21" fillId="12" borderId="3" xfId="23" quotePrefix="1" applyNumberFormat="1" applyFont="1" applyFill="1" applyBorder="1" applyAlignment="1" applyProtection="1">
      <alignment horizontal="left"/>
    </xf>
    <xf numFmtId="37" fontId="21" fillId="12" borderId="4" xfId="23" quotePrefix="1" applyNumberFormat="1" applyFont="1" applyFill="1" applyBorder="1" applyAlignment="1" applyProtection="1">
      <alignment horizontal="left"/>
    </xf>
    <xf numFmtId="37" fontId="21" fillId="12" borderId="12" xfId="23" applyNumberFormat="1" applyFont="1" applyFill="1" applyBorder="1" applyProtection="1"/>
    <xf numFmtId="37" fontId="21" fillId="12" borderId="4" xfId="23" applyNumberFormat="1" applyFont="1" applyFill="1" applyBorder="1" applyProtection="1"/>
    <xf numFmtId="37" fontId="21" fillId="12" borderId="12" xfId="23" applyNumberFormat="1" applyFont="1" applyFill="1" applyBorder="1" applyAlignment="1" applyProtection="1">
      <alignment horizontal="left" indent="1"/>
    </xf>
    <xf numFmtId="37" fontId="21" fillId="12" borderId="12" xfId="23" quotePrefix="1" applyNumberFormat="1" applyFont="1" applyFill="1" applyBorder="1" applyAlignment="1" applyProtection="1">
      <alignment horizontal="left"/>
    </xf>
    <xf numFmtId="37" fontId="21" fillId="12" borderId="3" xfId="23" applyNumberFormat="1" applyFont="1" applyFill="1" applyBorder="1" applyProtection="1"/>
    <xf numFmtId="37" fontId="21" fillId="12" borderId="15" xfId="23" applyNumberFormat="1" applyFont="1" applyFill="1" applyBorder="1" applyProtection="1"/>
    <xf numFmtId="4" fontId="10" fillId="26" borderId="0" xfId="21" applyNumberFormat="1" applyFill="1" applyBorder="1"/>
    <xf numFmtId="37" fontId="66" fillId="2" borderId="10" xfId="23" applyNumberFormat="1" applyFont="1" applyFill="1" applyBorder="1" applyAlignment="1" applyProtection="1">
      <alignment wrapText="1"/>
    </xf>
    <xf numFmtId="0" fontId="37" fillId="2" borderId="86" xfId="21" applyFont="1" applyFill="1" applyBorder="1" applyAlignment="1">
      <alignment horizontal="center"/>
    </xf>
    <xf numFmtId="0" fontId="10" fillId="2" borderId="87" xfId="21" applyFill="1" applyBorder="1"/>
    <xf numFmtId="0" fontId="37" fillId="2" borderId="87" xfId="21" applyFont="1" applyFill="1" applyBorder="1" applyAlignment="1">
      <alignment horizontal="center"/>
    </xf>
    <xf numFmtId="0" fontId="10" fillId="2" borderId="88" xfId="21" quotePrefix="1" applyFill="1" applyBorder="1" applyAlignment="1">
      <alignment horizontal="left"/>
    </xf>
    <xf numFmtId="37" fontId="65" fillId="25" borderId="3" xfId="23" applyNumberFormat="1" applyFont="1" applyFill="1" applyBorder="1" applyAlignment="1" applyProtection="1">
      <alignment vertical="center" wrapText="1"/>
    </xf>
    <xf numFmtId="37" fontId="65" fillId="25" borderId="4" xfId="23" applyNumberFormat="1" applyFont="1" applyFill="1" applyBorder="1" applyAlignment="1" applyProtection="1">
      <alignment vertical="center" wrapText="1"/>
    </xf>
    <xf numFmtId="37" fontId="65" fillId="25" borderId="12" xfId="23" applyNumberFormat="1" applyFont="1" applyFill="1" applyBorder="1" applyAlignment="1" applyProtection="1">
      <alignment vertical="center" wrapText="1"/>
    </xf>
    <xf numFmtId="49" fontId="66" fillId="25" borderId="16" xfId="21" applyNumberFormat="1" applyFont="1" applyFill="1" applyBorder="1" applyAlignment="1">
      <alignment horizontal="center" vertical="center" wrapText="1"/>
    </xf>
    <xf numFmtId="4" fontId="10" fillId="12" borderId="5" xfId="21" applyNumberFormat="1" applyFill="1" applyBorder="1"/>
    <xf numFmtId="4" fontId="10" fillId="12" borderId="6" xfId="21" applyNumberFormat="1" applyFill="1" applyBorder="1"/>
    <xf numFmtId="4" fontId="10" fillId="12" borderId="3" xfId="21" applyNumberFormat="1" applyFill="1" applyBorder="1"/>
    <xf numFmtId="4" fontId="10" fillId="12" borderId="7" xfId="21" applyNumberFormat="1" applyFill="1" applyBorder="1"/>
    <xf numFmtId="4" fontId="10" fillId="12" borderId="0" xfId="21" applyNumberFormat="1" applyFill="1" applyBorder="1"/>
    <xf numFmtId="4" fontId="10" fillId="12" borderId="4" xfId="21" applyNumberFormat="1" applyFill="1" applyBorder="1"/>
    <xf numFmtId="4" fontId="10" fillId="12" borderId="11" xfId="21" applyNumberFormat="1" applyFill="1" applyBorder="1"/>
    <xf numFmtId="4" fontId="10" fillId="12" borderId="13" xfId="21" applyNumberFormat="1" applyFill="1" applyBorder="1"/>
    <xf numFmtId="4" fontId="10" fillId="12" borderId="12" xfId="21" applyNumberFormat="1" applyFill="1" applyBorder="1"/>
    <xf numFmtId="168" fontId="10" fillId="12" borderId="13" xfId="21" applyNumberFormat="1" applyFill="1" applyBorder="1"/>
    <xf numFmtId="4" fontId="10" fillId="12" borderId="8" xfId="21" applyNumberFormat="1" applyFill="1" applyBorder="1"/>
    <xf numFmtId="4" fontId="10" fillId="12" borderId="9" xfId="21" applyNumberFormat="1" applyFill="1" applyBorder="1"/>
    <xf numFmtId="0" fontId="66" fillId="2" borderId="8" xfId="21" applyFont="1" applyFill="1" applyBorder="1" applyAlignment="1">
      <alignment horizontal="left" vertical="center"/>
    </xf>
    <xf numFmtId="0" fontId="66" fillId="0" borderId="9" xfId="21" applyFont="1" applyBorder="1" applyAlignment="1">
      <alignment vertical="center"/>
    </xf>
    <xf numFmtId="10" fontId="66" fillId="0" borderId="15" xfId="21" applyNumberFormat="1" applyFont="1" applyBorder="1" applyAlignment="1">
      <alignment vertical="center"/>
    </xf>
    <xf numFmtId="4" fontId="10" fillId="2" borderId="2" xfId="21" applyNumberFormat="1" applyFill="1" applyBorder="1"/>
    <xf numFmtId="4" fontId="10" fillId="2" borderId="91" xfId="21" applyNumberFormat="1" applyFill="1" applyBorder="1"/>
    <xf numFmtId="4" fontId="10" fillId="24" borderId="0" xfId="21" applyNumberFormat="1" applyFill="1" applyBorder="1"/>
    <xf numFmtId="2" fontId="10" fillId="24" borderId="0" xfId="21" applyNumberFormat="1" applyFill="1"/>
    <xf numFmtId="2" fontId="10" fillId="24" borderId="99" xfId="21" applyNumberFormat="1" applyFill="1" applyBorder="1"/>
    <xf numFmtId="4" fontId="21" fillId="0" borderId="45" xfId="0" applyNumberFormat="1" applyFont="1" applyFill="1" applyBorder="1" applyAlignment="1" applyProtection="1">
      <alignment horizontal="right" vertical="center"/>
      <protection hidden="1"/>
    </xf>
    <xf numFmtId="0" fontId="44" fillId="5" borderId="72" xfId="0" quotePrefix="1" applyFont="1" applyFill="1" applyBorder="1" applyAlignment="1" applyProtection="1">
      <alignment horizontal="center" vertical="center" wrapText="1"/>
      <protection hidden="1"/>
    </xf>
    <xf numFmtId="0" fontId="44" fillId="5" borderId="73" xfId="0" applyFont="1" applyFill="1" applyBorder="1" applyAlignment="1" applyProtection="1">
      <alignment horizontal="center" vertical="center" wrapText="1"/>
      <protection hidden="1"/>
    </xf>
    <xf numFmtId="0" fontId="69" fillId="0" borderId="0" xfId="0" applyFont="1"/>
    <xf numFmtId="0" fontId="44" fillId="5" borderId="102" xfId="0" quotePrefix="1" applyFont="1" applyFill="1" applyBorder="1" applyAlignment="1" applyProtection="1">
      <alignment horizontal="center" vertical="center" wrapText="1"/>
      <protection hidden="1"/>
    </xf>
    <xf numFmtId="166" fontId="21" fillId="12" borderId="52" xfId="17" applyFont="1" applyFill="1" applyBorder="1" applyAlignment="1" applyProtection="1">
      <alignment horizontal="right" vertical="center" wrapText="1"/>
      <protection hidden="1"/>
    </xf>
    <xf numFmtId="166" fontId="21" fillId="12" borderId="48" xfId="17" applyFont="1" applyFill="1" applyBorder="1" applyAlignment="1" applyProtection="1">
      <alignment horizontal="right" vertical="center" wrapText="1"/>
      <protection hidden="1"/>
    </xf>
    <xf numFmtId="166" fontId="21" fillId="0" borderId="41" xfId="17" applyNumberFormat="1" applyFont="1" applyFill="1" applyBorder="1" applyAlignment="1" applyProtection="1">
      <alignment horizontal="right" vertical="center" wrapText="1"/>
      <protection hidden="1"/>
    </xf>
    <xf numFmtId="166" fontId="21" fillId="0" borderId="45" xfId="17" applyNumberFormat="1" applyFont="1" applyFill="1" applyBorder="1" applyAlignment="1" applyProtection="1">
      <alignment horizontal="right" vertical="center" wrapText="1"/>
      <protection hidden="1"/>
    </xf>
    <xf numFmtId="166" fontId="21" fillId="0" borderId="41" xfId="17" applyFont="1" applyFill="1" applyBorder="1" applyAlignment="1" applyProtection="1">
      <alignment horizontal="right" vertical="center" wrapText="1"/>
      <protection hidden="1"/>
    </xf>
    <xf numFmtId="166" fontId="21" fillId="0" borderId="45" xfId="17" applyFont="1" applyFill="1" applyBorder="1" applyAlignment="1" applyProtection="1">
      <alignment horizontal="right" vertical="center" wrapText="1"/>
      <protection hidden="1"/>
    </xf>
    <xf numFmtId="167" fontId="21" fillId="0" borderId="41" xfId="17" applyNumberFormat="1" applyFont="1" applyFill="1" applyBorder="1" applyAlignment="1" applyProtection="1">
      <alignment horizontal="right" vertical="center" wrapText="1"/>
      <protection hidden="1"/>
    </xf>
    <xf numFmtId="167" fontId="21" fillId="0" borderId="45" xfId="17" applyNumberFormat="1" applyFont="1" applyFill="1" applyBorder="1" applyAlignment="1" applyProtection="1">
      <alignment horizontal="right" vertical="center" wrapText="1"/>
      <protection hidden="1"/>
    </xf>
    <xf numFmtId="2" fontId="21" fillId="0" borderId="44" xfId="17" applyNumberFormat="1" applyFont="1" applyFill="1" applyBorder="1" applyAlignment="1" applyProtection="1">
      <alignment horizontal="right" vertical="center" wrapText="1"/>
      <protection hidden="1"/>
    </xf>
    <xf numFmtId="2" fontId="21" fillId="0" borderId="47" xfId="17" applyNumberFormat="1" applyFont="1" applyFill="1" applyBorder="1" applyAlignment="1" applyProtection="1">
      <alignment horizontal="right" vertical="center" wrapText="1"/>
      <protection hidden="1"/>
    </xf>
    <xf numFmtId="166" fontId="21" fillId="0" borderId="44" xfId="17" applyFont="1" applyFill="1" applyBorder="1" applyAlignment="1" applyProtection="1">
      <alignment horizontal="right" vertical="center" wrapText="1"/>
      <protection hidden="1"/>
    </xf>
    <xf numFmtId="166" fontId="21" fillId="0" borderId="47" xfId="17" applyFont="1" applyFill="1" applyBorder="1" applyAlignment="1" applyProtection="1">
      <alignment horizontal="right" vertical="center" wrapText="1"/>
      <protection hidden="1"/>
    </xf>
    <xf numFmtId="166" fontId="22" fillId="13" borderId="41" xfId="17" applyFont="1" applyFill="1" applyBorder="1" applyAlignment="1" applyProtection="1">
      <alignment horizontal="center" vertical="center" wrapText="1"/>
      <protection hidden="1"/>
    </xf>
    <xf numFmtId="166" fontId="21" fillId="12" borderId="103" xfId="17" applyFont="1" applyFill="1" applyBorder="1" applyAlignment="1" applyProtection="1">
      <alignment horizontal="right" vertical="center" wrapText="1"/>
      <protection hidden="1"/>
    </xf>
    <xf numFmtId="166" fontId="0" fillId="0" borderId="0" xfId="0" applyNumberFormat="1"/>
    <xf numFmtId="166" fontId="72" fillId="0" borderId="41" xfId="17" applyFont="1" applyFill="1" applyBorder="1" applyAlignment="1" applyProtection="1">
      <alignment horizontal="right" vertical="center" wrapText="1"/>
      <protection hidden="1"/>
    </xf>
    <xf numFmtId="4" fontId="48" fillId="2" borderId="0" xfId="0" applyNumberFormat="1" applyFont="1" applyFill="1" applyAlignment="1" applyProtection="1">
      <alignment vertical="center"/>
      <protection hidden="1"/>
    </xf>
    <xf numFmtId="166" fontId="22" fillId="0" borderId="57" xfId="17" applyNumberFormat="1" applyFont="1" applyFill="1" applyBorder="1" applyAlignment="1" applyProtection="1">
      <alignment horizontal="center" vertical="center" wrapText="1"/>
      <protection hidden="1"/>
    </xf>
    <xf numFmtId="4" fontId="22" fillId="0" borderId="41" xfId="0" applyNumberFormat="1" applyFont="1" applyFill="1" applyBorder="1" applyAlignment="1" applyProtection="1">
      <alignment horizontal="right" vertical="center"/>
      <protection hidden="1"/>
    </xf>
    <xf numFmtId="4" fontId="22" fillId="0" borderId="45" xfId="0" applyNumberFormat="1" applyFont="1" applyFill="1" applyBorder="1" applyAlignment="1" applyProtection="1">
      <alignment horizontal="right" vertical="center"/>
      <protection hidden="1"/>
    </xf>
    <xf numFmtId="166" fontId="22" fillId="0" borderId="49" xfId="17" applyNumberFormat="1" applyFont="1" applyFill="1" applyBorder="1" applyAlignment="1" applyProtection="1">
      <alignment horizontal="center" vertical="center" wrapText="1"/>
      <protection hidden="1"/>
    </xf>
    <xf numFmtId="4" fontId="21" fillId="12" borderId="41" xfId="0" applyNumberFormat="1" applyFont="1" applyFill="1" applyBorder="1" applyAlignment="1" applyProtection="1">
      <alignment vertical="center"/>
      <protection hidden="1"/>
    </xf>
    <xf numFmtId="174" fontId="22" fillId="12" borderId="48" xfId="17" applyNumberFormat="1" applyFont="1" applyFill="1" applyBorder="1" applyAlignment="1" applyProtection="1">
      <alignment horizontal="center" vertical="center" wrapText="1"/>
      <protection hidden="1"/>
    </xf>
    <xf numFmtId="0" fontId="51" fillId="0" borderId="0" xfId="0" applyFont="1" applyBorder="1" applyAlignment="1" applyProtection="1">
      <alignment horizontal="justify" vertical="top" wrapText="1"/>
      <protection hidden="1"/>
    </xf>
    <xf numFmtId="0" fontId="51" fillId="0" borderId="0" xfId="0" applyFont="1" applyBorder="1" applyAlignment="1" applyProtection="1">
      <alignment horizontal="left" vertical="top" wrapText="1"/>
      <protection hidden="1"/>
    </xf>
    <xf numFmtId="0" fontId="44" fillId="5" borderId="72" xfId="0" quotePrefix="1" applyFont="1" applyFill="1" applyBorder="1" applyAlignment="1" applyProtection="1">
      <alignment horizontal="center" vertical="center" wrapText="1"/>
      <protection hidden="1"/>
    </xf>
    <xf numFmtId="0" fontId="44" fillId="5" borderId="72" xfId="0" quotePrefix="1" applyFont="1" applyFill="1" applyBorder="1" applyAlignment="1" applyProtection="1">
      <alignment horizontal="center" vertical="center" wrapText="1"/>
      <protection hidden="1"/>
    </xf>
    <xf numFmtId="0" fontId="70"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wrapText="1"/>
      <protection hidden="1"/>
    </xf>
    <xf numFmtId="0" fontId="44" fillId="5" borderId="104" xfId="0" quotePrefix="1" applyFont="1" applyFill="1" applyBorder="1" applyAlignment="1" applyProtection="1">
      <alignment horizontal="center" vertical="center" wrapText="1"/>
      <protection hidden="1"/>
    </xf>
    <xf numFmtId="166" fontId="21" fillId="12" borderId="68" xfId="17" applyFont="1" applyFill="1" applyBorder="1" applyAlignment="1" applyProtection="1">
      <alignment horizontal="right" vertical="center" wrapText="1"/>
      <protection hidden="1"/>
    </xf>
    <xf numFmtId="175" fontId="21" fillId="0" borderId="41" xfId="17" applyNumberFormat="1" applyFont="1" applyFill="1" applyBorder="1" applyAlignment="1" applyProtection="1">
      <alignment horizontal="right" vertical="center" wrapText="1"/>
      <protection hidden="1"/>
    </xf>
    <xf numFmtId="175" fontId="21" fillId="0" borderId="45" xfId="17" applyNumberFormat="1" applyFont="1" applyFill="1" applyBorder="1" applyAlignment="1" applyProtection="1">
      <alignment horizontal="right" vertical="center" wrapText="1"/>
      <protection hidden="1"/>
    </xf>
    <xf numFmtId="166" fontId="21" fillId="12" borderId="0" xfId="17" applyFont="1" applyFill="1" applyBorder="1" applyAlignment="1" applyProtection="1">
      <alignment horizontal="right" vertical="center" wrapText="1"/>
      <protection hidden="1"/>
    </xf>
    <xf numFmtId="9" fontId="73" fillId="0" borderId="0" xfId="0" applyNumberFormat="1" applyFont="1"/>
    <xf numFmtId="166" fontId="22" fillId="12" borderId="45" xfId="17" applyFont="1" applyFill="1" applyBorder="1" applyAlignment="1" applyProtection="1">
      <alignment horizontal="right" vertical="center" wrapText="1"/>
      <protection hidden="1"/>
    </xf>
    <xf numFmtId="2" fontId="22" fillId="0" borderId="47" xfId="0" applyNumberFormat="1" applyFont="1" applyFill="1" applyBorder="1" applyAlignment="1" applyProtection="1">
      <alignment horizontal="right" vertical="center" wrapText="1"/>
      <protection hidden="1"/>
    </xf>
    <xf numFmtId="0" fontId="51" fillId="0" borderId="0" xfId="0" applyFont="1" applyBorder="1" applyAlignment="1" applyProtection="1">
      <alignment horizontal="justify" vertical="top" wrapText="1"/>
      <protection hidden="1"/>
    </xf>
    <xf numFmtId="0" fontId="44" fillId="5" borderId="72" xfId="0" quotePrefix="1" applyFont="1" applyFill="1" applyBorder="1" applyAlignment="1" applyProtection="1">
      <alignment horizontal="center" vertical="center" wrapText="1"/>
      <protection hidden="1"/>
    </xf>
    <xf numFmtId="0" fontId="45" fillId="0" borderId="0" xfId="0" applyFont="1" applyFill="1" applyAlignment="1" applyProtection="1">
      <alignment vertical="center"/>
      <protection hidden="1"/>
    </xf>
    <xf numFmtId="4" fontId="45" fillId="0" borderId="0" xfId="0" applyNumberFormat="1" applyFont="1" applyFill="1" applyBorder="1" applyAlignment="1" applyProtection="1">
      <alignment horizontal="right" vertical="center"/>
      <protection hidden="1"/>
    </xf>
    <xf numFmtId="37" fontId="65" fillId="24" borderId="3" xfId="23" applyNumberFormat="1" applyFont="1" applyFill="1" applyBorder="1" applyAlignment="1" applyProtection="1">
      <alignment vertical="center" wrapText="1"/>
    </xf>
    <xf numFmtId="37" fontId="65" fillId="24" borderId="4" xfId="23" applyNumberFormat="1" applyFont="1" applyFill="1" applyBorder="1" applyAlignment="1" applyProtection="1">
      <alignment vertical="center" wrapText="1"/>
    </xf>
    <xf numFmtId="37" fontId="65" fillId="24" borderId="12" xfId="23" applyNumberFormat="1" applyFont="1" applyFill="1" applyBorder="1" applyAlignment="1" applyProtection="1">
      <alignment vertical="center" wrapText="1"/>
    </xf>
    <xf numFmtId="49" fontId="66" fillId="24" borderId="16" xfId="21" applyNumberFormat="1" applyFont="1" applyFill="1" applyBorder="1" applyAlignment="1">
      <alignment horizontal="center" vertical="center" wrapText="1"/>
    </xf>
    <xf numFmtId="166" fontId="0" fillId="14" borderId="2" xfId="17" applyFont="1" applyFill="1" applyBorder="1" applyAlignment="1">
      <alignment horizontal="center" vertical="center"/>
    </xf>
    <xf numFmtId="166" fontId="10" fillId="14" borderId="2" xfId="17" applyFont="1" applyFill="1" applyBorder="1" applyAlignment="1">
      <alignment horizontal="center" vertical="center"/>
    </xf>
    <xf numFmtId="166" fontId="22" fillId="0" borderId="41" xfId="17" applyFont="1" applyFill="1" applyBorder="1" applyAlignment="1" applyProtection="1">
      <alignment horizontal="center" vertical="center" wrapText="1"/>
      <protection hidden="1"/>
    </xf>
    <xf numFmtId="166" fontId="22" fillId="0" borderId="41" xfId="17" applyNumberFormat="1" applyFont="1" applyFill="1" applyBorder="1" applyAlignment="1" applyProtection="1">
      <alignment vertical="center" wrapText="1"/>
      <protection hidden="1"/>
    </xf>
    <xf numFmtId="4" fontId="21" fillId="27" borderId="41" xfId="0" applyNumberFormat="1" applyFont="1" applyFill="1" applyBorder="1" applyAlignment="1" applyProtection="1">
      <alignment vertical="center"/>
      <protection hidden="1"/>
    </xf>
    <xf numFmtId="176" fontId="18" fillId="0" borderId="0" xfId="0" applyNumberFormat="1" applyFont="1" applyAlignment="1" applyProtection="1">
      <alignment vertical="center"/>
      <protection hidden="1"/>
    </xf>
    <xf numFmtId="167" fontId="21" fillId="0" borderId="0" xfId="0" applyNumberFormat="1" applyFont="1" applyBorder="1" applyAlignment="1" applyProtection="1">
      <alignment vertical="center"/>
      <protection hidden="1"/>
    </xf>
    <xf numFmtId="0" fontId="37" fillId="0" borderId="0" xfId="0" applyFont="1" applyAlignment="1">
      <alignment horizontal="right" vertical="center"/>
    </xf>
    <xf numFmtId="0" fontId="66" fillId="0" borderId="0" xfId="0" applyFont="1" applyAlignment="1">
      <alignment horizontal="right" vertical="center"/>
    </xf>
    <xf numFmtId="166" fontId="35" fillId="0" borderId="0" xfId="17" applyFont="1" applyFill="1" applyBorder="1" applyAlignment="1">
      <alignment horizontal="center" vertical="center"/>
    </xf>
    <xf numFmtId="166" fontId="0" fillId="0" borderId="0" xfId="17" applyFont="1" applyBorder="1" applyAlignment="1">
      <alignment horizontal="center" vertical="center"/>
    </xf>
    <xf numFmtId="0" fontId="76" fillId="2" borderId="0" xfId="0" quotePrefix="1" applyFont="1" applyFill="1" applyBorder="1" applyAlignment="1" applyProtection="1">
      <alignment horizontal="left" vertical="center"/>
      <protection hidden="1"/>
    </xf>
    <xf numFmtId="169" fontId="47" fillId="2" borderId="0" xfId="24" applyFont="1" applyFill="1" applyAlignment="1" applyProtection="1">
      <alignment horizontal="center" vertical="center"/>
      <protection hidden="1"/>
    </xf>
    <xf numFmtId="0" fontId="52" fillId="18" borderId="2" xfId="0" applyFont="1" applyFill="1" applyBorder="1" applyAlignment="1">
      <alignment horizontal="center" vertical="center"/>
    </xf>
    <xf numFmtId="0" fontId="53" fillId="18" borderId="2" xfId="0" applyFont="1" applyFill="1" applyBorder="1" applyAlignment="1">
      <alignment horizontal="center" vertical="center"/>
    </xf>
    <xf numFmtId="10" fontId="35" fillId="14" borderId="0" xfId="0" applyNumberFormat="1" applyFont="1" applyFill="1" applyAlignment="1">
      <alignment vertical="center"/>
    </xf>
    <xf numFmtId="0" fontId="19" fillId="0" borderId="0" xfId="0" applyFont="1" applyAlignment="1">
      <alignment vertical="center"/>
    </xf>
    <xf numFmtId="166" fontId="22" fillId="0" borderId="41" xfId="17" applyNumberFormat="1" applyFont="1" applyFill="1" applyBorder="1" applyAlignment="1" applyProtection="1">
      <alignment horizontal="center" vertical="center" wrapText="1"/>
      <protection hidden="1"/>
    </xf>
    <xf numFmtId="177" fontId="21" fillId="0" borderId="0" xfId="0" applyNumberFormat="1" applyFont="1" applyAlignment="1" applyProtection="1">
      <alignment vertical="center"/>
      <protection hidden="1"/>
    </xf>
    <xf numFmtId="0" fontId="51" fillId="0" borderId="0" xfId="0" applyFont="1" applyBorder="1" applyAlignment="1" applyProtection="1">
      <alignment horizontal="left" vertical="top" wrapText="1"/>
      <protection hidden="1"/>
    </xf>
    <xf numFmtId="0" fontId="51" fillId="0" borderId="0" xfId="0" applyFont="1" applyFill="1" applyBorder="1" applyAlignment="1" applyProtection="1">
      <alignment horizontal="justify" vertical="center" wrapText="1"/>
      <protection hidden="1"/>
    </xf>
    <xf numFmtId="0" fontId="51" fillId="12" borderId="0" xfId="0" applyFont="1" applyFill="1" applyAlignment="1" applyProtection="1">
      <alignment horizontal="left" vertical="top" wrapText="1"/>
      <protection hidden="1"/>
    </xf>
    <xf numFmtId="166" fontId="22" fillId="0" borderId="41" xfId="17" quotePrefix="1" applyFont="1" applyFill="1" applyBorder="1" applyAlignment="1" applyProtection="1">
      <alignment horizontal="center" vertical="center" wrapText="1"/>
      <protection hidden="1"/>
    </xf>
    <xf numFmtId="166" fontId="22" fillId="0" borderId="45" xfId="17" applyFont="1" applyFill="1" applyBorder="1" applyAlignment="1" applyProtection="1">
      <alignment horizontal="center" vertical="center" wrapText="1"/>
      <protection hidden="1"/>
    </xf>
    <xf numFmtId="4" fontId="21" fillId="2" borderId="41" xfId="0" applyNumberFormat="1" applyFont="1" applyFill="1" applyBorder="1" applyAlignment="1" applyProtection="1">
      <alignment horizontal="center" vertical="center"/>
      <protection hidden="1"/>
    </xf>
    <xf numFmtId="0" fontId="21" fillId="2" borderId="0" xfId="0" applyFont="1" applyFill="1" applyAlignment="1" applyProtection="1">
      <alignment horizontal="center" vertical="center"/>
      <protection hidden="1"/>
    </xf>
    <xf numFmtId="4" fontId="21" fillId="2" borderId="45" xfId="0" applyNumberFormat="1" applyFont="1" applyFill="1" applyBorder="1" applyAlignment="1" applyProtection="1">
      <alignment horizontal="center" vertical="center"/>
      <protection hidden="1"/>
    </xf>
    <xf numFmtId="0" fontId="77" fillId="0" borderId="0" xfId="30" applyFont="1"/>
    <xf numFmtId="0" fontId="9" fillId="0" borderId="0" xfId="30" applyFont="1"/>
    <xf numFmtId="0" fontId="9" fillId="0" borderId="0" xfId="30" applyFont="1" applyAlignment="1">
      <alignment horizontal="center"/>
    </xf>
    <xf numFmtId="0" fontId="80" fillId="0" borderId="0" xfId="30" applyFont="1"/>
    <xf numFmtId="0" fontId="81" fillId="0" borderId="0" xfId="30" applyFont="1" applyAlignment="1">
      <alignment horizontal="center"/>
    </xf>
    <xf numFmtId="0" fontId="79" fillId="0" borderId="0" xfId="30" applyFont="1"/>
    <xf numFmtId="0" fontId="82" fillId="0" borderId="2" xfId="30" applyFont="1" applyFill="1" applyBorder="1"/>
    <xf numFmtId="0" fontId="9" fillId="0" borderId="2" xfId="30" applyFont="1" applyBorder="1" applyAlignment="1">
      <alignment horizontal="center"/>
    </xf>
    <xf numFmtId="0" fontId="82" fillId="28" borderId="2" xfId="30" applyFont="1" applyFill="1" applyBorder="1"/>
    <xf numFmtId="0" fontId="82" fillId="0" borderId="2" xfId="30" applyFont="1" applyBorder="1"/>
    <xf numFmtId="0" fontId="83" fillId="0" borderId="0" xfId="30" applyFont="1"/>
    <xf numFmtId="0" fontId="82" fillId="0" borderId="0" xfId="30" applyFont="1"/>
    <xf numFmtId="0" fontId="85" fillId="0" borderId="2" xfId="30" applyFont="1" applyFill="1" applyBorder="1"/>
    <xf numFmtId="0" fontId="9" fillId="0" borderId="2" xfId="30" applyFont="1" applyFill="1" applyBorder="1" applyAlignment="1">
      <alignment horizontal="center"/>
    </xf>
    <xf numFmtId="0" fontId="9" fillId="28" borderId="2" xfId="30" applyFont="1" applyFill="1" applyBorder="1"/>
    <xf numFmtId="0" fontId="85" fillId="0" borderId="2" xfId="30" applyFont="1" applyBorder="1"/>
    <xf numFmtId="0" fontId="83" fillId="0" borderId="2" xfId="30" applyFont="1" applyFill="1" applyBorder="1" applyAlignment="1">
      <alignment horizontal="center"/>
    </xf>
    <xf numFmtId="0" fontId="9" fillId="0" borderId="2" xfId="30" applyFont="1" applyBorder="1"/>
    <xf numFmtId="0" fontId="9" fillId="0" borderId="2" xfId="30" applyFont="1" applyFill="1" applyBorder="1"/>
    <xf numFmtId="0" fontId="85" fillId="0" borderId="0" xfId="30" applyFont="1"/>
    <xf numFmtId="0" fontId="86" fillId="0" borderId="0" xfId="30" applyFont="1"/>
    <xf numFmtId="166" fontId="9" fillId="25" borderId="2" xfId="30" applyNumberFormat="1" applyFont="1" applyFill="1" applyBorder="1"/>
    <xf numFmtId="0" fontId="82" fillId="31" borderId="2" xfId="30" applyFont="1" applyFill="1" applyBorder="1"/>
    <xf numFmtId="0" fontId="9" fillId="31" borderId="2" xfId="30" applyFont="1" applyFill="1" applyBorder="1" applyAlignment="1">
      <alignment horizontal="center"/>
    </xf>
    <xf numFmtId="0" fontId="8" fillId="0" borderId="2" xfId="30" applyFont="1" applyBorder="1"/>
    <xf numFmtId="0" fontId="87" fillId="0" borderId="0" xfId="30" applyFont="1"/>
    <xf numFmtId="4" fontId="21" fillId="0" borderId="2" xfId="0" applyNumberFormat="1" applyFont="1" applyFill="1" applyBorder="1" applyAlignment="1" applyProtection="1">
      <alignment vertical="center"/>
      <protection hidden="1"/>
    </xf>
    <xf numFmtId="10" fontId="21" fillId="2" borderId="0" xfId="25" applyNumberFormat="1" applyFont="1" applyFill="1" applyAlignment="1" applyProtection="1">
      <alignment vertical="center"/>
      <protection hidden="1"/>
    </xf>
    <xf numFmtId="0" fontId="89" fillId="2" borderId="2" xfId="0" applyFont="1" applyFill="1" applyBorder="1" applyAlignment="1" applyProtection="1">
      <alignment vertical="center"/>
      <protection hidden="1"/>
    </xf>
    <xf numFmtId="4" fontId="89" fillId="2" borderId="2" xfId="0" applyNumberFormat="1" applyFont="1" applyFill="1" applyBorder="1" applyAlignment="1" applyProtection="1">
      <alignment vertical="center"/>
      <protection hidden="1"/>
    </xf>
    <xf numFmtId="4" fontId="89" fillId="0" borderId="2" xfId="0" applyNumberFormat="1" applyFont="1" applyFill="1" applyBorder="1" applyAlignment="1" applyProtection="1">
      <alignment vertical="center"/>
      <protection hidden="1"/>
    </xf>
    <xf numFmtId="0" fontId="9" fillId="0" borderId="0" xfId="30" applyFont="1" applyFill="1" applyAlignment="1">
      <alignment horizontal="center"/>
    </xf>
    <xf numFmtId="0" fontId="9" fillId="0" borderId="0" xfId="30" applyFont="1" applyFill="1"/>
    <xf numFmtId="0" fontId="80" fillId="30" borderId="0" xfId="30" applyFont="1" applyFill="1"/>
    <xf numFmtId="166" fontId="9" fillId="24" borderId="2" xfId="30" applyNumberFormat="1" applyFont="1" applyFill="1" applyBorder="1"/>
    <xf numFmtId="0" fontId="90" fillId="14" borderId="0" xfId="30" applyFont="1" applyFill="1"/>
    <xf numFmtId="0" fontId="0" fillId="0" borderId="0" xfId="0" applyFont="1" applyFill="1"/>
    <xf numFmtId="0" fontId="0" fillId="32" borderId="0" xfId="0" applyFont="1" applyFill="1"/>
    <xf numFmtId="0" fontId="9" fillId="25" borderId="2" xfId="31" applyNumberFormat="1" applyFont="1" applyFill="1" applyBorder="1"/>
    <xf numFmtId="0" fontId="9" fillId="24" borderId="2" xfId="30" applyFont="1" applyFill="1" applyBorder="1" applyAlignment="1">
      <alignment horizontal="center"/>
    </xf>
    <xf numFmtId="0" fontId="0" fillId="14" borderId="2" xfId="0" applyFill="1" applyBorder="1" applyAlignment="1">
      <alignment vertical="center"/>
    </xf>
    <xf numFmtId="166" fontId="92" fillId="0" borderId="0" xfId="17" applyFont="1" applyFill="1" applyAlignment="1">
      <alignment horizontal="left" vertical="center"/>
    </xf>
    <xf numFmtId="0" fontId="9" fillId="25" borderId="2" xfId="30" applyFont="1" applyFill="1" applyBorder="1" applyAlignment="1">
      <alignment horizontal="center"/>
    </xf>
    <xf numFmtId="0" fontId="0" fillId="24" borderId="0" xfId="0" applyFont="1" applyFill="1"/>
    <xf numFmtId="0" fontId="9" fillId="30" borderId="2" xfId="30" applyFont="1" applyFill="1" applyBorder="1" applyAlignment="1">
      <alignment horizontal="center"/>
    </xf>
    <xf numFmtId="166" fontId="9" fillId="30" borderId="2" xfId="30" applyNumberFormat="1" applyFont="1" applyFill="1" applyBorder="1" applyAlignment="1">
      <alignment horizontal="center"/>
    </xf>
    <xf numFmtId="0" fontId="9" fillId="30" borderId="2" xfId="30" applyFont="1" applyFill="1" applyBorder="1"/>
    <xf numFmtId="166" fontId="9" fillId="0" borderId="2" xfId="30" applyNumberFormat="1" applyFont="1" applyFill="1" applyBorder="1"/>
    <xf numFmtId="4" fontId="9" fillId="25" borderId="2" xfId="30" applyNumberFormat="1" applyFont="1" applyFill="1" applyBorder="1"/>
    <xf numFmtId="4" fontId="9" fillId="25" borderId="108" xfId="30" applyNumberFormat="1" applyFont="1" applyFill="1" applyBorder="1"/>
    <xf numFmtId="0" fontId="9" fillId="25" borderId="2" xfId="30" applyFont="1" applyFill="1" applyBorder="1"/>
    <xf numFmtId="0" fontId="9"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166" fontId="0" fillId="25" borderId="2" xfId="0" applyNumberFormat="1" applyFill="1" applyBorder="1"/>
    <xf numFmtId="0" fontId="9" fillId="25" borderId="0" xfId="30" applyFont="1" applyFill="1"/>
    <xf numFmtId="0" fontId="9" fillId="14" borderId="2" xfId="30" applyFont="1" applyFill="1" applyBorder="1" applyAlignment="1">
      <alignment horizontal="center"/>
    </xf>
    <xf numFmtId="0" fontId="9" fillId="14" borderId="2" xfId="30" applyFont="1" applyFill="1" applyBorder="1" applyAlignment="1">
      <alignment horizontal="left"/>
    </xf>
    <xf numFmtId="0" fontId="7" fillId="0" borderId="0" xfId="30" applyFont="1"/>
    <xf numFmtId="166" fontId="21" fillId="0" borderId="0" xfId="0" applyNumberFormat="1" applyFont="1" applyBorder="1" applyAlignment="1" applyProtection="1">
      <alignment vertical="center"/>
      <protection hidden="1"/>
    </xf>
    <xf numFmtId="0" fontId="6" fillId="14" borderId="0" xfId="30" applyFont="1" applyFill="1" applyAlignment="1">
      <alignment horizontal="center"/>
    </xf>
    <xf numFmtId="166" fontId="22" fillId="0" borderId="52" xfId="17" applyFont="1" applyFill="1" applyBorder="1" applyAlignment="1" applyProtection="1">
      <alignment horizontal="right" vertical="center" wrapText="1"/>
      <protection hidden="1"/>
    </xf>
    <xf numFmtId="166" fontId="93" fillId="0" borderId="52" xfId="17" applyFont="1" applyFill="1" applyBorder="1" applyAlignment="1" applyProtection="1">
      <alignment horizontal="center" vertical="center" wrapText="1"/>
      <protection hidden="1"/>
    </xf>
    <xf numFmtId="0" fontId="5" fillId="0" borderId="0" xfId="30" applyFont="1"/>
    <xf numFmtId="0" fontId="5" fillId="0" borderId="0" xfId="30" applyFont="1" applyFill="1" applyAlignment="1">
      <alignment horizontal="center"/>
    </xf>
    <xf numFmtId="170" fontId="35" fillId="12" borderId="0" xfId="17" applyNumberFormat="1" applyFont="1" applyFill="1" applyBorder="1" applyAlignment="1" applyProtection="1">
      <alignment horizontal="center" vertical="center"/>
      <protection hidden="1"/>
    </xf>
    <xf numFmtId="0" fontId="4" fillId="0" borderId="0" xfId="30" applyFont="1"/>
    <xf numFmtId="166" fontId="4" fillId="0" borderId="2" xfId="30" applyNumberFormat="1" applyFont="1" applyFill="1" applyBorder="1"/>
    <xf numFmtId="166" fontId="85" fillId="0" borderId="2" xfId="30" applyNumberFormat="1" applyFont="1" applyFill="1" applyBorder="1"/>
    <xf numFmtId="166" fontId="9" fillId="0" borderId="0" xfId="30" applyNumberFormat="1" applyFont="1"/>
    <xf numFmtId="0" fontId="3" fillId="0" borderId="0" xfId="30" applyFont="1"/>
    <xf numFmtId="166" fontId="5" fillId="0" borderId="0" xfId="30" applyNumberFormat="1" applyFont="1"/>
    <xf numFmtId="164" fontId="87" fillId="0" borderId="0" xfId="30" applyNumberFormat="1" applyFont="1"/>
    <xf numFmtId="4" fontId="21" fillId="0" borderId="0" xfId="0" applyNumberFormat="1" applyFont="1" applyAlignment="1" applyProtection="1">
      <alignment vertical="center"/>
      <protection hidden="1"/>
    </xf>
    <xf numFmtId="0" fontId="9" fillId="0" borderId="2" xfId="30" applyFont="1" applyBorder="1" applyAlignment="1">
      <alignment horizontal="left"/>
    </xf>
    <xf numFmtId="0" fontId="4" fillId="14" borderId="0" xfId="30" applyFont="1" applyFill="1"/>
    <xf numFmtId="0" fontId="9" fillId="14" borderId="0" xfId="30" applyFont="1" applyFill="1" applyBorder="1" applyAlignment="1">
      <alignment horizontal="center"/>
    </xf>
    <xf numFmtId="166" fontId="9" fillId="0" borderId="0" xfId="30" applyNumberFormat="1" applyFont="1" applyFill="1" applyBorder="1"/>
    <xf numFmtId="0" fontId="85" fillId="0" borderId="111" xfId="30" applyFont="1" applyFill="1" applyBorder="1"/>
    <xf numFmtId="0" fontId="2" fillId="0" borderId="0" xfId="30" applyFont="1"/>
    <xf numFmtId="10" fontId="21" fillId="14" borderId="0" xfId="25" applyNumberFormat="1" applyFont="1" applyFill="1" applyAlignment="1" applyProtection="1">
      <alignment vertical="center"/>
      <protection hidden="1"/>
    </xf>
    <xf numFmtId="0" fontId="51" fillId="0" borderId="0" xfId="0" applyFont="1" applyBorder="1" applyAlignment="1" applyProtection="1">
      <alignment horizontal="justify" vertical="top" wrapText="1"/>
      <protection hidden="1"/>
    </xf>
    <xf numFmtId="0" fontId="51" fillId="0" borderId="0" xfId="0" applyFont="1" applyBorder="1" applyAlignment="1" applyProtection="1">
      <alignment horizontal="left" vertical="top" wrapText="1"/>
      <protection hidden="1"/>
    </xf>
    <xf numFmtId="0" fontId="51" fillId="0" borderId="0" xfId="0" applyFont="1" applyBorder="1" applyAlignment="1" applyProtection="1">
      <alignment horizontal="justify" vertical="top" wrapText="1"/>
      <protection hidden="1"/>
    </xf>
    <xf numFmtId="0" fontId="9" fillId="0" borderId="2" xfId="30" applyFont="1" applyBorder="1" applyAlignment="1">
      <alignment horizontal="left"/>
    </xf>
    <xf numFmtId="0" fontId="51" fillId="2" borderId="0" xfId="0" applyFont="1" applyFill="1" applyAlignment="1" applyProtection="1">
      <alignment horizontal="center" vertical="center"/>
      <protection hidden="1"/>
    </xf>
    <xf numFmtId="0" fontId="43" fillId="2" borderId="0" xfId="0" quotePrefix="1" applyFont="1" applyFill="1" applyAlignment="1" applyProtection="1">
      <alignment horizontal="center" vertical="center"/>
      <protection hidden="1"/>
    </xf>
    <xf numFmtId="0" fontId="43" fillId="2" borderId="0" xfId="0" applyFont="1" applyFill="1" applyAlignment="1" applyProtection="1">
      <alignment horizontal="center" vertical="center"/>
      <protection hidden="1"/>
    </xf>
    <xf numFmtId="0" fontId="51" fillId="0" borderId="0" xfId="0" applyFont="1" applyBorder="1" applyAlignment="1" applyProtection="1">
      <alignment horizontal="center" vertical="top"/>
      <protection hidden="1"/>
    </xf>
    <xf numFmtId="0" fontId="51" fillId="0" borderId="0" xfId="0" applyFont="1" applyBorder="1" applyAlignment="1" applyProtection="1">
      <alignment horizontal="center" vertical="top" wrapText="1"/>
      <protection hidden="1"/>
    </xf>
    <xf numFmtId="0" fontId="21" fillId="0" borderId="0" xfId="0" applyFont="1" applyFill="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43" fillId="0" borderId="0" xfId="0" applyFont="1" applyFill="1" applyAlignment="1" applyProtection="1">
      <alignment horizontal="center" vertical="center"/>
      <protection hidden="1"/>
    </xf>
    <xf numFmtId="0" fontId="43" fillId="0" borderId="0" xfId="0" quotePrefix="1" applyFont="1" applyFill="1" applyAlignment="1" applyProtection="1">
      <alignment horizontal="center" vertical="center"/>
      <protection hidden="1"/>
    </xf>
    <xf numFmtId="0" fontId="1" fillId="14" borderId="0" xfId="30" applyFont="1" applyFill="1"/>
    <xf numFmtId="0" fontId="9" fillId="0" borderId="0" xfId="30" applyFont="1" applyBorder="1" applyAlignment="1">
      <alignment horizontal="center"/>
    </xf>
    <xf numFmtId="0" fontId="9" fillId="0" borderId="0" xfId="30" applyFont="1" applyBorder="1" applyAlignment="1">
      <alignment horizontal="left"/>
    </xf>
    <xf numFmtId="0" fontId="95" fillId="0" borderId="0" xfId="0" applyFont="1"/>
    <xf numFmtId="0" fontId="51" fillId="0" borderId="0" xfId="0" applyFont="1" applyBorder="1" applyAlignment="1" applyProtection="1">
      <alignment horizontal="justify" vertical="top" wrapText="1"/>
      <protection hidden="1"/>
    </xf>
    <xf numFmtId="0" fontId="51" fillId="0" borderId="0" xfId="0" applyFont="1" applyBorder="1" applyAlignment="1" applyProtection="1">
      <alignment horizontal="left" vertical="top" wrapText="1"/>
      <protection hidden="1"/>
    </xf>
    <xf numFmtId="0" fontId="74" fillId="0" borderId="0" xfId="21" applyFont="1" applyAlignment="1" applyProtection="1">
      <alignment horizontal="left" vertical="center" wrapText="1"/>
      <protection hidden="1"/>
    </xf>
    <xf numFmtId="166" fontId="22" fillId="0" borderId="113" xfId="17" applyFont="1" applyFill="1" applyBorder="1" applyAlignment="1" applyProtection="1">
      <alignment horizontal="center" vertical="center" wrapText="1"/>
      <protection hidden="1"/>
    </xf>
    <xf numFmtId="2" fontId="46" fillId="0" borderId="113" xfId="0" applyNumberFormat="1" applyFont="1" applyFill="1" applyBorder="1" applyAlignment="1" applyProtection="1">
      <alignment horizontal="right" vertical="center" wrapText="1"/>
      <protection hidden="1"/>
    </xf>
    <xf numFmtId="166" fontId="22" fillId="0" borderId="113" xfId="17" applyFont="1" applyFill="1" applyBorder="1" applyAlignment="1" applyProtection="1">
      <alignment vertical="center" wrapText="1"/>
      <protection hidden="1"/>
    </xf>
    <xf numFmtId="2" fontId="46" fillId="0" borderId="112" xfId="0" applyNumberFormat="1" applyFont="1" applyFill="1" applyBorder="1" applyAlignment="1" applyProtection="1">
      <alignment horizontal="right" vertical="center" wrapText="1"/>
      <protection hidden="1"/>
    </xf>
    <xf numFmtId="174" fontId="93" fillId="12" borderId="68" xfId="17" applyNumberFormat="1" applyFont="1" applyFill="1" applyBorder="1" applyAlignment="1" applyProtection="1">
      <alignment horizontal="center" vertical="center" wrapText="1"/>
      <protection hidden="1"/>
    </xf>
    <xf numFmtId="166" fontId="22" fillId="12" borderId="113" xfId="17" applyFont="1" applyFill="1" applyBorder="1" applyAlignment="1" applyProtection="1">
      <alignment horizontal="center" vertical="center" wrapText="1"/>
      <protection hidden="1"/>
    </xf>
    <xf numFmtId="2" fontId="22" fillId="0" borderId="113" xfId="0" applyNumberFormat="1" applyFont="1" applyFill="1" applyBorder="1" applyAlignment="1" applyProtection="1">
      <alignment horizontal="center" vertical="center" wrapText="1"/>
      <protection hidden="1"/>
    </xf>
    <xf numFmtId="2" fontId="21" fillId="0" borderId="113" xfId="0" applyNumberFormat="1" applyFont="1" applyFill="1" applyBorder="1" applyAlignment="1" applyProtection="1">
      <alignment horizontal="center" vertical="center" wrapText="1"/>
      <protection hidden="1"/>
    </xf>
    <xf numFmtId="2" fontId="26" fillId="0" borderId="113" xfId="0" applyNumberFormat="1" applyFont="1" applyFill="1" applyBorder="1" applyAlignment="1" applyProtection="1">
      <alignment horizontal="center" vertical="center" wrapText="1"/>
      <protection hidden="1"/>
    </xf>
    <xf numFmtId="2" fontId="46" fillId="0" borderId="113" xfId="0" applyNumberFormat="1" applyFont="1" applyFill="1" applyBorder="1" applyAlignment="1" applyProtection="1">
      <alignment horizontal="center" vertical="center" wrapText="1"/>
      <protection hidden="1"/>
    </xf>
    <xf numFmtId="174" fontId="93" fillId="12" borderId="114" xfId="17" applyNumberFormat="1" applyFont="1" applyFill="1" applyBorder="1" applyAlignment="1" applyProtection="1">
      <alignment horizontal="center" vertical="center" wrapText="1"/>
      <protection hidden="1"/>
    </xf>
    <xf numFmtId="166" fontId="22" fillId="12" borderId="115" xfId="17" applyFont="1" applyFill="1" applyBorder="1" applyAlignment="1" applyProtection="1">
      <alignment horizontal="center" vertical="center" wrapText="1"/>
      <protection hidden="1"/>
    </xf>
    <xf numFmtId="2" fontId="46" fillId="0" borderId="115" xfId="0" applyNumberFormat="1" applyFont="1" applyFill="1" applyBorder="1" applyAlignment="1" applyProtection="1">
      <alignment horizontal="right" vertical="center" wrapText="1"/>
      <protection hidden="1"/>
    </xf>
    <xf numFmtId="2" fontId="22" fillId="0" borderId="115" xfId="0" applyNumberFormat="1" applyFont="1" applyFill="1" applyBorder="1" applyAlignment="1" applyProtection="1">
      <alignment horizontal="center" vertical="center" wrapText="1"/>
      <protection hidden="1"/>
    </xf>
    <xf numFmtId="166" fontId="22" fillId="0" borderId="115" xfId="17" applyFont="1" applyFill="1" applyBorder="1" applyAlignment="1" applyProtection="1">
      <alignment vertical="center" wrapText="1"/>
      <protection hidden="1"/>
    </xf>
    <xf numFmtId="166" fontId="22" fillId="0" borderId="115" xfId="17" applyFont="1" applyFill="1" applyBorder="1" applyAlignment="1" applyProtection="1">
      <alignment horizontal="center" vertical="center" wrapText="1"/>
      <protection hidden="1"/>
    </xf>
    <xf numFmtId="2" fontId="21" fillId="0" borderId="115" xfId="0" applyNumberFormat="1" applyFont="1" applyFill="1" applyBorder="1" applyAlignment="1" applyProtection="1">
      <alignment horizontal="center" vertical="center" wrapText="1"/>
      <protection hidden="1"/>
    </xf>
    <xf numFmtId="2" fontId="26" fillId="0" borderId="115" xfId="0" applyNumberFormat="1" applyFont="1" applyFill="1" applyBorder="1" applyAlignment="1" applyProtection="1">
      <alignment horizontal="center" vertical="center" wrapText="1"/>
      <protection hidden="1"/>
    </xf>
    <xf numFmtId="2" fontId="46" fillId="0" borderId="115" xfId="0" applyNumberFormat="1" applyFont="1" applyFill="1" applyBorder="1" applyAlignment="1" applyProtection="1">
      <alignment horizontal="center" vertical="center" wrapText="1"/>
      <protection hidden="1"/>
    </xf>
    <xf numFmtId="2" fontId="46" fillId="0" borderId="116" xfId="0" applyNumberFormat="1" applyFont="1" applyFill="1" applyBorder="1" applyAlignment="1" applyProtection="1">
      <alignment horizontal="right" vertical="center" wrapText="1"/>
      <protection hidden="1"/>
    </xf>
    <xf numFmtId="0" fontId="52" fillId="18" borderId="2" xfId="0" applyFont="1" applyFill="1" applyBorder="1" applyAlignment="1">
      <alignment horizontal="center" vertical="center"/>
    </xf>
    <xf numFmtId="0" fontId="53" fillId="18" borderId="2" xfId="0" applyFont="1" applyFill="1" applyBorder="1" applyAlignment="1">
      <alignment horizontal="center" vertical="center"/>
    </xf>
    <xf numFmtId="0" fontId="10" fillId="0" borderId="92" xfId="21" applyBorder="1" applyAlignment="1">
      <alignment horizontal="center"/>
    </xf>
    <xf numFmtId="0" fontId="10" fillId="0" borderId="93" xfId="21" applyBorder="1" applyAlignment="1">
      <alignment horizontal="center"/>
    </xf>
    <xf numFmtId="0" fontId="10" fillId="0" borderId="94" xfId="21" applyBorder="1" applyAlignment="1">
      <alignment horizontal="center"/>
    </xf>
    <xf numFmtId="0" fontId="10" fillId="0" borderId="95" xfId="21" applyBorder="1" applyAlignment="1">
      <alignment horizontal="center"/>
    </xf>
    <xf numFmtId="0" fontId="10" fillId="0" borderId="0" xfId="21" applyBorder="1" applyAlignment="1">
      <alignment horizontal="center"/>
    </xf>
    <xf numFmtId="0" fontId="10" fillId="0" borderId="4" xfId="21" applyBorder="1" applyAlignment="1">
      <alignment horizontal="center"/>
    </xf>
    <xf numFmtId="0" fontId="10" fillId="0" borderId="96" xfId="21" applyBorder="1" applyAlignment="1">
      <alignment horizontal="center"/>
    </xf>
    <xf numFmtId="0" fontId="10" fillId="0" borderId="97" xfId="21" applyBorder="1" applyAlignment="1">
      <alignment horizontal="center"/>
    </xf>
    <xf numFmtId="0" fontId="10" fillId="0" borderId="98" xfId="21" applyBorder="1" applyAlignment="1">
      <alignment horizontal="center"/>
    </xf>
    <xf numFmtId="0" fontId="35" fillId="2" borderId="2" xfId="21" applyFont="1" applyFill="1" applyBorder="1" applyAlignment="1">
      <alignment horizontal="center"/>
    </xf>
    <xf numFmtId="0" fontId="35" fillId="2" borderId="91" xfId="21" applyFont="1" applyFill="1" applyBorder="1" applyAlignment="1">
      <alignment horizontal="center"/>
    </xf>
    <xf numFmtId="0" fontId="10" fillId="0" borderId="100" xfId="21" applyBorder="1" applyAlignment="1">
      <alignment horizontal="center"/>
    </xf>
    <xf numFmtId="0" fontId="10" fillId="0" borderId="101" xfId="21" applyBorder="1" applyAlignment="1">
      <alignment horizontal="center"/>
    </xf>
    <xf numFmtId="0" fontId="37" fillId="24" borderId="8" xfId="21" applyFont="1" applyFill="1" applyBorder="1" applyAlignment="1">
      <alignment horizontal="center"/>
    </xf>
    <xf numFmtId="0" fontId="37" fillId="24" borderId="9" xfId="21" applyFont="1" applyFill="1" applyBorder="1" applyAlignment="1">
      <alignment horizontal="center"/>
    </xf>
    <xf numFmtId="0" fontId="37" fillId="24" borderId="15" xfId="21" applyFont="1" applyFill="1" applyBorder="1" applyAlignment="1">
      <alignment horizontal="center"/>
    </xf>
    <xf numFmtId="0" fontId="37" fillId="24" borderId="5" xfId="21" applyFont="1" applyFill="1" applyBorder="1" applyAlignment="1">
      <alignment horizontal="center" vertical="center" wrapText="1"/>
    </xf>
    <xf numFmtId="0" fontId="37" fillId="24" borderId="6" xfId="21" applyFont="1" applyFill="1" applyBorder="1" applyAlignment="1">
      <alignment horizontal="center" vertical="center" wrapText="1"/>
    </xf>
    <xf numFmtId="0" fontId="37" fillId="24" borderId="11" xfId="21" applyFont="1" applyFill="1" applyBorder="1" applyAlignment="1">
      <alignment horizontal="center" vertical="center" wrapText="1"/>
    </xf>
    <xf numFmtId="0" fontId="37" fillId="24" borderId="13" xfId="21" applyFont="1" applyFill="1" applyBorder="1" applyAlignment="1">
      <alignment horizontal="center" vertical="center" wrapText="1"/>
    </xf>
    <xf numFmtId="10" fontId="37" fillId="24" borderId="3" xfId="26" applyNumberFormat="1" applyFont="1" applyFill="1" applyBorder="1" applyAlignment="1">
      <alignment horizontal="center" vertical="center"/>
    </xf>
    <xf numFmtId="10" fontId="37" fillId="24" borderId="12" xfId="26" applyNumberFormat="1" applyFont="1" applyFill="1" applyBorder="1" applyAlignment="1">
      <alignment horizontal="center" vertical="center"/>
    </xf>
    <xf numFmtId="0" fontId="35" fillId="2" borderId="89" xfId="21" applyFont="1" applyFill="1" applyBorder="1" applyAlignment="1">
      <alignment horizontal="center"/>
    </xf>
    <xf numFmtId="0" fontId="35" fillId="2" borderId="90" xfId="21" applyFont="1" applyFill="1" applyBorder="1" applyAlignment="1">
      <alignment horizontal="center"/>
    </xf>
    <xf numFmtId="0" fontId="37" fillId="12" borderId="0" xfId="21" applyFont="1" applyFill="1" applyBorder="1" applyAlignment="1">
      <alignment horizontal="center"/>
    </xf>
    <xf numFmtId="0" fontId="37" fillId="25" borderId="5" xfId="21" applyFont="1" applyFill="1" applyBorder="1" applyAlignment="1">
      <alignment horizontal="center" vertical="center" wrapText="1"/>
    </xf>
    <xf numFmtId="0" fontId="37" fillId="25" borderId="6" xfId="21" applyFont="1" applyFill="1" applyBorder="1" applyAlignment="1">
      <alignment horizontal="center" vertical="center" wrapText="1"/>
    </xf>
    <xf numFmtId="0" fontId="37" fillId="25" borderId="11" xfId="21" applyFont="1" applyFill="1" applyBorder="1" applyAlignment="1">
      <alignment horizontal="center" vertical="center" wrapText="1"/>
    </xf>
    <xf numFmtId="0" fontId="37" fillId="25" borderId="13" xfId="21" applyFont="1" applyFill="1" applyBorder="1" applyAlignment="1">
      <alignment horizontal="center" vertical="center" wrapText="1"/>
    </xf>
    <xf numFmtId="10" fontId="37" fillId="25" borderId="3" xfId="26" applyNumberFormat="1" applyFont="1" applyFill="1" applyBorder="1" applyAlignment="1">
      <alignment horizontal="center" vertical="center"/>
    </xf>
    <xf numFmtId="10" fontId="37" fillId="25" borderId="12" xfId="26" applyNumberFormat="1" applyFont="1" applyFill="1" applyBorder="1" applyAlignment="1">
      <alignment horizontal="center" vertical="center"/>
    </xf>
    <xf numFmtId="0" fontId="60" fillId="0" borderId="0" xfId="21" applyFont="1" applyAlignment="1">
      <alignment horizontal="justify" wrapText="1"/>
    </xf>
    <xf numFmtId="0" fontId="37" fillId="12" borderId="13" xfId="21" applyFont="1" applyFill="1" applyBorder="1" applyAlignment="1">
      <alignment horizontal="center"/>
    </xf>
    <xf numFmtId="49" fontId="36" fillId="10" borderId="11" xfId="23" quotePrefix="1" applyNumberFormat="1" applyFont="1" applyFill="1" applyBorder="1" applyAlignment="1" applyProtection="1">
      <alignment horizontal="center" vertical="center" wrapText="1"/>
    </xf>
    <xf numFmtId="49" fontId="36" fillId="10" borderId="13" xfId="23" quotePrefix="1" applyNumberFormat="1" applyFont="1" applyFill="1" applyBorder="1" applyAlignment="1" applyProtection="1">
      <alignment horizontal="center" vertical="center" wrapText="1"/>
    </xf>
    <xf numFmtId="49" fontId="36" fillId="10" borderId="12" xfId="23" quotePrefix="1" applyNumberFormat="1" applyFont="1" applyFill="1" applyBorder="1" applyAlignment="1" applyProtection="1">
      <alignment horizontal="center" vertical="center" wrapText="1"/>
    </xf>
    <xf numFmtId="0" fontId="61" fillId="0" borderId="0" xfId="21" applyFont="1" applyAlignment="1">
      <alignment horizontal="left" wrapText="1"/>
    </xf>
    <xf numFmtId="37" fontId="32" fillId="9" borderId="5" xfId="23" applyNumberFormat="1" applyFont="1" applyFill="1" applyBorder="1" applyAlignment="1" applyProtection="1">
      <alignment horizontal="center" vertical="center" wrapText="1"/>
    </xf>
    <xf numFmtId="37" fontId="32" fillId="9" borderId="3" xfId="23" applyNumberFormat="1" applyFont="1" applyFill="1" applyBorder="1" applyAlignment="1" applyProtection="1">
      <alignment horizontal="center" vertical="center" wrapText="1"/>
    </xf>
    <xf numFmtId="37" fontId="32" fillId="9" borderId="11" xfId="23" applyNumberFormat="1" applyFont="1" applyFill="1" applyBorder="1" applyAlignment="1" applyProtection="1">
      <alignment horizontal="center" vertical="center" wrapText="1"/>
    </xf>
    <xf numFmtId="37" fontId="32" fillId="9" borderId="12" xfId="23" applyNumberFormat="1" applyFont="1" applyFill="1" applyBorder="1" applyAlignment="1" applyProtection="1">
      <alignment horizontal="center" vertical="center" wrapText="1"/>
    </xf>
    <xf numFmtId="0" fontId="80" fillId="0" borderId="2" xfId="30" applyFont="1" applyBorder="1" applyAlignment="1">
      <alignment horizontal="left" vertical="center"/>
    </xf>
    <xf numFmtId="0" fontId="81" fillId="0" borderId="105" xfId="30" applyFont="1" applyBorder="1" applyAlignment="1">
      <alignment horizontal="center" vertical="center"/>
    </xf>
    <xf numFmtId="0" fontId="79" fillId="0" borderId="92" xfId="30" applyFont="1" applyBorder="1" applyAlignment="1">
      <alignment horizontal="left"/>
    </xf>
    <xf numFmtId="0" fontId="79" fillId="0" borderId="93" xfId="30" applyFont="1" applyBorder="1" applyAlignment="1">
      <alignment horizontal="left"/>
    </xf>
    <xf numFmtId="0" fontId="79" fillId="0" borderId="106" xfId="30" applyFont="1" applyBorder="1" applyAlignment="1">
      <alignment horizontal="left"/>
    </xf>
    <xf numFmtId="0" fontId="79" fillId="0" borderId="96" xfId="30" applyFont="1" applyBorder="1" applyAlignment="1">
      <alignment horizontal="left"/>
    </xf>
    <xf numFmtId="0" fontId="79" fillId="0" borderId="97" xfId="30" applyFont="1" applyBorder="1" applyAlignment="1">
      <alignment horizontal="left"/>
    </xf>
    <xf numFmtId="0" fontId="79" fillId="0" borderId="107" xfId="30" applyFont="1" applyBorder="1" applyAlignment="1">
      <alignment horizontal="left"/>
    </xf>
    <xf numFmtId="0" fontId="80" fillId="0" borderId="2" xfId="30" applyFont="1" applyBorder="1" applyAlignment="1">
      <alignment horizontal="center" vertical="center"/>
    </xf>
    <xf numFmtId="0" fontId="9" fillId="0" borderId="2" xfId="30" applyFont="1" applyBorder="1" applyAlignment="1">
      <alignment horizontal="left"/>
    </xf>
    <xf numFmtId="0" fontId="9" fillId="29" borderId="2" xfId="30" applyFont="1" applyFill="1" applyBorder="1" applyAlignment="1">
      <alignment horizontal="left"/>
    </xf>
    <xf numFmtId="0" fontId="9" fillId="0" borderId="105" xfId="30" applyFont="1" applyBorder="1" applyAlignment="1">
      <alignment horizontal="center"/>
    </xf>
    <xf numFmtId="0" fontId="9" fillId="0" borderId="109" xfId="30" applyFont="1" applyBorder="1" applyAlignment="1">
      <alignment horizontal="center"/>
    </xf>
    <xf numFmtId="0" fontId="9" fillId="0" borderId="110" xfId="30" applyFont="1" applyBorder="1" applyAlignment="1">
      <alignment horizontal="center"/>
    </xf>
    <xf numFmtId="0" fontId="9" fillId="0" borderId="108" xfId="30" applyFont="1" applyBorder="1" applyAlignment="1">
      <alignment horizontal="left"/>
    </xf>
    <xf numFmtId="0" fontId="9" fillId="0" borderId="2" xfId="30" applyFont="1" applyBorder="1" applyAlignment="1">
      <alignment horizontal="center"/>
    </xf>
    <xf numFmtId="0" fontId="9" fillId="0" borderId="105" xfId="30" applyFont="1" applyBorder="1" applyAlignment="1">
      <alignment horizontal="left"/>
    </xf>
    <xf numFmtId="0" fontId="9" fillId="0" borderId="109" xfId="30" applyFont="1" applyBorder="1" applyAlignment="1">
      <alignment horizontal="left"/>
    </xf>
    <xf numFmtId="0" fontId="9" fillId="0" borderId="110" xfId="30" applyFont="1" applyBorder="1" applyAlignment="1">
      <alignment horizontal="left"/>
    </xf>
    <xf numFmtId="0" fontId="9" fillId="28" borderId="2" xfId="30" applyFont="1" applyFill="1" applyBorder="1" applyAlignment="1">
      <alignment horizontal="left"/>
    </xf>
    <xf numFmtId="0" fontId="9" fillId="29" borderId="111" xfId="30" applyFont="1" applyFill="1" applyBorder="1" applyAlignment="1">
      <alignment horizontal="left"/>
    </xf>
    <xf numFmtId="0" fontId="9" fillId="31" borderId="2" xfId="30" applyFont="1" applyFill="1" applyBorder="1" applyAlignment="1">
      <alignment horizontal="left"/>
    </xf>
    <xf numFmtId="0" fontId="4" fillId="0" borderId="95" xfId="30" applyFont="1" applyBorder="1" applyAlignment="1">
      <alignment horizontal="center"/>
    </xf>
    <xf numFmtId="0" fontId="4" fillId="0" borderId="96" xfId="30" applyFont="1" applyBorder="1" applyAlignment="1">
      <alignment horizontal="center"/>
    </xf>
    <xf numFmtId="0" fontId="23" fillId="2" borderId="0" xfId="0" applyFont="1" applyFill="1" applyBorder="1" applyAlignment="1" applyProtection="1">
      <alignment horizontal="left" vertical="center" wrapText="1"/>
      <protection hidden="1"/>
    </xf>
    <xf numFmtId="0" fontId="23" fillId="2" borderId="0" xfId="0" quotePrefix="1" applyFont="1" applyFill="1" applyBorder="1" applyAlignment="1" applyProtection="1">
      <alignment horizontal="left" vertical="center" wrapText="1"/>
      <protection hidden="1"/>
    </xf>
    <xf numFmtId="0" fontId="51" fillId="0" borderId="0" xfId="0" applyFont="1" applyBorder="1" applyAlignment="1" applyProtection="1">
      <alignment horizontal="justify" vertical="top" wrapText="1"/>
      <protection hidden="1"/>
    </xf>
    <xf numFmtId="0" fontId="44" fillId="5" borderId="70" xfId="0" applyFont="1" applyFill="1" applyBorder="1" applyAlignment="1" applyProtection="1">
      <alignment horizontal="center" vertical="center" wrapText="1"/>
      <protection hidden="1"/>
    </xf>
    <xf numFmtId="0" fontId="44" fillId="5" borderId="71" xfId="0" applyFont="1" applyFill="1" applyBorder="1" applyAlignment="1" applyProtection="1">
      <alignment horizontal="center" vertical="center" wrapText="1"/>
      <protection hidden="1"/>
    </xf>
    <xf numFmtId="0" fontId="44" fillId="5" borderId="67" xfId="0" quotePrefix="1" applyFont="1" applyFill="1" applyBorder="1" applyAlignment="1" applyProtection="1">
      <alignment horizontal="center" vertical="center" wrapText="1"/>
      <protection hidden="1"/>
    </xf>
    <xf numFmtId="0" fontId="44" fillId="5" borderId="52" xfId="0" quotePrefix="1" applyFont="1" applyFill="1" applyBorder="1" applyAlignment="1" applyProtection="1">
      <alignment horizontal="center" vertical="center" wrapText="1"/>
      <protection hidden="1"/>
    </xf>
    <xf numFmtId="0" fontId="44" fillId="5" borderId="68" xfId="0" applyFont="1" applyFill="1" applyBorder="1" applyAlignment="1" applyProtection="1">
      <alignment horizontal="center" vertical="center" wrapText="1"/>
      <protection hidden="1"/>
    </xf>
    <xf numFmtId="0" fontId="44" fillId="5" borderId="69" xfId="0" applyFont="1" applyFill="1" applyBorder="1" applyAlignment="1" applyProtection="1">
      <alignment horizontal="center" vertical="center" wrapText="1"/>
      <protection hidden="1"/>
    </xf>
    <xf numFmtId="0" fontId="49" fillId="15" borderId="59" xfId="0" applyFont="1" applyFill="1" applyBorder="1" applyAlignment="1" applyProtection="1">
      <alignment horizontal="center" vertical="center"/>
      <protection hidden="1"/>
    </xf>
    <xf numFmtId="0" fontId="49" fillId="15" borderId="60" xfId="0" applyFont="1" applyFill="1" applyBorder="1" applyAlignment="1" applyProtection="1">
      <alignment horizontal="center" vertical="center"/>
      <protection hidden="1"/>
    </xf>
    <xf numFmtId="0" fontId="49" fillId="15" borderId="61" xfId="0" applyFont="1" applyFill="1" applyBorder="1" applyAlignment="1" applyProtection="1">
      <alignment horizontal="center" vertical="center"/>
      <protection hidden="1"/>
    </xf>
    <xf numFmtId="0" fontId="51" fillId="0" borderId="0" xfId="0" applyFont="1" applyBorder="1" applyAlignment="1" applyProtection="1">
      <alignment horizontal="left" vertical="top" wrapText="1"/>
      <protection hidden="1"/>
    </xf>
    <xf numFmtId="0" fontId="74" fillId="0" borderId="0" xfId="21" applyFont="1" applyAlignment="1" applyProtection="1">
      <alignment horizontal="left" vertical="center" wrapText="1"/>
      <protection hidden="1"/>
    </xf>
    <xf numFmtId="0" fontId="64" fillId="15" borderId="62" xfId="0" applyFont="1" applyFill="1" applyBorder="1" applyAlignment="1" applyProtection="1">
      <alignment horizontal="center" vertical="center" wrapText="1"/>
      <protection hidden="1"/>
    </xf>
    <xf numFmtId="0" fontId="64" fillId="15" borderId="0" xfId="0" applyFont="1" applyFill="1" applyBorder="1" applyAlignment="1" applyProtection="1">
      <alignment horizontal="center" vertical="center" wrapText="1"/>
      <protection hidden="1"/>
    </xf>
    <xf numFmtId="0" fontId="49" fillId="6" borderId="74" xfId="0" applyFont="1" applyFill="1" applyBorder="1" applyAlignment="1" applyProtection="1">
      <alignment horizontal="center" vertical="center"/>
      <protection hidden="1"/>
    </xf>
    <xf numFmtId="0" fontId="49" fillId="6" borderId="75" xfId="0" applyFont="1" applyFill="1" applyBorder="1" applyAlignment="1" applyProtection="1">
      <alignment horizontal="center" vertical="center"/>
      <protection hidden="1"/>
    </xf>
    <xf numFmtId="0" fontId="44" fillId="5" borderId="72" xfId="0" quotePrefix="1" applyFont="1" applyFill="1" applyBorder="1" applyAlignment="1" applyProtection="1">
      <alignment horizontal="center" vertical="center" wrapText="1"/>
      <protection hidden="1"/>
    </xf>
    <xf numFmtId="0" fontId="44" fillId="5" borderId="73"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justify" vertical="center" wrapText="1"/>
      <protection hidden="1"/>
    </xf>
    <xf numFmtId="0" fontId="51" fillId="0" borderId="0" xfId="0" applyFont="1" applyFill="1" applyAlignment="1" applyProtection="1">
      <alignment horizontal="justify" vertical="center" wrapText="1"/>
      <protection hidden="1"/>
    </xf>
    <xf numFmtId="0" fontId="51" fillId="0" borderId="0" xfId="0" applyFont="1" applyFill="1" applyAlignment="1" applyProtection="1">
      <alignment horizontal="justify" vertical="top" wrapText="1"/>
      <protection hidden="1"/>
    </xf>
    <xf numFmtId="0" fontId="64" fillId="15" borderId="59" xfId="0" applyFont="1" applyFill="1" applyBorder="1" applyAlignment="1" applyProtection="1">
      <alignment horizontal="center" vertical="center" wrapText="1"/>
      <protection hidden="1"/>
    </xf>
    <xf numFmtId="0" fontId="64" fillId="15" borderId="60" xfId="0" applyFont="1" applyFill="1" applyBorder="1" applyAlignment="1" applyProtection="1">
      <alignment horizontal="center" vertical="center" wrapText="1"/>
      <protection hidden="1"/>
    </xf>
    <xf numFmtId="0" fontId="64" fillId="15" borderId="61" xfId="0" applyFont="1" applyFill="1" applyBorder="1" applyAlignment="1" applyProtection="1">
      <alignment horizontal="center" vertical="center" wrapText="1"/>
      <protection hidden="1"/>
    </xf>
    <xf numFmtId="0" fontId="64" fillId="15" borderId="74" xfId="0" applyFont="1" applyFill="1" applyBorder="1" applyAlignment="1" applyProtection="1">
      <alignment horizontal="center" vertical="center" wrapText="1"/>
      <protection hidden="1"/>
    </xf>
    <xf numFmtId="0" fontId="64" fillId="15" borderId="75" xfId="0" applyFont="1" applyFill="1" applyBorder="1" applyAlignment="1" applyProtection="1">
      <alignment horizontal="center" vertical="center" wrapText="1"/>
      <protection hidden="1"/>
    </xf>
    <xf numFmtId="0" fontId="64" fillId="15" borderId="76" xfId="0" applyFont="1" applyFill="1" applyBorder="1" applyAlignment="1" applyProtection="1">
      <alignment horizontal="center" vertical="center" wrapText="1"/>
      <protection hidden="1"/>
    </xf>
    <xf numFmtId="0" fontId="70"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wrapText="1"/>
      <protection hidden="1"/>
    </xf>
    <xf numFmtId="0" fontId="58" fillId="15" borderId="62" xfId="0" quotePrefix="1" applyFont="1" applyFill="1" applyBorder="1" applyAlignment="1" applyProtection="1">
      <alignment horizontal="center" vertical="center" wrapText="1"/>
      <protection hidden="1"/>
    </xf>
    <xf numFmtId="0" fontId="58" fillId="15" borderId="0" xfId="0" quotePrefix="1" applyFont="1" applyFill="1" applyBorder="1" applyAlignment="1" applyProtection="1">
      <alignment horizontal="center" vertical="center" wrapText="1"/>
      <protection hidden="1"/>
    </xf>
    <xf numFmtId="0" fontId="58" fillId="15" borderId="74" xfId="0" applyFont="1" applyFill="1" applyBorder="1" applyAlignment="1" applyProtection="1">
      <alignment horizontal="center" vertical="center" wrapText="1"/>
      <protection hidden="1"/>
    </xf>
    <xf numFmtId="0" fontId="58" fillId="15" borderId="75" xfId="0" applyFont="1" applyFill="1" applyBorder="1" applyAlignment="1" applyProtection="1">
      <alignment horizontal="center" vertical="center" wrapText="1"/>
      <protection hidden="1"/>
    </xf>
    <xf numFmtId="0" fontId="74" fillId="0" borderId="0" xfId="21" applyFont="1" applyAlignment="1" applyProtection="1">
      <alignment horizontal="justify" vertical="center" wrapText="1"/>
      <protection hidden="1"/>
    </xf>
    <xf numFmtId="0" fontId="58" fillId="6" borderId="77" xfId="0" applyFont="1" applyFill="1" applyBorder="1" applyAlignment="1" applyProtection="1">
      <alignment horizontal="center" vertical="center" wrapText="1"/>
      <protection hidden="1"/>
    </xf>
    <xf numFmtId="0" fontId="58" fillId="6" borderId="78" xfId="0" applyFont="1" applyFill="1" applyBorder="1" applyAlignment="1" applyProtection="1">
      <alignment horizontal="center" vertical="center" wrapText="1"/>
      <protection hidden="1"/>
    </xf>
    <xf numFmtId="0" fontId="58" fillId="6" borderId="83" xfId="0" applyFont="1" applyFill="1" applyBorder="1" applyAlignment="1" applyProtection="1">
      <alignment horizontal="center" vertical="center" wrapText="1"/>
      <protection hidden="1"/>
    </xf>
    <xf numFmtId="0" fontId="58" fillId="6" borderId="84" xfId="0" applyFont="1" applyFill="1" applyBorder="1" applyAlignment="1" applyProtection="1">
      <alignment horizontal="center" vertical="center" wrapText="1"/>
      <protection hidden="1"/>
    </xf>
    <xf numFmtId="0" fontId="44" fillId="5" borderId="80" xfId="0" applyFont="1" applyFill="1" applyBorder="1" applyAlignment="1" applyProtection="1">
      <alignment horizontal="center" vertical="center" wrapText="1"/>
      <protection hidden="1"/>
    </xf>
    <xf numFmtId="0" fontId="44" fillId="5" borderId="81" xfId="0" applyFont="1" applyFill="1" applyBorder="1" applyAlignment="1" applyProtection="1">
      <alignment horizontal="center" vertical="center" wrapText="1"/>
      <protection hidden="1"/>
    </xf>
    <xf numFmtId="0" fontId="44" fillId="5" borderId="82" xfId="0" applyFont="1" applyFill="1" applyBorder="1" applyAlignment="1" applyProtection="1">
      <alignment horizontal="center" vertical="center" wrapText="1"/>
      <protection hidden="1"/>
    </xf>
    <xf numFmtId="0" fontId="44" fillId="5" borderId="85" xfId="0" applyFont="1" applyFill="1" applyBorder="1" applyAlignment="1" applyProtection="1">
      <alignment horizontal="center" vertical="center" wrapText="1"/>
      <protection hidden="1"/>
    </xf>
    <xf numFmtId="0" fontId="44" fillId="5" borderId="57" xfId="0" applyFont="1" applyFill="1" applyBorder="1" applyAlignment="1" applyProtection="1">
      <alignment horizontal="center" vertical="center" wrapText="1"/>
      <protection hidden="1"/>
    </xf>
    <xf numFmtId="0" fontId="51" fillId="0" borderId="0" xfId="0" applyFont="1" applyBorder="1" applyAlignment="1" applyProtection="1">
      <alignment horizontal="justify" vertical="center"/>
      <protection hidden="1"/>
    </xf>
    <xf numFmtId="0" fontId="45" fillId="15" borderId="59" xfId="0" applyFont="1" applyFill="1" applyBorder="1" applyAlignment="1" applyProtection="1">
      <alignment horizontal="center" vertical="center" wrapText="1"/>
      <protection hidden="1"/>
    </xf>
    <xf numFmtId="0" fontId="45" fillId="15" borderId="60" xfId="0" applyFont="1" applyFill="1" applyBorder="1" applyAlignment="1" applyProtection="1">
      <alignment horizontal="center" vertical="center" wrapText="1"/>
      <protection hidden="1"/>
    </xf>
    <xf numFmtId="0" fontId="45" fillId="15" borderId="61" xfId="0" applyFont="1" applyFill="1" applyBorder="1" applyAlignment="1" applyProtection="1">
      <alignment horizontal="center" vertical="center" wrapText="1"/>
      <protection hidden="1"/>
    </xf>
    <xf numFmtId="0" fontId="45" fillId="15" borderId="74" xfId="0" applyFont="1" applyFill="1" applyBorder="1" applyAlignment="1" applyProtection="1">
      <alignment horizontal="center" vertical="center" wrapText="1"/>
      <protection hidden="1"/>
    </xf>
    <xf numFmtId="0" fontId="45" fillId="15" borderId="75" xfId="0" applyFont="1" applyFill="1" applyBorder="1" applyAlignment="1" applyProtection="1">
      <alignment horizontal="center" vertical="center" wrapText="1"/>
      <protection hidden="1"/>
    </xf>
    <xf numFmtId="0" fontId="45" fillId="15" borderId="76" xfId="0" applyFont="1" applyFill="1" applyBorder="1" applyAlignment="1" applyProtection="1">
      <alignment horizontal="center" vertical="center" wrapText="1"/>
      <protection hidden="1"/>
    </xf>
    <xf numFmtId="0" fontId="49" fillId="6" borderId="0"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left" vertical="center" wrapText="1"/>
      <protection hidden="1"/>
    </xf>
    <xf numFmtId="169" fontId="47" fillId="2" borderId="0" xfId="24" applyFont="1" applyFill="1" applyAlignment="1" applyProtection="1">
      <alignment horizontal="center" vertical="center"/>
      <protection hidden="1"/>
    </xf>
    <xf numFmtId="0" fontId="51" fillId="2" borderId="0" xfId="0" quotePrefix="1" applyFont="1" applyFill="1" applyBorder="1" applyAlignment="1" applyProtection="1">
      <alignment horizontal="left" vertical="center" wrapText="1"/>
      <protection hidden="1"/>
    </xf>
    <xf numFmtId="0" fontId="51" fillId="2" borderId="0" xfId="0" applyNumberFormat="1" applyFont="1" applyFill="1" applyAlignment="1" applyProtection="1">
      <alignment horizontal="justify" vertical="center" wrapText="1"/>
      <protection hidden="1"/>
    </xf>
    <xf numFmtId="0" fontId="54" fillId="0" borderId="0" xfId="0" applyFont="1" applyFill="1" applyBorder="1" applyAlignment="1" applyProtection="1">
      <alignment horizontal="center" vertical="center" wrapText="1"/>
      <protection hidden="1"/>
    </xf>
    <xf numFmtId="0" fontId="43" fillId="12" borderId="0" xfId="0" applyFont="1" applyFill="1" applyAlignment="1" applyProtection="1">
      <alignment horizontal="fill" vertical="center" wrapText="1"/>
      <protection hidden="1"/>
    </xf>
    <xf numFmtId="0" fontId="21" fillId="12" borderId="0" xfId="0" applyFont="1" applyFill="1" applyAlignment="1" applyProtection="1">
      <alignment vertical="center" wrapText="1"/>
      <protection hidden="1"/>
    </xf>
    <xf numFmtId="0" fontId="43" fillId="22" borderId="0" xfId="0" applyFont="1" applyFill="1" applyAlignment="1" applyProtection="1">
      <alignment horizontal="left" vertical="center" wrapText="1"/>
      <protection hidden="1"/>
    </xf>
    <xf numFmtId="0" fontId="43" fillId="0" borderId="79" xfId="0" applyFont="1" applyFill="1" applyBorder="1" applyAlignment="1" applyProtection="1">
      <alignment horizontal="left" vertical="center" wrapText="1"/>
      <protection hidden="1"/>
    </xf>
    <xf numFmtId="0" fontId="51" fillId="12" borderId="0" xfId="0" applyFont="1" applyFill="1" applyAlignment="1" applyProtection="1">
      <alignment horizontal="left" vertical="top" wrapText="1"/>
      <protection hidden="1"/>
    </xf>
    <xf numFmtId="169" fontId="59" fillId="2" borderId="0" xfId="24" applyFont="1" applyFill="1" applyAlignment="1" applyProtection="1">
      <alignment horizontal="center" vertical="center"/>
      <protection hidden="1"/>
    </xf>
    <xf numFmtId="169" fontId="59" fillId="2" borderId="0" xfId="24" applyFont="1" applyFill="1" applyAlignment="1" applyProtection="1">
      <alignment horizontal="center" vertical="center" wrapText="1"/>
      <protection hidden="1"/>
    </xf>
    <xf numFmtId="0" fontId="51" fillId="0" borderId="0" xfId="0" applyFont="1" applyAlignment="1" applyProtection="1">
      <alignment horizontal="left" vertical="center" wrapText="1"/>
      <protection hidden="1"/>
    </xf>
    <xf numFmtId="0" fontId="51"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1981880</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showGridLines="0" topLeftCell="A18" zoomScale="115" zoomScaleNormal="115" workbookViewId="0">
      <selection activeCell="C34" sqref="C34"/>
    </sheetView>
  </sheetViews>
  <sheetFormatPr baseColWidth="10" defaultRowHeight="12.75" outlineLevelRow="1"/>
  <cols>
    <col min="1" max="1" width="4.5703125" style="148" customWidth="1"/>
    <col min="2" max="2" width="34.42578125" style="146" customWidth="1"/>
    <col min="3" max="3" width="16.28515625" style="148" customWidth="1"/>
    <col min="4" max="4" width="2.5703125" style="148" customWidth="1"/>
    <col min="5" max="7" width="14.28515625" style="148" customWidth="1"/>
    <col min="8" max="16384" width="11.42578125" style="148"/>
  </cols>
  <sheetData>
    <row r="1" spans="2:4">
      <c r="B1" s="482" t="s">
        <v>374</v>
      </c>
      <c r="C1" s="483">
        <v>490</v>
      </c>
    </row>
    <row r="2" spans="2:4">
      <c r="B2" s="482" t="s">
        <v>375</v>
      </c>
      <c r="C2" s="483">
        <v>469</v>
      </c>
    </row>
    <row r="3" spans="2:4">
      <c r="B3" s="482" t="s">
        <v>357</v>
      </c>
      <c r="C3" s="483">
        <v>930</v>
      </c>
    </row>
    <row r="4" spans="2:4" hidden="1" outlineLevel="1">
      <c r="B4" s="482" t="s">
        <v>358</v>
      </c>
      <c r="C4" s="483">
        <v>1109.5455419999998</v>
      </c>
    </row>
    <row r="5" spans="2:4" hidden="1" outlineLevel="1">
      <c r="B5" s="482" t="s">
        <v>359</v>
      </c>
      <c r="C5" s="483">
        <v>529.41173003999995</v>
      </c>
    </row>
    <row r="6" spans="2:4" collapsed="1">
      <c r="B6" s="482" t="s">
        <v>363</v>
      </c>
      <c r="C6" s="483">
        <v>965.24</v>
      </c>
    </row>
    <row r="7" spans="2:4">
      <c r="B7" s="482" t="s">
        <v>365</v>
      </c>
      <c r="C7" s="483">
        <v>1021.31</v>
      </c>
    </row>
    <row r="8" spans="2:4">
      <c r="B8" s="482" t="s">
        <v>364</v>
      </c>
      <c r="C8" s="483">
        <v>639.51</v>
      </c>
    </row>
    <row r="9" spans="2:4">
      <c r="B9" s="482" t="s">
        <v>390</v>
      </c>
      <c r="C9" s="483">
        <v>597.75187500000004</v>
      </c>
    </row>
    <row r="10" spans="2:4">
      <c r="B10" s="482" t="s">
        <v>377</v>
      </c>
      <c r="C10" s="483">
        <v>135</v>
      </c>
    </row>
    <row r="11" spans="2:4">
      <c r="B11" s="482" t="s">
        <v>378</v>
      </c>
      <c r="C11" s="483">
        <v>152</v>
      </c>
    </row>
    <row r="12" spans="2:4">
      <c r="B12" s="482" t="s">
        <v>379</v>
      </c>
      <c r="C12" s="483">
        <v>148</v>
      </c>
    </row>
    <row r="13" spans="2:4">
      <c r="B13" s="482" t="s">
        <v>380</v>
      </c>
      <c r="C13" s="483">
        <v>177</v>
      </c>
    </row>
    <row r="14" spans="2:4">
      <c r="B14" s="481" t="s">
        <v>391</v>
      </c>
      <c r="C14" s="489">
        <v>5.7500000000000002E-2</v>
      </c>
    </row>
    <row r="15" spans="2:4">
      <c r="B15" s="481" t="s">
        <v>653</v>
      </c>
      <c r="C15" s="489">
        <v>4.0899999999999999E-2</v>
      </c>
      <c r="D15" s="490"/>
    </row>
    <row r="16" spans="2:4">
      <c r="B16" s="481" t="s">
        <v>679</v>
      </c>
      <c r="C16" s="489">
        <v>3.1800000000000002E-2</v>
      </c>
      <c r="D16" s="490"/>
    </row>
    <row r="17" spans="2:12" s="145" customFormat="1">
      <c r="B17" s="623" t="str">
        <f>+'COMBUSTIBLES '!A1</f>
        <v>1 DE JULIO 2019</v>
      </c>
      <c r="C17" s="152" t="s">
        <v>276</v>
      </c>
      <c r="E17" s="623" t="s">
        <v>8</v>
      </c>
      <c r="F17" s="623"/>
      <c r="G17" s="623"/>
    </row>
    <row r="18" spans="2:12" s="145" customFormat="1">
      <c r="B18" s="623"/>
      <c r="C18" s="153" t="s">
        <v>178</v>
      </c>
      <c r="D18" s="154"/>
      <c r="E18" s="624" t="s">
        <v>178</v>
      </c>
      <c r="F18" s="624"/>
      <c r="G18" s="624"/>
    </row>
    <row r="19" spans="2:12" s="145" customFormat="1">
      <c r="B19" s="623"/>
      <c r="C19" s="155" t="s">
        <v>182</v>
      </c>
      <c r="D19" s="154"/>
      <c r="E19" s="155" t="s">
        <v>179</v>
      </c>
      <c r="F19" s="155" t="s">
        <v>180</v>
      </c>
      <c r="G19" s="155" t="s">
        <v>181</v>
      </c>
      <c r="I19" s="145">
        <f>1555*1.0244</f>
        <v>1592.942</v>
      </c>
    </row>
    <row r="20" spans="2:12" ht="15">
      <c r="B20" s="149" t="s">
        <v>25</v>
      </c>
      <c r="C20" s="474">
        <f>$C$1*(1+$C$15)*(1+$C$16)</f>
        <v>526.26030379999997</v>
      </c>
      <c r="D20" s="147"/>
      <c r="E20" s="150">
        <v>5078.7700000000004</v>
      </c>
      <c r="F20" s="150">
        <v>1900</v>
      </c>
      <c r="G20" s="150">
        <v>1900</v>
      </c>
      <c r="H20" s="307"/>
      <c r="I20" s="302"/>
      <c r="J20" s="302"/>
      <c r="K20" s="302"/>
      <c r="L20" s="302"/>
    </row>
    <row r="21" spans="2:12" ht="15">
      <c r="B21" s="149" t="s">
        <v>190</v>
      </c>
      <c r="C21" s="474">
        <f>+C20</f>
        <v>526.26030379999997</v>
      </c>
      <c r="D21" s="147"/>
      <c r="E21" s="150">
        <f t="shared" ref="E21:G22" si="0">+E20</f>
        <v>5078.7700000000004</v>
      </c>
      <c r="F21" s="150">
        <f t="shared" si="0"/>
        <v>1900</v>
      </c>
      <c r="G21" s="150">
        <f t="shared" si="0"/>
        <v>1900</v>
      </c>
      <c r="H21" s="307">
        <f>+C21*16%</f>
        <v>84.201648607999999</v>
      </c>
      <c r="I21" s="302">
        <f>+H21*92%</f>
        <v>77.465516719359997</v>
      </c>
      <c r="J21" s="302"/>
      <c r="K21" s="302"/>
      <c r="L21" s="302"/>
    </row>
    <row r="22" spans="2:12" ht="15">
      <c r="B22" s="149" t="s">
        <v>191</v>
      </c>
      <c r="C22" s="474">
        <f>+C21</f>
        <v>526.26030379999997</v>
      </c>
      <c r="D22" s="147"/>
      <c r="E22" s="150">
        <f t="shared" si="0"/>
        <v>5078.7700000000004</v>
      </c>
      <c r="F22" s="150">
        <f t="shared" si="0"/>
        <v>1900</v>
      </c>
      <c r="G22" s="150">
        <f t="shared" si="0"/>
        <v>1900</v>
      </c>
      <c r="H22" s="307">
        <f>+C22*16%</f>
        <v>84.201648607999999</v>
      </c>
      <c r="I22" s="302">
        <f>+H22*92%</f>
        <v>77.465516719359997</v>
      </c>
      <c r="J22" s="302"/>
      <c r="K22" s="302"/>
      <c r="L22" s="302"/>
    </row>
    <row r="23" spans="2:12" ht="15">
      <c r="B23" s="149" t="s">
        <v>10</v>
      </c>
      <c r="C23" s="474">
        <f>$C$3*(1+$C$15)*(1+$C$16)</f>
        <v>998.82057659999998</v>
      </c>
      <c r="D23" s="147"/>
      <c r="E23" s="150">
        <v>7107.81</v>
      </c>
      <c r="F23" s="150" t="s">
        <v>160</v>
      </c>
      <c r="G23" s="150" t="s">
        <v>160</v>
      </c>
      <c r="H23" s="307">
        <f>+C23*90%</f>
        <v>898.93851893999999</v>
      </c>
      <c r="I23" s="302">
        <f>+C23*92%</f>
        <v>918.91493047200004</v>
      </c>
      <c r="J23" s="302"/>
      <c r="K23" s="302"/>
      <c r="L23" s="302"/>
    </row>
    <row r="24" spans="2:12" ht="15">
      <c r="B24" s="149" t="s">
        <v>361</v>
      </c>
      <c r="C24" s="474">
        <f>$C$6*(1+$C$15)*(1+$C$16)</f>
        <v>1036.6683584488001</v>
      </c>
      <c r="D24" s="147"/>
      <c r="E24" s="484"/>
      <c r="F24" s="484"/>
      <c r="G24" s="484"/>
      <c r="H24" s="307"/>
      <c r="I24" s="302"/>
      <c r="J24" s="302"/>
      <c r="K24" s="302"/>
      <c r="L24" s="302"/>
    </row>
    <row r="25" spans="2:12" ht="15">
      <c r="B25" s="149" t="s">
        <v>366</v>
      </c>
      <c r="C25" s="474">
        <f>$C$7*(1+$C$15)*(1+$C$16)</f>
        <v>1096.8875732121999</v>
      </c>
      <c r="D25" s="542" t="s">
        <v>655</v>
      </c>
      <c r="E25" s="484"/>
      <c r="F25" s="484"/>
      <c r="G25" s="484"/>
      <c r="H25" s="307"/>
      <c r="I25" s="302"/>
      <c r="J25" s="302"/>
      <c r="K25" s="302"/>
      <c r="L25" s="302"/>
    </row>
    <row r="26" spans="2:12" ht="6.75" customHeight="1">
      <c r="C26" s="147"/>
      <c r="D26" s="147"/>
      <c r="E26" s="147"/>
      <c r="F26" s="147"/>
      <c r="G26" s="147"/>
      <c r="H26" s="302"/>
      <c r="I26" s="302"/>
      <c r="J26" s="302"/>
      <c r="K26" s="302"/>
      <c r="L26" s="302"/>
    </row>
    <row r="27" spans="2:12" ht="15">
      <c r="B27" s="149" t="s">
        <v>173</v>
      </c>
      <c r="C27" s="474">
        <f>$C$2*(1+$C$15)*(1+$C$16)</f>
        <v>503.70629078000002</v>
      </c>
      <c r="D27" s="147"/>
      <c r="E27" s="150">
        <v>5024.59</v>
      </c>
      <c r="F27" s="150">
        <v>1900</v>
      </c>
      <c r="G27" s="150">
        <v>3400</v>
      </c>
      <c r="H27" s="307"/>
      <c r="I27" s="302"/>
      <c r="J27" s="302"/>
      <c r="K27" s="302"/>
      <c r="L27" s="302"/>
    </row>
    <row r="28" spans="2:12">
      <c r="B28" s="149" t="s">
        <v>174</v>
      </c>
      <c r="C28" s="475">
        <f>+C27</f>
        <v>503.70629078000002</v>
      </c>
      <c r="D28" s="147"/>
      <c r="E28" s="150">
        <f t="shared" ref="E28:G31" si="1">+E27</f>
        <v>5024.59</v>
      </c>
      <c r="F28" s="150">
        <f t="shared" si="1"/>
        <v>1900</v>
      </c>
      <c r="G28" s="150">
        <f t="shared" si="1"/>
        <v>3400</v>
      </c>
      <c r="H28" s="302"/>
      <c r="I28" s="302"/>
      <c r="J28" s="302"/>
      <c r="K28" s="302"/>
      <c r="L28" s="302"/>
    </row>
    <row r="29" spans="2:12">
      <c r="B29" s="149" t="s">
        <v>175</v>
      </c>
      <c r="C29" s="475">
        <f>+C28</f>
        <v>503.70629078000002</v>
      </c>
      <c r="D29" s="147"/>
      <c r="E29" s="150">
        <f t="shared" si="1"/>
        <v>5024.59</v>
      </c>
      <c r="F29" s="150">
        <f t="shared" si="1"/>
        <v>1900</v>
      </c>
      <c r="G29" s="150">
        <f t="shared" si="1"/>
        <v>3400</v>
      </c>
      <c r="J29" s="302"/>
      <c r="K29" s="302"/>
      <c r="L29" s="302"/>
    </row>
    <row r="30" spans="2:12">
      <c r="B30" s="149" t="s">
        <v>176</v>
      </c>
      <c r="C30" s="475">
        <f>+C29</f>
        <v>503.70629078000002</v>
      </c>
      <c r="D30" s="147"/>
      <c r="E30" s="150">
        <f t="shared" si="1"/>
        <v>5024.59</v>
      </c>
      <c r="F30" s="150">
        <f t="shared" si="1"/>
        <v>1900</v>
      </c>
      <c r="G30" s="150">
        <f t="shared" si="1"/>
        <v>3400</v>
      </c>
      <c r="H30" s="302">
        <f>+C30*98%</f>
        <v>493.63216496440003</v>
      </c>
      <c r="I30" s="302">
        <f>+C30*92%</f>
        <v>463.40978751760002</v>
      </c>
    </row>
    <row r="31" spans="2:12">
      <c r="B31" s="149" t="s">
        <v>177</v>
      </c>
      <c r="C31" s="475">
        <f>+C30</f>
        <v>503.70629078000002</v>
      </c>
      <c r="D31" s="147"/>
      <c r="E31" s="150">
        <f t="shared" si="1"/>
        <v>5024.59</v>
      </c>
      <c r="F31" s="150">
        <f t="shared" si="1"/>
        <v>1900</v>
      </c>
      <c r="G31" s="150">
        <f t="shared" si="1"/>
        <v>3400</v>
      </c>
      <c r="H31" s="302">
        <f>+C29*0.96</f>
        <v>483.55803914879999</v>
      </c>
      <c r="I31" s="302">
        <f>+C31*90%</f>
        <v>453.33566170200004</v>
      </c>
    </row>
    <row r="32" spans="2:12">
      <c r="B32" s="149" t="s">
        <v>309</v>
      </c>
      <c r="C32" s="475">
        <f>C27</f>
        <v>503.70629078000002</v>
      </c>
    </row>
    <row r="33" spans="2:7">
      <c r="B33" s="149" t="s">
        <v>360</v>
      </c>
      <c r="C33" s="475">
        <f>$C$9*(1+$C$15)*(1+$C$16)</f>
        <v>641.9858843561625</v>
      </c>
    </row>
    <row r="34" spans="2:7">
      <c r="B34" s="149" t="s">
        <v>362</v>
      </c>
      <c r="C34" s="474">
        <f>$C$8*(1+$C$15)*(1+$C$16)+0.01</f>
        <v>686.84413649620001</v>
      </c>
    </row>
    <row r="36" spans="2:7">
      <c r="B36" s="149" t="s">
        <v>192</v>
      </c>
      <c r="C36" s="151" t="s">
        <v>11</v>
      </c>
      <c r="D36" s="147"/>
      <c r="E36" s="150"/>
      <c r="F36" s="150"/>
      <c r="G36" s="150"/>
    </row>
    <row r="37" spans="2:7">
      <c r="B37" s="149" t="s">
        <v>193</v>
      </c>
      <c r="C37" s="151" t="s">
        <v>11</v>
      </c>
      <c r="D37" s="147"/>
      <c r="E37" s="150"/>
      <c r="F37" s="150"/>
      <c r="G37" s="150"/>
    </row>
    <row r="39" spans="2:7">
      <c r="B39" s="149" t="s">
        <v>278</v>
      </c>
      <c r="C39" s="150">
        <v>0.19</v>
      </c>
    </row>
    <row r="40" spans="2:7">
      <c r="C40" s="303"/>
    </row>
    <row r="41" spans="2:7">
      <c r="B41" s="481" t="s">
        <v>387</v>
      </c>
      <c r="C41" s="489">
        <f>+C15+0.01</f>
        <v>5.0900000000000001E-2</v>
      </c>
    </row>
    <row r="42" spans="2:7">
      <c r="B42" s="481"/>
      <c r="C42" s="489">
        <f>+C16+0.01</f>
        <v>4.1800000000000004E-2</v>
      </c>
    </row>
    <row r="43" spans="2:7">
      <c r="B43" s="623" t="str">
        <f>B17</f>
        <v>1 DE JULIO 2019</v>
      </c>
      <c r="C43" s="487" t="s">
        <v>376</v>
      </c>
    </row>
    <row r="44" spans="2:7">
      <c r="B44" s="623"/>
      <c r="C44" s="488" t="s">
        <v>178</v>
      </c>
    </row>
    <row r="45" spans="2:7">
      <c r="B45" s="623"/>
      <c r="C45" s="155" t="s">
        <v>182</v>
      </c>
    </row>
    <row r="46" spans="2:7">
      <c r="B46" s="149" t="s">
        <v>381</v>
      </c>
      <c r="C46" s="541">
        <f>ROUND($C$10*(1+$C$41)*(1+C42),0)</f>
        <v>148</v>
      </c>
    </row>
    <row r="47" spans="2:7">
      <c r="B47" s="149" t="s">
        <v>18</v>
      </c>
      <c r="C47" s="541">
        <f>ROUND($C$11*(1+$C$41)*(1+C42),0)</f>
        <v>166</v>
      </c>
    </row>
    <row r="48" spans="2:7">
      <c r="B48" s="149" t="s">
        <v>382</v>
      </c>
      <c r="C48" s="541">
        <f>ROUND($C$12*(1+$C$41)*(1+C42),0)</f>
        <v>162</v>
      </c>
    </row>
    <row r="49" spans="2:3">
      <c r="B49" s="149" t="s">
        <v>383</v>
      </c>
      <c r="C49" s="541">
        <f>ROUND($C$13*(1+$C$41)*(1+C42),0)</f>
        <v>194</v>
      </c>
    </row>
  </sheetData>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2"/>
    <col min="2" max="2" width="47.85546875" style="12" customWidth="1"/>
    <col min="3" max="5" width="23.85546875" style="12" customWidth="1"/>
    <col min="6" max="6" width="24.7109375" style="12" hidden="1" customWidth="1"/>
    <col min="7" max="16384" width="9.85546875" style="12"/>
  </cols>
  <sheetData>
    <row r="1" spans="2:6" s="62" customFormat="1" ht="20.25" customHeight="1">
      <c r="B1" s="742" t="s">
        <v>13</v>
      </c>
      <c r="C1" s="742"/>
      <c r="D1" s="742"/>
      <c r="E1" s="742"/>
      <c r="F1" s="742"/>
    </row>
    <row r="2" spans="2:6" s="62" customFormat="1" ht="20.25" customHeight="1">
      <c r="B2" s="742" t="s">
        <v>217</v>
      </c>
      <c r="C2" s="742"/>
      <c r="D2" s="742"/>
      <c r="E2" s="742"/>
      <c r="F2" s="742"/>
    </row>
    <row r="3" spans="2:6" s="62" customFormat="1" ht="20.25">
      <c r="B3" s="742" t="s">
        <v>14</v>
      </c>
      <c r="C3" s="742"/>
      <c r="D3" s="742"/>
      <c r="E3" s="742"/>
      <c r="F3" s="742"/>
    </row>
    <row r="4" spans="2:6" ht="15">
      <c r="B4" s="28"/>
      <c r="C4" s="28"/>
      <c r="D4" s="28"/>
      <c r="E4" s="28"/>
    </row>
    <row r="5" spans="2:6" ht="15.75" thickBot="1">
      <c r="B5" s="50"/>
    </row>
    <row r="6" spans="2:6" ht="45" customHeight="1" thickTop="1">
      <c r="B6" s="105" t="s">
        <v>15</v>
      </c>
      <c r="C6" s="106" t="s">
        <v>16</v>
      </c>
      <c r="D6" s="106" t="s">
        <v>17</v>
      </c>
      <c r="E6" s="106" t="s">
        <v>18</v>
      </c>
      <c r="F6" s="107" t="s">
        <v>211</v>
      </c>
    </row>
    <row r="7" spans="2:6" ht="30" customHeight="1" thickBot="1">
      <c r="B7" s="125"/>
      <c r="C7" s="77" t="str">
        <f>+'COMBUSTIBLES '!B6</f>
        <v>1 DE JULIO 2019</v>
      </c>
      <c r="D7" s="77" t="str">
        <f>'GASOLINA EXTRA OXIGENADA'!B6</f>
        <v>1 DE JULIO 2019</v>
      </c>
      <c r="E7" s="77" t="str">
        <f>+D7</f>
        <v>1 DE JULIO 2019</v>
      </c>
      <c r="F7" s="78" t="str">
        <f>+E7</f>
        <v>1 DE JULIO 2019</v>
      </c>
    </row>
    <row r="8" spans="2:6" ht="27" customHeight="1" thickTop="1">
      <c r="B8" s="122" t="s">
        <v>19</v>
      </c>
      <c r="C8" s="123">
        <f>'COMBUSTIBLES '!B7-628.9</f>
        <v>5072.1000000000004</v>
      </c>
      <c r="D8" s="123">
        <f>'COMBUSTIBLES '!D7-628.9</f>
        <v>6371.1</v>
      </c>
      <c r="E8" s="123">
        <f>'COMBUSTIBLES '!E7-657.12</f>
        <v>5207.4800000000005</v>
      </c>
      <c r="F8" s="124">
        <f>+BIODIESEL!F10</f>
        <v>6023.34</v>
      </c>
    </row>
    <row r="9" spans="2:6" ht="27" customHeight="1">
      <c r="B9" s="382" t="s">
        <v>244</v>
      </c>
      <c r="C9" s="109" t="s">
        <v>60</v>
      </c>
      <c r="D9" s="109" t="str">
        <f>+C9</f>
        <v>(*****)</v>
      </c>
      <c r="E9" s="109" t="str">
        <f>+C9</f>
        <v>(*****)</v>
      </c>
      <c r="F9" s="110" t="str">
        <f>+D9</f>
        <v>(*****)</v>
      </c>
    </row>
    <row r="10" spans="2:6" ht="27" customHeight="1">
      <c r="B10" s="108" t="s">
        <v>306</v>
      </c>
      <c r="C10" s="109">
        <f>+'COMBUSTIBLES '!B8</f>
        <v>7.9001000000000001</v>
      </c>
      <c r="D10" s="109">
        <f>+C10</f>
        <v>7.9001000000000001</v>
      </c>
      <c r="E10" s="109">
        <f>+'COMBUSTIBLES '!E8</f>
        <v>7.9001000000000001</v>
      </c>
      <c r="F10" s="110">
        <f>+BIODIESEL!F14</f>
        <v>7.9001000000000001</v>
      </c>
    </row>
    <row r="11" spans="2:6" ht="27" customHeight="1">
      <c r="B11" s="111" t="s">
        <v>245</v>
      </c>
      <c r="C11" s="109">
        <f>'COMBUSTIBLES '!B10</f>
        <v>71.510000000000005</v>
      </c>
      <c r="D11" s="109">
        <f>'COMBUSTIBLES '!B10</f>
        <v>71.510000000000005</v>
      </c>
      <c r="E11" s="109">
        <f>'COMBUSTIBLES '!E10</f>
        <v>71.510000000000005</v>
      </c>
      <c r="F11" s="110">
        <f>+E11</f>
        <v>71.510000000000005</v>
      </c>
    </row>
    <row r="12" spans="2:6" ht="27" customHeight="1">
      <c r="B12" s="108" t="s">
        <v>388</v>
      </c>
      <c r="C12" s="109">
        <f>Variables!C24</f>
        <v>1036.6683584488001</v>
      </c>
      <c r="D12" s="109">
        <f>Variables!C25</f>
        <v>1096.8875732121999</v>
      </c>
      <c r="E12" s="109">
        <f>Variables!C34</f>
        <v>686.84413649620001</v>
      </c>
      <c r="F12" s="110">
        <f>E12*96%</f>
        <v>659.37037103635203</v>
      </c>
    </row>
    <row r="13" spans="2:6" s="312" customFormat="1" ht="27" customHeight="1">
      <c r="B13" s="108" t="s">
        <v>281</v>
      </c>
      <c r="C13" s="112"/>
      <c r="D13" s="112"/>
      <c r="E13" s="112"/>
      <c r="F13" s="113"/>
    </row>
    <row r="14" spans="2:6" s="312" customFormat="1" ht="27" customHeight="1">
      <c r="B14" s="108" t="s">
        <v>373</v>
      </c>
      <c r="C14" s="112">
        <f>'COMBUSTIBLES '!B13</f>
        <v>148</v>
      </c>
      <c r="D14" s="112">
        <f>'COMBUSTIBLES '!C13</f>
        <v>148</v>
      </c>
      <c r="E14" s="112">
        <f>'COMBUSTIBLES '!E13</f>
        <v>166</v>
      </c>
      <c r="F14" s="113">
        <f>BIODIESEL!F13</f>
        <v>159.36000000000001</v>
      </c>
    </row>
    <row r="15" spans="2:6" ht="44.25" customHeight="1">
      <c r="B15" s="114" t="s">
        <v>23</v>
      </c>
      <c r="C15" s="115">
        <f>SUM(C8:C14)</f>
        <v>6336.1784584488005</v>
      </c>
      <c r="D15" s="115">
        <f>SUM(D8:D14)</f>
        <v>7695.3976732122001</v>
      </c>
      <c r="E15" s="115">
        <f>SUM(E8:E14)</f>
        <v>6139.7342364962005</v>
      </c>
      <c r="F15" s="116">
        <f>SUM(F8:F14)</f>
        <v>6921.4804710363524</v>
      </c>
    </row>
    <row r="16" spans="2:6" ht="32.25" customHeight="1">
      <c r="B16" s="108" t="s">
        <v>4</v>
      </c>
      <c r="C16" s="117" t="s">
        <v>12</v>
      </c>
      <c r="D16" s="109"/>
      <c r="E16" s="117" t="str">
        <f>+C16</f>
        <v>(**)</v>
      </c>
      <c r="F16" s="118" t="str">
        <f>+E16</f>
        <v>(**)</v>
      </c>
    </row>
    <row r="17" spans="2:7" s="51" customFormat="1" ht="29.25" customHeight="1">
      <c r="B17" s="143" t="s">
        <v>249</v>
      </c>
      <c r="C17" s="117" t="s">
        <v>22</v>
      </c>
      <c r="D17" s="117" t="str">
        <f>+C17</f>
        <v>(***)</v>
      </c>
      <c r="E17" s="117" t="str">
        <f>+D17</f>
        <v>(***)</v>
      </c>
      <c r="F17" s="118" t="str">
        <f>+E17</f>
        <v>(***)</v>
      </c>
    </row>
    <row r="18" spans="2:7" s="312" customFormat="1" ht="30" customHeight="1" thickBot="1">
      <c r="B18" s="119" t="s">
        <v>216</v>
      </c>
      <c r="C18" s="120" t="s">
        <v>231</v>
      </c>
      <c r="D18" s="120" t="str">
        <f>+C18</f>
        <v>(****)</v>
      </c>
      <c r="E18" s="120" t="str">
        <f>+D18</f>
        <v>(****)</v>
      </c>
      <c r="F18" s="121" t="str">
        <f>+E18</f>
        <v>(****)</v>
      </c>
    </row>
    <row r="19" spans="2:7" ht="15" thickTop="1"/>
    <row r="20" spans="2:7" s="104" customFormat="1" ht="40.5" customHeight="1">
      <c r="B20" s="743" t="s">
        <v>243</v>
      </c>
      <c r="C20" s="743"/>
      <c r="D20" s="743"/>
      <c r="E20" s="743"/>
    </row>
    <row r="21" spans="2:7" s="104" customFormat="1" ht="30.75" customHeight="1">
      <c r="B21" s="710" t="s">
        <v>290</v>
      </c>
      <c r="C21" s="710"/>
      <c r="D21" s="710"/>
      <c r="E21" s="710"/>
    </row>
    <row r="22" spans="2:7" s="104" customFormat="1" ht="5.25" customHeight="1">
      <c r="B22" s="338"/>
      <c r="C22" s="338"/>
      <c r="D22" s="338"/>
      <c r="E22" s="338"/>
    </row>
    <row r="23" spans="2:7" s="104" customFormat="1" ht="17.25" customHeight="1">
      <c r="B23" s="743" t="s">
        <v>246</v>
      </c>
      <c r="C23" s="743"/>
      <c r="D23" s="743"/>
      <c r="E23" s="743"/>
    </row>
    <row r="24" spans="2:7" s="104" customFormat="1" ht="3.75" customHeight="1">
      <c r="B24" s="313"/>
      <c r="C24" s="313"/>
      <c r="D24" s="313"/>
      <c r="E24" s="313"/>
    </row>
    <row r="25" spans="2:7" s="104" customFormat="1" ht="17.25" customHeight="1">
      <c r="B25" s="743" t="s">
        <v>265</v>
      </c>
      <c r="C25" s="743"/>
      <c r="D25" s="743"/>
      <c r="E25" s="743"/>
    </row>
    <row r="26" spans="2:7" s="104" customFormat="1" ht="8.25" customHeight="1">
      <c r="B26" s="313"/>
      <c r="C26" s="313"/>
      <c r="D26" s="313"/>
      <c r="E26" s="313"/>
    </row>
    <row r="27" spans="2:7" s="104" customFormat="1" ht="25.5" customHeight="1">
      <c r="B27" s="743" t="s">
        <v>247</v>
      </c>
      <c r="C27" s="743"/>
      <c r="D27" s="743"/>
      <c r="E27" s="743"/>
    </row>
    <row r="28" spans="2:7" ht="7.5" customHeight="1">
      <c r="B28" s="315"/>
      <c r="C28" s="315"/>
      <c r="D28" s="315"/>
      <c r="E28" s="315"/>
    </row>
    <row r="29" spans="2:7" s="312" customFormat="1" ht="45.75" customHeight="1">
      <c r="B29" s="692" t="s">
        <v>352</v>
      </c>
      <c r="C29" s="692"/>
      <c r="D29" s="692"/>
      <c r="E29" s="692"/>
    </row>
    <row r="30" spans="2:7" s="312" customFormat="1" ht="8.25" customHeight="1">
      <c r="B30" s="315"/>
      <c r="C30" s="315"/>
      <c r="D30" s="315"/>
      <c r="E30" s="315"/>
    </row>
    <row r="31" spans="2:7" ht="39.75" customHeight="1">
      <c r="B31" s="692" t="s">
        <v>308</v>
      </c>
      <c r="C31" s="692"/>
      <c r="D31" s="692"/>
      <c r="E31" s="692"/>
      <c r="F31" s="692"/>
      <c r="G31" s="692"/>
    </row>
    <row r="32" spans="2:7" ht="9.75" customHeight="1"/>
    <row r="33" spans="2:6">
      <c r="B33" s="710" t="s">
        <v>307</v>
      </c>
      <c r="C33" s="710"/>
      <c r="D33" s="710"/>
      <c r="E33" s="710"/>
    </row>
    <row r="35" spans="2:6">
      <c r="B35" s="710" t="s">
        <v>389</v>
      </c>
      <c r="C35" s="710"/>
      <c r="D35" s="710"/>
      <c r="E35" s="710"/>
    </row>
    <row r="36" spans="2:6" s="312" customFormat="1">
      <c r="B36" s="494"/>
      <c r="C36" s="494"/>
      <c r="D36" s="494"/>
      <c r="E36" s="494"/>
    </row>
    <row r="37" spans="2:6" ht="86.25" customHeight="1">
      <c r="B37" s="703" t="s">
        <v>348</v>
      </c>
      <c r="C37" s="703"/>
      <c r="D37" s="703"/>
      <c r="E37" s="703"/>
      <c r="F37" s="703"/>
    </row>
    <row r="42" spans="2:6">
      <c r="B42" s="692"/>
      <c r="C42" s="692"/>
      <c r="D42" s="692"/>
      <c r="E42" s="692"/>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9"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23.7109375" style="3" customWidth="1" outlineLevel="1"/>
    <col min="11" max="16384" width="9.85546875" style="3"/>
  </cols>
  <sheetData>
    <row r="1" spans="3:10" ht="15">
      <c r="C1" s="744" t="s">
        <v>213</v>
      </c>
      <c r="D1" s="744"/>
      <c r="E1" s="744"/>
      <c r="F1" s="744"/>
      <c r="G1" s="744"/>
      <c r="H1" s="744"/>
    </row>
    <row r="2" spans="3:10" ht="15">
      <c r="C2" s="744" t="s">
        <v>33</v>
      </c>
      <c r="D2" s="744"/>
      <c r="E2" s="744"/>
      <c r="F2" s="744"/>
      <c r="G2" s="744"/>
      <c r="H2" s="744"/>
    </row>
    <row r="3" spans="3:10" ht="15">
      <c r="C3" s="744" t="s">
        <v>14</v>
      </c>
      <c r="D3" s="744"/>
      <c r="E3" s="744"/>
      <c r="F3" s="744"/>
      <c r="G3" s="744"/>
      <c r="H3" s="744"/>
    </row>
    <row r="4" spans="3:10" ht="24.75" customHeight="1" thickBot="1">
      <c r="C4" s="310" t="str">
        <f>'SAN-ANDRES + GENERACION'!C7</f>
        <v>1 DE JULIO 2019</v>
      </c>
      <c r="D4" s="32"/>
      <c r="E4" s="33"/>
      <c r="F4" s="747"/>
      <c r="G4" s="747"/>
      <c r="H4" s="468"/>
      <c r="I4" s="468"/>
    </row>
    <row r="5" spans="3:10" ht="45" customHeight="1" thickTop="1">
      <c r="C5" s="127" t="s">
        <v>15</v>
      </c>
      <c r="D5" s="348" t="s">
        <v>218</v>
      </c>
      <c r="E5" s="348" t="s">
        <v>271</v>
      </c>
      <c r="F5" s="348" t="s">
        <v>349</v>
      </c>
      <c r="I5" s="348" t="s">
        <v>272</v>
      </c>
      <c r="J5" s="349" t="s">
        <v>273</v>
      </c>
    </row>
    <row r="6" spans="3:10" ht="22.5" customHeight="1">
      <c r="C6" s="350" t="s">
        <v>19</v>
      </c>
      <c r="D6" s="343">
        <f>'COMBUSTIBLES '!E7</f>
        <v>5864.6</v>
      </c>
      <c r="E6" s="343">
        <f>+D6</f>
        <v>5864.6</v>
      </c>
      <c r="F6" s="343">
        <f>+E6*80%</f>
        <v>4691.68</v>
      </c>
      <c r="I6" s="343">
        <f>+BIODIESEL!B7*4%+(F6)*96%</f>
        <v>4897.3332</v>
      </c>
      <c r="J6" s="352">
        <f>+BIODIESEL!B7*2%+(F6)*98%</f>
        <v>4794.5066000000006</v>
      </c>
    </row>
    <row r="7" spans="3:10" ht="22.5" customHeight="1">
      <c r="C7" s="353" t="str">
        <f>+'GASOLINA CORRIENTE OXIGENADA'!A11</f>
        <v>Impuesto Nacional a la Gasolina y al ACPM</v>
      </c>
      <c r="D7" s="346">
        <f>Variables!C32</f>
        <v>503.70629078000002</v>
      </c>
      <c r="E7" s="346">
        <f>Variables!C33</f>
        <v>641.9858843561625</v>
      </c>
      <c r="F7" s="346">
        <f>+E7</f>
        <v>641.9858843561625</v>
      </c>
      <c r="G7" s="86"/>
      <c r="H7" s="86"/>
      <c r="I7" s="346">
        <f>ROUND(F7*96%,2)</f>
        <v>616.30999999999995</v>
      </c>
      <c r="J7" s="128">
        <f>ROUND(E7*98%,2)</f>
        <v>629.15</v>
      </c>
    </row>
    <row r="8" spans="3:10" ht="22.5" customHeight="1">
      <c r="C8" s="353" t="str">
        <f>+'GASOLINA CORRIENTE OXIGENADA'!A12</f>
        <v>Impuesto sobre las Ventas</v>
      </c>
      <c r="D8" s="498" t="str">
        <f>'COMBUSTIBLES '!E12</f>
        <v>(3)</v>
      </c>
      <c r="E8" s="498" t="str">
        <f>'COMBUSTIBLES '!E12</f>
        <v>(3)</v>
      </c>
      <c r="F8" s="498" t="str">
        <f>+E8</f>
        <v>(3)</v>
      </c>
      <c r="G8" s="499"/>
      <c r="H8" s="499"/>
      <c r="I8" s="498" t="str">
        <f>+F8</f>
        <v>(3)</v>
      </c>
      <c r="J8" s="500" t="str">
        <f>+I8</f>
        <v>(3)</v>
      </c>
    </row>
    <row r="9" spans="3:10" ht="22.5" customHeight="1">
      <c r="C9" s="353" t="str">
        <f>+'GASOLINA CORRIENTE OXIGENADA'!A13</f>
        <v>Impuesto al carbono</v>
      </c>
      <c r="D9" s="343">
        <f>'COMBUSTIBLES '!E13</f>
        <v>166</v>
      </c>
      <c r="E9" s="343">
        <f>'COMBUSTIBLES '!E13</f>
        <v>166</v>
      </c>
      <c r="F9" s="343">
        <f>'COMBUSTIBLES '!E13</f>
        <v>166</v>
      </c>
      <c r="I9" s="343">
        <f>ROUND(F9*96%,2)</f>
        <v>159.36000000000001</v>
      </c>
      <c r="J9" s="352">
        <f>ROUND(E9*98%,2)</f>
        <v>162.68</v>
      </c>
    </row>
    <row r="10" spans="3:10" ht="22.5" customHeight="1">
      <c r="C10" s="350" t="s">
        <v>248</v>
      </c>
      <c r="D10" s="345" t="str">
        <f>+I10</f>
        <v>(*)</v>
      </c>
      <c r="E10" s="345" t="str">
        <f>+D10</f>
        <v>(*)</v>
      </c>
      <c r="F10" s="345" t="str">
        <f>+E10</f>
        <v>(*)</v>
      </c>
      <c r="I10" s="345" t="s">
        <v>11</v>
      </c>
      <c r="J10" s="424" t="str">
        <f>+I10</f>
        <v>(*)</v>
      </c>
    </row>
    <row r="11" spans="3:10" ht="22.5" customHeight="1">
      <c r="C11" s="111" t="s">
        <v>245</v>
      </c>
      <c r="D11" s="346">
        <f>'COMBUSTIBLES '!E10</f>
        <v>71.510000000000005</v>
      </c>
      <c r="E11" s="346">
        <f>+D11</f>
        <v>71.510000000000005</v>
      </c>
      <c r="F11" s="346">
        <f>+E11</f>
        <v>71.510000000000005</v>
      </c>
      <c r="I11" s="346">
        <f>+F11</f>
        <v>71.510000000000005</v>
      </c>
      <c r="J11" s="128">
        <f>+I11</f>
        <v>71.510000000000005</v>
      </c>
    </row>
    <row r="12" spans="3:10" ht="22.5" customHeight="1">
      <c r="C12" s="354" t="s">
        <v>221</v>
      </c>
      <c r="D12" s="347">
        <f>SUM(D6:D11)</f>
        <v>6605.8162907800006</v>
      </c>
      <c r="E12" s="347">
        <f>SUM(E6:E11)</f>
        <v>6744.095884356163</v>
      </c>
      <c r="F12" s="347">
        <f>SUM(F6:F11)</f>
        <v>5571.1758843561629</v>
      </c>
      <c r="I12" s="347">
        <f>SUM(I6:I11)</f>
        <v>5744.5132000000003</v>
      </c>
      <c r="J12" s="355">
        <f>SUM(J6:J11)</f>
        <v>5657.8466000000008</v>
      </c>
    </row>
    <row r="13" spans="3:10" ht="22.5" customHeight="1" thickBot="1">
      <c r="C13" s="356" t="s">
        <v>8</v>
      </c>
      <c r="D13" s="357">
        <f>'COMBUSTIBLES '!E16</f>
        <v>301.48</v>
      </c>
      <c r="E13" s="357"/>
      <c r="F13" s="357"/>
      <c r="I13" s="357"/>
      <c r="J13" s="358"/>
    </row>
    <row r="14" spans="3:10" ht="12" customHeight="1" thickTop="1">
      <c r="C14" s="342"/>
      <c r="D14" s="30"/>
      <c r="E14" s="30"/>
      <c r="F14" s="469"/>
      <c r="G14" s="469"/>
      <c r="H14" s="469"/>
      <c r="I14" s="468"/>
    </row>
    <row r="15" spans="3:10" ht="18.75" customHeight="1">
      <c r="C15" s="745" t="s">
        <v>266</v>
      </c>
      <c r="D15" s="745"/>
      <c r="E15" s="745"/>
      <c r="F15" s="745"/>
      <c r="G15" s="745"/>
      <c r="H15" s="745"/>
    </row>
    <row r="16" spans="3:10" ht="49.5" customHeight="1">
      <c r="C16" s="746" t="s">
        <v>268</v>
      </c>
      <c r="D16" s="746"/>
      <c r="E16" s="746"/>
      <c r="F16" s="746"/>
      <c r="G16" s="746"/>
      <c r="H16" s="746"/>
    </row>
    <row r="17" spans="3:10" ht="34.5" customHeight="1">
      <c r="C17" s="692" t="s">
        <v>308</v>
      </c>
      <c r="D17" s="692"/>
      <c r="E17" s="692"/>
      <c r="F17" s="692"/>
      <c r="G17" s="692"/>
      <c r="H17" s="692"/>
    </row>
    <row r="18" spans="3:10">
      <c r="C18" s="692" t="s">
        <v>350</v>
      </c>
      <c r="D18" s="692"/>
      <c r="E18" s="692"/>
      <c r="F18" s="692"/>
      <c r="G18" s="692"/>
      <c r="H18" s="692"/>
    </row>
    <row r="19" spans="3:10" ht="28.5" customHeight="1">
      <c r="C19" s="359"/>
      <c r="D19" s="359"/>
      <c r="E19" s="359"/>
      <c r="F19" s="359"/>
      <c r="G19" s="359"/>
      <c r="H19" s="359"/>
    </row>
    <row r="20" spans="3:10">
      <c r="C20" s="702" t="s">
        <v>394</v>
      </c>
      <c r="D20" s="702"/>
      <c r="E20" s="702"/>
      <c r="F20" s="702"/>
      <c r="G20" s="702"/>
      <c r="H20" s="702"/>
      <c r="I20" s="702"/>
      <c r="J20" s="3" t="s">
        <v>161</v>
      </c>
    </row>
    <row r="21" spans="3:10">
      <c r="C21" s="702" t="s">
        <v>392</v>
      </c>
      <c r="D21" s="702"/>
      <c r="E21" s="702"/>
      <c r="F21" s="702"/>
      <c r="G21" s="702"/>
      <c r="H21" s="702"/>
      <c r="I21" s="702"/>
    </row>
    <row r="22" spans="3:10">
      <c r="C22" s="702" t="s">
        <v>393</v>
      </c>
      <c r="D22" s="702"/>
      <c r="E22" s="702"/>
      <c r="F22" s="702"/>
      <c r="G22" s="702"/>
      <c r="H22" s="702"/>
      <c r="I22" s="702"/>
    </row>
    <row r="23" spans="3:10">
      <c r="C23" s="493"/>
      <c r="D23" s="493"/>
      <c r="E23" s="493"/>
      <c r="F23" s="493"/>
      <c r="G23" s="493"/>
      <c r="H23" s="493"/>
      <c r="I23" s="493"/>
    </row>
    <row r="24" spans="3:10">
      <c r="C24" s="493"/>
      <c r="D24" s="493"/>
      <c r="E24" s="493"/>
      <c r="F24" s="493"/>
      <c r="G24" s="493"/>
      <c r="H24" s="493"/>
      <c r="I24" s="493"/>
    </row>
    <row r="25" spans="3:10" ht="15">
      <c r="C25" s="744" t="s">
        <v>45</v>
      </c>
      <c r="D25" s="744"/>
      <c r="E25" s="744"/>
      <c r="F25" s="744"/>
      <c r="G25" s="744"/>
      <c r="H25" s="744"/>
      <c r="J25" s="3" t="s">
        <v>161</v>
      </c>
    </row>
    <row r="26" spans="3:10" ht="15">
      <c r="C26" s="744" t="s">
        <v>37</v>
      </c>
      <c r="D26" s="744"/>
      <c r="E26" s="744"/>
      <c r="F26" s="744"/>
      <c r="G26" s="744"/>
      <c r="H26" s="744"/>
    </row>
    <row r="27" spans="3:10" ht="15">
      <c r="C27" s="744" t="s">
        <v>14</v>
      </c>
      <c r="D27" s="744"/>
      <c r="E27" s="744"/>
      <c r="F27" s="744"/>
      <c r="G27" s="744"/>
      <c r="H27" s="744"/>
    </row>
    <row r="28" spans="3:10" ht="15.75" thickBot="1">
      <c r="C28" s="310" t="str">
        <f>+C4</f>
        <v>1 DE JULIO 2019</v>
      </c>
      <c r="D28" s="32"/>
      <c r="E28" s="33"/>
      <c r="F28"/>
    </row>
    <row r="29" spans="3:10" ht="45" customHeight="1" thickTop="1">
      <c r="C29" s="127" t="s">
        <v>15</v>
      </c>
      <c r="D29" s="348" t="str">
        <f>+D5</f>
        <v xml:space="preserve">DIESEL MARINO </v>
      </c>
      <c r="E29" s="348" t="str">
        <f>+E5</f>
        <v>DIESEL MARINO CON CUPO (ART 174 LEY 1607/12)</v>
      </c>
      <c r="F29" s="348" t="str">
        <f>+F5</f>
        <v>DIESEL MARINO CON CUPO (ART 174 LEY 1607/12) CON DESCUENTO****</v>
      </c>
      <c r="G29" s="348" t="s">
        <v>312</v>
      </c>
      <c r="H29" s="348" t="s">
        <v>313</v>
      </c>
    </row>
    <row r="30" spans="3:10" ht="23.25" customHeight="1">
      <c r="C30" s="350" t="s">
        <v>19</v>
      </c>
      <c r="D30" s="343">
        <f>+'SAN-ANDRES + GENERACION'!E8</f>
        <v>5207.4800000000005</v>
      </c>
      <c r="E30" s="343">
        <f>+D30</f>
        <v>5207.4800000000005</v>
      </c>
      <c r="F30" s="351">
        <f>+D30*80%</f>
        <v>4165.9840000000004</v>
      </c>
      <c r="G30" s="344">
        <v>1903.2</v>
      </c>
      <c r="H30" s="351">
        <v>1280.03</v>
      </c>
    </row>
    <row r="31" spans="3:10" ht="23.25" customHeight="1">
      <c r="C31" s="353" t="str">
        <f>+C7</f>
        <v>Impuesto Nacional a la Gasolina y al ACPM</v>
      </c>
      <c r="D31" s="346">
        <f>+Variables!C33</f>
        <v>641.9858843561625</v>
      </c>
      <c r="E31" s="346">
        <f>D31</f>
        <v>641.9858843561625</v>
      </c>
      <c r="F31" s="128">
        <f>E31</f>
        <v>641.9858843561625</v>
      </c>
      <c r="G31" s="450">
        <f>+D31</f>
        <v>641.9858843561625</v>
      </c>
      <c r="H31" s="352">
        <f>+F31</f>
        <v>641.9858843561625</v>
      </c>
    </row>
    <row r="32" spans="3:10" ht="23.25" customHeight="1">
      <c r="C32" s="353" t="str">
        <f t="shared" ref="C32:F33" si="0">+C8</f>
        <v>Impuesto sobre las Ventas</v>
      </c>
      <c r="D32" s="343"/>
      <c r="E32" s="343"/>
      <c r="F32" s="352"/>
      <c r="G32" s="450"/>
      <c r="H32" s="352"/>
    </row>
    <row r="33" spans="1:9" ht="23.25" customHeight="1">
      <c r="C33" s="353" t="str">
        <f t="shared" si="0"/>
        <v>Impuesto al carbono</v>
      </c>
      <c r="D33" s="343">
        <f t="shared" si="0"/>
        <v>166</v>
      </c>
      <c r="E33" s="343">
        <f t="shared" si="0"/>
        <v>166</v>
      </c>
      <c r="F33" s="352">
        <f t="shared" si="0"/>
        <v>166</v>
      </c>
      <c r="G33" s="450"/>
      <c r="H33" s="352"/>
    </row>
    <row r="34" spans="1:9" ht="23.25" customHeight="1">
      <c r="C34" s="350" t="s">
        <v>21</v>
      </c>
      <c r="D34" s="346" t="str">
        <f>+D10</f>
        <v>(*)</v>
      </c>
      <c r="E34" s="346" t="str">
        <f>+D34</f>
        <v>(*)</v>
      </c>
      <c r="F34" s="128" t="str">
        <f>+E34</f>
        <v>(*)</v>
      </c>
      <c r="G34" s="346" t="str">
        <f>+F34</f>
        <v>(*)</v>
      </c>
      <c r="H34" s="128" t="str">
        <f>+G34</f>
        <v>(*)</v>
      </c>
    </row>
    <row r="35" spans="1:9" ht="23.25" customHeight="1">
      <c r="C35" s="111" t="s">
        <v>245</v>
      </c>
      <c r="D35" s="343">
        <f>+D11</f>
        <v>71.510000000000005</v>
      </c>
      <c r="E35" s="343">
        <f>+E11</f>
        <v>71.510000000000005</v>
      </c>
      <c r="F35" s="352">
        <f>+F11</f>
        <v>71.510000000000005</v>
      </c>
      <c r="G35" s="343">
        <f>+I11</f>
        <v>71.510000000000005</v>
      </c>
      <c r="H35" s="352">
        <f>+J11</f>
        <v>71.510000000000005</v>
      </c>
    </row>
    <row r="36" spans="1:9" ht="23.25" customHeight="1">
      <c r="C36" s="360" t="s">
        <v>38</v>
      </c>
      <c r="D36" s="347">
        <f>SUM(D30:D35)</f>
        <v>6086.9758843561631</v>
      </c>
      <c r="E36" s="347">
        <f>SUM(E30:E35)</f>
        <v>6086.9758843561631</v>
      </c>
      <c r="F36" s="355">
        <f>SUM(F30:F35)</f>
        <v>5045.479884356163</v>
      </c>
      <c r="G36" s="347">
        <f>SUM(G30:G35)</f>
        <v>2616.6958843561629</v>
      </c>
      <c r="H36" s="355">
        <f>SUM(H30:H35)</f>
        <v>1993.5258843561626</v>
      </c>
    </row>
    <row r="37" spans="1:9" ht="23.25" customHeight="1">
      <c r="C37" s="129" t="s">
        <v>249</v>
      </c>
      <c r="D37" s="109" t="s">
        <v>11</v>
      </c>
      <c r="E37" s="109" t="str">
        <f>+D37</f>
        <v>(*)</v>
      </c>
      <c r="F37" s="110" t="str">
        <f>E37</f>
        <v>(*)</v>
      </c>
      <c r="G37" s="109" t="str">
        <f>+F37</f>
        <v>(*)</v>
      </c>
      <c r="H37" s="110" t="str">
        <f>G37</f>
        <v>(*)</v>
      </c>
    </row>
    <row r="38" spans="1:9" ht="23.25" customHeight="1">
      <c r="C38" s="129" t="s">
        <v>251</v>
      </c>
      <c r="D38" s="109" t="s">
        <v>12</v>
      </c>
      <c r="E38" s="109" t="str">
        <f>+D38</f>
        <v>(**)</v>
      </c>
      <c r="F38" s="110" t="str">
        <f>E38</f>
        <v>(**)</v>
      </c>
      <c r="G38" s="109" t="str">
        <f>+F38</f>
        <v>(**)</v>
      </c>
      <c r="H38" s="110" t="str">
        <f>G38</f>
        <v>(**)</v>
      </c>
      <c r="I38" s="36"/>
    </row>
    <row r="39" spans="1:9" ht="23.25" customHeight="1">
      <c r="C39" s="354" t="s">
        <v>39</v>
      </c>
      <c r="D39" s="347">
        <f>SUM(D36:D38)</f>
        <v>6086.9758843561631</v>
      </c>
      <c r="E39" s="347">
        <f>SUM(E36:E38)</f>
        <v>6086.9758843561631</v>
      </c>
      <c r="F39" s="355">
        <f>SUM(F36:F38)</f>
        <v>5045.479884356163</v>
      </c>
      <c r="G39" s="347">
        <f>SUM(G36:G38)</f>
        <v>2616.6958843561629</v>
      </c>
      <c r="H39" s="355">
        <f>SUM(H36:H38)</f>
        <v>1993.5258843561626</v>
      </c>
    </row>
    <row r="40" spans="1:9" ht="23.25" customHeight="1" thickBot="1">
      <c r="C40" s="356" t="s">
        <v>8</v>
      </c>
      <c r="D40" s="357">
        <f>'COMBUSTIBLES '!E16</f>
        <v>301.48</v>
      </c>
      <c r="E40" s="357"/>
      <c r="F40" s="358"/>
      <c r="G40" s="357"/>
      <c r="H40" s="358"/>
    </row>
    <row r="41" spans="1:9" ht="15" thickTop="1">
      <c r="A41" s="3" t="s">
        <v>161</v>
      </c>
      <c r="C41" s="38" t="s">
        <v>161</v>
      </c>
      <c r="D41" s="39"/>
      <c r="E41" s="39"/>
      <c r="F41" s="86"/>
      <c r="G41" s="86"/>
      <c r="H41" s="86"/>
    </row>
    <row r="42" spans="1:9">
      <c r="C42" s="743" t="s">
        <v>267</v>
      </c>
      <c r="D42" s="743"/>
      <c r="E42" s="743"/>
      <c r="F42" s="743"/>
    </row>
    <row r="43" spans="1:9" ht="18" customHeight="1">
      <c r="C43" s="743" t="s">
        <v>250</v>
      </c>
      <c r="D43" s="743"/>
      <c r="E43" s="743"/>
      <c r="F43" s="743"/>
      <c r="G43" s="743"/>
      <c r="H43" s="743"/>
    </row>
    <row r="44" spans="1:9" ht="65.25" customHeight="1">
      <c r="C44" s="743" t="s">
        <v>314</v>
      </c>
      <c r="D44" s="743"/>
      <c r="E44" s="743"/>
      <c r="F44" s="743"/>
      <c r="G44" s="743"/>
      <c r="H44" s="743"/>
    </row>
    <row r="45" spans="1:9" ht="15" customHeight="1">
      <c r="C45" s="692" t="s">
        <v>350</v>
      </c>
      <c r="D45" s="692"/>
      <c r="E45" s="692"/>
      <c r="F45" s="692"/>
      <c r="G45" s="692"/>
      <c r="H45" s="692"/>
    </row>
    <row r="46" spans="1:9" s="16" customFormat="1" ht="13.5" customHeight="1">
      <c r="C46" s="40"/>
      <c r="D46" s="41"/>
      <c r="E46" s="41"/>
    </row>
    <row r="47" spans="1:9" ht="15">
      <c r="C47" s="31" t="s">
        <v>46</v>
      </c>
      <c r="D47" s="32"/>
      <c r="E47" s="33"/>
      <c r="F47" s="34"/>
    </row>
    <row r="48" spans="1:9" ht="15">
      <c r="C48" s="31" t="s">
        <v>40</v>
      </c>
      <c r="D48" s="32"/>
      <c r="E48" s="33"/>
      <c r="F48" s="34"/>
    </row>
    <row r="49" spans="3:10" ht="15">
      <c r="C49" s="31" t="s">
        <v>41</v>
      </c>
      <c r="D49" s="32"/>
      <c r="E49" s="33"/>
      <c r="F49" s="34"/>
    </row>
    <row r="50" spans="3:10" ht="15">
      <c r="C50" s="31" t="s">
        <v>14</v>
      </c>
      <c r="D50" s="32"/>
      <c r="E50" s="33"/>
      <c r="F50" s="34"/>
    </row>
    <row r="51" spans="3:10" ht="15.75" thickBot="1">
      <c r="C51" s="310" t="str">
        <f>+C28</f>
        <v>1 DE JULIO 2019</v>
      </c>
      <c r="D51" s="32"/>
      <c r="E51" s="33"/>
      <c r="F51"/>
    </row>
    <row r="52" spans="3:10" ht="29.25" thickTop="1">
      <c r="C52" s="127" t="s">
        <v>15</v>
      </c>
      <c r="D52" s="348" t="s">
        <v>254</v>
      </c>
      <c r="E52" s="348" t="s">
        <v>274</v>
      </c>
      <c r="F52" s="349" t="s">
        <v>275</v>
      </c>
    </row>
    <row r="53" spans="3:10" ht="26.25" customHeight="1">
      <c r="C53" s="350" t="s">
        <v>255</v>
      </c>
      <c r="D53" s="343">
        <f>+BIODIESEL!E10</f>
        <v>5943.97</v>
      </c>
      <c r="E53" s="343">
        <f>+D53</f>
        <v>5943.97</v>
      </c>
      <c r="F53" s="351">
        <f>+BIODIESEL!B7*2%+('COMBUSTIBLES '!E7*77%)*98%</f>
        <v>4622.0873600000004</v>
      </c>
      <c r="G53" s="445"/>
      <c r="J53" s="36"/>
    </row>
    <row r="54" spans="3:10" ht="26.25" customHeight="1">
      <c r="C54" s="350" t="str">
        <f>+C31</f>
        <v>Impuesto Nacional a la Gasolina y al ACPM</v>
      </c>
      <c r="D54" s="346">
        <f>+D7*98%</f>
        <v>493.63216496440003</v>
      </c>
      <c r="E54" s="346">
        <f>+J7</f>
        <v>629.15</v>
      </c>
      <c r="F54" s="128">
        <f>E54</f>
        <v>629.15</v>
      </c>
      <c r="G54" s="36"/>
    </row>
    <row r="55" spans="3:10" ht="26.25" customHeight="1">
      <c r="C55" s="350" t="str">
        <f>+C32</f>
        <v>Impuesto sobre las Ventas</v>
      </c>
      <c r="D55" s="498" t="str">
        <f>+'COMBUSTIBLES '!C12</f>
        <v>(3)</v>
      </c>
      <c r="E55" s="498" t="str">
        <f>+D55</f>
        <v>(3)</v>
      </c>
      <c r="F55" s="500" t="str">
        <f>+E55</f>
        <v>(3)</v>
      </c>
      <c r="G55" s="36"/>
    </row>
    <row r="56" spans="3:10" ht="26.25" customHeight="1">
      <c r="C56" s="350" t="str">
        <f>+C33</f>
        <v>Impuesto al carbono</v>
      </c>
      <c r="D56" s="343">
        <f>+D9*98%</f>
        <v>162.68</v>
      </c>
      <c r="E56" s="343">
        <f>+E33*98%</f>
        <v>162.68</v>
      </c>
      <c r="F56" s="352">
        <f>E56</f>
        <v>162.68</v>
      </c>
      <c r="G56" s="36"/>
    </row>
    <row r="57" spans="3:10" ht="26.25" customHeight="1">
      <c r="C57" s="350" t="s">
        <v>252</v>
      </c>
      <c r="D57" s="478">
        <f>+'TARIFAS DE TRANSPORTE'!BB41+'TARIFAS DE TRANSPORTE'!BA81</f>
        <v>502.53160801604031</v>
      </c>
      <c r="E57" s="346">
        <f>+D57</f>
        <v>502.53160801604031</v>
      </c>
      <c r="F57" s="128">
        <f>+E57</f>
        <v>502.53160801604031</v>
      </c>
    </row>
    <row r="58" spans="3:10" ht="26.25" customHeight="1">
      <c r="C58" s="350" t="s">
        <v>240</v>
      </c>
      <c r="D58" s="478">
        <v>20.85</v>
      </c>
      <c r="E58" s="346">
        <f>+D58</f>
        <v>20.85</v>
      </c>
      <c r="F58" s="128">
        <f>+E58</f>
        <v>20.85</v>
      </c>
    </row>
    <row r="59" spans="3:10" ht="26.25" customHeight="1">
      <c r="C59" s="111" t="s">
        <v>245</v>
      </c>
      <c r="D59" s="343">
        <f>D35</f>
        <v>71.510000000000005</v>
      </c>
      <c r="E59" s="343">
        <f>E35</f>
        <v>71.510000000000005</v>
      </c>
      <c r="F59" s="352">
        <f>F35</f>
        <v>71.510000000000005</v>
      </c>
    </row>
    <row r="60" spans="3:10" ht="26.25" customHeight="1">
      <c r="C60" s="350" t="s">
        <v>36</v>
      </c>
      <c r="D60" s="361">
        <f>SUM(D53:D59)</f>
        <v>7195.1737729804408</v>
      </c>
      <c r="E60" s="361">
        <f>SUM(E53:E59)</f>
        <v>7330.6916080160408</v>
      </c>
      <c r="F60" s="362">
        <f>SUM(F53:F59)</f>
        <v>6008.808968016041</v>
      </c>
      <c r="I60" s="36"/>
    </row>
    <row r="61" spans="3:10" ht="36.950000000000003" customHeight="1">
      <c r="C61" s="354" t="s">
        <v>43</v>
      </c>
      <c r="D61" s="363">
        <f>SUM(D60:D60)</f>
        <v>7195.1737729804408</v>
      </c>
      <c r="E61" s="363">
        <f>SUM(E60:E60)</f>
        <v>7330.6916080160408</v>
      </c>
      <c r="F61" s="364">
        <f>SUM(F60:F60)</f>
        <v>6008.808968016041</v>
      </c>
    </row>
    <row r="62" spans="3:10" ht="36.950000000000003" customHeight="1" thickBot="1">
      <c r="C62" s="356" t="s">
        <v>55</v>
      </c>
      <c r="D62" s="357">
        <f>D40</f>
        <v>301.48</v>
      </c>
      <c r="E62" s="357"/>
      <c r="F62" s="358"/>
    </row>
    <row r="63" spans="3:10" ht="18.75" customHeight="1" thickTop="1">
      <c r="C63" s="748" t="s">
        <v>161</v>
      </c>
      <c r="D63" s="749"/>
      <c r="E63" s="749"/>
      <c r="F63" s="86"/>
    </row>
    <row r="64" spans="3:10" ht="18.75" customHeight="1">
      <c r="C64" s="380" t="s">
        <v>253</v>
      </c>
      <c r="D64" s="381"/>
      <c r="E64" s="381"/>
    </row>
    <row r="65" spans="3:9" ht="18.75" customHeight="1">
      <c r="C65" s="752" t="s">
        <v>384</v>
      </c>
      <c r="D65" s="752"/>
      <c r="E65" s="752"/>
      <c r="F65" s="752"/>
    </row>
    <row r="66" spans="3:9" ht="18.75" customHeight="1">
      <c r="C66" s="495"/>
      <c r="D66" s="495"/>
      <c r="E66" s="495"/>
      <c r="F66" s="495"/>
    </row>
    <row r="67" spans="3:9" ht="18.75" customHeight="1">
      <c r="C67" s="702" t="s">
        <v>394</v>
      </c>
      <c r="D67" s="702"/>
      <c r="E67" s="702"/>
      <c r="F67" s="702"/>
      <c r="G67" s="702"/>
      <c r="H67" s="702"/>
      <c r="I67" s="702"/>
    </row>
    <row r="68" spans="3:9" ht="18.75" customHeight="1">
      <c r="C68" s="702" t="s">
        <v>392</v>
      </c>
      <c r="D68" s="702"/>
      <c r="E68" s="702"/>
      <c r="F68" s="702"/>
      <c r="G68" s="702"/>
      <c r="H68" s="702"/>
      <c r="I68" s="702"/>
    </row>
    <row r="69" spans="3:9" ht="18.75" customHeight="1">
      <c r="C69" s="702" t="s">
        <v>393</v>
      </c>
      <c r="D69" s="702"/>
      <c r="E69" s="702"/>
      <c r="F69" s="702"/>
      <c r="G69" s="702"/>
      <c r="H69" s="702"/>
      <c r="I69" s="702"/>
    </row>
    <row r="70" spans="3:9" ht="18.75" hidden="1" customHeight="1">
      <c r="C70" s="308"/>
      <c r="D70" s="308"/>
      <c r="E70" s="308"/>
    </row>
    <row r="71" spans="3:9" ht="33" hidden="1" customHeight="1">
      <c r="C71" s="31" t="s">
        <v>46</v>
      </c>
      <c r="D71" s="32"/>
      <c r="E71" s="33"/>
      <c r="F71" s="34"/>
    </row>
    <row r="72" spans="3:9" ht="15" hidden="1">
      <c r="C72" s="31" t="s">
        <v>44</v>
      </c>
      <c r="D72" s="32"/>
      <c r="E72" s="33"/>
      <c r="F72" s="34"/>
    </row>
    <row r="73" spans="3:9" ht="15" hidden="1">
      <c r="C73" s="31" t="s">
        <v>14</v>
      </c>
      <c r="D73" s="32"/>
      <c r="E73" s="33"/>
      <c r="F73" s="34"/>
    </row>
    <row r="74" spans="3:9" ht="15.75" hidden="1" thickBot="1">
      <c r="C74" s="31" t="str">
        <f>+C51</f>
        <v>1 DE JULIO 2019</v>
      </c>
      <c r="D74" s="32"/>
      <c r="E74" s="33"/>
      <c r="F74"/>
    </row>
    <row r="75" spans="3:9" ht="45" hidden="1" customHeight="1" thickTop="1">
      <c r="C75" s="54" t="s">
        <v>15</v>
      </c>
      <c r="D75" s="309" t="s">
        <v>218</v>
      </c>
      <c r="E75" s="55" t="s">
        <v>219</v>
      </c>
      <c r="F75" s="55" t="s">
        <v>220</v>
      </c>
      <c r="G75"/>
    </row>
    <row r="76" spans="3:9" ht="27.75" hidden="1" customHeight="1">
      <c r="C76" s="316" t="s">
        <v>19</v>
      </c>
      <c r="D76" s="317">
        <f>+D6</f>
        <v>5864.6</v>
      </c>
      <c r="E76" s="318">
        <f>+D76</f>
        <v>5864.6</v>
      </c>
      <c r="F76" s="318">
        <f>+D76*77%</f>
        <v>4515.7420000000002</v>
      </c>
      <c r="G76"/>
    </row>
    <row r="77" spans="3:9" ht="27.75" hidden="1" customHeight="1">
      <c r="C77" s="316" t="s">
        <v>34</v>
      </c>
      <c r="D77" s="317" t="e">
        <f>#REF!</f>
        <v>#REF!</v>
      </c>
      <c r="E77" s="318" t="e">
        <f>D77</f>
        <v>#REF!</v>
      </c>
      <c r="F77" s="318" t="e">
        <f>E77</f>
        <v>#REF!</v>
      </c>
      <c r="G77"/>
    </row>
    <row r="78" spans="3:9" ht="27.75" hidden="1" customHeight="1">
      <c r="C78" s="319" t="s">
        <v>20</v>
      </c>
      <c r="D78" s="317">
        <f>+D7</f>
        <v>503.70629078000002</v>
      </c>
      <c r="E78" s="318"/>
      <c r="F78" s="318"/>
      <c r="G78"/>
    </row>
    <row r="79" spans="3:9" ht="27.75" hidden="1" customHeight="1">
      <c r="C79" s="320" t="s">
        <v>58</v>
      </c>
      <c r="D79" s="317">
        <f>+D59</f>
        <v>71.510000000000005</v>
      </c>
      <c r="E79" s="318">
        <f>+E59</f>
        <v>71.510000000000005</v>
      </c>
      <c r="F79" s="318">
        <f>+F59</f>
        <v>71.510000000000005</v>
      </c>
      <c r="G79"/>
    </row>
    <row r="80" spans="3:9" ht="27.75" hidden="1" customHeight="1">
      <c r="C80" s="316" t="s">
        <v>35</v>
      </c>
      <c r="D80" s="321">
        <f>386.04*(1+4.48%)*(1+5.69%)*(1+7.67%)*(1+2%)*(1+3.96%)</f>
        <v>486.69907901536254</v>
      </c>
      <c r="E80" s="322">
        <f>+D80</f>
        <v>486.69907901536254</v>
      </c>
      <c r="F80" s="322">
        <f>E80</f>
        <v>486.69907901536254</v>
      </c>
      <c r="G80"/>
    </row>
    <row r="81" spans="1:7" ht="27.75" hidden="1" customHeight="1">
      <c r="C81" s="316" t="s">
        <v>36</v>
      </c>
      <c r="D81" s="323" t="e">
        <f>SUM(D76:D80)</f>
        <v>#REF!</v>
      </c>
      <c r="E81" s="324" t="e">
        <f>SUM(E76:E80)</f>
        <v>#REF!</v>
      </c>
      <c r="F81" s="324" t="e">
        <f>SUM(F76:F80)</f>
        <v>#REF!</v>
      </c>
      <c r="G81"/>
    </row>
    <row r="82" spans="1:7" ht="36.950000000000003" hidden="1" customHeight="1">
      <c r="C82" s="35" t="s">
        <v>43</v>
      </c>
      <c r="D82" s="42" t="e">
        <f>SUM(D81:D81)</f>
        <v>#REF!</v>
      </c>
      <c r="E82" s="43" t="e">
        <f>SUM(E81:E81)</f>
        <v>#REF!</v>
      </c>
      <c r="F82" s="43" t="e">
        <f>SUM(F81:F81)</f>
        <v>#REF!</v>
      </c>
      <c r="G82"/>
    </row>
    <row r="83" spans="1:7" ht="36.75" hidden="1" customHeight="1" thickBot="1">
      <c r="C83" s="65" t="s">
        <v>32</v>
      </c>
      <c r="D83" s="29">
        <f>D40</f>
        <v>301.48</v>
      </c>
      <c r="E83" s="37"/>
      <c r="F83" s="37"/>
      <c r="G83"/>
    </row>
    <row r="84" spans="1:7" ht="27.75" hidden="1" customHeight="1" thickTop="1">
      <c r="C84" s="751" t="s">
        <v>194</v>
      </c>
      <c r="D84" s="751"/>
      <c r="E84" s="751"/>
    </row>
    <row r="85" spans="1:7" hidden="1">
      <c r="C85" s="38"/>
    </row>
    <row r="86" spans="1:7" hidden="1"/>
    <row r="87" spans="1:7" ht="15" hidden="1">
      <c r="C87" s="44" t="s">
        <v>53</v>
      </c>
      <c r="D87" s="31"/>
      <c r="E87" s="39"/>
    </row>
    <row r="88" spans="1:7" ht="15" hidden="1">
      <c r="C88" s="45" t="s">
        <v>14</v>
      </c>
      <c r="D88" s="45"/>
    </row>
    <row r="89" spans="1:7" ht="15.75" hidden="1" thickBot="1">
      <c r="A89" s="8"/>
      <c r="B89" s="8"/>
      <c r="C89" s="46" t="str">
        <f>C74</f>
        <v>1 DE JULIO 2019</v>
      </c>
      <c r="D89" s="46"/>
    </row>
    <row r="90" spans="1:7" ht="28.5" hidden="1" customHeight="1" thickTop="1">
      <c r="A90" s="47"/>
      <c r="B90" s="47"/>
      <c r="C90" s="54" t="s">
        <v>15</v>
      </c>
      <c r="D90" s="55" t="s">
        <v>54</v>
      </c>
    </row>
    <row r="91" spans="1:7" hidden="1">
      <c r="C91" s="316" t="s">
        <v>19</v>
      </c>
      <c r="D91" s="318">
        <f>+D6</f>
        <v>5864.6</v>
      </c>
    </row>
    <row r="92" spans="1:7" hidden="1">
      <c r="C92" s="316" t="s">
        <v>34</v>
      </c>
      <c r="D92" s="318" t="e">
        <f>#REF!</f>
        <v>#REF!</v>
      </c>
    </row>
    <row r="93" spans="1:7" hidden="1">
      <c r="C93" s="316" t="s">
        <v>20</v>
      </c>
      <c r="D93" s="318">
        <f>D78</f>
        <v>503.70629078000002</v>
      </c>
    </row>
    <row r="94" spans="1:7" hidden="1">
      <c r="C94" s="316" t="s">
        <v>42</v>
      </c>
      <c r="D94" s="318" t="str">
        <f>'COMBUSTIBLES '!E15</f>
        <v>(***)</v>
      </c>
    </row>
    <row r="95" spans="1:7" hidden="1">
      <c r="C95" s="316" t="s">
        <v>55</v>
      </c>
      <c r="D95" s="322">
        <f>'COMBUSTIBLES '!E16</f>
        <v>301.48</v>
      </c>
    </row>
    <row r="96" spans="1:7" ht="15.75" hidden="1" thickBot="1">
      <c r="C96" s="48" t="s">
        <v>43</v>
      </c>
      <c r="D96" s="49" t="e">
        <f>SUM(D91:D95)</f>
        <v>#REF!</v>
      </c>
    </row>
    <row r="97" spans="3:10" ht="15" hidden="1" thickTop="1"/>
    <row r="98" spans="3:10" hidden="1"/>
    <row r="99" spans="3:10" ht="40.5" hidden="1" customHeight="1">
      <c r="C99" s="750" t="s">
        <v>59</v>
      </c>
      <c r="D99" s="750"/>
    </row>
    <row r="100" spans="3:10" hidden="1"/>
    <row r="101" spans="3:10" hidden="1"/>
    <row r="102" spans="3:10" hidden="1"/>
    <row r="103" spans="3:10" hidden="1"/>
    <row r="104" spans="3:10" hidden="1"/>
    <row r="105" spans="3:10" hidden="1"/>
    <row r="106" spans="3:10" hidden="1"/>
    <row r="108" spans="3:10" ht="19.5" hidden="1" customHeight="1" outlineLevel="1">
      <c r="C108" s="306" t="s">
        <v>650</v>
      </c>
      <c r="D108" s="306" t="s">
        <v>207</v>
      </c>
      <c r="E108" s="306" t="s">
        <v>208</v>
      </c>
      <c r="F108" s="306" t="s">
        <v>209</v>
      </c>
    </row>
    <row r="109" spans="3:10" ht="19.5" hidden="1" customHeight="1" outlineLevel="1">
      <c r="C109" s="304" t="s">
        <v>210</v>
      </c>
      <c r="D109" s="305">
        <f>+E6</f>
        <v>5864.6</v>
      </c>
      <c r="E109" s="305">
        <f>+F6</f>
        <v>4691.68</v>
      </c>
      <c r="F109" s="527">
        <f>+D109-E109</f>
        <v>1172.92</v>
      </c>
      <c r="I109" s="582" t="s">
        <v>680</v>
      </c>
      <c r="J109" s="3" t="s">
        <v>680</v>
      </c>
    </row>
    <row r="110" spans="3:10" ht="19.5" hidden="1" customHeight="1" outlineLevel="1">
      <c r="C110" s="304" t="s">
        <v>211</v>
      </c>
      <c r="D110" s="304">
        <f>+BIODIESEL!F10</f>
        <v>6023.34</v>
      </c>
      <c r="E110" s="305">
        <f>+I6</f>
        <v>4897.3332</v>
      </c>
      <c r="F110" s="527">
        <f>+D110-E110</f>
        <v>1126.0068000000001</v>
      </c>
      <c r="I110" s="528" t="s">
        <v>680</v>
      </c>
    </row>
    <row r="111" spans="3:10" ht="20.25" hidden="1" customHeight="1" outlineLevel="1">
      <c r="C111" s="304" t="s">
        <v>214</v>
      </c>
      <c r="D111" s="304">
        <f>+BIODIESEL!E10</f>
        <v>5943.97</v>
      </c>
      <c r="E111" s="305">
        <f>+J6</f>
        <v>4794.5066000000006</v>
      </c>
      <c r="F111" s="527">
        <f>+D111-E111</f>
        <v>1149.4633999999996</v>
      </c>
      <c r="I111" s="582" t="s">
        <v>680</v>
      </c>
      <c r="J111" s="3" t="s">
        <v>680</v>
      </c>
    </row>
    <row r="112" spans="3:10" ht="19.5" hidden="1" customHeight="1" outlineLevel="1">
      <c r="C112" s="529" t="s">
        <v>649</v>
      </c>
      <c r="D112" s="530">
        <f>+E6</f>
        <v>5864.6</v>
      </c>
      <c r="E112" s="530">
        <f>+D112*77%</f>
        <v>4515.7420000000002</v>
      </c>
      <c r="F112" s="531">
        <f>+D112-E112</f>
        <v>1348.8580000000002</v>
      </c>
      <c r="I112" s="582" t="s">
        <v>680</v>
      </c>
    </row>
    <row r="113" spans="3:9" ht="19.5" hidden="1" customHeight="1" outlineLevel="1">
      <c r="C113" s="529" t="s">
        <v>648</v>
      </c>
      <c r="D113" s="530">
        <f>D53</f>
        <v>5943.97</v>
      </c>
      <c r="E113" s="530">
        <f>F53</f>
        <v>4622.0873600000004</v>
      </c>
      <c r="F113" s="531">
        <f>+D113-E113</f>
        <v>1321.8826399999998</v>
      </c>
      <c r="I113" s="582"/>
    </row>
    <row r="114" spans="3:9" hidden="1"/>
    <row r="117" spans="3:9" ht="93.75" customHeight="1">
      <c r="C117" s="703" t="s">
        <v>348</v>
      </c>
      <c r="D117" s="703"/>
      <c r="E117" s="703"/>
      <c r="F117" s="703"/>
      <c r="G117" s="703"/>
    </row>
  </sheetData>
  <sheetProtection password="C712" sheet="1" objects="1" scenarios="1"/>
  <mergeCells count="2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 ref="C1:H1"/>
    <mergeCell ref="C2:H2"/>
    <mergeCell ref="C3:H3"/>
    <mergeCell ref="C15:H15"/>
    <mergeCell ref="C16:H16"/>
    <mergeCell ref="C68:I68"/>
    <mergeCell ref="C20:I20"/>
    <mergeCell ref="C21:I21"/>
    <mergeCell ref="C22:I22"/>
    <mergeCell ref="C43:H43"/>
  </mergeCells>
  <phoneticPr fontId="19"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O52"/>
  <sheetViews>
    <sheetView showGridLines="0" zoomScale="80" zoomScaleNormal="80" zoomScaleSheetLayoutView="40" workbookViewId="0">
      <selection sqref="A1:J1"/>
    </sheetView>
  </sheetViews>
  <sheetFormatPr baseColWidth="10" defaultColWidth="7.85546875" defaultRowHeight="14.25"/>
  <cols>
    <col min="1" max="1" width="56.42578125" style="312" customWidth="1"/>
    <col min="2" max="2" width="21.7109375" style="312" customWidth="1"/>
    <col min="3" max="3" width="16.42578125" style="312" hidden="1" customWidth="1"/>
    <col min="4" max="4" width="20.7109375" style="312" customWidth="1"/>
    <col min="5" max="5" width="23.5703125" style="312" customWidth="1"/>
    <col min="6" max="6" width="19.28515625" style="312" hidden="1" customWidth="1"/>
    <col min="7" max="7" width="22.7109375" style="312" hidden="1" customWidth="1"/>
    <col min="8" max="8" width="25.140625" style="312" customWidth="1"/>
    <col min="9" max="9" width="21.7109375" style="312" customWidth="1"/>
    <col min="10" max="10" width="24.7109375" style="312" customWidth="1"/>
    <col min="11" max="11" width="7.85546875" style="312"/>
    <col min="12" max="12" width="10.5703125" style="312" bestFit="1" customWidth="1"/>
    <col min="13" max="13" width="11.7109375" style="312" bestFit="1" customWidth="1"/>
    <col min="14" max="16384" width="7.85546875" style="312"/>
  </cols>
  <sheetData>
    <row r="1" spans="1:15" s="17" customFormat="1" ht="18">
      <c r="A1" s="753" t="s">
        <v>31</v>
      </c>
      <c r="B1" s="753"/>
      <c r="C1" s="753"/>
      <c r="D1" s="753"/>
      <c r="E1" s="753"/>
      <c r="F1" s="753"/>
      <c r="G1" s="753"/>
      <c r="H1" s="753"/>
      <c r="I1" s="753"/>
      <c r="J1" s="753"/>
    </row>
    <row r="2" spans="1:15" s="17" customFormat="1" ht="56.25" customHeight="1">
      <c r="A2" s="754" t="s">
        <v>369</v>
      </c>
      <c r="B2" s="754"/>
      <c r="C2" s="754"/>
      <c r="D2" s="754"/>
      <c r="E2" s="754"/>
      <c r="F2" s="754"/>
      <c r="G2" s="754"/>
      <c r="H2" s="754"/>
      <c r="I2" s="754"/>
      <c r="J2" s="754"/>
      <c r="M2" s="479"/>
    </row>
    <row r="3" spans="1:15" ht="24.75" customHeight="1">
      <c r="A3" s="744" t="s">
        <v>24</v>
      </c>
      <c r="B3" s="744"/>
      <c r="C3" s="744"/>
      <c r="D3" s="744"/>
      <c r="E3" s="744"/>
      <c r="F3" s="744"/>
      <c r="G3" s="486"/>
      <c r="I3" s="575"/>
      <c r="J3" s="575"/>
      <c r="K3" s="575"/>
      <c r="L3" s="575"/>
      <c r="M3" s="575"/>
      <c r="N3" s="575"/>
      <c r="O3" s="575"/>
    </row>
    <row r="4" spans="1:15" ht="15">
      <c r="A4" s="28"/>
    </row>
    <row r="5" spans="1:15" ht="15.75" thickBot="1">
      <c r="A5" s="25" t="str">
        <f>+'COMBUSTIBLES '!A1</f>
        <v>1 DE JULIO 2019</v>
      </c>
      <c r="B5" s="193">
        <v>0</v>
      </c>
      <c r="C5" s="193">
        <v>0.04</v>
      </c>
      <c r="D5" s="193">
        <v>0</v>
      </c>
      <c r="E5" s="194">
        <v>0.02</v>
      </c>
      <c r="F5" s="193">
        <v>0</v>
      </c>
      <c r="G5" s="193">
        <v>0</v>
      </c>
      <c r="H5" s="194">
        <v>0.02</v>
      </c>
      <c r="I5" s="193">
        <v>0</v>
      </c>
      <c r="J5" s="194">
        <v>0</v>
      </c>
    </row>
    <row r="6" spans="1:15" ht="47.25" customHeight="1" thickTop="1">
      <c r="A6" s="365" t="s">
        <v>15</v>
      </c>
      <c r="B6" s="366" t="s">
        <v>68</v>
      </c>
      <c r="C6" s="366" t="s">
        <v>167</v>
      </c>
      <c r="D6" s="366" t="s">
        <v>163</v>
      </c>
      <c r="E6" s="366" t="s">
        <v>685</v>
      </c>
      <c r="F6" s="366" t="s">
        <v>164</v>
      </c>
      <c r="G6" s="366" t="s">
        <v>356</v>
      </c>
      <c r="H6" s="366" t="s">
        <v>277</v>
      </c>
      <c r="I6" s="366" t="s">
        <v>311</v>
      </c>
      <c r="J6" s="367" t="s">
        <v>310</v>
      </c>
    </row>
    <row r="7" spans="1:15" ht="27.75" customHeight="1">
      <c r="A7" s="126" t="s">
        <v>257</v>
      </c>
      <c r="B7" s="345">
        <v>6506.2745534278765</v>
      </c>
      <c r="C7" s="345">
        <v>6537.1057563440854</v>
      </c>
      <c r="D7" s="345">
        <v>6351.0773514599987</v>
      </c>
      <c r="E7" s="345">
        <v>6580.4657534278767</v>
      </c>
      <c r="F7" s="345">
        <v>6794.4669776671717</v>
      </c>
      <c r="G7" s="345">
        <v>6537.1057563440854</v>
      </c>
      <c r="H7" s="424">
        <v>6351.0773514599987</v>
      </c>
      <c r="I7" s="345">
        <f>+D7</f>
        <v>6351.0773514599987</v>
      </c>
      <c r="J7" s="424">
        <f>+D7</f>
        <v>6351.0773514599987</v>
      </c>
    </row>
    <row r="8" spans="1:15" ht="27.75" customHeight="1">
      <c r="A8" s="353" t="s">
        <v>69</v>
      </c>
      <c r="B8" s="368">
        <v>0</v>
      </c>
      <c r="C8" s="369">
        <f>+BIODIESEL!B7</f>
        <v>9833.01</v>
      </c>
      <c r="D8" s="368">
        <v>0</v>
      </c>
      <c r="E8" s="368">
        <f>+C8</f>
        <v>9833.01</v>
      </c>
      <c r="F8" s="368">
        <v>0</v>
      </c>
      <c r="G8" s="368">
        <v>0</v>
      </c>
      <c r="H8" s="370">
        <f>+E8</f>
        <v>9833.01</v>
      </c>
      <c r="I8" s="345">
        <f>+D8</f>
        <v>0</v>
      </c>
      <c r="J8" s="424">
        <f>+D8</f>
        <v>0</v>
      </c>
    </row>
    <row r="9" spans="1:15" ht="35.25" customHeight="1">
      <c r="A9" s="371" t="s">
        <v>162</v>
      </c>
      <c r="B9" s="372">
        <f t="shared" ref="B9:G9" si="0">+B8*B5+B7*(1-B5)</f>
        <v>6506.2745534278765</v>
      </c>
      <c r="C9" s="372">
        <f t="shared" si="0"/>
        <v>6668.9419260903214</v>
      </c>
      <c r="D9" s="372">
        <f>+D8*D5+D7*(1-D5)</f>
        <v>6351.0773514599987</v>
      </c>
      <c r="E9" s="447">
        <f>(E8*E5)+E7*(1-E5)</f>
        <v>6645.5166383593196</v>
      </c>
      <c r="F9" s="372">
        <f t="shared" si="0"/>
        <v>6794.4669776671717</v>
      </c>
      <c r="G9" s="372">
        <f t="shared" si="0"/>
        <v>6537.1057563440854</v>
      </c>
      <c r="H9" s="373">
        <f>+H8*H5+H7*(1-H5)</f>
        <v>6420.7160044307984</v>
      </c>
      <c r="I9" s="447">
        <f>+D9</f>
        <v>6351.0773514599987</v>
      </c>
      <c r="J9" s="448">
        <f>+D9</f>
        <v>6351.0773514599987</v>
      </c>
    </row>
    <row r="10" spans="1:15" ht="27.75" customHeight="1">
      <c r="A10" s="353" t="s">
        <v>67</v>
      </c>
      <c r="B10" s="369">
        <f>+'COMBUSTIBLES '!E8</f>
        <v>7.9001000000000001</v>
      </c>
      <c r="C10" s="369">
        <f>+BIODIESEL!F14</f>
        <v>7.9001000000000001</v>
      </c>
      <c r="D10" s="369">
        <f>+'COMBUSTIBLES '!E8</f>
        <v>7.9001000000000001</v>
      </c>
      <c r="E10" s="369">
        <f>+BIODIESEL!E14</f>
        <v>7.9001000000000001</v>
      </c>
      <c r="F10" s="369">
        <f>'COMBUSTIBLES '!E8</f>
        <v>7.9001000000000001</v>
      </c>
      <c r="G10" s="369">
        <f>E10</f>
        <v>7.9001000000000001</v>
      </c>
      <c r="H10" s="374">
        <f>+BIODIESEL!E14</f>
        <v>7.9001000000000001</v>
      </c>
      <c r="I10" s="345">
        <v>0</v>
      </c>
      <c r="J10" s="424">
        <v>0</v>
      </c>
    </row>
    <row r="11" spans="1:15" ht="27.75" customHeight="1">
      <c r="A11" s="353" t="s">
        <v>196</v>
      </c>
      <c r="B11" s="345">
        <v>21.1</v>
      </c>
      <c r="C11" s="369">
        <f>+B11</f>
        <v>21.1</v>
      </c>
      <c r="D11" s="369">
        <f>+B11</f>
        <v>21.1</v>
      </c>
      <c r="E11" s="369">
        <f>+B11</f>
        <v>21.1</v>
      </c>
      <c r="F11" s="369">
        <f>+B11</f>
        <v>21.1</v>
      </c>
      <c r="G11" s="369">
        <f>+C11</f>
        <v>21.1</v>
      </c>
      <c r="H11" s="374">
        <f>+B11</f>
        <v>21.1</v>
      </c>
      <c r="I11" s="345">
        <f>+D11</f>
        <v>21.1</v>
      </c>
      <c r="J11" s="424">
        <f>+D11</f>
        <v>21.1</v>
      </c>
    </row>
    <row r="12" spans="1:15" ht="27.75" customHeight="1">
      <c r="A12" s="111" t="s">
        <v>245</v>
      </c>
      <c r="B12" s="369">
        <f>+'COMBUSTIBLES '!E10</f>
        <v>71.510000000000005</v>
      </c>
      <c r="C12" s="369">
        <f>+B12</f>
        <v>71.510000000000005</v>
      </c>
      <c r="D12" s="369">
        <f>+C12</f>
        <v>71.510000000000005</v>
      </c>
      <c r="E12" s="369">
        <f>+D12</f>
        <v>71.510000000000005</v>
      </c>
      <c r="F12" s="369">
        <f>+E12</f>
        <v>71.510000000000005</v>
      </c>
      <c r="G12" s="369">
        <f>+F12</f>
        <v>71.510000000000005</v>
      </c>
      <c r="H12" s="374">
        <f>+F12</f>
        <v>71.510000000000005</v>
      </c>
      <c r="I12" s="345">
        <f>+D12</f>
        <v>71.510000000000005</v>
      </c>
      <c r="J12" s="424">
        <f>+D12</f>
        <v>71.510000000000005</v>
      </c>
    </row>
    <row r="13" spans="1:15" ht="27.75" customHeight="1">
      <c r="A13" s="353" t="str">
        <f>+'COMBUSTIBLES '!A11</f>
        <v>Impuesto Nacional a la Gasolina y al ACPM</v>
      </c>
      <c r="B13" s="369">
        <f>+'COMBUSTIBLES '!E11</f>
        <v>503.71</v>
      </c>
      <c r="C13" s="369">
        <f>+BIODIESEL!F11</f>
        <v>483.56</v>
      </c>
      <c r="D13" s="369">
        <f>+'COMBUSTIBLES '!E11</f>
        <v>503.71</v>
      </c>
      <c r="E13" s="369">
        <f>+BIODIESEL!E11</f>
        <v>493.63</v>
      </c>
      <c r="F13" s="369">
        <f>+'COMBUSTIBLES '!E11</f>
        <v>503.71</v>
      </c>
      <c r="G13" s="369">
        <f>+F13</f>
        <v>503.71</v>
      </c>
      <c r="H13" s="374">
        <f>+BIODIESEL!E11</f>
        <v>493.63</v>
      </c>
      <c r="I13" s="345">
        <f>'DIESEL MARINO '!D7</f>
        <v>503.70629078000002</v>
      </c>
      <c r="J13" s="424">
        <f>+'DIESEL MARINO '!F7</f>
        <v>641.9858843561625</v>
      </c>
    </row>
    <row r="14" spans="1:15" ht="27.75" customHeight="1">
      <c r="A14" s="353" t="s">
        <v>281</v>
      </c>
      <c r="B14" s="498" t="str">
        <f>+'COMBUSTIBLES '!C12</f>
        <v>(3)</v>
      </c>
      <c r="C14" s="498" t="str">
        <f>+'COMBUSTIBLES '!D12</f>
        <v>(3)</v>
      </c>
      <c r="D14" s="498" t="str">
        <f>+B14</f>
        <v>(3)</v>
      </c>
      <c r="E14" s="498" t="str">
        <f>+D14</f>
        <v>(3)</v>
      </c>
      <c r="F14" s="498" t="str">
        <f>+D14</f>
        <v>(3)</v>
      </c>
      <c r="G14" s="498" t="str">
        <f>+E14</f>
        <v>(3)</v>
      </c>
      <c r="H14" s="500" t="str">
        <f>+F14</f>
        <v>(3)</v>
      </c>
      <c r="I14" s="498" t="str">
        <f>+G14</f>
        <v>(3)</v>
      </c>
      <c r="J14" s="110" t="str">
        <f>+H14</f>
        <v>(3)</v>
      </c>
    </row>
    <row r="15" spans="1:15" ht="27.75" customHeight="1">
      <c r="A15" s="312" t="s">
        <v>373</v>
      </c>
      <c r="B15" s="369">
        <f>+'COMBUSTIBLES '!E13</f>
        <v>166</v>
      </c>
      <c r="C15" s="369"/>
      <c r="D15" s="369">
        <f>+B15</f>
        <v>166</v>
      </c>
      <c r="E15" s="369">
        <f>+BIODIESEL!E13</f>
        <v>162.68</v>
      </c>
      <c r="F15" s="369">
        <f>+'COMBUSTIBLES '!E13</f>
        <v>166</v>
      </c>
      <c r="G15" s="369"/>
      <c r="H15" s="374">
        <f>+E15</f>
        <v>162.68</v>
      </c>
      <c r="I15" s="345">
        <f>+D15</f>
        <v>166</v>
      </c>
      <c r="J15" s="424">
        <f>+I15</f>
        <v>166</v>
      </c>
      <c r="L15" s="492"/>
    </row>
    <row r="16" spans="1:15" ht="27.75" customHeight="1">
      <c r="A16" s="353" t="s">
        <v>259</v>
      </c>
      <c r="B16" s="375" t="s">
        <v>22</v>
      </c>
      <c r="C16" s="369" t="s">
        <v>22</v>
      </c>
      <c r="D16" s="369" t="str">
        <f t="shared" ref="D16:G17" si="1">+C16</f>
        <v>(***)</v>
      </c>
      <c r="E16" s="369" t="str">
        <f t="shared" si="1"/>
        <v>(***)</v>
      </c>
      <c r="F16" s="369" t="str">
        <f t="shared" si="1"/>
        <v>(***)</v>
      </c>
      <c r="G16" s="369" t="str">
        <f t="shared" si="1"/>
        <v>(***)</v>
      </c>
      <c r="H16" s="374" t="str">
        <f>+F16</f>
        <v>(***)</v>
      </c>
      <c r="I16" s="345" t="str">
        <f>+D16</f>
        <v>(***)</v>
      </c>
      <c r="J16" s="424" t="s">
        <v>22</v>
      </c>
    </row>
    <row r="17" spans="1:10" ht="27.75" customHeight="1">
      <c r="A17" s="353" t="s">
        <v>258</v>
      </c>
      <c r="B17" s="369" t="s">
        <v>231</v>
      </c>
      <c r="C17" s="369" t="str">
        <f>+B17</f>
        <v>(****)</v>
      </c>
      <c r="D17" s="369" t="str">
        <f t="shared" si="1"/>
        <v>(****)</v>
      </c>
      <c r="E17" s="369" t="str">
        <f t="shared" si="1"/>
        <v>(****)</v>
      </c>
      <c r="F17" s="369" t="str">
        <f t="shared" si="1"/>
        <v>(****)</v>
      </c>
      <c r="G17" s="369" t="str">
        <f t="shared" si="1"/>
        <v>(****)</v>
      </c>
      <c r="H17" s="374" t="str">
        <f>+F17</f>
        <v>(****)</v>
      </c>
      <c r="I17" s="345" t="str">
        <f>+D17</f>
        <v>(****)</v>
      </c>
      <c r="J17" s="424" t="s">
        <v>231</v>
      </c>
    </row>
    <row r="18" spans="1:10" ht="27.75" customHeight="1" thickBot="1">
      <c r="A18" s="376" t="s">
        <v>55</v>
      </c>
      <c r="B18" s="357">
        <f>+'COMBUSTIBLES '!E16</f>
        <v>301.48</v>
      </c>
      <c r="C18" s="357">
        <f>+B18</f>
        <v>301.48</v>
      </c>
      <c r="D18" s="357">
        <f>+B18</f>
        <v>301.48</v>
      </c>
      <c r="E18" s="357">
        <f>+B18</f>
        <v>301.48</v>
      </c>
      <c r="F18" s="357">
        <f>+D18</f>
        <v>301.48</v>
      </c>
      <c r="G18" s="357">
        <f>+E18</f>
        <v>301.48</v>
      </c>
      <c r="H18" s="358">
        <f>+F18</f>
        <v>301.48</v>
      </c>
      <c r="I18" s="357">
        <f>+D18</f>
        <v>301.48</v>
      </c>
      <c r="J18" s="358"/>
    </row>
    <row r="19" spans="1:10" s="383" customFormat="1" ht="15.75" customHeight="1" thickTop="1">
      <c r="A19" s="26"/>
      <c r="B19" s="27"/>
      <c r="C19" s="27"/>
      <c r="D19" s="27"/>
      <c r="I19" s="27"/>
    </row>
    <row r="20" spans="1:10" s="383" customFormat="1" ht="15.75" customHeight="1">
      <c r="A20" s="485" t="s">
        <v>370</v>
      </c>
      <c r="B20" s="27"/>
      <c r="C20" s="27"/>
      <c r="D20" s="27"/>
      <c r="I20" s="27"/>
    </row>
    <row r="21" spans="1:10" s="383" customFormat="1" ht="15.75" customHeight="1">
      <c r="A21" s="26"/>
      <c r="B21" s="27"/>
      <c r="C21" s="27"/>
      <c r="D21" s="27"/>
      <c r="I21" s="27"/>
    </row>
    <row r="22" spans="1:10" s="383" customFormat="1" ht="15.75" customHeight="1">
      <c r="A22" s="378" t="s">
        <v>30</v>
      </c>
      <c r="B22" s="27"/>
      <c r="C22" s="27"/>
      <c r="D22" s="27"/>
      <c r="I22" s="27"/>
    </row>
    <row r="23" spans="1:10" s="383" customFormat="1" ht="3.75" customHeight="1">
      <c r="A23" s="26"/>
      <c r="B23" s="27"/>
      <c r="C23" s="27"/>
      <c r="D23" s="27"/>
      <c r="I23" s="27"/>
    </row>
    <row r="24" spans="1:10" s="20" customFormat="1" ht="15">
      <c r="A24" s="377" t="s">
        <v>168</v>
      </c>
      <c r="B24" s="19"/>
      <c r="C24" s="19"/>
    </row>
    <row r="25" spans="1:10" s="20" customFormat="1" ht="5.25" customHeight="1">
      <c r="A25" s="18"/>
      <c r="B25" s="19"/>
      <c r="C25" s="19"/>
    </row>
    <row r="26" spans="1:10" s="20" customFormat="1" ht="15">
      <c r="A26" s="377" t="s">
        <v>169</v>
      </c>
      <c r="B26" s="19"/>
      <c r="C26" s="19"/>
    </row>
    <row r="27" spans="1:10" s="20" customFormat="1" ht="11.25" customHeight="1">
      <c r="A27" s="18"/>
      <c r="B27" s="19"/>
      <c r="C27" s="19"/>
    </row>
    <row r="28" spans="1:10" s="20" customFormat="1" ht="32.25" customHeight="1">
      <c r="A28" s="755" t="s">
        <v>256</v>
      </c>
      <c r="B28" s="755"/>
      <c r="C28" s="755"/>
      <c r="D28" s="755"/>
      <c r="E28" s="755"/>
      <c r="F28" s="755"/>
      <c r="G28" s="755"/>
      <c r="H28" s="755"/>
      <c r="I28" s="755"/>
      <c r="J28" s="755"/>
    </row>
    <row r="29" spans="1:10" s="20" customFormat="1" ht="8.25" customHeight="1">
      <c r="A29" s="18"/>
      <c r="B29" s="19"/>
      <c r="C29" s="19"/>
    </row>
    <row r="30" spans="1:10" s="20" customFormat="1" ht="30.75" customHeight="1">
      <c r="A30" s="755" t="s">
        <v>261</v>
      </c>
      <c r="B30" s="755"/>
      <c r="C30" s="755"/>
      <c r="D30" s="755"/>
      <c r="E30" s="755"/>
      <c r="F30" s="755"/>
      <c r="G30" s="755"/>
      <c r="H30" s="755"/>
      <c r="I30" s="755"/>
      <c r="J30" s="755"/>
    </row>
    <row r="31" spans="1:10" s="20" customFormat="1" ht="5.25" customHeight="1">
      <c r="A31" s="18"/>
      <c r="B31" s="19"/>
      <c r="C31" s="19"/>
    </row>
    <row r="32" spans="1:10" s="20" customFormat="1" ht="38.25" customHeight="1">
      <c r="A32" s="755" t="s">
        <v>226</v>
      </c>
      <c r="B32" s="755"/>
      <c r="C32" s="755"/>
      <c r="D32" s="755"/>
      <c r="E32" s="755"/>
      <c r="F32" s="755"/>
      <c r="G32" s="755"/>
      <c r="H32" s="755"/>
      <c r="I32" s="755"/>
      <c r="J32" s="755"/>
    </row>
    <row r="33" spans="1:10" s="20" customFormat="1" ht="15">
      <c r="A33" s="18" t="s">
        <v>161</v>
      </c>
      <c r="B33" s="19"/>
      <c r="C33" s="19"/>
    </row>
    <row r="34" spans="1:10" s="20" customFormat="1" ht="14.25" customHeight="1">
      <c r="A34" s="756" t="s">
        <v>704</v>
      </c>
      <c r="B34" s="756"/>
      <c r="C34" s="756"/>
      <c r="D34" s="756"/>
      <c r="E34" s="756"/>
      <c r="F34" s="756"/>
      <c r="G34" s="756"/>
      <c r="H34" s="756"/>
      <c r="I34" s="756"/>
      <c r="J34" s="756"/>
    </row>
    <row r="35" spans="1:10" ht="54" customHeight="1">
      <c r="A35" s="756"/>
      <c r="B35" s="756"/>
      <c r="C35" s="756"/>
      <c r="D35" s="756"/>
      <c r="E35" s="756"/>
      <c r="F35" s="756"/>
      <c r="G35" s="756"/>
      <c r="H35" s="756"/>
      <c r="I35" s="756"/>
      <c r="J35" s="756"/>
    </row>
    <row r="36" spans="1:10">
      <c r="A36" s="702" t="s">
        <v>161</v>
      </c>
      <c r="B36" s="702"/>
      <c r="C36" s="702"/>
      <c r="D36" s="702"/>
      <c r="E36" s="702"/>
      <c r="F36" s="702"/>
      <c r="G36" s="702"/>
    </row>
    <row r="50" spans="4:12">
      <c r="D50" s="312">
        <v>6720.2657776671713</v>
      </c>
      <c r="E50" s="312">
        <v>6537.1057563440854</v>
      </c>
      <c r="F50" s="312">
        <v>6537.1057563440854</v>
      </c>
      <c r="G50" s="312">
        <v>6794.4669776671717</v>
      </c>
      <c r="H50" s="312">
        <v>6794.4669776671717</v>
      </c>
      <c r="I50" s="312">
        <v>6537.1057563440854</v>
      </c>
      <c r="J50" s="312">
        <v>6537.1057563440854</v>
      </c>
      <c r="K50" s="312">
        <v>6537.1057563440854</v>
      </c>
      <c r="L50" s="312">
        <v>6537.1057563440854</v>
      </c>
    </row>
    <row r="51" spans="4:12">
      <c r="D51" s="575">
        <f>+B7</f>
        <v>6506.2745534278765</v>
      </c>
      <c r="E51" s="575">
        <f t="shared" ref="E51:L51" si="2">+C7</f>
        <v>6537.1057563440854</v>
      </c>
      <c r="F51" s="575">
        <f t="shared" si="2"/>
        <v>6351.0773514599987</v>
      </c>
      <c r="G51" s="575">
        <f t="shared" si="2"/>
        <v>6580.4657534278767</v>
      </c>
      <c r="H51" s="575">
        <f t="shared" si="2"/>
        <v>6794.4669776671717</v>
      </c>
      <c r="I51" s="575">
        <f t="shared" si="2"/>
        <v>6537.1057563440854</v>
      </c>
      <c r="J51" s="575">
        <f t="shared" si="2"/>
        <v>6351.0773514599987</v>
      </c>
      <c r="K51" s="575">
        <f t="shared" si="2"/>
        <v>6351.0773514599987</v>
      </c>
      <c r="L51" s="575">
        <f t="shared" si="2"/>
        <v>6351.0773514599987</v>
      </c>
    </row>
    <row r="52" spans="4:12">
      <c r="D52" s="575">
        <f>+D50-D51</f>
        <v>213.99122423929475</v>
      </c>
      <c r="E52" s="575">
        <f t="shared" ref="E52:L52" si="3">+E50-E51</f>
        <v>0</v>
      </c>
      <c r="F52" s="575">
        <f t="shared" si="3"/>
        <v>186.02840488408674</v>
      </c>
      <c r="G52" s="575">
        <f t="shared" si="3"/>
        <v>214.00122423929497</v>
      </c>
      <c r="H52" s="575">
        <f t="shared" si="3"/>
        <v>0</v>
      </c>
      <c r="I52" s="575">
        <f t="shared" si="3"/>
        <v>0</v>
      </c>
      <c r="J52" s="575">
        <f t="shared" si="3"/>
        <v>186.02840488408674</v>
      </c>
      <c r="K52" s="575">
        <f t="shared" si="3"/>
        <v>186.02840488408674</v>
      </c>
      <c r="L52" s="575">
        <f t="shared" si="3"/>
        <v>186.02840488408674</v>
      </c>
    </row>
  </sheetData>
  <sheetProtection password="C712" sheet="1" objects="1" scenarios="1"/>
  <mergeCells count="8">
    <mergeCell ref="A1:J1"/>
    <mergeCell ref="A2:J2"/>
    <mergeCell ref="A36:G36"/>
    <mergeCell ref="A3:F3"/>
    <mergeCell ref="A28:J28"/>
    <mergeCell ref="A30:J30"/>
    <mergeCell ref="A32:J32"/>
    <mergeCell ref="A34:J35"/>
  </mergeCells>
  <phoneticPr fontId="19"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showGridLines="0" zoomScaleNormal="100" zoomScaleSheetLayoutView="40" workbookViewId="0">
      <pane xSplit="26" ySplit="4" topLeftCell="BA48" activePane="bottomRight" state="frozen"/>
      <selection activeCell="C12" sqref="C12"/>
      <selection pane="topRight" activeCell="C12" sqref="C12"/>
      <selection pane="bottomLeft" activeCell="C12" sqref="C12"/>
      <selection pane="bottomRight" activeCell="BH65" sqref="BH65"/>
    </sheetView>
  </sheetViews>
  <sheetFormatPr baseColWidth="10" defaultColWidth="10.85546875" defaultRowHeight="12.75"/>
  <cols>
    <col min="1" max="1" width="6.28515625" style="199" customWidth="1"/>
    <col min="2" max="2" width="37.7109375" style="199" customWidth="1"/>
    <col min="3" max="3" width="9" style="199" hidden="1" customWidth="1"/>
    <col min="4" max="4" width="7.42578125" style="199" hidden="1" customWidth="1"/>
    <col min="5" max="5" width="11.7109375" style="199" hidden="1" customWidth="1"/>
    <col min="6" max="7" width="8.7109375" style="199" hidden="1" customWidth="1"/>
    <col min="8" max="8" width="9.85546875" style="199" hidden="1" customWidth="1"/>
    <col min="9" max="9" width="11.28515625" style="199" hidden="1" customWidth="1"/>
    <col min="10" max="10" width="9" style="199" hidden="1" customWidth="1"/>
    <col min="11" max="11" width="9.28515625" style="199" hidden="1" customWidth="1"/>
    <col min="12" max="12" width="12.42578125" style="199" hidden="1" customWidth="1"/>
    <col min="13" max="14" width="11.42578125" style="199" hidden="1" customWidth="1"/>
    <col min="15" max="15" width="15.42578125" style="199" hidden="1" customWidth="1"/>
    <col min="16" max="17" width="11.42578125" style="199" hidden="1" customWidth="1"/>
    <col min="18" max="28" width="11.42578125" style="198" hidden="1" customWidth="1"/>
    <col min="29" max="30" width="10.85546875" style="198" hidden="1" customWidth="1"/>
    <col min="31" max="32" width="10.85546875" style="199" hidden="1" customWidth="1"/>
    <col min="33" max="35" width="10.85546875" style="199" customWidth="1"/>
    <col min="36" max="38" width="10.85546875" style="199"/>
    <col min="39" max="39" width="36.140625" style="199" bestFit="1" customWidth="1"/>
    <col min="40" max="42" width="10.85546875" style="199"/>
    <col min="43" max="43" width="36.140625" style="199" bestFit="1" customWidth="1"/>
    <col min="44" max="16384" width="10.85546875" style="199"/>
  </cols>
  <sheetData>
    <row r="1" spans="1:61" ht="15.75" thickBot="1">
      <c r="A1" s="195"/>
      <c r="B1" s="196"/>
      <c r="C1" s="196"/>
      <c r="D1" s="196"/>
      <c r="E1" s="196"/>
      <c r="F1" s="196"/>
      <c r="G1" s="196"/>
      <c r="H1" s="196"/>
      <c r="I1" s="197"/>
      <c r="J1" s="197"/>
      <c r="K1" s="198"/>
      <c r="L1" s="198"/>
      <c r="M1" s="198"/>
      <c r="N1" s="198"/>
      <c r="O1" s="198"/>
      <c r="P1" s="198"/>
      <c r="Q1" s="198"/>
      <c r="AA1" s="657" t="s">
        <v>70</v>
      </c>
      <c r="AB1" s="657"/>
      <c r="AC1" s="657"/>
      <c r="AD1" s="657" t="s">
        <v>71</v>
      </c>
      <c r="AE1" s="657"/>
      <c r="AF1" s="657"/>
      <c r="AG1" s="657" t="s">
        <v>170</v>
      </c>
      <c r="AH1" s="657"/>
      <c r="AI1" s="657"/>
      <c r="AJ1" s="657" t="s">
        <v>197</v>
      </c>
      <c r="AK1" s="657"/>
      <c r="AL1" s="657"/>
      <c r="AM1" s="196"/>
      <c r="AN1" s="649" t="s">
        <v>285</v>
      </c>
      <c r="AO1" s="649"/>
      <c r="AP1" s="649"/>
      <c r="AQ1" s="196"/>
      <c r="AR1" s="638" t="s">
        <v>351</v>
      </c>
      <c r="AS1" s="639"/>
      <c r="AT1" s="640"/>
      <c r="AU1" s="638" t="s">
        <v>353</v>
      </c>
      <c r="AV1" s="639"/>
      <c r="AW1" s="640"/>
      <c r="AX1" s="638" t="s">
        <v>367</v>
      </c>
      <c r="AY1" s="639"/>
      <c r="AZ1" s="640"/>
      <c r="BA1" s="638" t="s">
        <v>385</v>
      </c>
      <c r="BB1" s="639"/>
      <c r="BC1" s="640"/>
      <c r="BD1" s="638" t="s">
        <v>654</v>
      </c>
      <c r="BE1" s="639"/>
      <c r="BF1" s="640"/>
      <c r="BG1" s="638" t="s">
        <v>677</v>
      </c>
      <c r="BH1" s="639"/>
      <c r="BI1" s="640"/>
    </row>
    <row r="2" spans="1:61" ht="15" customHeight="1">
      <c r="A2" s="662" t="s">
        <v>72</v>
      </c>
      <c r="B2" s="663"/>
      <c r="C2" s="200"/>
      <c r="D2" s="200"/>
      <c r="E2" s="200"/>
      <c r="F2" s="200"/>
      <c r="G2" s="200"/>
      <c r="H2" s="200"/>
      <c r="I2" s="200"/>
      <c r="J2" s="200"/>
      <c r="K2" s="200"/>
      <c r="L2" s="200"/>
      <c r="M2" s="200"/>
      <c r="N2" s="200"/>
      <c r="O2" s="200"/>
      <c r="P2" s="200"/>
      <c r="Q2" s="200"/>
      <c r="R2" s="201"/>
      <c r="S2" s="201"/>
      <c r="T2" s="201"/>
      <c r="U2" s="202"/>
      <c r="V2" s="203" t="s">
        <v>73</v>
      </c>
      <c r="W2" s="204">
        <v>0.04</v>
      </c>
      <c r="X2" s="202"/>
      <c r="Y2" s="205" t="s">
        <v>74</v>
      </c>
      <c r="Z2" s="204">
        <v>0.04</v>
      </c>
      <c r="AA2" s="202" t="s">
        <v>75</v>
      </c>
      <c r="AB2" s="205"/>
      <c r="AC2" s="204">
        <v>0.05</v>
      </c>
      <c r="AD2" s="202" t="s">
        <v>75</v>
      </c>
      <c r="AE2" s="205"/>
      <c r="AF2" s="204">
        <v>0.03</v>
      </c>
      <c r="AG2" s="202" t="s">
        <v>75</v>
      </c>
      <c r="AH2" s="205"/>
      <c r="AI2" s="204">
        <v>0.03</v>
      </c>
      <c r="AJ2" s="202" t="s">
        <v>75</v>
      </c>
      <c r="AK2" s="205"/>
      <c r="AL2" s="204">
        <v>0.03</v>
      </c>
      <c r="AM2" s="400"/>
      <c r="AN2" s="650" t="s">
        <v>75</v>
      </c>
      <c r="AO2" s="651"/>
      <c r="AP2" s="654">
        <v>0.03</v>
      </c>
      <c r="AQ2" s="470"/>
      <c r="AR2" s="641" t="s">
        <v>75</v>
      </c>
      <c r="AS2" s="642"/>
      <c r="AT2" s="645">
        <v>0.03</v>
      </c>
      <c r="AU2" s="641" t="s">
        <v>75</v>
      </c>
      <c r="AV2" s="642"/>
      <c r="AW2" s="645">
        <v>0.03</v>
      </c>
      <c r="AX2" s="641" t="s">
        <v>75</v>
      </c>
      <c r="AY2" s="642"/>
      <c r="AZ2" s="645">
        <v>0.03</v>
      </c>
      <c r="BA2" s="641" t="s">
        <v>75</v>
      </c>
      <c r="BB2" s="642"/>
      <c r="BC2" s="645">
        <v>0.03</v>
      </c>
      <c r="BD2" s="641" t="s">
        <v>75</v>
      </c>
      <c r="BE2" s="642"/>
      <c r="BF2" s="645">
        <v>0.03</v>
      </c>
      <c r="BG2" s="641" t="s">
        <v>75</v>
      </c>
      <c r="BH2" s="642"/>
      <c r="BI2" s="645">
        <v>0.03</v>
      </c>
    </row>
    <row r="3" spans="1:61" ht="55.5" customHeight="1" thickBot="1">
      <c r="A3" s="664"/>
      <c r="B3" s="665"/>
      <c r="C3" s="658" t="s">
        <v>76</v>
      </c>
      <c r="D3" s="659"/>
      <c r="E3" s="660"/>
      <c r="F3" s="658" t="s">
        <v>77</v>
      </c>
      <c r="G3" s="659"/>
      <c r="H3" s="660"/>
      <c r="I3" s="658" t="s">
        <v>78</v>
      </c>
      <c r="J3" s="659"/>
      <c r="K3" s="660"/>
      <c r="L3" s="658" t="s">
        <v>79</v>
      </c>
      <c r="M3" s="659"/>
      <c r="N3" s="660"/>
      <c r="O3" s="658" t="s">
        <v>80</v>
      </c>
      <c r="P3" s="659"/>
      <c r="Q3" s="660"/>
      <c r="R3" s="658" t="s">
        <v>81</v>
      </c>
      <c r="S3" s="659"/>
      <c r="T3" s="660"/>
      <c r="U3" s="658" t="s">
        <v>82</v>
      </c>
      <c r="V3" s="659"/>
      <c r="W3" s="660"/>
      <c r="X3" s="658" t="s">
        <v>83</v>
      </c>
      <c r="Y3" s="659"/>
      <c r="Z3" s="660"/>
      <c r="AA3" s="658"/>
      <c r="AB3" s="659"/>
      <c r="AC3" s="660"/>
      <c r="AD3" s="658"/>
      <c r="AE3" s="659"/>
      <c r="AF3" s="660"/>
      <c r="AG3" s="658"/>
      <c r="AH3" s="659"/>
      <c r="AI3" s="660"/>
      <c r="AJ3" s="658"/>
      <c r="AK3" s="659"/>
      <c r="AL3" s="660"/>
      <c r="AM3" s="401"/>
      <c r="AN3" s="652"/>
      <c r="AO3" s="653"/>
      <c r="AP3" s="655"/>
      <c r="AQ3" s="471"/>
      <c r="AR3" s="643"/>
      <c r="AS3" s="644"/>
      <c r="AT3" s="646"/>
      <c r="AU3" s="643"/>
      <c r="AV3" s="644"/>
      <c r="AW3" s="646"/>
      <c r="AX3" s="643"/>
      <c r="AY3" s="644"/>
      <c r="AZ3" s="646"/>
      <c r="BA3" s="643"/>
      <c r="BB3" s="644"/>
      <c r="BC3" s="646"/>
      <c r="BD3" s="643"/>
      <c r="BE3" s="644"/>
      <c r="BF3" s="646"/>
      <c r="BG3" s="643"/>
      <c r="BH3" s="644"/>
      <c r="BI3" s="646"/>
    </row>
    <row r="4" spans="1:61" ht="48.75" thickBot="1">
      <c r="A4" s="206"/>
      <c r="B4" s="207"/>
      <c r="C4" s="208" t="s">
        <v>84</v>
      </c>
      <c r="D4" s="208" t="s">
        <v>85</v>
      </c>
      <c r="E4" s="208" t="s">
        <v>86</v>
      </c>
      <c r="F4" s="209" t="s">
        <v>87</v>
      </c>
      <c r="G4" s="209" t="s">
        <v>85</v>
      </c>
      <c r="H4" s="209" t="s">
        <v>86</v>
      </c>
      <c r="I4" s="209" t="s">
        <v>88</v>
      </c>
      <c r="J4" s="209" t="s">
        <v>85</v>
      </c>
      <c r="K4" s="209" t="s">
        <v>86</v>
      </c>
      <c r="L4" s="209" t="s">
        <v>89</v>
      </c>
      <c r="M4" s="209" t="s">
        <v>85</v>
      </c>
      <c r="N4" s="209" t="s">
        <v>86</v>
      </c>
      <c r="O4" s="209" t="s">
        <v>89</v>
      </c>
      <c r="P4" s="209" t="s">
        <v>85</v>
      </c>
      <c r="Q4" s="209" t="s">
        <v>86</v>
      </c>
      <c r="R4" s="209" t="s">
        <v>89</v>
      </c>
      <c r="S4" s="209" t="s">
        <v>85</v>
      </c>
      <c r="T4" s="209" t="s">
        <v>86</v>
      </c>
      <c r="U4" s="209" t="s">
        <v>90</v>
      </c>
      <c r="V4" s="209" t="s">
        <v>85</v>
      </c>
      <c r="W4" s="209" t="s">
        <v>86</v>
      </c>
      <c r="X4" s="209" t="s">
        <v>90</v>
      </c>
      <c r="Y4" s="209" t="s">
        <v>85</v>
      </c>
      <c r="Z4" s="209" t="s">
        <v>86</v>
      </c>
      <c r="AA4" s="209" t="s">
        <v>90</v>
      </c>
      <c r="AB4" s="209" t="s">
        <v>85</v>
      </c>
      <c r="AC4" s="209" t="s">
        <v>86</v>
      </c>
      <c r="AD4" s="209" t="s">
        <v>91</v>
      </c>
      <c r="AE4" s="210" t="s">
        <v>85</v>
      </c>
      <c r="AF4" s="209" t="s">
        <v>86</v>
      </c>
      <c r="AG4" s="209" t="s">
        <v>198</v>
      </c>
      <c r="AH4" s="210" t="s">
        <v>85</v>
      </c>
      <c r="AI4" s="209" t="s">
        <v>86</v>
      </c>
      <c r="AJ4" s="209" t="s">
        <v>212</v>
      </c>
      <c r="AK4" s="210" t="s">
        <v>85</v>
      </c>
      <c r="AL4" s="209" t="s">
        <v>86</v>
      </c>
      <c r="AM4" s="402"/>
      <c r="AN4" s="403" t="s">
        <v>286</v>
      </c>
      <c r="AO4" s="403" t="s">
        <v>85</v>
      </c>
      <c r="AP4" s="403" t="s">
        <v>86</v>
      </c>
      <c r="AQ4" s="472"/>
      <c r="AR4" s="473" t="s">
        <v>286</v>
      </c>
      <c r="AS4" s="473" t="s">
        <v>85</v>
      </c>
      <c r="AT4" s="473" t="s">
        <v>86</v>
      </c>
      <c r="AU4" s="473" t="s">
        <v>286</v>
      </c>
      <c r="AV4" s="473" t="s">
        <v>85</v>
      </c>
      <c r="AW4" s="473" t="s">
        <v>86</v>
      </c>
      <c r="AX4" s="473" t="s">
        <v>286</v>
      </c>
      <c r="AY4" s="473" t="s">
        <v>85</v>
      </c>
      <c r="AZ4" s="473" t="s">
        <v>86</v>
      </c>
      <c r="BA4" s="473" t="s">
        <v>286</v>
      </c>
      <c r="BB4" s="473" t="s">
        <v>85</v>
      </c>
      <c r="BC4" s="473" t="s">
        <v>86</v>
      </c>
      <c r="BD4" s="473" t="s">
        <v>286</v>
      </c>
      <c r="BE4" s="473" t="s">
        <v>85</v>
      </c>
      <c r="BF4" s="473" t="s">
        <v>86</v>
      </c>
      <c r="BG4" s="473" t="s">
        <v>286</v>
      </c>
      <c r="BH4" s="473" t="s">
        <v>85</v>
      </c>
      <c r="BI4" s="473" t="s">
        <v>86</v>
      </c>
    </row>
    <row r="5" spans="1:61" ht="15">
      <c r="A5" s="211"/>
      <c r="B5" s="156" t="s">
        <v>92</v>
      </c>
      <c r="C5" s="160">
        <v>12</v>
      </c>
      <c r="D5" s="161">
        <v>12</v>
      </c>
      <c r="E5" s="162">
        <v>504</v>
      </c>
      <c r="F5" s="163">
        <v>34</v>
      </c>
      <c r="G5" s="161">
        <v>34</v>
      </c>
      <c r="H5" s="162">
        <v>1428</v>
      </c>
      <c r="I5" s="161">
        <v>35.869999999999997</v>
      </c>
      <c r="J5" s="161">
        <v>35.869999999999997</v>
      </c>
      <c r="K5" s="162">
        <v>1506.54</v>
      </c>
      <c r="L5" s="161">
        <v>37.663499999999999</v>
      </c>
      <c r="M5" s="161">
        <v>37.663499999999999</v>
      </c>
      <c r="N5" s="162">
        <v>1581.867</v>
      </c>
      <c r="O5" s="161">
        <v>39.358357499999997</v>
      </c>
      <c r="P5" s="161">
        <v>39.358357499999997</v>
      </c>
      <c r="Q5" s="162">
        <v>1653.0510149999998</v>
      </c>
      <c r="R5" s="161">
        <v>39.358357499999997</v>
      </c>
      <c r="S5" s="161">
        <v>39.358357499999997</v>
      </c>
      <c r="T5" s="162">
        <v>1653.0510149999998</v>
      </c>
      <c r="U5" s="161">
        <v>40.932691800000001</v>
      </c>
      <c r="V5" s="161">
        <v>40.932691800000001</v>
      </c>
      <c r="W5" s="162">
        <v>1719.1730556</v>
      </c>
      <c r="X5" s="161"/>
      <c r="Y5" s="161"/>
      <c r="Z5" s="162"/>
      <c r="AA5" s="161"/>
      <c r="AB5" s="161"/>
      <c r="AC5" s="162"/>
      <c r="AD5" s="161"/>
      <c r="AE5" s="165"/>
      <c r="AF5" s="162"/>
      <c r="AG5" s="161"/>
      <c r="AH5" s="165"/>
      <c r="AI5" s="162"/>
      <c r="AJ5" s="161"/>
      <c r="AK5" s="165"/>
      <c r="AL5" s="162"/>
      <c r="AM5" s="156" t="s">
        <v>92</v>
      </c>
      <c r="AN5" s="161"/>
      <c r="AO5" s="165"/>
      <c r="AP5" s="162"/>
      <c r="AQ5" s="156" t="s">
        <v>92</v>
      </c>
      <c r="AR5" s="161"/>
      <c r="AS5" s="165"/>
      <c r="AT5" s="162"/>
      <c r="AU5" s="161"/>
      <c r="AV5" s="165"/>
      <c r="AW5" s="162"/>
      <c r="AX5" s="161"/>
      <c r="AY5" s="165"/>
      <c r="AZ5" s="162"/>
      <c r="BA5" s="161"/>
      <c r="BB5" s="165"/>
      <c r="BC5" s="162"/>
      <c r="BD5" s="161"/>
      <c r="BE5" s="165"/>
      <c r="BF5" s="162"/>
      <c r="BG5" s="161"/>
      <c r="BH5" s="165"/>
      <c r="BI5" s="162"/>
    </row>
    <row r="6" spans="1:61" ht="15" thickBot="1">
      <c r="A6" s="166">
        <v>420</v>
      </c>
      <c r="B6" s="157" t="s">
        <v>93</v>
      </c>
      <c r="C6" s="167">
        <v>15</v>
      </c>
      <c r="D6" s="168">
        <v>15</v>
      </c>
      <c r="E6" s="169">
        <v>630</v>
      </c>
      <c r="F6" s="170">
        <v>34</v>
      </c>
      <c r="G6" s="168">
        <v>34</v>
      </c>
      <c r="H6" s="169">
        <v>1428</v>
      </c>
      <c r="I6" s="168">
        <v>35.869999999999997</v>
      </c>
      <c r="J6" s="168">
        <v>35.869999999999997</v>
      </c>
      <c r="K6" s="169">
        <v>1506.54</v>
      </c>
      <c r="L6" s="168">
        <v>37.663499999999999</v>
      </c>
      <c r="M6" s="168">
        <v>37.663499999999999</v>
      </c>
      <c r="N6" s="169">
        <v>1581.867</v>
      </c>
      <c r="O6" s="168">
        <v>39.358357499999997</v>
      </c>
      <c r="P6" s="168">
        <v>39.358357499999997</v>
      </c>
      <c r="Q6" s="169">
        <v>1653.0510149999998</v>
      </c>
      <c r="R6" s="168">
        <v>39.358357499999997</v>
      </c>
      <c r="S6" s="168">
        <v>39.358357499999997</v>
      </c>
      <c r="T6" s="169">
        <v>1653.0510149999998</v>
      </c>
      <c r="U6" s="168">
        <v>40.932691800000001</v>
      </c>
      <c r="V6" s="168">
        <v>40.932691800000001</v>
      </c>
      <c r="W6" s="169">
        <v>1719.1730556</v>
      </c>
      <c r="X6" s="168"/>
      <c r="Y6" s="168"/>
      <c r="Z6" s="169"/>
      <c r="AA6" s="168"/>
      <c r="AB6" s="168"/>
      <c r="AC6" s="169"/>
      <c r="AD6" s="168"/>
      <c r="AE6" s="172"/>
      <c r="AF6" s="169"/>
      <c r="AG6" s="168"/>
      <c r="AH6" s="172"/>
      <c r="AI6" s="169"/>
      <c r="AJ6" s="168"/>
      <c r="AK6" s="172"/>
      <c r="AL6" s="169"/>
      <c r="AM6" s="157" t="s">
        <v>93</v>
      </c>
      <c r="AN6" s="168"/>
      <c r="AO6" s="172"/>
      <c r="AP6" s="169"/>
      <c r="AQ6" s="157" t="s">
        <v>93</v>
      </c>
      <c r="AR6" s="168"/>
      <c r="AS6" s="172"/>
      <c r="AT6" s="169"/>
      <c r="AU6" s="168"/>
      <c r="AV6" s="172"/>
      <c r="AW6" s="169"/>
      <c r="AX6" s="168"/>
      <c r="AY6" s="172"/>
      <c r="AZ6" s="169"/>
      <c r="BA6" s="168"/>
      <c r="BB6" s="172"/>
      <c r="BC6" s="169"/>
      <c r="BD6" s="168"/>
      <c r="BE6" s="172"/>
      <c r="BF6" s="169"/>
      <c r="BG6" s="168"/>
      <c r="BH6" s="172"/>
      <c r="BI6" s="169"/>
    </row>
    <row r="7" spans="1:61" ht="14.25">
      <c r="A7" s="166"/>
      <c r="B7" s="212" t="s">
        <v>94</v>
      </c>
      <c r="C7" s="167"/>
      <c r="D7" s="168"/>
      <c r="E7" s="169"/>
      <c r="F7" s="170"/>
      <c r="G7" s="168"/>
      <c r="H7" s="169"/>
      <c r="I7" s="168"/>
      <c r="J7" s="168"/>
      <c r="K7" s="169"/>
      <c r="L7" s="168"/>
      <c r="M7" s="168"/>
      <c r="N7" s="169"/>
      <c r="O7" s="168"/>
      <c r="P7" s="168"/>
      <c r="Q7" s="169"/>
      <c r="R7" s="168"/>
      <c r="S7" s="168"/>
      <c r="T7" s="169"/>
      <c r="U7" s="168">
        <v>56.7</v>
      </c>
      <c r="V7" s="168">
        <v>56.7</v>
      </c>
      <c r="W7" s="169">
        <v>2381.4</v>
      </c>
      <c r="X7" s="168">
        <v>58.968000000000004</v>
      </c>
      <c r="Y7" s="168">
        <v>58.968000000000004</v>
      </c>
      <c r="Z7" s="169">
        <v>2476.6559999999999</v>
      </c>
      <c r="AA7" s="168">
        <v>61.916400000000003</v>
      </c>
      <c r="AB7" s="168">
        <v>61.916400000000003</v>
      </c>
      <c r="AC7" s="169">
        <v>2600.4888000000001</v>
      </c>
      <c r="AD7" s="168">
        <v>63.78</v>
      </c>
      <c r="AE7" s="172">
        <v>63.78</v>
      </c>
      <c r="AF7" s="169">
        <f>AE7*42</f>
        <v>2678.76</v>
      </c>
      <c r="AG7" s="168">
        <f>AD7*(1+$AI$2)</f>
        <v>65.693399999999997</v>
      </c>
      <c r="AH7" s="172">
        <f>AE7*(1+$AI$2)</f>
        <v>65.693399999999997</v>
      </c>
      <c r="AI7" s="169">
        <f>AH7*42</f>
        <v>2759.1228000000001</v>
      </c>
      <c r="AJ7" s="168">
        <f>AG7*(1+$AI$2)</f>
        <v>67.664202000000003</v>
      </c>
      <c r="AK7" s="172">
        <f>AH7*(1+$AI$2)</f>
        <v>67.664202000000003</v>
      </c>
      <c r="AL7" s="169">
        <f>AK7*42</f>
        <v>2841.8964840000003</v>
      </c>
      <c r="AM7" s="386" t="s">
        <v>94</v>
      </c>
      <c r="AN7" s="404">
        <v>69.694128060000011</v>
      </c>
      <c r="AO7" s="405">
        <v>69.694128060000011</v>
      </c>
      <c r="AP7" s="406">
        <v>2927.1533785200004</v>
      </c>
      <c r="AQ7" s="386" t="s">
        <v>94</v>
      </c>
      <c r="AR7" s="404">
        <f>AN7*(1+$AT$2)</f>
        <v>71.784951901800014</v>
      </c>
      <c r="AS7" s="405">
        <f>AO7*(1+$AT$2)</f>
        <v>71.784951901800014</v>
      </c>
      <c r="AT7" s="406">
        <f>AP7*(1+$AT$2)</f>
        <v>3014.9679798756006</v>
      </c>
      <c r="AU7" s="404">
        <f>AR7*(1+$AW$2)</f>
        <v>73.938500458854023</v>
      </c>
      <c r="AV7" s="405">
        <f>AS7*(1+$AW$2)</f>
        <v>73.938500458854023</v>
      </c>
      <c r="AW7" s="406">
        <f>AT7*(1+$AW$2)</f>
        <v>3105.4170192718689</v>
      </c>
      <c r="AX7" s="404">
        <f>AU7*(1+$AZ$2)</f>
        <v>76.156655472619647</v>
      </c>
      <c r="AY7" s="405">
        <f>AV7*(1+$AZ$2)</f>
        <v>76.156655472619647</v>
      </c>
      <c r="AZ7" s="406">
        <f>AW7*(1+$AZ$2)</f>
        <v>3198.5795298500252</v>
      </c>
      <c r="BA7" s="404">
        <f>AX7*(1+$BC$2)</f>
        <v>78.441355136798236</v>
      </c>
      <c r="BB7" s="405">
        <f t="shared" ref="BB7:BB38" si="0">AY7*(1+$BC$2)</f>
        <v>78.441355136798236</v>
      </c>
      <c r="BC7" s="406">
        <f t="shared" ref="BC7:BC38" si="1">AZ7*(1+$BC$2)</f>
        <v>3294.5369157455261</v>
      </c>
      <c r="BD7" s="404">
        <f t="shared" ref="BD7:BD38" si="2">BA7*(1+$BF$2)</f>
        <v>80.794595790902179</v>
      </c>
      <c r="BE7" s="405">
        <f t="shared" ref="BE7:BE38" si="3">BB7*(1+$BF$2)</f>
        <v>80.794595790902179</v>
      </c>
      <c r="BF7" s="406">
        <f t="shared" ref="BF7:BF38" si="4">BC7*(1+$BF$2)</f>
        <v>3393.3730232178918</v>
      </c>
      <c r="BG7" s="404">
        <f t="shared" ref="BG7:BG61" si="5">BD7*(1+$BF$2)</f>
        <v>83.218433664629245</v>
      </c>
      <c r="BH7" s="405">
        <f t="shared" ref="BH7:BH61" si="6">BE7*(1+$BF$2)</f>
        <v>83.218433664629245</v>
      </c>
      <c r="BI7" s="406">
        <f t="shared" ref="BI7:BI61" si="7">BF7*(1+$BF$2)</f>
        <v>3495.1742139144285</v>
      </c>
    </row>
    <row r="8" spans="1:61" ht="14.25">
      <c r="A8" s="166"/>
      <c r="B8" s="213" t="s">
        <v>95</v>
      </c>
      <c r="C8" s="167"/>
      <c r="D8" s="168"/>
      <c r="E8" s="169"/>
      <c r="F8" s="170"/>
      <c r="G8" s="168"/>
      <c r="H8" s="169"/>
      <c r="I8" s="168"/>
      <c r="J8" s="168"/>
      <c r="K8" s="169"/>
      <c r="L8" s="168"/>
      <c r="M8" s="168"/>
      <c r="N8" s="169"/>
      <c r="O8" s="168"/>
      <c r="P8" s="168"/>
      <c r="Q8" s="169"/>
      <c r="R8" s="168"/>
      <c r="S8" s="168"/>
      <c r="T8" s="169"/>
      <c r="U8" s="168">
        <v>56.7</v>
      </c>
      <c r="V8" s="168">
        <v>56.7</v>
      </c>
      <c r="W8" s="169">
        <v>2381.4</v>
      </c>
      <c r="X8" s="168">
        <v>58.968000000000004</v>
      </c>
      <c r="Y8" s="168">
        <v>58.968000000000004</v>
      </c>
      <c r="Z8" s="169">
        <v>2476.6559999999999</v>
      </c>
      <c r="AA8" s="168">
        <v>61.916400000000003</v>
      </c>
      <c r="AB8" s="168">
        <v>61.916400000000003</v>
      </c>
      <c r="AC8" s="169">
        <v>2600.4888000000001</v>
      </c>
      <c r="AD8" s="168">
        <v>63.78</v>
      </c>
      <c r="AE8" s="172">
        <v>63.78</v>
      </c>
      <c r="AF8" s="169">
        <f>AE8*42</f>
        <v>2678.76</v>
      </c>
      <c r="AG8" s="168">
        <f t="shared" ref="AG8:AH47" si="8">AD8*(1+$AI$2)</f>
        <v>65.693399999999997</v>
      </c>
      <c r="AH8" s="172">
        <f t="shared" si="8"/>
        <v>65.693399999999997</v>
      </c>
      <c r="AI8" s="169">
        <f>AH8*42</f>
        <v>2759.1228000000001</v>
      </c>
      <c r="AJ8" s="168">
        <f t="shared" ref="AJ8:AK20" si="9">AG8*(1+$AI$2)</f>
        <v>67.664202000000003</v>
      </c>
      <c r="AK8" s="172">
        <f t="shared" si="9"/>
        <v>67.664202000000003</v>
      </c>
      <c r="AL8" s="169">
        <f>AK8*42</f>
        <v>2841.8964840000003</v>
      </c>
      <c r="AM8" s="387" t="s">
        <v>95</v>
      </c>
      <c r="AN8" s="407">
        <v>69.694128060000011</v>
      </c>
      <c r="AO8" s="408">
        <v>69.694128060000011</v>
      </c>
      <c r="AP8" s="409">
        <v>2927.1533785200004</v>
      </c>
      <c r="AQ8" s="387" t="s">
        <v>95</v>
      </c>
      <c r="AR8" s="407">
        <f t="shared" ref="AR8:AR61" si="10">AN8*(1+$AT$2)</f>
        <v>71.784951901800014</v>
      </c>
      <c r="AS8" s="408">
        <f t="shared" ref="AS8:AS61" si="11">AO8*(1+$AT$2)</f>
        <v>71.784951901800014</v>
      </c>
      <c r="AT8" s="409">
        <f t="shared" ref="AT8:AT61" si="12">AP8*(1+$AT$2)</f>
        <v>3014.9679798756006</v>
      </c>
      <c r="AU8" s="407">
        <f t="shared" ref="AU8:AU61" si="13">AR8*(1+$AW$2)</f>
        <v>73.938500458854023</v>
      </c>
      <c r="AV8" s="408">
        <f t="shared" ref="AV8:AV61" si="14">AS8*(1+$AW$2)</f>
        <v>73.938500458854023</v>
      </c>
      <c r="AW8" s="409">
        <f t="shared" ref="AW8:AW61" si="15">AT8*(1+$AW$2)</f>
        <v>3105.4170192718689</v>
      </c>
      <c r="AX8" s="407">
        <f t="shared" ref="AX8:AX61" si="16">AU8*(1+$AZ$2)</f>
        <v>76.156655472619647</v>
      </c>
      <c r="AY8" s="408">
        <f t="shared" ref="AY8:AY61" si="17">AV8*(1+$AZ$2)</f>
        <v>76.156655472619647</v>
      </c>
      <c r="AZ8" s="409">
        <f t="shared" ref="AZ8:AZ61" si="18">AW8*(1+$AZ$2)</f>
        <v>3198.5795298500252</v>
      </c>
      <c r="BA8" s="407">
        <f t="shared" ref="BA8:BA38" si="19">AX8*(1+$BC$2)</f>
        <v>78.441355136798236</v>
      </c>
      <c r="BB8" s="408">
        <f t="shared" si="0"/>
        <v>78.441355136798236</v>
      </c>
      <c r="BC8" s="409">
        <f t="shared" si="1"/>
        <v>3294.5369157455261</v>
      </c>
      <c r="BD8" s="407">
        <f t="shared" si="2"/>
        <v>80.794595790902179</v>
      </c>
      <c r="BE8" s="408">
        <f t="shared" si="3"/>
        <v>80.794595790902179</v>
      </c>
      <c r="BF8" s="409">
        <f t="shared" si="4"/>
        <v>3393.3730232178918</v>
      </c>
      <c r="BG8" s="407">
        <f t="shared" si="5"/>
        <v>83.218433664629245</v>
      </c>
      <c r="BH8" s="408">
        <f t="shared" si="6"/>
        <v>83.218433664629245</v>
      </c>
      <c r="BI8" s="409">
        <f t="shared" si="7"/>
        <v>3495.1742139144285</v>
      </c>
    </row>
    <row r="9" spans="1:61" ht="15" thickBot="1">
      <c r="A9" s="214">
        <v>422</v>
      </c>
      <c r="B9" s="215" t="s">
        <v>96</v>
      </c>
      <c r="C9" s="216">
        <v>50</v>
      </c>
      <c r="D9" s="217">
        <v>50</v>
      </c>
      <c r="E9" s="218">
        <v>2100</v>
      </c>
      <c r="F9" s="219">
        <v>69</v>
      </c>
      <c r="G9" s="217">
        <v>69</v>
      </c>
      <c r="H9" s="218">
        <v>2898</v>
      </c>
      <c r="I9" s="217">
        <v>72.795000000000002</v>
      </c>
      <c r="J9" s="217">
        <v>72.8</v>
      </c>
      <c r="K9" s="218">
        <v>3057.6</v>
      </c>
      <c r="L9" s="217">
        <v>76.434750000000008</v>
      </c>
      <c r="M9" s="217">
        <v>76.434750000000008</v>
      </c>
      <c r="N9" s="218">
        <v>3210.2595000000001</v>
      </c>
      <c r="O9" s="217">
        <v>79.874313749999999</v>
      </c>
      <c r="P9" s="217">
        <v>79.874313749999999</v>
      </c>
      <c r="Q9" s="218">
        <v>3354.7211775000001</v>
      </c>
      <c r="R9" s="217">
        <v>79.874313749999999</v>
      </c>
      <c r="S9" s="217">
        <v>79.874313749999999</v>
      </c>
      <c r="T9" s="218">
        <v>3354.7211775000001</v>
      </c>
      <c r="U9" s="217">
        <v>83.069286300000002</v>
      </c>
      <c r="V9" s="217">
        <v>83.069286300000002</v>
      </c>
      <c r="W9" s="218">
        <v>3488.9100246000003</v>
      </c>
      <c r="X9" s="217">
        <v>86.392057751999999</v>
      </c>
      <c r="Y9" s="217">
        <v>86.392057751999999</v>
      </c>
      <c r="Z9" s="218">
        <v>3628.4664255839998</v>
      </c>
      <c r="AA9" s="217">
        <v>90.711660639599998</v>
      </c>
      <c r="AB9" s="217">
        <v>90.711660639599998</v>
      </c>
      <c r="AC9" s="218">
        <v>3809.8897468631999</v>
      </c>
      <c r="AD9" s="217">
        <f>93.43+0.01</f>
        <v>93.440000000000012</v>
      </c>
      <c r="AE9" s="220">
        <f>93.43+0.01</f>
        <v>93.440000000000012</v>
      </c>
      <c r="AF9" s="218">
        <f t="shared" ref="AF9:AF54" si="20">AE9*42</f>
        <v>3924.4800000000005</v>
      </c>
      <c r="AG9" s="217">
        <f t="shared" si="8"/>
        <v>96.243200000000016</v>
      </c>
      <c r="AH9" s="220">
        <f t="shared" si="8"/>
        <v>96.243200000000016</v>
      </c>
      <c r="AI9" s="218">
        <f t="shared" ref="AI9:AI59" si="21">AH9*42</f>
        <v>4042.2144000000008</v>
      </c>
      <c r="AJ9" s="217">
        <f t="shared" si="9"/>
        <v>99.130496000000022</v>
      </c>
      <c r="AK9" s="220">
        <f t="shared" si="9"/>
        <v>99.130496000000022</v>
      </c>
      <c r="AL9" s="218">
        <f t="shared" ref="AL9:AL57" si="22">AK9*42</f>
        <v>4163.4808320000011</v>
      </c>
      <c r="AM9" s="388" t="s">
        <v>96</v>
      </c>
      <c r="AN9" s="410">
        <v>102.10441088000003</v>
      </c>
      <c r="AO9" s="411">
        <v>102.10441088000003</v>
      </c>
      <c r="AP9" s="412">
        <v>4288.3852569600012</v>
      </c>
      <c r="AQ9" s="388" t="s">
        <v>96</v>
      </c>
      <c r="AR9" s="410">
        <f t="shared" si="10"/>
        <v>105.16754320640004</v>
      </c>
      <c r="AS9" s="411">
        <f t="shared" si="11"/>
        <v>105.16754320640004</v>
      </c>
      <c r="AT9" s="412">
        <f t="shared" si="12"/>
        <v>4417.0368146688015</v>
      </c>
      <c r="AU9" s="410">
        <f t="shared" si="13"/>
        <v>108.32256950259205</v>
      </c>
      <c r="AV9" s="411">
        <f t="shared" si="14"/>
        <v>108.32256950259205</v>
      </c>
      <c r="AW9" s="412">
        <f t="shared" si="15"/>
        <v>4549.5479191088652</v>
      </c>
      <c r="AX9" s="410">
        <f t="shared" si="16"/>
        <v>111.57224658766981</v>
      </c>
      <c r="AY9" s="411">
        <f t="shared" si="17"/>
        <v>111.57224658766981</v>
      </c>
      <c r="AZ9" s="412">
        <f t="shared" si="18"/>
        <v>4686.0343566821311</v>
      </c>
      <c r="BA9" s="410">
        <f t="shared" si="19"/>
        <v>114.91941398529991</v>
      </c>
      <c r="BB9" s="411">
        <f t="shared" si="0"/>
        <v>114.91941398529991</v>
      </c>
      <c r="BC9" s="412">
        <f t="shared" si="1"/>
        <v>4826.6153873825951</v>
      </c>
      <c r="BD9" s="410">
        <f t="shared" si="2"/>
        <v>118.36699640485891</v>
      </c>
      <c r="BE9" s="411">
        <f t="shared" si="3"/>
        <v>118.36699640485891</v>
      </c>
      <c r="BF9" s="412">
        <f t="shared" si="4"/>
        <v>4971.4138490040732</v>
      </c>
      <c r="BG9" s="410">
        <f t="shared" si="5"/>
        <v>121.91800629700468</v>
      </c>
      <c r="BH9" s="411">
        <f t="shared" si="6"/>
        <v>121.91800629700468</v>
      </c>
      <c r="BI9" s="412">
        <f t="shared" si="7"/>
        <v>5120.5562644741958</v>
      </c>
    </row>
    <row r="10" spans="1:61" ht="15">
      <c r="A10" s="221"/>
      <c r="B10" s="222" t="s">
        <v>97</v>
      </c>
      <c r="C10" s="167">
        <v>42</v>
      </c>
      <c r="D10" s="168">
        <v>42</v>
      </c>
      <c r="E10" s="169">
        <v>1764</v>
      </c>
      <c r="F10" s="181">
        <v>42</v>
      </c>
      <c r="G10" s="168">
        <v>42</v>
      </c>
      <c r="H10" s="169">
        <v>1764</v>
      </c>
      <c r="I10" s="168">
        <v>44.31</v>
      </c>
      <c r="J10" s="168">
        <v>44.31</v>
      </c>
      <c r="K10" s="169">
        <v>1861.02</v>
      </c>
      <c r="L10" s="168">
        <v>46.525500000000001</v>
      </c>
      <c r="M10" s="168">
        <v>46.525500000000001</v>
      </c>
      <c r="N10" s="169">
        <v>1954.0710000000001</v>
      </c>
      <c r="O10" s="168">
        <v>48.619147499999997</v>
      </c>
      <c r="P10" s="168">
        <v>48.619147499999997</v>
      </c>
      <c r="Q10" s="169">
        <v>2042.004195</v>
      </c>
      <c r="R10" s="168">
        <v>48.619147499999997</v>
      </c>
      <c r="S10" s="168">
        <v>48.619147499999997</v>
      </c>
      <c r="T10" s="169">
        <v>2042.004195</v>
      </c>
      <c r="U10" s="168">
        <v>50.563913399999997</v>
      </c>
      <c r="V10" s="168">
        <v>50.563913399999997</v>
      </c>
      <c r="W10" s="169">
        <v>2123.6843627999997</v>
      </c>
      <c r="X10" s="168">
        <v>52.576469936000002</v>
      </c>
      <c r="Y10" s="168">
        <v>52.576469936000002</v>
      </c>
      <c r="Z10" s="169">
        <v>2208.211737312</v>
      </c>
      <c r="AA10" s="168">
        <v>55.205293432800005</v>
      </c>
      <c r="AB10" s="168">
        <v>55.205293432800005</v>
      </c>
      <c r="AC10" s="169">
        <v>2318.6223241776001</v>
      </c>
      <c r="AD10" s="168">
        <v>56.87</v>
      </c>
      <c r="AE10" s="172">
        <v>56.87</v>
      </c>
      <c r="AF10" s="169">
        <f t="shared" si="20"/>
        <v>2388.54</v>
      </c>
      <c r="AG10" s="168">
        <f t="shared" si="8"/>
        <v>58.576099999999997</v>
      </c>
      <c r="AH10" s="172">
        <f t="shared" si="8"/>
        <v>58.576099999999997</v>
      </c>
      <c r="AI10" s="169">
        <f t="shared" si="21"/>
        <v>2460.1961999999999</v>
      </c>
      <c r="AJ10" s="168">
        <f t="shared" si="9"/>
        <v>60.333382999999998</v>
      </c>
      <c r="AK10" s="172">
        <f t="shared" si="9"/>
        <v>60.333382999999998</v>
      </c>
      <c r="AL10" s="169">
        <f t="shared" si="22"/>
        <v>2534.002086</v>
      </c>
      <c r="AM10" s="389" t="s">
        <v>97</v>
      </c>
      <c r="AN10" s="407">
        <v>62.143384490000003</v>
      </c>
      <c r="AO10" s="408">
        <v>62.143384490000003</v>
      </c>
      <c r="AP10" s="409">
        <v>2610.0221485800002</v>
      </c>
      <c r="AQ10" s="389" t="s">
        <v>97</v>
      </c>
      <c r="AR10" s="407">
        <f t="shared" si="10"/>
        <v>64.007686024700007</v>
      </c>
      <c r="AS10" s="408">
        <f t="shared" si="11"/>
        <v>64.007686024700007</v>
      </c>
      <c r="AT10" s="409">
        <f t="shared" si="12"/>
        <v>2688.3228130374005</v>
      </c>
      <c r="AU10" s="407">
        <f t="shared" si="13"/>
        <v>65.927916605441013</v>
      </c>
      <c r="AV10" s="408">
        <f t="shared" si="14"/>
        <v>65.927916605441013</v>
      </c>
      <c r="AW10" s="409">
        <f t="shared" si="15"/>
        <v>2768.9724974285227</v>
      </c>
      <c r="AX10" s="407">
        <f t="shared" si="16"/>
        <v>67.905754103604238</v>
      </c>
      <c r="AY10" s="408">
        <f t="shared" si="17"/>
        <v>67.905754103604238</v>
      </c>
      <c r="AZ10" s="409">
        <f t="shared" si="18"/>
        <v>2852.0416723513786</v>
      </c>
      <c r="BA10" s="407">
        <f t="shared" si="19"/>
        <v>69.942926726712372</v>
      </c>
      <c r="BB10" s="408">
        <f t="shared" si="0"/>
        <v>69.942926726712372</v>
      </c>
      <c r="BC10" s="409">
        <f t="shared" si="1"/>
        <v>2937.6029225219199</v>
      </c>
      <c r="BD10" s="407">
        <f t="shared" si="2"/>
        <v>72.041214528513748</v>
      </c>
      <c r="BE10" s="408">
        <f t="shared" si="3"/>
        <v>72.041214528513748</v>
      </c>
      <c r="BF10" s="409">
        <f t="shared" si="4"/>
        <v>3025.7310101975777</v>
      </c>
      <c r="BG10" s="407">
        <f t="shared" si="5"/>
        <v>74.202450964369163</v>
      </c>
      <c r="BH10" s="408">
        <f t="shared" si="6"/>
        <v>74.202450964369163</v>
      </c>
      <c r="BI10" s="409">
        <f t="shared" si="7"/>
        <v>3116.5029405035052</v>
      </c>
    </row>
    <row r="11" spans="1:61" ht="15.75" thickBot="1">
      <c r="A11" s="223"/>
      <c r="B11" s="215" t="s">
        <v>98</v>
      </c>
      <c r="C11" s="216">
        <v>42</v>
      </c>
      <c r="D11" s="168">
        <v>42</v>
      </c>
      <c r="E11" s="169">
        <v>1764</v>
      </c>
      <c r="F11" s="181">
        <v>42</v>
      </c>
      <c r="G11" s="168">
        <v>42</v>
      </c>
      <c r="H11" s="169">
        <v>1764</v>
      </c>
      <c r="I11" s="224">
        <v>44.31</v>
      </c>
      <c r="J11" s="217">
        <v>44.31</v>
      </c>
      <c r="K11" s="218">
        <v>1861.02</v>
      </c>
      <c r="L11" s="224">
        <v>46.525500000000001</v>
      </c>
      <c r="M11" s="217">
        <v>46.525500000000001</v>
      </c>
      <c r="N11" s="218">
        <v>1954.0710000000001</v>
      </c>
      <c r="O11" s="224">
        <v>48.619147499999997</v>
      </c>
      <c r="P11" s="217">
        <v>48.619147499999997</v>
      </c>
      <c r="Q11" s="218">
        <v>2042.004195</v>
      </c>
      <c r="R11" s="224">
        <v>48.619147499999997</v>
      </c>
      <c r="S11" s="217">
        <v>48.619147499999997</v>
      </c>
      <c r="T11" s="218">
        <v>2042.004195</v>
      </c>
      <c r="U11" s="224">
        <v>50.563913399999997</v>
      </c>
      <c r="V11" s="217">
        <v>50.563913399999997</v>
      </c>
      <c r="W11" s="218">
        <v>2123.6843627999997</v>
      </c>
      <c r="X11" s="217">
        <v>52.576469936000002</v>
      </c>
      <c r="Y11" s="217">
        <v>52.576469936000002</v>
      </c>
      <c r="Z11" s="218">
        <v>2208.211737312</v>
      </c>
      <c r="AA11" s="217">
        <v>55.205293432800005</v>
      </c>
      <c r="AB11" s="217">
        <v>55.205293432800005</v>
      </c>
      <c r="AC11" s="218">
        <v>2318.6223241776001</v>
      </c>
      <c r="AD11" s="217">
        <v>56.87</v>
      </c>
      <c r="AE11" s="220">
        <v>56.87</v>
      </c>
      <c r="AF11" s="218">
        <f t="shared" si="20"/>
        <v>2388.54</v>
      </c>
      <c r="AG11" s="217">
        <f t="shared" si="8"/>
        <v>58.576099999999997</v>
      </c>
      <c r="AH11" s="220">
        <f t="shared" si="8"/>
        <v>58.576099999999997</v>
      </c>
      <c r="AI11" s="218">
        <f t="shared" si="21"/>
        <v>2460.1961999999999</v>
      </c>
      <c r="AJ11" s="217">
        <f t="shared" si="9"/>
        <v>60.333382999999998</v>
      </c>
      <c r="AK11" s="220">
        <f t="shared" si="9"/>
        <v>60.333382999999998</v>
      </c>
      <c r="AL11" s="218">
        <f t="shared" si="22"/>
        <v>2534.002086</v>
      </c>
      <c r="AM11" s="388" t="s">
        <v>98</v>
      </c>
      <c r="AN11" s="410">
        <v>62.143384490000003</v>
      </c>
      <c r="AO11" s="411">
        <v>62.143384490000003</v>
      </c>
      <c r="AP11" s="412">
        <v>2610.0221485800002</v>
      </c>
      <c r="AQ11" s="388" t="s">
        <v>98</v>
      </c>
      <c r="AR11" s="410">
        <f t="shared" si="10"/>
        <v>64.007686024700007</v>
      </c>
      <c r="AS11" s="411">
        <f t="shared" si="11"/>
        <v>64.007686024700007</v>
      </c>
      <c r="AT11" s="412">
        <f t="shared" si="12"/>
        <v>2688.3228130374005</v>
      </c>
      <c r="AU11" s="410">
        <f t="shared" si="13"/>
        <v>65.927916605441013</v>
      </c>
      <c r="AV11" s="411">
        <f t="shared" si="14"/>
        <v>65.927916605441013</v>
      </c>
      <c r="AW11" s="412">
        <f t="shared" si="15"/>
        <v>2768.9724974285227</v>
      </c>
      <c r="AX11" s="410">
        <f t="shared" si="16"/>
        <v>67.905754103604238</v>
      </c>
      <c r="AY11" s="411">
        <f t="shared" si="17"/>
        <v>67.905754103604238</v>
      </c>
      <c r="AZ11" s="412">
        <f t="shared" si="18"/>
        <v>2852.0416723513786</v>
      </c>
      <c r="BA11" s="410">
        <f t="shared" si="19"/>
        <v>69.942926726712372</v>
      </c>
      <c r="BB11" s="411">
        <f t="shared" si="0"/>
        <v>69.942926726712372</v>
      </c>
      <c r="BC11" s="412">
        <f t="shared" si="1"/>
        <v>2937.6029225219199</v>
      </c>
      <c r="BD11" s="410">
        <f t="shared" si="2"/>
        <v>72.041214528513748</v>
      </c>
      <c r="BE11" s="411">
        <f t="shared" si="3"/>
        <v>72.041214528513748</v>
      </c>
      <c r="BF11" s="412">
        <f t="shared" si="4"/>
        <v>3025.7310101975777</v>
      </c>
      <c r="BG11" s="410">
        <f t="shared" si="5"/>
        <v>74.202450964369163</v>
      </c>
      <c r="BH11" s="411">
        <f t="shared" si="6"/>
        <v>74.202450964369163</v>
      </c>
      <c r="BI11" s="412">
        <f t="shared" si="7"/>
        <v>3116.5029405035052</v>
      </c>
    </row>
    <row r="12" spans="1:61" ht="14.25">
      <c r="A12" s="166">
        <v>210</v>
      </c>
      <c r="B12" s="157" t="s">
        <v>99</v>
      </c>
      <c r="C12" s="167">
        <v>15</v>
      </c>
      <c r="D12" s="161">
        <v>15</v>
      </c>
      <c r="E12" s="162">
        <v>630</v>
      </c>
      <c r="F12" s="163">
        <v>35.32</v>
      </c>
      <c r="G12" s="161">
        <v>35.32</v>
      </c>
      <c r="H12" s="162">
        <v>1483.44</v>
      </c>
      <c r="I12" s="168">
        <v>37.262599999999999</v>
      </c>
      <c r="J12" s="168">
        <v>37.26</v>
      </c>
      <c r="K12" s="169">
        <v>1564.9199999999998</v>
      </c>
      <c r="L12" s="168">
        <v>39.125729999999997</v>
      </c>
      <c r="M12" s="168">
        <v>39.125729999999997</v>
      </c>
      <c r="N12" s="169">
        <v>1643.2806599999999</v>
      </c>
      <c r="O12" s="168">
        <v>40.886387849999991</v>
      </c>
      <c r="P12" s="168">
        <v>40.886387849999991</v>
      </c>
      <c r="Q12" s="169">
        <v>1717.2282896999996</v>
      </c>
      <c r="R12" s="168">
        <v>63.55</v>
      </c>
      <c r="S12" s="168">
        <v>63.55</v>
      </c>
      <c r="T12" s="169">
        <v>2669.1</v>
      </c>
      <c r="U12" s="168">
        <v>66.091999999999999</v>
      </c>
      <c r="V12" s="168">
        <v>66.091999999999999</v>
      </c>
      <c r="W12" s="169">
        <v>2775.864</v>
      </c>
      <c r="X12" s="168">
        <v>68.725679999999997</v>
      </c>
      <c r="Y12" s="168">
        <v>68.725679999999997</v>
      </c>
      <c r="Z12" s="169">
        <v>2886.47856</v>
      </c>
      <c r="AA12" s="168">
        <v>72.161963999999998</v>
      </c>
      <c r="AB12" s="168">
        <v>72.161963999999998</v>
      </c>
      <c r="AC12" s="169">
        <v>3030.8024879999998</v>
      </c>
      <c r="AD12" s="168">
        <v>74.319999999999993</v>
      </c>
      <c r="AE12" s="172">
        <v>74.319999999999993</v>
      </c>
      <c r="AF12" s="169">
        <f t="shared" si="20"/>
        <v>3121.4399999999996</v>
      </c>
      <c r="AG12" s="168">
        <f t="shared" si="8"/>
        <v>76.549599999999998</v>
      </c>
      <c r="AH12" s="172">
        <f t="shared" si="8"/>
        <v>76.549599999999998</v>
      </c>
      <c r="AI12" s="169">
        <f t="shared" si="21"/>
        <v>3215.0832</v>
      </c>
      <c r="AJ12" s="168">
        <f t="shared" si="9"/>
        <v>78.846087999999995</v>
      </c>
      <c r="AK12" s="172">
        <f t="shared" si="9"/>
        <v>78.846087999999995</v>
      </c>
      <c r="AL12" s="169">
        <f t="shared" si="22"/>
        <v>3311.5356959999999</v>
      </c>
      <c r="AM12" s="389" t="s">
        <v>99</v>
      </c>
      <c r="AN12" s="407">
        <v>81.211470640000002</v>
      </c>
      <c r="AO12" s="408">
        <v>81.211470640000002</v>
      </c>
      <c r="AP12" s="409">
        <v>3410.8817668800002</v>
      </c>
      <c r="AQ12" s="389" t="s">
        <v>99</v>
      </c>
      <c r="AR12" s="407">
        <f t="shared" si="10"/>
        <v>83.647814759200003</v>
      </c>
      <c r="AS12" s="408">
        <f t="shared" si="11"/>
        <v>83.647814759200003</v>
      </c>
      <c r="AT12" s="409">
        <f t="shared" si="12"/>
        <v>3513.2082198864005</v>
      </c>
      <c r="AU12" s="407">
        <f t="shared" si="13"/>
        <v>86.157249201976001</v>
      </c>
      <c r="AV12" s="408">
        <f t="shared" si="14"/>
        <v>86.157249201976001</v>
      </c>
      <c r="AW12" s="409">
        <f t="shared" si="15"/>
        <v>3618.6044664829924</v>
      </c>
      <c r="AX12" s="407">
        <f t="shared" si="16"/>
        <v>88.741966678035283</v>
      </c>
      <c r="AY12" s="408">
        <f t="shared" si="17"/>
        <v>88.741966678035283</v>
      </c>
      <c r="AZ12" s="409">
        <f t="shared" si="18"/>
        <v>3727.1626004774821</v>
      </c>
      <c r="BA12" s="407">
        <f t="shared" si="19"/>
        <v>91.404225678376349</v>
      </c>
      <c r="BB12" s="408">
        <f t="shared" si="0"/>
        <v>91.404225678376349</v>
      </c>
      <c r="BC12" s="409">
        <f t="shared" si="1"/>
        <v>3838.9774784918068</v>
      </c>
      <c r="BD12" s="407">
        <f t="shared" si="2"/>
        <v>94.14635244872764</v>
      </c>
      <c r="BE12" s="408">
        <f t="shared" si="3"/>
        <v>94.14635244872764</v>
      </c>
      <c r="BF12" s="409">
        <f t="shared" si="4"/>
        <v>3954.1468028465611</v>
      </c>
      <c r="BG12" s="407">
        <f t="shared" si="5"/>
        <v>96.970743022189467</v>
      </c>
      <c r="BH12" s="408">
        <f t="shared" si="6"/>
        <v>96.970743022189467</v>
      </c>
      <c r="BI12" s="409">
        <f t="shared" si="7"/>
        <v>4072.7712069319582</v>
      </c>
    </row>
    <row r="13" spans="1:61" ht="14.25">
      <c r="A13" s="166">
        <v>212</v>
      </c>
      <c r="B13" s="222" t="s">
        <v>100</v>
      </c>
      <c r="C13" s="167">
        <v>75</v>
      </c>
      <c r="D13" s="168">
        <v>75</v>
      </c>
      <c r="E13" s="169">
        <v>3150</v>
      </c>
      <c r="F13" s="170">
        <v>94</v>
      </c>
      <c r="G13" s="168">
        <v>94</v>
      </c>
      <c r="H13" s="169">
        <v>3948</v>
      </c>
      <c r="I13" s="168">
        <v>99.17</v>
      </c>
      <c r="J13" s="168">
        <v>99.17</v>
      </c>
      <c r="K13" s="169">
        <v>4165.1400000000003</v>
      </c>
      <c r="L13" s="168">
        <v>104.1285</v>
      </c>
      <c r="M13" s="168">
        <v>104.1285</v>
      </c>
      <c r="N13" s="169">
        <v>4373.3969999999999</v>
      </c>
      <c r="O13" s="168">
        <v>108.81428249999999</v>
      </c>
      <c r="P13" s="168">
        <v>108.81428249999999</v>
      </c>
      <c r="Q13" s="169">
        <v>4570.1998649999996</v>
      </c>
      <c r="R13" s="168">
        <v>108.81428249999999</v>
      </c>
      <c r="S13" s="168">
        <v>108.81428249999999</v>
      </c>
      <c r="T13" s="169">
        <v>4570.1998649999996</v>
      </c>
      <c r="U13" s="168">
        <v>113.1668538</v>
      </c>
      <c r="V13" s="168">
        <v>113.1668538</v>
      </c>
      <c r="W13" s="169">
        <v>4753.0078596000003</v>
      </c>
      <c r="X13" s="168">
        <v>117.703527952</v>
      </c>
      <c r="Y13" s="168">
        <v>117.703527952</v>
      </c>
      <c r="Z13" s="169">
        <v>4943.5481739839997</v>
      </c>
      <c r="AA13" s="168">
        <v>123.58870434960001</v>
      </c>
      <c r="AB13" s="168">
        <v>123.58870434960001</v>
      </c>
      <c r="AC13" s="169">
        <v>5190.7255826832006</v>
      </c>
      <c r="AD13" s="168">
        <v>127.3</v>
      </c>
      <c r="AE13" s="172">
        <v>127.3</v>
      </c>
      <c r="AF13" s="169">
        <f t="shared" si="20"/>
        <v>5346.5999999999995</v>
      </c>
      <c r="AG13" s="168">
        <f t="shared" si="8"/>
        <v>131.119</v>
      </c>
      <c r="AH13" s="172">
        <f t="shared" si="8"/>
        <v>131.119</v>
      </c>
      <c r="AI13" s="169">
        <f t="shared" si="21"/>
        <v>5506.9979999999996</v>
      </c>
      <c r="AJ13" s="168">
        <f t="shared" si="9"/>
        <v>135.05257</v>
      </c>
      <c r="AK13" s="172">
        <f t="shared" si="9"/>
        <v>135.05257</v>
      </c>
      <c r="AL13" s="169">
        <f t="shared" si="22"/>
        <v>5672.2079400000002</v>
      </c>
      <c r="AM13" s="389" t="s">
        <v>100</v>
      </c>
      <c r="AN13" s="407">
        <v>139.10414710000001</v>
      </c>
      <c r="AO13" s="408">
        <v>139.10414710000001</v>
      </c>
      <c r="AP13" s="409">
        <v>5842.3741782000006</v>
      </c>
      <c r="AQ13" s="389" t="s">
        <v>100</v>
      </c>
      <c r="AR13" s="407">
        <f t="shared" si="10"/>
        <v>143.27727151300002</v>
      </c>
      <c r="AS13" s="408">
        <f t="shared" si="11"/>
        <v>143.27727151300002</v>
      </c>
      <c r="AT13" s="409">
        <f t="shared" si="12"/>
        <v>6017.645403546001</v>
      </c>
      <c r="AU13" s="407">
        <f t="shared" si="13"/>
        <v>147.57558965839002</v>
      </c>
      <c r="AV13" s="408">
        <f t="shared" si="14"/>
        <v>147.57558965839002</v>
      </c>
      <c r="AW13" s="409">
        <f t="shared" si="15"/>
        <v>6198.1747656523812</v>
      </c>
      <c r="AX13" s="407">
        <f t="shared" si="16"/>
        <v>152.00285734814173</v>
      </c>
      <c r="AY13" s="408">
        <f t="shared" si="17"/>
        <v>152.00285734814173</v>
      </c>
      <c r="AZ13" s="409">
        <f t="shared" si="18"/>
        <v>6384.1200086219524</v>
      </c>
      <c r="BA13" s="407">
        <f t="shared" si="19"/>
        <v>156.56294306858598</v>
      </c>
      <c r="BB13" s="408">
        <f t="shared" si="0"/>
        <v>156.56294306858598</v>
      </c>
      <c r="BC13" s="409">
        <f t="shared" si="1"/>
        <v>6575.6436088806113</v>
      </c>
      <c r="BD13" s="407">
        <f t="shared" si="2"/>
        <v>161.25983136064357</v>
      </c>
      <c r="BE13" s="408">
        <f t="shared" si="3"/>
        <v>161.25983136064357</v>
      </c>
      <c r="BF13" s="409">
        <f t="shared" si="4"/>
        <v>6772.9129171470295</v>
      </c>
      <c r="BG13" s="407">
        <f t="shared" si="5"/>
        <v>166.0976263014629</v>
      </c>
      <c r="BH13" s="408">
        <f t="shared" si="6"/>
        <v>166.0976263014629</v>
      </c>
      <c r="BI13" s="409">
        <f t="shared" si="7"/>
        <v>6976.1003046614405</v>
      </c>
    </row>
    <row r="14" spans="1:61" ht="15" thickBot="1">
      <c r="A14" s="225">
        <v>214</v>
      </c>
      <c r="B14" s="226" t="s">
        <v>101</v>
      </c>
      <c r="C14" s="227">
        <v>31.701030927835053</v>
      </c>
      <c r="D14" s="228">
        <v>31.7</v>
      </c>
      <c r="E14" s="229">
        <v>1331.36</v>
      </c>
      <c r="F14" s="227">
        <v>39.731958762886599</v>
      </c>
      <c r="G14" s="228">
        <v>39.731958762886599</v>
      </c>
      <c r="H14" s="229">
        <v>1668.7422680412371</v>
      </c>
      <c r="I14" s="228">
        <v>41.917216494845363</v>
      </c>
      <c r="J14" s="228">
        <v>41.92</v>
      </c>
      <c r="K14" s="229">
        <v>1760.64</v>
      </c>
      <c r="L14" s="228">
        <v>44.01307731958763</v>
      </c>
      <c r="M14" s="228">
        <v>44.01307731958763</v>
      </c>
      <c r="N14" s="229">
        <v>1848.5492474226805</v>
      </c>
      <c r="O14" s="228">
        <v>45.993665798969069</v>
      </c>
      <c r="P14" s="228">
        <v>45.993665798969069</v>
      </c>
      <c r="Q14" s="229">
        <v>1931.7339635567009</v>
      </c>
      <c r="R14" s="228">
        <v>81.040000000000006</v>
      </c>
      <c r="S14" s="228">
        <v>81.040000000000006</v>
      </c>
      <c r="T14" s="229">
        <v>3403.6800000000003</v>
      </c>
      <c r="U14" s="228">
        <v>84.281600000000012</v>
      </c>
      <c r="V14" s="228">
        <v>84.281600000000012</v>
      </c>
      <c r="W14" s="229">
        <v>3539.8272000000006</v>
      </c>
      <c r="X14" s="228">
        <v>87.652864000000008</v>
      </c>
      <c r="Y14" s="228">
        <v>87.652864000000008</v>
      </c>
      <c r="Z14" s="229">
        <v>3681.4202880000003</v>
      </c>
      <c r="AA14" s="228">
        <v>92.035507200000012</v>
      </c>
      <c r="AB14" s="228">
        <v>92.035507200000012</v>
      </c>
      <c r="AC14" s="229">
        <v>3865.4913024000007</v>
      </c>
      <c r="AD14" s="228">
        <v>94.8</v>
      </c>
      <c r="AE14" s="220">
        <v>94.8</v>
      </c>
      <c r="AF14" s="229">
        <f t="shared" si="20"/>
        <v>3981.6</v>
      </c>
      <c r="AG14" s="228">
        <f t="shared" si="8"/>
        <v>97.644000000000005</v>
      </c>
      <c r="AH14" s="220">
        <f t="shared" si="8"/>
        <v>97.644000000000005</v>
      </c>
      <c r="AI14" s="229">
        <f t="shared" si="21"/>
        <v>4101.0480000000007</v>
      </c>
      <c r="AJ14" s="228">
        <f t="shared" si="9"/>
        <v>100.57332000000001</v>
      </c>
      <c r="AK14" s="220">
        <f t="shared" si="9"/>
        <v>100.57332000000001</v>
      </c>
      <c r="AL14" s="229">
        <f>AK14*42</f>
        <v>4224.0794400000004</v>
      </c>
      <c r="AM14" s="389" t="s">
        <v>101</v>
      </c>
      <c r="AN14" s="407">
        <v>103.59051960000001</v>
      </c>
      <c r="AO14" s="408">
        <v>103.59051960000001</v>
      </c>
      <c r="AP14" s="409">
        <v>4350.8018232000004</v>
      </c>
      <c r="AQ14" s="389" t="s">
        <v>101</v>
      </c>
      <c r="AR14" s="407">
        <f t="shared" si="10"/>
        <v>106.69823518800001</v>
      </c>
      <c r="AS14" s="408">
        <f t="shared" si="11"/>
        <v>106.69823518800001</v>
      </c>
      <c r="AT14" s="409">
        <f t="shared" si="12"/>
        <v>4481.3258778960007</v>
      </c>
      <c r="AU14" s="407">
        <f t="shared" si="13"/>
        <v>109.89918224364001</v>
      </c>
      <c r="AV14" s="408">
        <f t="shared" si="14"/>
        <v>109.89918224364001</v>
      </c>
      <c r="AW14" s="409">
        <f t="shared" si="15"/>
        <v>4615.7656542328805</v>
      </c>
      <c r="AX14" s="407">
        <f t="shared" si="16"/>
        <v>113.19615771094922</v>
      </c>
      <c r="AY14" s="408">
        <f t="shared" si="17"/>
        <v>113.19615771094922</v>
      </c>
      <c r="AZ14" s="409">
        <f t="shared" si="18"/>
        <v>4754.2386238598674</v>
      </c>
      <c r="BA14" s="407">
        <f t="shared" si="19"/>
        <v>116.5920424422777</v>
      </c>
      <c r="BB14" s="408">
        <f t="shared" si="0"/>
        <v>116.5920424422777</v>
      </c>
      <c r="BC14" s="409">
        <f t="shared" si="1"/>
        <v>4896.8657825756636</v>
      </c>
      <c r="BD14" s="407">
        <f t="shared" si="2"/>
        <v>120.08980371554604</v>
      </c>
      <c r="BE14" s="408">
        <f t="shared" si="3"/>
        <v>120.08980371554604</v>
      </c>
      <c r="BF14" s="409">
        <f t="shared" si="4"/>
        <v>5043.7717560529336</v>
      </c>
      <c r="BG14" s="407">
        <f t="shared" si="5"/>
        <v>123.69249782701243</v>
      </c>
      <c r="BH14" s="408">
        <f t="shared" si="6"/>
        <v>123.69249782701243</v>
      </c>
      <c r="BI14" s="409">
        <f t="shared" si="7"/>
        <v>5195.0849087345214</v>
      </c>
    </row>
    <row r="15" spans="1:61" ht="15" thickBot="1">
      <c r="A15" s="166">
        <v>210</v>
      </c>
      <c r="B15" s="157" t="s">
        <v>99</v>
      </c>
      <c r="C15" s="167">
        <v>15</v>
      </c>
      <c r="D15" s="168">
        <v>15</v>
      </c>
      <c r="E15" s="169">
        <v>630</v>
      </c>
      <c r="F15" s="230">
        <v>35.32</v>
      </c>
      <c r="G15" s="161">
        <v>35.32</v>
      </c>
      <c r="H15" s="169">
        <v>1483.44</v>
      </c>
      <c r="I15" s="168">
        <v>37.262599999999999</v>
      </c>
      <c r="J15" s="168">
        <v>37.26</v>
      </c>
      <c r="K15" s="169">
        <v>1564.9199999999998</v>
      </c>
      <c r="L15" s="168">
        <v>39.125729999999997</v>
      </c>
      <c r="M15" s="168">
        <v>39.125729999999997</v>
      </c>
      <c r="N15" s="169">
        <v>1643.2806599999999</v>
      </c>
      <c r="O15" s="168">
        <v>40.886387849999991</v>
      </c>
      <c r="P15" s="168">
        <v>40.886387849999991</v>
      </c>
      <c r="Q15" s="169">
        <v>1717.2282896999996</v>
      </c>
      <c r="R15" s="168">
        <v>63.55</v>
      </c>
      <c r="S15" s="168">
        <v>63.55</v>
      </c>
      <c r="T15" s="169">
        <v>2669.1</v>
      </c>
      <c r="U15" s="168">
        <v>66.091999999999999</v>
      </c>
      <c r="V15" s="168">
        <v>66.091999999999999</v>
      </c>
      <c r="W15" s="169">
        <v>2775.864</v>
      </c>
      <c r="X15" s="168">
        <v>68.725679999999997</v>
      </c>
      <c r="Y15" s="168">
        <v>68.725679999999997</v>
      </c>
      <c r="Z15" s="169">
        <v>2886.47856</v>
      </c>
      <c r="AA15" s="168">
        <v>72.161963999999998</v>
      </c>
      <c r="AB15" s="168">
        <v>72.161963999999998</v>
      </c>
      <c r="AC15" s="169">
        <v>3030.8024879999998</v>
      </c>
      <c r="AD15" s="168">
        <v>74.319999999999993</v>
      </c>
      <c r="AE15" s="172">
        <v>74.319999999999993</v>
      </c>
      <c r="AF15" s="169">
        <f t="shared" si="20"/>
        <v>3121.4399999999996</v>
      </c>
      <c r="AG15" s="168">
        <f t="shared" si="8"/>
        <v>76.549599999999998</v>
      </c>
      <c r="AH15" s="172">
        <f t="shared" si="8"/>
        <v>76.549599999999998</v>
      </c>
      <c r="AI15" s="169">
        <f t="shared" si="21"/>
        <v>3215.0832</v>
      </c>
      <c r="AJ15" s="168">
        <f t="shared" si="9"/>
        <v>78.846087999999995</v>
      </c>
      <c r="AK15" s="172">
        <f t="shared" si="9"/>
        <v>78.846087999999995</v>
      </c>
      <c r="AL15" s="169">
        <f t="shared" si="22"/>
        <v>3311.5356959999999</v>
      </c>
      <c r="AM15" s="390" t="s">
        <v>282</v>
      </c>
      <c r="AN15" s="410">
        <v>0.45629000000000003</v>
      </c>
      <c r="AO15" s="411">
        <v>104.04680960000002</v>
      </c>
      <c r="AP15" s="412">
        <v>4369.9660032000002</v>
      </c>
      <c r="AQ15" s="390" t="s">
        <v>282</v>
      </c>
      <c r="AR15" s="410">
        <f t="shared" si="10"/>
        <v>0.46997870000000003</v>
      </c>
      <c r="AS15" s="411">
        <f t="shared" si="11"/>
        <v>107.16821388800003</v>
      </c>
      <c r="AT15" s="412">
        <f t="shared" si="12"/>
        <v>4501.0649832960007</v>
      </c>
      <c r="AU15" s="410">
        <f t="shared" si="13"/>
        <v>0.48407806100000006</v>
      </c>
      <c r="AV15" s="411">
        <f t="shared" si="14"/>
        <v>110.38326030464003</v>
      </c>
      <c r="AW15" s="412">
        <f t="shared" si="15"/>
        <v>4636.0969327948806</v>
      </c>
      <c r="AX15" s="410">
        <f t="shared" si="16"/>
        <v>0.49860040283000007</v>
      </c>
      <c r="AY15" s="411">
        <f t="shared" si="17"/>
        <v>113.69475811377923</v>
      </c>
      <c r="AZ15" s="412">
        <f t="shared" si="18"/>
        <v>4775.1798407787273</v>
      </c>
      <c r="BA15" s="410">
        <f t="shared" si="19"/>
        <v>0.51355841491490006</v>
      </c>
      <c r="BB15" s="411">
        <f t="shared" si="0"/>
        <v>117.10560085719261</v>
      </c>
      <c r="BC15" s="412">
        <f t="shared" si="1"/>
        <v>4918.4352360020894</v>
      </c>
      <c r="BD15" s="410">
        <f t="shared" si="2"/>
        <v>0.52896516736234711</v>
      </c>
      <c r="BE15" s="411">
        <f t="shared" si="3"/>
        <v>120.6187688829084</v>
      </c>
      <c r="BF15" s="412">
        <f t="shared" si="4"/>
        <v>5065.9882930821523</v>
      </c>
      <c r="BG15" s="410">
        <f t="shared" si="5"/>
        <v>0.54483412238321749</v>
      </c>
      <c r="BH15" s="411">
        <f t="shared" si="6"/>
        <v>124.23733194939565</v>
      </c>
      <c r="BI15" s="412">
        <f t="shared" si="7"/>
        <v>5217.9679418746173</v>
      </c>
    </row>
    <row r="16" spans="1:61" ht="14.25">
      <c r="A16" s="166">
        <v>260</v>
      </c>
      <c r="B16" s="157" t="s">
        <v>102</v>
      </c>
      <c r="C16" s="167">
        <v>100</v>
      </c>
      <c r="D16" s="168">
        <v>100</v>
      </c>
      <c r="E16" s="169">
        <v>4200</v>
      </c>
      <c r="F16" s="181">
        <v>106.32</v>
      </c>
      <c r="G16" s="168">
        <v>106.32</v>
      </c>
      <c r="H16" s="169">
        <v>4465.4399999999996</v>
      </c>
      <c r="I16" s="168">
        <v>112.16759999999999</v>
      </c>
      <c r="J16" s="168">
        <v>112.16759999999999</v>
      </c>
      <c r="K16" s="169">
        <v>4711.0391999999993</v>
      </c>
      <c r="L16" s="168">
        <v>117.77598</v>
      </c>
      <c r="M16" s="168">
        <v>117.77598</v>
      </c>
      <c r="N16" s="169">
        <v>4946.5911599999999</v>
      </c>
      <c r="O16" s="168">
        <v>123.0758991</v>
      </c>
      <c r="P16" s="168">
        <v>123.0758991</v>
      </c>
      <c r="Q16" s="169">
        <v>5169.1877622000002</v>
      </c>
      <c r="R16" s="168">
        <v>123.0758991</v>
      </c>
      <c r="S16" s="168">
        <v>123.0758991</v>
      </c>
      <c r="T16" s="169">
        <v>5169.1877622000002</v>
      </c>
      <c r="U16" s="168">
        <v>127.99893506400001</v>
      </c>
      <c r="V16" s="168">
        <v>127.99893506400001</v>
      </c>
      <c r="W16" s="169">
        <v>5375.9552726880002</v>
      </c>
      <c r="X16" s="168">
        <v>133.12389246656002</v>
      </c>
      <c r="Y16" s="168">
        <v>133.12389246656002</v>
      </c>
      <c r="Z16" s="169">
        <v>5591.203483595521</v>
      </c>
      <c r="AA16" s="168">
        <v>139.78008708988804</v>
      </c>
      <c r="AB16" s="168">
        <v>139.78008708988804</v>
      </c>
      <c r="AC16" s="169">
        <v>5870.7636577752974</v>
      </c>
      <c r="AD16" s="168">
        <v>143.97</v>
      </c>
      <c r="AE16" s="172">
        <v>143.97</v>
      </c>
      <c r="AF16" s="169">
        <f t="shared" si="20"/>
        <v>6046.74</v>
      </c>
      <c r="AG16" s="168">
        <f t="shared" si="8"/>
        <v>148.28909999999999</v>
      </c>
      <c r="AH16" s="172">
        <f t="shared" si="8"/>
        <v>148.28909999999999</v>
      </c>
      <c r="AI16" s="169">
        <f t="shared" si="21"/>
        <v>6228.1421999999993</v>
      </c>
      <c r="AJ16" s="168">
        <f t="shared" si="9"/>
        <v>152.737773</v>
      </c>
      <c r="AK16" s="172">
        <f t="shared" si="9"/>
        <v>152.737773</v>
      </c>
      <c r="AL16" s="169">
        <f>AK16*42</f>
        <v>6414.9864660000003</v>
      </c>
      <c r="AM16" s="389" t="s">
        <v>99</v>
      </c>
      <c r="AN16" s="407">
        <v>81.211470640000002</v>
      </c>
      <c r="AO16" s="408">
        <v>81.211470640000002</v>
      </c>
      <c r="AP16" s="409">
        <v>3410.8817668800002</v>
      </c>
      <c r="AQ16" s="389" t="s">
        <v>99</v>
      </c>
      <c r="AR16" s="407">
        <f t="shared" si="10"/>
        <v>83.647814759200003</v>
      </c>
      <c r="AS16" s="408">
        <f t="shared" si="11"/>
        <v>83.647814759200003</v>
      </c>
      <c r="AT16" s="409">
        <f t="shared" si="12"/>
        <v>3513.2082198864005</v>
      </c>
      <c r="AU16" s="407">
        <f t="shared" si="13"/>
        <v>86.157249201976001</v>
      </c>
      <c r="AV16" s="408">
        <f t="shared" si="14"/>
        <v>86.157249201976001</v>
      </c>
      <c r="AW16" s="409">
        <f t="shared" si="15"/>
        <v>3618.6044664829924</v>
      </c>
      <c r="AX16" s="407">
        <f t="shared" si="16"/>
        <v>88.741966678035283</v>
      </c>
      <c r="AY16" s="408">
        <f t="shared" si="17"/>
        <v>88.741966678035283</v>
      </c>
      <c r="AZ16" s="409">
        <f t="shared" si="18"/>
        <v>3727.1626004774821</v>
      </c>
      <c r="BA16" s="407">
        <f t="shared" si="19"/>
        <v>91.404225678376349</v>
      </c>
      <c r="BB16" s="408">
        <f t="shared" si="0"/>
        <v>91.404225678376349</v>
      </c>
      <c r="BC16" s="409">
        <f t="shared" si="1"/>
        <v>3838.9774784918068</v>
      </c>
      <c r="BD16" s="407">
        <f t="shared" si="2"/>
        <v>94.14635244872764</v>
      </c>
      <c r="BE16" s="408">
        <f t="shared" si="3"/>
        <v>94.14635244872764</v>
      </c>
      <c r="BF16" s="409">
        <f t="shared" si="4"/>
        <v>3954.1468028465611</v>
      </c>
      <c r="BG16" s="407">
        <f t="shared" si="5"/>
        <v>96.970743022189467</v>
      </c>
      <c r="BH16" s="408">
        <f t="shared" si="6"/>
        <v>96.970743022189467</v>
      </c>
      <c r="BI16" s="409">
        <f t="shared" si="7"/>
        <v>4072.7712069319582</v>
      </c>
    </row>
    <row r="17" spans="1:61" ht="15" thickBot="1">
      <c r="A17" s="214">
        <v>224</v>
      </c>
      <c r="B17" s="231" t="s">
        <v>103</v>
      </c>
      <c r="C17" s="216">
        <v>106.75</v>
      </c>
      <c r="D17" s="217">
        <v>206.75</v>
      </c>
      <c r="E17" s="218">
        <v>8683.5</v>
      </c>
      <c r="F17" s="232">
        <v>129</v>
      </c>
      <c r="G17" s="217">
        <v>235.32</v>
      </c>
      <c r="H17" s="218">
        <v>9883.44</v>
      </c>
      <c r="I17" s="224">
        <v>136.095</v>
      </c>
      <c r="J17" s="217">
        <v>248.27259999999998</v>
      </c>
      <c r="K17" s="218">
        <v>10427.449199999999</v>
      </c>
      <c r="L17" s="224">
        <v>142.89975000000001</v>
      </c>
      <c r="M17" s="217">
        <v>260.67573000000004</v>
      </c>
      <c r="N17" s="218">
        <v>10948.380660000003</v>
      </c>
      <c r="O17" s="224">
        <v>149.33023875000001</v>
      </c>
      <c r="P17" s="217">
        <v>272.40613784999999</v>
      </c>
      <c r="Q17" s="218">
        <v>11441.0577897</v>
      </c>
      <c r="R17" s="224">
        <v>149.33023875000001</v>
      </c>
      <c r="S17" s="217">
        <v>272.40613784999999</v>
      </c>
      <c r="T17" s="218">
        <v>11441.0577897</v>
      </c>
      <c r="U17" s="224">
        <v>155.30344830000001</v>
      </c>
      <c r="V17" s="217">
        <v>283.30238336400004</v>
      </c>
      <c r="W17" s="218">
        <v>11898.700101288001</v>
      </c>
      <c r="X17" s="217">
        <v>161.50558623200004</v>
      </c>
      <c r="Y17" s="217">
        <v>294.62947869856009</v>
      </c>
      <c r="Z17" s="218">
        <v>12374.438105339525</v>
      </c>
      <c r="AA17" s="217">
        <v>169.58086554360005</v>
      </c>
      <c r="AB17" s="217">
        <v>309.36095263348807</v>
      </c>
      <c r="AC17" s="218">
        <v>12993.160010606498</v>
      </c>
      <c r="AD17" s="217">
        <v>174.67</v>
      </c>
      <c r="AE17" s="220">
        <v>318.64</v>
      </c>
      <c r="AF17" s="218">
        <f t="shared" si="20"/>
        <v>13382.88</v>
      </c>
      <c r="AG17" s="217">
        <f t="shared" si="8"/>
        <v>179.9101</v>
      </c>
      <c r="AH17" s="220">
        <f t="shared" si="8"/>
        <v>328.19920000000002</v>
      </c>
      <c r="AI17" s="218">
        <f>AH17*42</f>
        <v>13784.366400000001</v>
      </c>
      <c r="AJ17" s="217">
        <f t="shared" si="9"/>
        <v>185.30740299999999</v>
      </c>
      <c r="AK17" s="220">
        <f t="shared" si="9"/>
        <v>338.04517600000003</v>
      </c>
      <c r="AL17" s="218">
        <f t="shared" si="22"/>
        <v>14197.897392000001</v>
      </c>
      <c r="AM17" s="389" t="s">
        <v>102</v>
      </c>
      <c r="AN17" s="407">
        <v>157.31990619000001</v>
      </c>
      <c r="AO17" s="408">
        <v>157.31990619000001</v>
      </c>
      <c r="AP17" s="409">
        <v>6607.4360599800002</v>
      </c>
      <c r="AQ17" s="389" t="s">
        <v>102</v>
      </c>
      <c r="AR17" s="407">
        <f t="shared" si="10"/>
        <v>162.03950337570001</v>
      </c>
      <c r="AS17" s="408">
        <f t="shared" si="11"/>
        <v>162.03950337570001</v>
      </c>
      <c r="AT17" s="409">
        <f t="shared" si="12"/>
        <v>6805.6591417794007</v>
      </c>
      <c r="AU17" s="407">
        <f t="shared" si="13"/>
        <v>166.900688476971</v>
      </c>
      <c r="AV17" s="408">
        <f t="shared" si="14"/>
        <v>166.900688476971</v>
      </c>
      <c r="AW17" s="409">
        <f t="shared" si="15"/>
        <v>7009.8289160327831</v>
      </c>
      <c r="AX17" s="407">
        <f t="shared" si="16"/>
        <v>171.90770913128014</v>
      </c>
      <c r="AY17" s="408">
        <f t="shared" si="17"/>
        <v>171.90770913128014</v>
      </c>
      <c r="AZ17" s="409">
        <f t="shared" si="18"/>
        <v>7220.1237835137672</v>
      </c>
      <c r="BA17" s="407">
        <f t="shared" si="19"/>
        <v>177.06494040521855</v>
      </c>
      <c r="BB17" s="408">
        <f t="shared" si="0"/>
        <v>177.06494040521855</v>
      </c>
      <c r="BC17" s="409">
        <f t="shared" si="1"/>
        <v>7436.7274970191802</v>
      </c>
      <c r="BD17" s="407">
        <f t="shared" si="2"/>
        <v>182.3768886173751</v>
      </c>
      <c r="BE17" s="408">
        <f t="shared" si="3"/>
        <v>182.3768886173751</v>
      </c>
      <c r="BF17" s="409">
        <f t="shared" si="4"/>
        <v>7659.8293219297557</v>
      </c>
      <c r="BG17" s="407">
        <f t="shared" si="5"/>
        <v>187.84819527589636</v>
      </c>
      <c r="BH17" s="408">
        <f t="shared" si="6"/>
        <v>187.84819527589636</v>
      </c>
      <c r="BI17" s="409">
        <f t="shared" si="7"/>
        <v>7889.6242015876487</v>
      </c>
    </row>
    <row r="18" spans="1:61" ht="15" thickBot="1">
      <c r="A18" s="166">
        <v>210</v>
      </c>
      <c r="B18" s="157" t="s">
        <v>99</v>
      </c>
      <c r="C18" s="167">
        <v>15</v>
      </c>
      <c r="D18" s="168">
        <v>15</v>
      </c>
      <c r="E18" s="169">
        <v>630</v>
      </c>
      <c r="F18" s="230">
        <v>35.32</v>
      </c>
      <c r="G18" s="161">
        <v>35.32</v>
      </c>
      <c r="H18" s="169">
        <v>1483.44</v>
      </c>
      <c r="I18" s="168">
        <v>37.262599999999999</v>
      </c>
      <c r="J18" s="168">
        <v>37.26</v>
      </c>
      <c r="K18" s="169">
        <v>1564.9199999999998</v>
      </c>
      <c r="L18" s="168">
        <v>39.125729999999997</v>
      </c>
      <c r="M18" s="168">
        <v>39.125729999999997</v>
      </c>
      <c r="N18" s="169">
        <v>1643.2806599999999</v>
      </c>
      <c r="O18" s="168">
        <v>40.886387849999991</v>
      </c>
      <c r="P18" s="168">
        <v>40.886387849999991</v>
      </c>
      <c r="Q18" s="169">
        <v>1717.2282896999996</v>
      </c>
      <c r="R18" s="168">
        <v>63.55</v>
      </c>
      <c r="S18" s="168">
        <v>63.55</v>
      </c>
      <c r="T18" s="169">
        <v>2669.1</v>
      </c>
      <c r="U18" s="168">
        <v>66.091999999999999</v>
      </c>
      <c r="V18" s="168">
        <v>66.091999999999999</v>
      </c>
      <c r="W18" s="169">
        <v>2775.864</v>
      </c>
      <c r="X18" s="168">
        <v>68.725679999999997</v>
      </c>
      <c r="Y18" s="168">
        <v>68.725679999999997</v>
      </c>
      <c r="Z18" s="169">
        <v>2886.47856</v>
      </c>
      <c r="AA18" s="168">
        <v>72.161963999999998</v>
      </c>
      <c r="AB18" s="168">
        <v>72.161963999999998</v>
      </c>
      <c r="AC18" s="169">
        <v>3030.8024879999998</v>
      </c>
      <c r="AD18" s="168">
        <v>74.319999999999993</v>
      </c>
      <c r="AE18" s="172">
        <v>74.319999999999993</v>
      </c>
      <c r="AF18" s="169">
        <f t="shared" si="20"/>
        <v>3121.4399999999996</v>
      </c>
      <c r="AG18" s="168">
        <f t="shared" si="8"/>
        <v>76.549599999999998</v>
      </c>
      <c r="AH18" s="172">
        <f t="shared" si="8"/>
        <v>76.549599999999998</v>
      </c>
      <c r="AI18" s="169">
        <f t="shared" si="21"/>
        <v>3215.0832</v>
      </c>
      <c r="AJ18" s="168">
        <f t="shared" si="9"/>
        <v>78.846087999999995</v>
      </c>
      <c r="AK18" s="172">
        <f t="shared" si="9"/>
        <v>78.846087999999995</v>
      </c>
      <c r="AL18" s="169">
        <f t="shared" si="22"/>
        <v>3311.5356959999999</v>
      </c>
      <c r="AM18" s="391" t="s">
        <v>103</v>
      </c>
      <c r="AN18" s="410">
        <v>190.86662508999999</v>
      </c>
      <c r="AO18" s="411">
        <v>348.18653128000005</v>
      </c>
      <c r="AP18" s="412">
        <v>14623.83431376</v>
      </c>
      <c r="AQ18" s="391" t="s">
        <v>103</v>
      </c>
      <c r="AR18" s="410">
        <f t="shared" si="10"/>
        <v>196.59262384269999</v>
      </c>
      <c r="AS18" s="411">
        <f t="shared" si="11"/>
        <v>358.63212721840006</v>
      </c>
      <c r="AT18" s="412">
        <f t="shared" si="12"/>
        <v>15062.549343172801</v>
      </c>
      <c r="AU18" s="410">
        <f t="shared" si="13"/>
        <v>202.49040255798099</v>
      </c>
      <c r="AV18" s="411">
        <f t="shared" si="14"/>
        <v>369.39109103495207</v>
      </c>
      <c r="AW18" s="412">
        <f t="shared" si="15"/>
        <v>15514.425823467986</v>
      </c>
      <c r="AX18" s="410">
        <f t="shared" si="16"/>
        <v>208.56511463472043</v>
      </c>
      <c r="AY18" s="411">
        <f t="shared" si="17"/>
        <v>380.47282376600066</v>
      </c>
      <c r="AZ18" s="412">
        <f t="shared" si="18"/>
        <v>15979.858598172026</v>
      </c>
      <c r="BA18" s="410">
        <f t="shared" si="19"/>
        <v>214.82206807376204</v>
      </c>
      <c r="BB18" s="411">
        <f t="shared" si="0"/>
        <v>391.8870084789807</v>
      </c>
      <c r="BC18" s="412">
        <f t="shared" si="1"/>
        <v>16459.254356117188</v>
      </c>
      <c r="BD18" s="410">
        <f t="shared" si="2"/>
        <v>221.26673011597489</v>
      </c>
      <c r="BE18" s="411">
        <f t="shared" si="3"/>
        <v>403.64361873335014</v>
      </c>
      <c r="BF18" s="412">
        <f t="shared" si="4"/>
        <v>16953.031986800703</v>
      </c>
      <c r="BG18" s="410">
        <f t="shared" si="5"/>
        <v>227.90473201945414</v>
      </c>
      <c r="BH18" s="411">
        <f t="shared" si="6"/>
        <v>415.75292729535067</v>
      </c>
      <c r="BI18" s="412">
        <f t="shared" si="7"/>
        <v>17461.622946404725</v>
      </c>
    </row>
    <row r="19" spans="1:61" ht="14.25">
      <c r="A19" s="166">
        <v>260</v>
      </c>
      <c r="B19" s="157" t="s">
        <v>102</v>
      </c>
      <c r="C19" s="167">
        <v>100</v>
      </c>
      <c r="D19" s="168">
        <v>100</v>
      </c>
      <c r="E19" s="169">
        <v>4200</v>
      </c>
      <c r="F19" s="181">
        <v>106.32</v>
      </c>
      <c r="G19" s="168">
        <v>106.32</v>
      </c>
      <c r="H19" s="169">
        <v>4465.4399999999996</v>
      </c>
      <c r="I19" s="168">
        <v>112.16759999999999</v>
      </c>
      <c r="J19" s="168">
        <v>112.16759999999999</v>
      </c>
      <c r="K19" s="169">
        <v>4711.0391999999993</v>
      </c>
      <c r="L19" s="168">
        <v>117.77598</v>
      </c>
      <c r="M19" s="168">
        <v>117.77598</v>
      </c>
      <c r="N19" s="169">
        <v>4946.5911599999999</v>
      </c>
      <c r="O19" s="168">
        <v>123.0758991</v>
      </c>
      <c r="P19" s="168">
        <v>123.0758991</v>
      </c>
      <c r="Q19" s="169">
        <v>5169.1877622000002</v>
      </c>
      <c r="R19" s="168">
        <v>123.0758991</v>
      </c>
      <c r="S19" s="168">
        <v>123.0758991</v>
      </c>
      <c r="T19" s="169">
        <v>5169.1877622000002</v>
      </c>
      <c r="U19" s="168">
        <v>127.99893506400001</v>
      </c>
      <c r="V19" s="168">
        <v>127.99893506400001</v>
      </c>
      <c r="W19" s="169">
        <v>5375.9552726880002</v>
      </c>
      <c r="X19" s="168">
        <v>133.11889246656003</v>
      </c>
      <c r="Y19" s="168">
        <v>133.11889246656003</v>
      </c>
      <c r="Z19" s="169">
        <v>5590.993483595521</v>
      </c>
      <c r="AA19" s="168">
        <v>139.78008708988804</v>
      </c>
      <c r="AB19" s="168">
        <v>139.78008708988804</v>
      </c>
      <c r="AC19" s="169">
        <v>5870.7636577752974</v>
      </c>
      <c r="AD19" s="168">
        <v>143.97</v>
      </c>
      <c r="AE19" s="172">
        <v>143.97</v>
      </c>
      <c r="AF19" s="169">
        <f t="shared" si="20"/>
        <v>6046.74</v>
      </c>
      <c r="AG19" s="168">
        <f t="shared" si="8"/>
        <v>148.28909999999999</v>
      </c>
      <c r="AH19" s="172">
        <f t="shared" si="8"/>
        <v>148.28909999999999</v>
      </c>
      <c r="AI19" s="169">
        <f t="shared" si="21"/>
        <v>6228.1421999999993</v>
      </c>
      <c r="AJ19" s="168">
        <f t="shared" si="9"/>
        <v>152.737773</v>
      </c>
      <c r="AK19" s="172">
        <f t="shared" si="9"/>
        <v>152.737773</v>
      </c>
      <c r="AL19" s="169">
        <f t="shared" si="22"/>
        <v>6414.9864660000003</v>
      </c>
      <c r="AM19" s="389" t="s">
        <v>99</v>
      </c>
      <c r="AN19" s="407">
        <v>81.211470640000002</v>
      </c>
      <c r="AO19" s="408">
        <v>81.211470640000002</v>
      </c>
      <c r="AP19" s="409">
        <v>3410.8817668800002</v>
      </c>
      <c r="AQ19" s="389" t="s">
        <v>99</v>
      </c>
      <c r="AR19" s="407">
        <f t="shared" si="10"/>
        <v>83.647814759200003</v>
      </c>
      <c r="AS19" s="408">
        <f t="shared" si="11"/>
        <v>83.647814759200003</v>
      </c>
      <c r="AT19" s="409">
        <f t="shared" si="12"/>
        <v>3513.2082198864005</v>
      </c>
      <c r="AU19" s="407">
        <f t="shared" si="13"/>
        <v>86.157249201976001</v>
      </c>
      <c r="AV19" s="408">
        <f t="shared" si="14"/>
        <v>86.157249201976001</v>
      </c>
      <c r="AW19" s="409">
        <f t="shared" si="15"/>
        <v>3618.6044664829924</v>
      </c>
      <c r="AX19" s="407">
        <f t="shared" si="16"/>
        <v>88.741966678035283</v>
      </c>
      <c r="AY19" s="408">
        <f t="shared" si="17"/>
        <v>88.741966678035283</v>
      </c>
      <c r="AZ19" s="409">
        <f t="shared" si="18"/>
        <v>3727.1626004774821</v>
      </c>
      <c r="BA19" s="407">
        <f t="shared" si="19"/>
        <v>91.404225678376349</v>
      </c>
      <c r="BB19" s="408">
        <f t="shared" si="0"/>
        <v>91.404225678376349</v>
      </c>
      <c r="BC19" s="409">
        <f t="shared" si="1"/>
        <v>3838.9774784918068</v>
      </c>
      <c r="BD19" s="407">
        <f t="shared" si="2"/>
        <v>94.14635244872764</v>
      </c>
      <c r="BE19" s="408">
        <f t="shared" si="3"/>
        <v>94.14635244872764</v>
      </c>
      <c r="BF19" s="409">
        <f t="shared" si="4"/>
        <v>3954.1468028465611</v>
      </c>
      <c r="BG19" s="407">
        <f t="shared" si="5"/>
        <v>96.970743022189467</v>
      </c>
      <c r="BH19" s="408">
        <f t="shared" si="6"/>
        <v>96.970743022189467</v>
      </c>
      <c r="BI19" s="409">
        <f t="shared" si="7"/>
        <v>4072.7712069319582</v>
      </c>
    </row>
    <row r="20" spans="1:61" ht="14.25">
      <c r="A20" s="173">
        <v>231</v>
      </c>
      <c r="B20" s="158" t="s">
        <v>104</v>
      </c>
      <c r="C20" s="174">
        <v>22.089552238805972</v>
      </c>
      <c r="D20" s="175">
        <v>122.09</v>
      </c>
      <c r="E20" s="176">
        <v>5127.78</v>
      </c>
      <c r="F20" s="174">
        <v>22.089552238805972</v>
      </c>
      <c r="G20" s="175">
        <v>128.40955223880596</v>
      </c>
      <c r="H20" s="176">
        <v>5393.2011940298498</v>
      </c>
      <c r="I20" s="174">
        <v>23.3044776119403</v>
      </c>
      <c r="J20" s="175">
        <v>135.47207761194028</v>
      </c>
      <c r="K20" s="176">
        <v>5689.827259701492</v>
      </c>
      <c r="L20" s="174">
        <v>24.469701492537315</v>
      </c>
      <c r="M20" s="175">
        <v>142.24568149253733</v>
      </c>
      <c r="N20" s="176">
        <v>5974.3186226865682</v>
      </c>
      <c r="O20" s="174">
        <v>25.570838059701494</v>
      </c>
      <c r="P20" s="175">
        <v>148.6467371597015</v>
      </c>
      <c r="Q20" s="176">
        <v>6243.1629607074628</v>
      </c>
      <c r="R20" s="174">
        <v>25.570838059701494</v>
      </c>
      <c r="S20" s="175">
        <v>148.6467371597015</v>
      </c>
      <c r="T20" s="176">
        <v>6243.1629607074628</v>
      </c>
      <c r="U20" s="174">
        <v>26.593671582089556</v>
      </c>
      <c r="V20" s="175">
        <v>154.59260664608956</v>
      </c>
      <c r="W20" s="176">
        <v>6492.8894791357616</v>
      </c>
      <c r="X20" s="175">
        <v>27.647418445373138</v>
      </c>
      <c r="Y20" s="175">
        <v>160.76631091193318</v>
      </c>
      <c r="Z20" s="176">
        <v>6752.1850583011937</v>
      </c>
      <c r="AA20" s="175">
        <v>29.029789367641797</v>
      </c>
      <c r="AB20" s="175">
        <v>168.80987645752984</v>
      </c>
      <c r="AC20" s="176">
        <v>7090.0148112162533</v>
      </c>
      <c r="AD20" s="175">
        <v>29.9</v>
      </c>
      <c r="AE20" s="172">
        <v>173.87</v>
      </c>
      <c r="AF20" s="176">
        <f t="shared" si="20"/>
        <v>7302.54</v>
      </c>
      <c r="AG20" s="175">
        <f t="shared" si="8"/>
        <v>30.797000000000001</v>
      </c>
      <c r="AH20" s="172">
        <f t="shared" si="8"/>
        <v>179.08610000000002</v>
      </c>
      <c r="AI20" s="176">
        <f t="shared" si="21"/>
        <v>7521.6162000000004</v>
      </c>
      <c r="AJ20" s="175">
        <f t="shared" si="9"/>
        <v>31.72091</v>
      </c>
      <c r="AK20" s="172">
        <f t="shared" si="9"/>
        <v>184.45868300000001</v>
      </c>
      <c r="AL20" s="176">
        <f>AK20*42</f>
        <v>7747.2646860000004</v>
      </c>
      <c r="AM20" s="389" t="s">
        <v>102</v>
      </c>
      <c r="AN20" s="407">
        <v>157.31990619000001</v>
      </c>
      <c r="AO20" s="408">
        <v>157.31990619000001</v>
      </c>
      <c r="AP20" s="409">
        <v>6607.4360599800002</v>
      </c>
      <c r="AQ20" s="389" t="s">
        <v>102</v>
      </c>
      <c r="AR20" s="407">
        <f t="shared" si="10"/>
        <v>162.03950337570001</v>
      </c>
      <c r="AS20" s="408">
        <f t="shared" si="11"/>
        <v>162.03950337570001</v>
      </c>
      <c r="AT20" s="409">
        <f t="shared" si="12"/>
        <v>6805.6591417794007</v>
      </c>
      <c r="AU20" s="407">
        <f t="shared" si="13"/>
        <v>166.900688476971</v>
      </c>
      <c r="AV20" s="408">
        <f t="shared" si="14"/>
        <v>166.900688476971</v>
      </c>
      <c r="AW20" s="409">
        <f t="shared" si="15"/>
        <v>7009.8289160327831</v>
      </c>
      <c r="AX20" s="407">
        <f t="shared" si="16"/>
        <v>171.90770913128014</v>
      </c>
      <c r="AY20" s="408">
        <f t="shared" si="17"/>
        <v>171.90770913128014</v>
      </c>
      <c r="AZ20" s="409">
        <f t="shared" si="18"/>
        <v>7220.1237835137672</v>
      </c>
      <c r="BA20" s="407">
        <f t="shared" si="19"/>
        <v>177.06494040521855</v>
      </c>
      <c r="BB20" s="408">
        <f t="shared" si="0"/>
        <v>177.06494040521855</v>
      </c>
      <c r="BC20" s="409">
        <f t="shared" si="1"/>
        <v>7436.7274970191802</v>
      </c>
      <c r="BD20" s="407">
        <f t="shared" si="2"/>
        <v>182.3768886173751</v>
      </c>
      <c r="BE20" s="408">
        <f t="shared" si="3"/>
        <v>182.3768886173751</v>
      </c>
      <c r="BF20" s="409">
        <f t="shared" si="4"/>
        <v>7659.8293219297557</v>
      </c>
      <c r="BG20" s="407">
        <f t="shared" si="5"/>
        <v>187.84819527589636</v>
      </c>
      <c r="BH20" s="408">
        <f t="shared" si="6"/>
        <v>187.84819527589636</v>
      </c>
      <c r="BI20" s="409">
        <f t="shared" si="7"/>
        <v>7889.6242015876487</v>
      </c>
    </row>
    <row r="21" spans="1:61" ht="14.25">
      <c r="A21" s="166">
        <v>221</v>
      </c>
      <c r="B21" s="157" t="s">
        <v>105</v>
      </c>
      <c r="C21" s="167">
        <v>40</v>
      </c>
      <c r="D21" s="168">
        <v>140</v>
      </c>
      <c r="E21" s="169">
        <v>5880</v>
      </c>
      <c r="F21" s="181">
        <v>40</v>
      </c>
      <c r="G21" s="168">
        <v>146.32</v>
      </c>
      <c r="H21" s="169">
        <v>6145.44</v>
      </c>
      <c r="I21" s="168">
        <v>42.2</v>
      </c>
      <c r="J21" s="168">
        <v>154.36759999999998</v>
      </c>
      <c r="K21" s="169">
        <v>6483.4391999999989</v>
      </c>
      <c r="L21" s="168">
        <v>44.31</v>
      </c>
      <c r="M21" s="168">
        <v>162.08598000000001</v>
      </c>
      <c r="N21" s="169">
        <v>6807.6111600000004</v>
      </c>
      <c r="O21" s="168">
        <v>46.30395</v>
      </c>
      <c r="P21" s="168">
        <v>169.3798491</v>
      </c>
      <c r="Q21" s="169">
        <v>7113.9536621999996</v>
      </c>
      <c r="R21" s="168">
        <v>46.30395</v>
      </c>
      <c r="S21" s="168">
        <v>169.3798491</v>
      </c>
      <c r="T21" s="169">
        <v>7113.9536621999996</v>
      </c>
      <c r="U21" s="168">
        <v>48.156108000000003</v>
      </c>
      <c r="V21" s="168">
        <v>176.15504306400001</v>
      </c>
      <c r="W21" s="169">
        <v>7398.5118086880002</v>
      </c>
      <c r="X21" s="168">
        <v>50.092352320000003</v>
      </c>
      <c r="Y21" s="168">
        <v>183.21124478656003</v>
      </c>
      <c r="Z21" s="169">
        <v>7694.8722810355212</v>
      </c>
      <c r="AA21" s="168">
        <v>52.58696993600001</v>
      </c>
      <c r="AB21" s="168">
        <v>192.36705702588804</v>
      </c>
      <c r="AC21" s="169">
        <v>8079.416395087298</v>
      </c>
      <c r="AD21" s="168">
        <v>54.17</v>
      </c>
      <c r="AE21" s="172">
        <v>198.14</v>
      </c>
      <c r="AF21" s="169">
        <f t="shared" si="20"/>
        <v>8321.8799999999992</v>
      </c>
      <c r="AG21" s="168">
        <f>AD21*(1+$AI$2)-0.01</f>
        <v>55.785100000000007</v>
      </c>
      <c r="AH21" s="172">
        <f t="shared" si="8"/>
        <v>204.08419999999998</v>
      </c>
      <c r="AI21" s="169">
        <f t="shared" si="21"/>
        <v>8571.536399999999</v>
      </c>
      <c r="AJ21" s="168">
        <f>AG21*(1+$AI$2)-0.01</f>
        <v>57.448653000000007</v>
      </c>
      <c r="AK21" s="172">
        <f>AH21*(1+$AI$2)-0.02</f>
        <v>210.18672599999996</v>
      </c>
      <c r="AL21" s="169">
        <f t="shared" si="22"/>
        <v>8827.8424919999979</v>
      </c>
      <c r="AM21" s="389" t="s">
        <v>104</v>
      </c>
      <c r="AN21" s="407">
        <v>32.672537300000002</v>
      </c>
      <c r="AO21" s="408">
        <v>189.99244349</v>
      </c>
      <c r="AP21" s="409">
        <v>7979.6826265800009</v>
      </c>
      <c r="AQ21" s="389" t="s">
        <v>104</v>
      </c>
      <c r="AR21" s="407">
        <f t="shared" si="10"/>
        <v>33.652713419000001</v>
      </c>
      <c r="AS21" s="408">
        <f t="shared" si="11"/>
        <v>195.69221679470002</v>
      </c>
      <c r="AT21" s="409">
        <f t="shared" si="12"/>
        <v>8219.0731053774016</v>
      </c>
      <c r="AU21" s="407">
        <f t="shared" si="13"/>
        <v>34.662294821570001</v>
      </c>
      <c r="AV21" s="408">
        <f t="shared" si="14"/>
        <v>201.56298329854101</v>
      </c>
      <c r="AW21" s="409">
        <f t="shared" si="15"/>
        <v>8465.6452985387241</v>
      </c>
      <c r="AX21" s="407">
        <f t="shared" si="16"/>
        <v>35.702163666217103</v>
      </c>
      <c r="AY21" s="408">
        <f t="shared" si="17"/>
        <v>207.60987279749725</v>
      </c>
      <c r="AZ21" s="409">
        <f t="shared" si="18"/>
        <v>8719.6146574948853</v>
      </c>
      <c r="BA21" s="407">
        <f t="shared" si="19"/>
        <v>36.773228576203614</v>
      </c>
      <c r="BB21" s="408">
        <f t="shared" si="0"/>
        <v>213.83816898142217</v>
      </c>
      <c r="BC21" s="409">
        <f t="shared" si="1"/>
        <v>8981.2030972197317</v>
      </c>
      <c r="BD21" s="407">
        <f t="shared" si="2"/>
        <v>37.876425433489722</v>
      </c>
      <c r="BE21" s="408">
        <f t="shared" si="3"/>
        <v>220.25331405086484</v>
      </c>
      <c r="BF21" s="409">
        <f t="shared" si="4"/>
        <v>9250.639190136324</v>
      </c>
      <c r="BG21" s="407">
        <f t="shared" si="5"/>
        <v>39.012718196494411</v>
      </c>
      <c r="BH21" s="408">
        <f t="shared" si="6"/>
        <v>226.86091347239079</v>
      </c>
      <c r="BI21" s="409">
        <f t="shared" si="7"/>
        <v>9528.1583658404143</v>
      </c>
    </row>
    <row r="22" spans="1:61" ht="14.25">
      <c r="A22" s="166">
        <v>225</v>
      </c>
      <c r="B22" s="222" t="s">
        <v>106</v>
      </c>
      <c r="C22" s="167">
        <v>19.07</v>
      </c>
      <c r="D22" s="168">
        <v>159.07</v>
      </c>
      <c r="E22" s="169">
        <v>6680.94</v>
      </c>
      <c r="F22" s="181">
        <v>74</v>
      </c>
      <c r="G22" s="168">
        <v>220.32</v>
      </c>
      <c r="H22" s="169">
        <v>9253.44</v>
      </c>
      <c r="I22" s="168">
        <v>78.069999999999993</v>
      </c>
      <c r="J22" s="168">
        <v>232.43759999999997</v>
      </c>
      <c r="K22" s="169">
        <v>9762.3791999999994</v>
      </c>
      <c r="L22" s="168">
        <v>81.973500000000001</v>
      </c>
      <c r="M22" s="168">
        <v>244.05948000000001</v>
      </c>
      <c r="N22" s="169">
        <v>10250.498160000001</v>
      </c>
      <c r="O22" s="168">
        <v>85.662307499999997</v>
      </c>
      <c r="P22" s="168">
        <v>255.0421566</v>
      </c>
      <c r="Q22" s="169">
        <v>10711.770577200001</v>
      </c>
      <c r="R22" s="168">
        <v>85.662307499999997</v>
      </c>
      <c r="S22" s="168">
        <v>255.0421566</v>
      </c>
      <c r="T22" s="169">
        <v>10711.770577200001</v>
      </c>
      <c r="U22" s="168">
        <v>89.088799800000004</v>
      </c>
      <c r="V22" s="168">
        <v>265.24384286400004</v>
      </c>
      <c r="W22" s="169">
        <v>11140.241400288001</v>
      </c>
      <c r="X22" s="168">
        <v>92.642351791999999</v>
      </c>
      <c r="Y22" s="168">
        <v>275.85359657856003</v>
      </c>
      <c r="Z22" s="169">
        <v>11585.851056299522</v>
      </c>
      <c r="AA22" s="168">
        <v>97.284469381600005</v>
      </c>
      <c r="AB22" s="168">
        <v>289.65152640748806</v>
      </c>
      <c r="AC22" s="169">
        <v>12165.364109114498</v>
      </c>
      <c r="AD22" s="168">
        <v>100.2</v>
      </c>
      <c r="AE22" s="172">
        <v>298.33999999999997</v>
      </c>
      <c r="AF22" s="169">
        <f t="shared" si="20"/>
        <v>12530.279999999999</v>
      </c>
      <c r="AG22" s="168">
        <f t="shared" si="8"/>
        <v>103.206</v>
      </c>
      <c r="AH22" s="172">
        <f t="shared" si="8"/>
        <v>307.29019999999997</v>
      </c>
      <c r="AI22" s="169">
        <f t="shared" si="21"/>
        <v>12906.188399999999</v>
      </c>
      <c r="AJ22" s="168">
        <f t="shared" ref="AJ22:AK35" si="23">AG22*(1+$AI$2)</f>
        <v>106.30218000000001</v>
      </c>
      <c r="AK22" s="172">
        <f>AH22*(1+$AI$2)-0.02</f>
        <v>316.48890599999999</v>
      </c>
      <c r="AL22" s="169">
        <f t="shared" si="22"/>
        <v>13292.534051999999</v>
      </c>
      <c r="AM22" s="389" t="s">
        <v>105</v>
      </c>
      <c r="AN22" s="407">
        <v>59.172112590000012</v>
      </c>
      <c r="AO22" s="408">
        <v>216.49232777999998</v>
      </c>
      <c r="AP22" s="409">
        <v>9092.6777667599981</v>
      </c>
      <c r="AQ22" s="389" t="s">
        <v>105</v>
      </c>
      <c r="AR22" s="407">
        <f t="shared" si="10"/>
        <v>60.947275967700016</v>
      </c>
      <c r="AS22" s="408">
        <f t="shared" si="11"/>
        <v>222.98709761339998</v>
      </c>
      <c r="AT22" s="409">
        <f t="shared" si="12"/>
        <v>9365.4580997627982</v>
      </c>
      <c r="AU22" s="407">
        <f t="shared" si="13"/>
        <v>62.775694246731021</v>
      </c>
      <c r="AV22" s="408">
        <f t="shared" si="14"/>
        <v>229.67671054180198</v>
      </c>
      <c r="AW22" s="409">
        <f t="shared" si="15"/>
        <v>9646.4218427556825</v>
      </c>
      <c r="AX22" s="407">
        <f t="shared" si="16"/>
        <v>64.658965074132951</v>
      </c>
      <c r="AY22" s="408">
        <f t="shared" si="17"/>
        <v>236.56701185805605</v>
      </c>
      <c r="AZ22" s="409">
        <f t="shared" si="18"/>
        <v>9935.8144980383531</v>
      </c>
      <c r="BA22" s="407">
        <f t="shared" si="19"/>
        <v>66.598734026356937</v>
      </c>
      <c r="BB22" s="408">
        <f t="shared" si="0"/>
        <v>243.66402221379775</v>
      </c>
      <c r="BC22" s="409">
        <f t="shared" si="1"/>
        <v>10233.888932979504</v>
      </c>
      <c r="BD22" s="407">
        <f t="shared" si="2"/>
        <v>68.596696047147645</v>
      </c>
      <c r="BE22" s="408">
        <f t="shared" si="3"/>
        <v>250.97394288021169</v>
      </c>
      <c r="BF22" s="409">
        <f t="shared" si="4"/>
        <v>10540.905600968888</v>
      </c>
      <c r="BG22" s="407">
        <f t="shared" si="5"/>
        <v>70.654596928562071</v>
      </c>
      <c r="BH22" s="408">
        <f t="shared" si="6"/>
        <v>258.50316116661804</v>
      </c>
      <c r="BI22" s="409">
        <f t="shared" si="7"/>
        <v>10857.132768997955</v>
      </c>
    </row>
    <row r="23" spans="1:61" ht="14.25">
      <c r="A23" s="166">
        <v>228</v>
      </c>
      <c r="B23" s="157" t="s">
        <v>107</v>
      </c>
      <c r="C23" s="167">
        <v>47.68</v>
      </c>
      <c r="D23" s="168">
        <v>206.75</v>
      </c>
      <c r="E23" s="169">
        <v>8683.5</v>
      </c>
      <c r="F23" s="181">
        <v>15</v>
      </c>
      <c r="G23" s="168">
        <v>235.32</v>
      </c>
      <c r="H23" s="169">
        <v>9883.44</v>
      </c>
      <c r="I23" s="168">
        <v>15.824999999999999</v>
      </c>
      <c r="J23" s="168">
        <v>248.27259999999995</v>
      </c>
      <c r="K23" s="169">
        <v>10427.449199999997</v>
      </c>
      <c r="L23" s="168">
        <v>16.616250000000001</v>
      </c>
      <c r="M23" s="168">
        <v>260.67572999999999</v>
      </c>
      <c r="N23" s="169">
        <v>10948.380659999999</v>
      </c>
      <c r="O23" s="168">
        <v>17.372289375000001</v>
      </c>
      <c r="P23" s="168">
        <v>272.41444597499998</v>
      </c>
      <c r="Q23" s="169">
        <v>11441.406730949999</v>
      </c>
      <c r="R23" s="168">
        <v>17.363981249999998</v>
      </c>
      <c r="S23" s="168">
        <v>272.40613784999999</v>
      </c>
      <c r="T23" s="169">
        <v>11441.0577897</v>
      </c>
      <c r="U23" s="168">
        <v>18.058540499999999</v>
      </c>
      <c r="V23" s="168">
        <v>283.30238336400004</v>
      </c>
      <c r="W23" s="169">
        <v>11898.700101288001</v>
      </c>
      <c r="X23" s="168">
        <v>18.780882120000001</v>
      </c>
      <c r="Y23" s="168">
        <v>294.63447869856003</v>
      </c>
      <c r="Z23" s="169">
        <v>12374.648105339522</v>
      </c>
      <c r="AA23" s="168">
        <v>19.709926226</v>
      </c>
      <c r="AB23" s="168">
        <v>309.36145263348806</v>
      </c>
      <c r="AC23" s="169">
        <v>12993.181010606499</v>
      </c>
      <c r="AD23" s="168">
        <v>20.3</v>
      </c>
      <c r="AE23" s="172">
        <v>318.64</v>
      </c>
      <c r="AF23" s="169">
        <f t="shared" si="20"/>
        <v>13382.88</v>
      </c>
      <c r="AG23" s="168">
        <f t="shared" si="8"/>
        <v>20.909000000000002</v>
      </c>
      <c r="AH23" s="172">
        <f t="shared" si="8"/>
        <v>328.19920000000002</v>
      </c>
      <c r="AI23" s="169">
        <f t="shared" si="21"/>
        <v>13784.366400000001</v>
      </c>
      <c r="AJ23" s="168">
        <f>AG23*(1+$AI$2)+0.03</f>
        <v>21.566270000000003</v>
      </c>
      <c r="AK23" s="172">
        <f>AH23*(1+$AI$2)</f>
        <v>338.04517600000003</v>
      </c>
      <c r="AL23" s="169">
        <f t="shared" si="22"/>
        <v>14197.897392000001</v>
      </c>
      <c r="AM23" s="389" t="s">
        <v>106</v>
      </c>
      <c r="AN23" s="407">
        <v>109.49124540000001</v>
      </c>
      <c r="AO23" s="408">
        <v>325.98357318000001</v>
      </c>
      <c r="AP23" s="409">
        <v>13691.31007356</v>
      </c>
      <c r="AQ23" s="389" t="s">
        <v>106</v>
      </c>
      <c r="AR23" s="407">
        <f t="shared" si="10"/>
        <v>112.77598276200001</v>
      </c>
      <c r="AS23" s="408">
        <f t="shared" si="11"/>
        <v>335.76308037540002</v>
      </c>
      <c r="AT23" s="409">
        <f t="shared" si="12"/>
        <v>14102.049375766801</v>
      </c>
      <c r="AU23" s="407">
        <f t="shared" si="13"/>
        <v>116.15926224486002</v>
      </c>
      <c r="AV23" s="408">
        <f t="shared" si="14"/>
        <v>345.83597278666201</v>
      </c>
      <c r="AW23" s="409">
        <f t="shared" si="15"/>
        <v>14525.110857039805</v>
      </c>
      <c r="AX23" s="407">
        <f t="shared" si="16"/>
        <v>119.64404011220581</v>
      </c>
      <c r="AY23" s="408">
        <f t="shared" si="17"/>
        <v>356.21105197026191</v>
      </c>
      <c r="AZ23" s="409">
        <f t="shared" si="18"/>
        <v>14960.864182751</v>
      </c>
      <c r="BA23" s="407">
        <f t="shared" si="19"/>
        <v>123.233361315572</v>
      </c>
      <c r="BB23" s="408">
        <f t="shared" si="0"/>
        <v>366.89738352936979</v>
      </c>
      <c r="BC23" s="409">
        <f t="shared" si="1"/>
        <v>15409.69010823353</v>
      </c>
      <c r="BD23" s="407">
        <f t="shared" si="2"/>
        <v>126.93036215503916</v>
      </c>
      <c r="BE23" s="408">
        <f t="shared" si="3"/>
        <v>377.9043050352509</v>
      </c>
      <c r="BF23" s="409">
        <f t="shared" si="4"/>
        <v>15871.980811480536</v>
      </c>
      <c r="BG23" s="407">
        <f t="shared" si="5"/>
        <v>130.73827301969035</v>
      </c>
      <c r="BH23" s="408">
        <f t="shared" si="6"/>
        <v>389.24143418630842</v>
      </c>
      <c r="BI23" s="409">
        <f t="shared" si="7"/>
        <v>16348.140235824952</v>
      </c>
    </row>
    <row r="24" spans="1:61" ht="15" thickBot="1">
      <c r="A24" s="214">
        <v>227</v>
      </c>
      <c r="B24" s="231" t="s">
        <v>108</v>
      </c>
      <c r="C24" s="224">
        <v>0</v>
      </c>
      <c r="D24" s="217">
        <v>0</v>
      </c>
      <c r="E24" s="218">
        <v>0</v>
      </c>
      <c r="F24" s="217">
        <v>0</v>
      </c>
      <c r="G24" s="217">
        <v>0</v>
      </c>
      <c r="H24" s="218">
        <v>0</v>
      </c>
      <c r="I24" s="224">
        <v>0</v>
      </c>
      <c r="J24" s="217">
        <v>0</v>
      </c>
      <c r="K24" s="218">
        <v>0</v>
      </c>
      <c r="L24" s="224">
        <v>0</v>
      </c>
      <c r="M24" s="217">
        <v>0</v>
      </c>
      <c r="N24" s="218">
        <v>0</v>
      </c>
      <c r="O24" s="224">
        <v>0</v>
      </c>
      <c r="P24" s="217">
        <v>0</v>
      </c>
      <c r="Q24" s="218">
        <v>0</v>
      </c>
      <c r="R24" s="224">
        <v>0</v>
      </c>
      <c r="S24" s="217">
        <v>0</v>
      </c>
      <c r="T24" s="218">
        <v>0</v>
      </c>
      <c r="U24" s="224">
        <v>0</v>
      </c>
      <c r="V24" s="217">
        <v>0</v>
      </c>
      <c r="W24" s="218">
        <v>0</v>
      </c>
      <c r="X24" s="217">
        <v>0</v>
      </c>
      <c r="Y24" s="217">
        <v>0</v>
      </c>
      <c r="Z24" s="218">
        <v>0</v>
      </c>
      <c r="AA24" s="217">
        <v>0</v>
      </c>
      <c r="AB24" s="217">
        <v>0</v>
      </c>
      <c r="AC24" s="218">
        <v>0</v>
      </c>
      <c r="AD24" s="217">
        <v>0</v>
      </c>
      <c r="AE24" s="220">
        <v>0</v>
      </c>
      <c r="AF24" s="218">
        <f t="shared" si="20"/>
        <v>0</v>
      </c>
      <c r="AG24" s="217">
        <f t="shared" si="8"/>
        <v>0</v>
      </c>
      <c r="AH24" s="220">
        <f t="shared" si="8"/>
        <v>0</v>
      </c>
      <c r="AI24" s="218">
        <f t="shared" si="21"/>
        <v>0</v>
      </c>
      <c r="AJ24" s="217">
        <f t="shared" si="23"/>
        <v>0</v>
      </c>
      <c r="AK24" s="220">
        <f t="shared" si="23"/>
        <v>0</v>
      </c>
      <c r="AL24" s="218">
        <f t="shared" si="22"/>
        <v>0</v>
      </c>
      <c r="AM24" s="389" t="s">
        <v>107</v>
      </c>
      <c r="AN24" s="407">
        <v>22.213258100000004</v>
      </c>
      <c r="AO24" s="408">
        <v>348.18653128000005</v>
      </c>
      <c r="AP24" s="409">
        <v>14623.83431376</v>
      </c>
      <c r="AQ24" s="389" t="s">
        <v>107</v>
      </c>
      <c r="AR24" s="407">
        <f t="shared" si="10"/>
        <v>22.879655843000005</v>
      </c>
      <c r="AS24" s="408">
        <f t="shared" si="11"/>
        <v>358.63212721840006</v>
      </c>
      <c r="AT24" s="409">
        <f t="shared" si="12"/>
        <v>15062.549343172801</v>
      </c>
      <c r="AU24" s="407">
        <f t="shared" si="13"/>
        <v>23.566045518290007</v>
      </c>
      <c r="AV24" s="408">
        <f t="shared" si="14"/>
        <v>369.39109103495207</v>
      </c>
      <c r="AW24" s="409">
        <f t="shared" si="15"/>
        <v>15514.425823467986</v>
      </c>
      <c r="AX24" s="407">
        <f t="shared" si="16"/>
        <v>24.273026883838707</v>
      </c>
      <c r="AY24" s="408">
        <f t="shared" si="17"/>
        <v>380.47282376600066</v>
      </c>
      <c r="AZ24" s="409">
        <f t="shared" si="18"/>
        <v>15979.858598172026</v>
      </c>
      <c r="BA24" s="407">
        <f t="shared" si="19"/>
        <v>25.001217690353869</v>
      </c>
      <c r="BB24" s="408">
        <f t="shared" si="0"/>
        <v>391.8870084789807</v>
      </c>
      <c r="BC24" s="409">
        <f t="shared" si="1"/>
        <v>16459.254356117188</v>
      </c>
      <c r="BD24" s="407">
        <f t="shared" si="2"/>
        <v>25.751254221064485</v>
      </c>
      <c r="BE24" s="408">
        <f t="shared" si="3"/>
        <v>403.64361873335014</v>
      </c>
      <c r="BF24" s="409">
        <f t="shared" si="4"/>
        <v>16953.031986800703</v>
      </c>
      <c r="BG24" s="407">
        <f t="shared" si="5"/>
        <v>26.523791847696419</v>
      </c>
      <c r="BH24" s="408">
        <f t="shared" si="6"/>
        <v>415.75292729535067</v>
      </c>
      <c r="BI24" s="409">
        <f t="shared" si="7"/>
        <v>17461.622946404725</v>
      </c>
    </row>
    <row r="25" spans="1:61" ht="15" thickBot="1">
      <c r="A25" s="166">
        <v>210</v>
      </c>
      <c r="B25" s="157" t="s">
        <v>99</v>
      </c>
      <c r="C25" s="167">
        <v>15</v>
      </c>
      <c r="D25" s="168">
        <v>15</v>
      </c>
      <c r="E25" s="169">
        <v>630</v>
      </c>
      <c r="F25" s="230">
        <v>35.32</v>
      </c>
      <c r="G25" s="161">
        <v>35.32</v>
      </c>
      <c r="H25" s="169">
        <v>1483.44</v>
      </c>
      <c r="I25" s="168">
        <v>37.262599999999999</v>
      </c>
      <c r="J25" s="168">
        <v>37.262599999999999</v>
      </c>
      <c r="K25" s="169">
        <v>1565.0291999999999</v>
      </c>
      <c r="L25" s="168">
        <v>39.125729999999997</v>
      </c>
      <c r="M25" s="168">
        <v>39.125729999999997</v>
      </c>
      <c r="N25" s="169">
        <v>1643.2806599999999</v>
      </c>
      <c r="O25" s="168">
        <v>40.886387849999991</v>
      </c>
      <c r="P25" s="168">
        <v>40.886387849999991</v>
      </c>
      <c r="Q25" s="169">
        <v>1717.2282896999996</v>
      </c>
      <c r="R25" s="168">
        <v>63.55</v>
      </c>
      <c r="S25" s="168">
        <v>63.55</v>
      </c>
      <c r="T25" s="169">
        <v>2669.1</v>
      </c>
      <c r="U25" s="168">
        <v>66.091999999999999</v>
      </c>
      <c r="V25" s="168">
        <v>66.091999999999999</v>
      </c>
      <c r="W25" s="169">
        <v>2775.864</v>
      </c>
      <c r="X25" s="168">
        <v>68.725679999999997</v>
      </c>
      <c r="Y25" s="168">
        <v>68.725679999999997</v>
      </c>
      <c r="Z25" s="169">
        <v>2886.47856</v>
      </c>
      <c r="AA25" s="168">
        <v>72.161963999999998</v>
      </c>
      <c r="AB25" s="168">
        <v>72.161963999999998</v>
      </c>
      <c r="AC25" s="169">
        <v>3030.8024879999998</v>
      </c>
      <c r="AD25" s="168">
        <v>74.319999999999993</v>
      </c>
      <c r="AE25" s="172">
        <v>74.319999999999993</v>
      </c>
      <c r="AF25" s="169">
        <f t="shared" si="20"/>
        <v>3121.4399999999996</v>
      </c>
      <c r="AG25" s="168">
        <f t="shared" si="8"/>
        <v>76.549599999999998</v>
      </c>
      <c r="AH25" s="172">
        <f t="shared" si="8"/>
        <v>76.549599999999998</v>
      </c>
      <c r="AI25" s="169">
        <f t="shared" si="21"/>
        <v>3215.0832</v>
      </c>
      <c r="AJ25" s="168">
        <f t="shared" si="23"/>
        <v>78.846087999999995</v>
      </c>
      <c r="AK25" s="172">
        <f t="shared" si="23"/>
        <v>78.846087999999995</v>
      </c>
      <c r="AL25" s="169">
        <f t="shared" si="22"/>
        <v>3311.5356959999999</v>
      </c>
      <c r="AM25" s="391" t="s">
        <v>108</v>
      </c>
      <c r="AN25" s="410">
        <v>0</v>
      </c>
      <c r="AO25" s="411">
        <v>0</v>
      </c>
      <c r="AP25" s="412">
        <v>0</v>
      </c>
      <c r="AQ25" s="391" t="s">
        <v>108</v>
      </c>
      <c r="AR25" s="410">
        <f t="shared" si="10"/>
        <v>0</v>
      </c>
      <c r="AS25" s="411">
        <f t="shared" si="11"/>
        <v>0</v>
      </c>
      <c r="AT25" s="412">
        <f t="shared" si="12"/>
        <v>0</v>
      </c>
      <c r="AU25" s="410">
        <f t="shared" si="13"/>
        <v>0</v>
      </c>
      <c r="AV25" s="411">
        <f t="shared" si="14"/>
        <v>0</v>
      </c>
      <c r="AW25" s="412">
        <f t="shared" si="15"/>
        <v>0</v>
      </c>
      <c r="AX25" s="410">
        <f t="shared" si="16"/>
        <v>0</v>
      </c>
      <c r="AY25" s="411">
        <f t="shared" si="17"/>
        <v>0</v>
      </c>
      <c r="AZ25" s="412">
        <f t="shared" si="18"/>
        <v>0</v>
      </c>
      <c r="BA25" s="410">
        <f t="shared" si="19"/>
        <v>0</v>
      </c>
      <c r="BB25" s="411">
        <f t="shared" si="0"/>
        <v>0</v>
      </c>
      <c r="BC25" s="412">
        <f t="shared" si="1"/>
        <v>0</v>
      </c>
      <c r="BD25" s="410">
        <f t="shared" si="2"/>
        <v>0</v>
      </c>
      <c r="BE25" s="411">
        <f t="shared" si="3"/>
        <v>0</v>
      </c>
      <c r="BF25" s="412">
        <f t="shared" si="4"/>
        <v>0</v>
      </c>
      <c r="BG25" s="410">
        <f t="shared" si="5"/>
        <v>0</v>
      </c>
      <c r="BH25" s="411">
        <f t="shared" si="6"/>
        <v>0</v>
      </c>
      <c r="BI25" s="412">
        <f t="shared" si="7"/>
        <v>0</v>
      </c>
    </row>
    <row r="26" spans="1:61" ht="14.25">
      <c r="A26" s="166">
        <v>260</v>
      </c>
      <c r="B26" s="157" t="s">
        <v>102</v>
      </c>
      <c r="C26" s="167">
        <v>100</v>
      </c>
      <c r="D26" s="168">
        <v>100</v>
      </c>
      <c r="E26" s="169">
        <v>4200</v>
      </c>
      <c r="F26" s="181">
        <v>106.32</v>
      </c>
      <c r="G26" s="168">
        <v>106.32</v>
      </c>
      <c r="H26" s="169">
        <v>4465.4399999999996</v>
      </c>
      <c r="I26" s="168">
        <v>112.16759999999999</v>
      </c>
      <c r="J26" s="168">
        <v>112.16759999999999</v>
      </c>
      <c r="K26" s="169">
        <v>4711.0391999999993</v>
      </c>
      <c r="L26" s="168">
        <v>117.77598</v>
      </c>
      <c r="M26" s="168">
        <v>117.77598</v>
      </c>
      <c r="N26" s="169">
        <v>4946.5911599999999</v>
      </c>
      <c r="O26" s="168">
        <v>123.0758991</v>
      </c>
      <c r="P26" s="168">
        <v>123.0758991</v>
      </c>
      <c r="Q26" s="169">
        <v>5169.1877622000002</v>
      </c>
      <c r="R26" s="168">
        <v>123.0758991</v>
      </c>
      <c r="S26" s="168">
        <v>123.0758991</v>
      </c>
      <c r="T26" s="169">
        <v>5169.1877622000002</v>
      </c>
      <c r="U26" s="168">
        <v>127.99893506400001</v>
      </c>
      <c r="V26" s="168">
        <v>127.99893506400001</v>
      </c>
      <c r="W26" s="169">
        <v>5375.9552726880002</v>
      </c>
      <c r="X26" s="168">
        <v>133.11889246656003</v>
      </c>
      <c r="Y26" s="168">
        <v>133.11889246656003</v>
      </c>
      <c r="Z26" s="169">
        <v>5590.993483595521</v>
      </c>
      <c r="AA26" s="168">
        <v>139.78008708988804</v>
      </c>
      <c r="AB26" s="168">
        <v>139.78008708988804</v>
      </c>
      <c r="AC26" s="169">
        <v>5870.7636577752974</v>
      </c>
      <c r="AD26" s="168">
        <v>143.97</v>
      </c>
      <c r="AE26" s="172">
        <v>143.97</v>
      </c>
      <c r="AF26" s="169">
        <f t="shared" si="20"/>
        <v>6046.74</v>
      </c>
      <c r="AG26" s="168">
        <f t="shared" si="8"/>
        <v>148.28909999999999</v>
      </c>
      <c r="AH26" s="172">
        <f t="shared" si="8"/>
        <v>148.28909999999999</v>
      </c>
      <c r="AI26" s="169">
        <f t="shared" si="21"/>
        <v>6228.1421999999993</v>
      </c>
      <c r="AJ26" s="168">
        <f t="shared" si="23"/>
        <v>152.737773</v>
      </c>
      <c r="AK26" s="172">
        <f t="shared" si="23"/>
        <v>152.737773</v>
      </c>
      <c r="AL26" s="169">
        <f t="shared" si="22"/>
        <v>6414.9864660000003</v>
      </c>
      <c r="AM26" s="389" t="s">
        <v>99</v>
      </c>
      <c r="AN26" s="407">
        <v>81.211470640000002</v>
      </c>
      <c r="AO26" s="408">
        <v>81.211470640000002</v>
      </c>
      <c r="AP26" s="409">
        <v>3410.8817668800002</v>
      </c>
      <c r="AQ26" s="389" t="s">
        <v>99</v>
      </c>
      <c r="AR26" s="407">
        <f t="shared" si="10"/>
        <v>83.647814759200003</v>
      </c>
      <c r="AS26" s="408">
        <f t="shared" si="11"/>
        <v>83.647814759200003</v>
      </c>
      <c r="AT26" s="409">
        <f t="shared" si="12"/>
        <v>3513.2082198864005</v>
      </c>
      <c r="AU26" s="407">
        <f t="shared" si="13"/>
        <v>86.157249201976001</v>
      </c>
      <c r="AV26" s="408">
        <f t="shared" si="14"/>
        <v>86.157249201976001</v>
      </c>
      <c r="AW26" s="409">
        <f t="shared" si="15"/>
        <v>3618.6044664829924</v>
      </c>
      <c r="AX26" s="407">
        <f t="shared" si="16"/>
        <v>88.741966678035283</v>
      </c>
      <c r="AY26" s="408">
        <f t="shared" si="17"/>
        <v>88.741966678035283</v>
      </c>
      <c r="AZ26" s="409">
        <f t="shared" si="18"/>
        <v>3727.1626004774821</v>
      </c>
      <c r="BA26" s="407">
        <f t="shared" si="19"/>
        <v>91.404225678376349</v>
      </c>
      <c r="BB26" s="408">
        <f t="shared" si="0"/>
        <v>91.404225678376349</v>
      </c>
      <c r="BC26" s="409">
        <f t="shared" si="1"/>
        <v>3838.9774784918068</v>
      </c>
      <c r="BD26" s="407">
        <f t="shared" si="2"/>
        <v>94.14635244872764</v>
      </c>
      <c r="BE26" s="408">
        <f t="shared" si="3"/>
        <v>94.14635244872764</v>
      </c>
      <c r="BF26" s="409">
        <f t="shared" si="4"/>
        <v>3954.1468028465611</v>
      </c>
      <c r="BG26" s="407">
        <f t="shared" si="5"/>
        <v>96.970743022189467</v>
      </c>
      <c r="BH26" s="408">
        <f t="shared" si="6"/>
        <v>96.970743022189467</v>
      </c>
      <c r="BI26" s="409">
        <f t="shared" si="7"/>
        <v>4072.7712069319582</v>
      </c>
    </row>
    <row r="27" spans="1:61" ht="14.25">
      <c r="A27" s="173">
        <v>231</v>
      </c>
      <c r="B27" s="158" t="s">
        <v>104</v>
      </c>
      <c r="C27" s="174">
        <v>22.089552238805972</v>
      </c>
      <c r="D27" s="175">
        <v>122.09</v>
      </c>
      <c r="E27" s="176">
        <v>5127.78</v>
      </c>
      <c r="F27" s="174">
        <v>22.089552238805972</v>
      </c>
      <c r="G27" s="175">
        <v>128.40955223880596</v>
      </c>
      <c r="H27" s="176">
        <v>5393.2011940298498</v>
      </c>
      <c r="I27" s="174">
        <v>23.3044776119403</v>
      </c>
      <c r="J27" s="175">
        <v>135.47207761194028</v>
      </c>
      <c r="K27" s="176">
        <v>5689.827259701492</v>
      </c>
      <c r="L27" s="175">
        <v>24.469701492537315</v>
      </c>
      <c r="M27" s="175">
        <v>142.24568149253733</v>
      </c>
      <c r="N27" s="176">
        <v>5974.3186226865682</v>
      </c>
      <c r="O27" s="175">
        <v>25.570838059701494</v>
      </c>
      <c r="P27" s="175">
        <v>148.6467371597015</v>
      </c>
      <c r="Q27" s="176">
        <v>6243.1629607074628</v>
      </c>
      <c r="R27" s="175">
        <v>25.570838059701494</v>
      </c>
      <c r="S27" s="175">
        <v>148.6467371597015</v>
      </c>
      <c r="T27" s="176">
        <v>6243.1629607074628</v>
      </c>
      <c r="U27" s="175">
        <v>26.593671582089556</v>
      </c>
      <c r="V27" s="175">
        <v>154.59260664608956</v>
      </c>
      <c r="W27" s="176">
        <v>6492.8894791357616</v>
      </c>
      <c r="X27" s="175">
        <v>27.647418445373138</v>
      </c>
      <c r="Y27" s="175">
        <v>160.76631091193318</v>
      </c>
      <c r="Z27" s="176">
        <v>6752.1850583011937</v>
      </c>
      <c r="AA27" s="175">
        <v>29.029789367641797</v>
      </c>
      <c r="AB27" s="175">
        <v>168.80987645752984</v>
      </c>
      <c r="AC27" s="176">
        <v>7090.0148112162533</v>
      </c>
      <c r="AD27" s="175">
        <v>29.9</v>
      </c>
      <c r="AE27" s="172">
        <v>173.87</v>
      </c>
      <c r="AF27" s="176">
        <f t="shared" si="20"/>
        <v>7302.54</v>
      </c>
      <c r="AG27" s="175">
        <f t="shared" si="8"/>
        <v>30.797000000000001</v>
      </c>
      <c r="AH27" s="172">
        <f t="shared" si="8"/>
        <v>179.08610000000002</v>
      </c>
      <c r="AI27" s="176">
        <f t="shared" si="21"/>
        <v>7521.6162000000004</v>
      </c>
      <c r="AJ27" s="175">
        <f t="shared" si="23"/>
        <v>31.72091</v>
      </c>
      <c r="AK27" s="172">
        <f t="shared" si="23"/>
        <v>184.45868300000001</v>
      </c>
      <c r="AL27" s="176">
        <f t="shared" si="22"/>
        <v>7747.2646860000004</v>
      </c>
      <c r="AM27" s="389" t="s">
        <v>102</v>
      </c>
      <c r="AN27" s="407">
        <v>157.31990619000001</v>
      </c>
      <c r="AO27" s="408">
        <v>157.31990619000001</v>
      </c>
      <c r="AP27" s="409">
        <v>6607.4360599800002</v>
      </c>
      <c r="AQ27" s="389" t="s">
        <v>102</v>
      </c>
      <c r="AR27" s="407">
        <f t="shared" si="10"/>
        <v>162.03950337570001</v>
      </c>
      <c r="AS27" s="408">
        <f t="shared" si="11"/>
        <v>162.03950337570001</v>
      </c>
      <c r="AT27" s="409">
        <f t="shared" si="12"/>
        <v>6805.6591417794007</v>
      </c>
      <c r="AU27" s="407">
        <f t="shared" si="13"/>
        <v>166.900688476971</v>
      </c>
      <c r="AV27" s="408">
        <f t="shared" si="14"/>
        <v>166.900688476971</v>
      </c>
      <c r="AW27" s="409">
        <f t="shared" si="15"/>
        <v>7009.8289160327831</v>
      </c>
      <c r="AX27" s="407">
        <f t="shared" si="16"/>
        <v>171.90770913128014</v>
      </c>
      <c r="AY27" s="408">
        <f t="shared" si="17"/>
        <v>171.90770913128014</v>
      </c>
      <c r="AZ27" s="409">
        <f t="shared" si="18"/>
        <v>7220.1237835137672</v>
      </c>
      <c r="BA27" s="407">
        <f t="shared" si="19"/>
        <v>177.06494040521855</v>
      </c>
      <c r="BB27" s="408">
        <f t="shared" si="0"/>
        <v>177.06494040521855</v>
      </c>
      <c r="BC27" s="409">
        <f t="shared" si="1"/>
        <v>7436.7274970191802</v>
      </c>
      <c r="BD27" s="407">
        <f t="shared" si="2"/>
        <v>182.3768886173751</v>
      </c>
      <c r="BE27" s="408">
        <f t="shared" si="3"/>
        <v>182.3768886173751</v>
      </c>
      <c r="BF27" s="409">
        <f t="shared" si="4"/>
        <v>7659.8293219297557</v>
      </c>
      <c r="BG27" s="407">
        <f t="shared" si="5"/>
        <v>187.84819527589636</v>
      </c>
      <c r="BH27" s="408">
        <f t="shared" si="6"/>
        <v>187.84819527589636</v>
      </c>
      <c r="BI27" s="409">
        <f t="shared" si="7"/>
        <v>7889.6242015876487</v>
      </c>
    </row>
    <row r="28" spans="1:61" ht="14.25">
      <c r="A28" s="166">
        <v>221</v>
      </c>
      <c r="B28" s="157" t="s">
        <v>105</v>
      </c>
      <c r="C28" s="167">
        <v>40</v>
      </c>
      <c r="D28" s="168">
        <v>140</v>
      </c>
      <c r="E28" s="169">
        <v>5880</v>
      </c>
      <c r="F28" s="181">
        <v>40</v>
      </c>
      <c r="G28" s="168">
        <v>146.32</v>
      </c>
      <c r="H28" s="169">
        <v>6145.44</v>
      </c>
      <c r="I28" s="168">
        <v>42.2</v>
      </c>
      <c r="J28" s="168">
        <v>154.36759999999998</v>
      </c>
      <c r="K28" s="169">
        <v>6483.4391999999989</v>
      </c>
      <c r="L28" s="168">
        <v>44.31</v>
      </c>
      <c r="M28" s="168">
        <v>162.08598000000001</v>
      </c>
      <c r="N28" s="169">
        <v>6807.6111600000004</v>
      </c>
      <c r="O28" s="168">
        <v>46.30395</v>
      </c>
      <c r="P28" s="168">
        <v>169.3798491</v>
      </c>
      <c r="Q28" s="169">
        <v>7113.9536621999996</v>
      </c>
      <c r="R28" s="168">
        <v>46.30395</v>
      </c>
      <c r="S28" s="168">
        <v>169.3798491</v>
      </c>
      <c r="T28" s="169">
        <v>7113.9536621999996</v>
      </c>
      <c r="U28" s="168">
        <v>48.156108000000003</v>
      </c>
      <c r="V28" s="168">
        <v>176.15504306400001</v>
      </c>
      <c r="W28" s="169">
        <v>7398.5118086880002</v>
      </c>
      <c r="X28" s="168">
        <v>50.092352320000003</v>
      </c>
      <c r="Y28" s="168">
        <v>183.21124478656003</v>
      </c>
      <c r="Z28" s="169">
        <v>7694.8722810355212</v>
      </c>
      <c r="AA28" s="168">
        <v>52.58696993600001</v>
      </c>
      <c r="AB28" s="168">
        <v>192.36705702588804</v>
      </c>
      <c r="AC28" s="169">
        <v>8079.416395087298</v>
      </c>
      <c r="AD28" s="168">
        <v>54.17</v>
      </c>
      <c r="AE28" s="172">
        <v>198.14</v>
      </c>
      <c r="AF28" s="169">
        <f t="shared" si="20"/>
        <v>8321.8799999999992</v>
      </c>
      <c r="AG28" s="168">
        <f>AD28*(1+$AI$2)-0.01</f>
        <v>55.785100000000007</v>
      </c>
      <c r="AH28" s="172">
        <f t="shared" si="8"/>
        <v>204.08419999999998</v>
      </c>
      <c r="AI28" s="169">
        <f t="shared" si="21"/>
        <v>8571.536399999999</v>
      </c>
      <c r="AJ28" s="168">
        <f>AG28*(1+$AI$2)-0.01</f>
        <v>57.448653000000007</v>
      </c>
      <c r="AK28" s="172">
        <f>AH28*(1+$AI$2)-0.02</f>
        <v>210.18672599999996</v>
      </c>
      <c r="AL28" s="169">
        <f>AK28*42</f>
        <v>8827.8424919999979</v>
      </c>
      <c r="AM28" s="389" t="s">
        <v>104</v>
      </c>
      <c r="AN28" s="407">
        <v>32.672537300000002</v>
      </c>
      <c r="AO28" s="408">
        <v>189.99244349</v>
      </c>
      <c r="AP28" s="409">
        <v>7979.6826265800009</v>
      </c>
      <c r="AQ28" s="389" t="s">
        <v>104</v>
      </c>
      <c r="AR28" s="407">
        <f t="shared" si="10"/>
        <v>33.652713419000001</v>
      </c>
      <c r="AS28" s="408">
        <f t="shared" si="11"/>
        <v>195.69221679470002</v>
      </c>
      <c r="AT28" s="409">
        <f t="shared" si="12"/>
        <v>8219.0731053774016</v>
      </c>
      <c r="AU28" s="407">
        <f t="shared" si="13"/>
        <v>34.662294821570001</v>
      </c>
      <c r="AV28" s="408">
        <f t="shared" si="14"/>
        <v>201.56298329854101</v>
      </c>
      <c r="AW28" s="409">
        <f t="shared" si="15"/>
        <v>8465.6452985387241</v>
      </c>
      <c r="AX28" s="407">
        <f t="shared" si="16"/>
        <v>35.702163666217103</v>
      </c>
      <c r="AY28" s="408">
        <f t="shared" si="17"/>
        <v>207.60987279749725</v>
      </c>
      <c r="AZ28" s="409">
        <f t="shared" si="18"/>
        <v>8719.6146574948853</v>
      </c>
      <c r="BA28" s="407">
        <f t="shared" si="19"/>
        <v>36.773228576203614</v>
      </c>
      <c r="BB28" s="408">
        <f t="shared" si="0"/>
        <v>213.83816898142217</v>
      </c>
      <c r="BC28" s="409">
        <f t="shared" si="1"/>
        <v>8981.2030972197317</v>
      </c>
      <c r="BD28" s="407">
        <f t="shared" si="2"/>
        <v>37.876425433489722</v>
      </c>
      <c r="BE28" s="408">
        <f t="shared" si="3"/>
        <v>220.25331405086484</v>
      </c>
      <c r="BF28" s="409">
        <f t="shared" si="4"/>
        <v>9250.639190136324</v>
      </c>
      <c r="BG28" s="407">
        <f t="shared" si="5"/>
        <v>39.012718196494411</v>
      </c>
      <c r="BH28" s="408">
        <f t="shared" si="6"/>
        <v>226.86091347239079</v>
      </c>
      <c r="BI28" s="409">
        <f t="shared" si="7"/>
        <v>9528.1583658404143</v>
      </c>
    </row>
    <row r="29" spans="1:61" ht="14.25">
      <c r="A29" s="173">
        <v>243</v>
      </c>
      <c r="B29" s="158" t="s">
        <v>109</v>
      </c>
      <c r="C29" s="174">
        <v>8.1360946745562135</v>
      </c>
      <c r="D29" s="175">
        <v>148.13999999999999</v>
      </c>
      <c r="E29" s="176">
        <v>6221.8799999999992</v>
      </c>
      <c r="F29" s="174">
        <v>16.272189349112427</v>
      </c>
      <c r="G29" s="175">
        <v>162.5921893491124</v>
      </c>
      <c r="H29" s="176">
        <v>6828.871952662721</v>
      </c>
      <c r="I29" s="174">
        <v>17.168639053254438</v>
      </c>
      <c r="J29" s="175">
        <v>171.53623905325441</v>
      </c>
      <c r="K29" s="176">
        <v>7204.5220402366849</v>
      </c>
      <c r="L29" s="174">
        <v>18.027071005917161</v>
      </c>
      <c r="M29" s="175">
        <v>180.11305100591716</v>
      </c>
      <c r="N29" s="176">
        <v>7564.7481422485207</v>
      </c>
      <c r="O29" s="174">
        <v>18.838289201183432</v>
      </c>
      <c r="P29" s="175">
        <v>188.21813830118344</v>
      </c>
      <c r="Q29" s="176">
        <v>7905.1618086497047</v>
      </c>
      <c r="R29" s="174">
        <v>18.838289201183432</v>
      </c>
      <c r="S29" s="175">
        <v>188.21813830118344</v>
      </c>
      <c r="T29" s="176">
        <v>7905.1618086497047</v>
      </c>
      <c r="U29" s="174">
        <v>19.591820769230772</v>
      </c>
      <c r="V29" s="175">
        <v>195.74686383323078</v>
      </c>
      <c r="W29" s="176">
        <v>8221.3682809956917</v>
      </c>
      <c r="X29" s="175">
        <v>20.365493600000001</v>
      </c>
      <c r="Y29" s="175">
        <v>203.57673838656004</v>
      </c>
      <c r="Z29" s="176">
        <v>8550.2230122355213</v>
      </c>
      <c r="AA29" s="175">
        <v>21.393768280000003</v>
      </c>
      <c r="AB29" s="175">
        <v>213.76082530588803</v>
      </c>
      <c r="AC29" s="176">
        <v>8977.9546628472981</v>
      </c>
      <c r="AD29" s="175">
        <v>22.03</v>
      </c>
      <c r="AE29" s="172">
        <v>220.17</v>
      </c>
      <c r="AF29" s="176">
        <f t="shared" si="20"/>
        <v>9247.14</v>
      </c>
      <c r="AG29" s="175">
        <f>AD29*(1+$AI$2)+0.01</f>
        <v>22.700900000000004</v>
      </c>
      <c r="AH29" s="172">
        <f t="shared" si="8"/>
        <v>226.77509999999998</v>
      </c>
      <c r="AI29" s="176">
        <f t="shared" si="21"/>
        <v>9524.5541999999987</v>
      </c>
      <c r="AJ29" s="175">
        <f>AG29*(1+$AI$2)+0.01</f>
        <v>23.391927000000006</v>
      </c>
      <c r="AK29" s="172">
        <f t="shared" si="23"/>
        <v>233.57835299999999</v>
      </c>
      <c r="AL29" s="176">
        <f t="shared" si="22"/>
        <v>9810.2908260000004</v>
      </c>
      <c r="AM29" s="389" t="s">
        <v>105</v>
      </c>
      <c r="AN29" s="407">
        <v>59.172112590000012</v>
      </c>
      <c r="AO29" s="408">
        <v>216.49232777999998</v>
      </c>
      <c r="AP29" s="409">
        <v>9092.6777667599981</v>
      </c>
      <c r="AQ29" s="389" t="s">
        <v>105</v>
      </c>
      <c r="AR29" s="407">
        <f t="shared" si="10"/>
        <v>60.947275967700016</v>
      </c>
      <c r="AS29" s="408">
        <f t="shared" si="11"/>
        <v>222.98709761339998</v>
      </c>
      <c r="AT29" s="409">
        <f t="shared" si="12"/>
        <v>9365.4580997627982</v>
      </c>
      <c r="AU29" s="407">
        <f t="shared" si="13"/>
        <v>62.775694246731021</v>
      </c>
      <c r="AV29" s="408">
        <f t="shared" si="14"/>
        <v>229.67671054180198</v>
      </c>
      <c r="AW29" s="409">
        <f t="shared" si="15"/>
        <v>9646.4218427556825</v>
      </c>
      <c r="AX29" s="407">
        <f t="shared" si="16"/>
        <v>64.658965074132951</v>
      </c>
      <c r="AY29" s="408">
        <f t="shared" si="17"/>
        <v>236.56701185805605</v>
      </c>
      <c r="AZ29" s="409">
        <f t="shared" si="18"/>
        <v>9935.8144980383531</v>
      </c>
      <c r="BA29" s="407">
        <f t="shared" si="19"/>
        <v>66.598734026356937</v>
      </c>
      <c r="BB29" s="408">
        <f t="shared" si="0"/>
        <v>243.66402221379775</v>
      </c>
      <c r="BC29" s="409">
        <f t="shared" si="1"/>
        <v>10233.888932979504</v>
      </c>
      <c r="BD29" s="407">
        <f t="shared" si="2"/>
        <v>68.596696047147645</v>
      </c>
      <c r="BE29" s="408">
        <f t="shared" si="3"/>
        <v>250.97394288021169</v>
      </c>
      <c r="BF29" s="409">
        <f t="shared" si="4"/>
        <v>10540.905600968888</v>
      </c>
      <c r="BG29" s="407">
        <f t="shared" si="5"/>
        <v>70.654596928562071</v>
      </c>
      <c r="BH29" s="408">
        <f t="shared" si="6"/>
        <v>258.50316116661804</v>
      </c>
      <c r="BI29" s="409">
        <f t="shared" si="7"/>
        <v>10857.132768997955</v>
      </c>
    </row>
    <row r="30" spans="1:61" ht="14.25">
      <c r="A30" s="166">
        <v>258</v>
      </c>
      <c r="B30" s="157" t="s">
        <v>110</v>
      </c>
      <c r="C30" s="167">
        <v>27.5</v>
      </c>
      <c r="D30" s="168">
        <v>167.5</v>
      </c>
      <c r="E30" s="169">
        <v>7035</v>
      </c>
      <c r="F30" s="181">
        <v>55</v>
      </c>
      <c r="G30" s="168">
        <v>201.32</v>
      </c>
      <c r="H30" s="169">
        <v>8455.44</v>
      </c>
      <c r="I30" s="168">
        <v>58.024999999999999</v>
      </c>
      <c r="J30" s="168">
        <v>212.40259999999998</v>
      </c>
      <c r="K30" s="169">
        <v>8920.9091999999982</v>
      </c>
      <c r="L30" s="168">
        <v>60.926250000000003</v>
      </c>
      <c r="M30" s="168">
        <v>223.02223000000001</v>
      </c>
      <c r="N30" s="169">
        <v>9366.9336600000006</v>
      </c>
      <c r="O30" s="168">
        <v>63.667931250000002</v>
      </c>
      <c r="P30" s="168">
        <v>233.04778035000001</v>
      </c>
      <c r="Q30" s="169">
        <v>9788.0067747000012</v>
      </c>
      <c r="R30" s="168">
        <v>63.667931250000002</v>
      </c>
      <c r="S30" s="168">
        <v>233.04778035000001</v>
      </c>
      <c r="T30" s="169">
        <v>9788.0067747000012</v>
      </c>
      <c r="U30" s="168">
        <v>66.21464850000001</v>
      </c>
      <c r="V30" s="168">
        <v>242.36969156400002</v>
      </c>
      <c r="W30" s="169">
        <v>10179.527045688001</v>
      </c>
      <c r="X30" s="168">
        <v>68.853234440000008</v>
      </c>
      <c r="Y30" s="168">
        <v>252.06447922656002</v>
      </c>
      <c r="Z30" s="169">
        <v>10586.708127515521</v>
      </c>
      <c r="AA30" s="168">
        <v>72.30589616200001</v>
      </c>
      <c r="AB30" s="168">
        <v>264.67295318788808</v>
      </c>
      <c r="AC30" s="169">
        <v>11116.264033891299</v>
      </c>
      <c r="AD30" s="168">
        <v>74.48</v>
      </c>
      <c r="AE30" s="172">
        <v>272.62</v>
      </c>
      <c r="AF30" s="169">
        <f t="shared" si="20"/>
        <v>11450.04</v>
      </c>
      <c r="AG30" s="168">
        <f>AD30*(1+$AI$2)+0.01</f>
        <v>76.724400000000017</v>
      </c>
      <c r="AH30" s="172">
        <f t="shared" si="8"/>
        <v>280.79860000000002</v>
      </c>
      <c r="AI30" s="169">
        <f t="shared" si="21"/>
        <v>11793.541200000001</v>
      </c>
      <c r="AJ30" s="168">
        <f t="shared" ref="AJ30:AJ35" si="24">AG30*(1+$AI$2)</f>
        <v>79.026132000000018</v>
      </c>
      <c r="AK30" s="172">
        <f>AH30*(1+$AI$2)-0.01</f>
        <v>289.21255800000006</v>
      </c>
      <c r="AL30" s="169">
        <f t="shared" si="22"/>
        <v>12146.927436000002</v>
      </c>
      <c r="AM30" s="389" t="s">
        <v>109</v>
      </c>
      <c r="AN30" s="407">
        <v>24.093684810000006</v>
      </c>
      <c r="AO30" s="408">
        <v>240.58570359000001</v>
      </c>
      <c r="AP30" s="409">
        <v>10104.59955078</v>
      </c>
      <c r="AQ30" s="389" t="s">
        <v>109</v>
      </c>
      <c r="AR30" s="407">
        <f t="shared" si="10"/>
        <v>24.816495354300006</v>
      </c>
      <c r="AS30" s="408">
        <f t="shared" si="11"/>
        <v>247.8032746977</v>
      </c>
      <c r="AT30" s="409">
        <f t="shared" si="12"/>
        <v>10407.737537303399</v>
      </c>
      <c r="AU30" s="407">
        <f t="shared" si="13"/>
        <v>25.560990214929006</v>
      </c>
      <c r="AV30" s="408">
        <f t="shared" si="14"/>
        <v>255.23737293863101</v>
      </c>
      <c r="AW30" s="409">
        <f t="shared" si="15"/>
        <v>10719.969663422502</v>
      </c>
      <c r="AX30" s="407">
        <f t="shared" si="16"/>
        <v>26.327819921376879</v>
      </c>
      <c r="AY30" s="408">
        <f t="shared" si="17"/>
        <v>262.89449412678994</v>
      </c>
      <c r="AZ30" s="409">
        <f t="shared" si="18"/>
        <v>11041.568753325177</v>
      </c>
      <c r="BA30" s="407">
        <f t="shared" si="19"/>
        <v>27.117654519018185</v>
      </c>
      <c r="BB30" s="408">
        <f t="shared" si="0"/>
        <v>270.78132895059366</v>
      </c>
      <c r="BC30" s="409">
        <f t="shared" si="1"/>
        <v>11372.815815924932</v>
      </c>
      <c r="BD30" s="407">
        <f t="shared" si="2"/>
        <v>27.931184154588731</v>
      </c>
      <c r="BE30" s="408">
        <f t="shared" si="3"/>
        <v>278.9047688191115</v>
      </c>
      <c r="BF30" s="409">
        <f t="shared" si="4"/>
        <v>11714.000290402681</v>
      </c>
      <c r="BG30" s="407">
        <f t="shared" si="5"/>
        <v>28.769119679226392</v>
      </c>
      <c r="BH30" s="408">
        <f t="shared" si="6"/>
        <v>287.27191188368482</v>
      </c>
      <c r="BI30" s="409">
        <f t="shared" si="7"/>
        <v>12065.420299114761</v>
      </c>
    </row>
    <row r="31" spans="1:61" ht="15" thickBot="1">
      <c r="A31" s="214">
        <v>259</v>
      </c>
      <c r="B31" s="234" t="s">
        <v>111</v>
      </c>
      <c r="C31" s="216">
        <v>26</v>
      </c>
      <c r="D31" s="168">
        <v>193.5</v>
      </c>
      <c r="E31" s="169">
        <v>8127</v>
      </c>
      <c r="F31" s="181">
        <v>52</v>
      </c>
      <c r="G31" s="217">
        <v>253.32</v>
      </c>
      <c r="H31" s="218">
        <v>10639.44</v>
      </c>
      <c r="I31" s="224">
        <v>54.86</v>
      </c>
      <c r="J31" s="217">
        <v>267.26259999999996</v>
      </c>
      <c r="K31" s="218">
        <v>11225.029199999999</v>
      </c>
      <c r="L31" s="224">
        <v>57.603000000000002</v>
      </c>
      <c r="M31" s="217">
        <v>280.62423000000001</v>
      </c>
      <c r="N31" s="218">
        <v>11786.21766</v>
      </c>
      <c r="O31" s="224">
        <v>60.195135000000001</v>
      </c>
      <c r="P31" s="217">
        <v>293.25291535000002</v>
      </c>
      <c r="Q31" s="218">
        <v>12316.6224447</v>
      </c>
      <c r="R31" s="224">
        <v>60.195135000000001</v>
      </c>
      <c r="S31" s="217">
        <v>293.25291535000002</v>
      </c>
      <c r="T31" s="218">
        <v>12316.6224447</v>
      </c>
      <c r="U31" s="224">
        <v>62.602940400000001</v>
      </c>
      <c r="V31" s="217">
        <v>304.98263196400001</v>
      </c>
      <c r="W31" s="218">
        <v>12809.270542488001</v>
      </c>
      <c r="X31" s="217">
        <v>65.097058016000005</v>
      </c>
      <c r="Y31" s="217">
        <v>317.17153724256002</v>
      </c>
      <c r="Z31" s="218">
        <v>13321.204564187521</v>
      </c>
      <c r="AA31" s="217">
        <v>68.361910916800014</v>
      </c>
      <c r="AB31" s="217">
        <v>333.0348641046881</v>
      </c>
      <c r="AC31" s="218">
        <v>13987.4642923969</v>
      </c>
      <c r="AD31" s="217">
        <v>70.41</v>
      </c>
      <c r="AE31" s="220">
        <v>343.03</v>
      </c>
      <c r="AF31" s="218">
        <f t="shared" si="20"/>
        <v>14407.259999999998</v>
      </c>
      <c r="AG31" s="217">
        <f t="shared" si="8"/>
        <v>72.522300000000001</v>
      </c>
      <c r="AH31" s="220">
        <f t="shared" si="8"/>
        <v>353.32089999999999</v>
      </c>
      <c r="AI31" s="218">
        <f t="shared" si="21"/>
        <v>14839.477800000001</v>
      </c>
      <c r="AJ31" s="217">
        <f t="shared" si="24"/>
        <v>74.697969000000001</v>
      </c>
      <c r="AK31" s="220">
        <f>AH31*(1+$AI$2)-0.01</f>
        <v>363.910527</v>
      </c>
      <c r="AL31" s="218">
        <f t="shared" si="22"/>
        <v>15284.242134</v>
      </c>
      <c r="AM31" s="389" t="s">
        <v>110</v>
      </c>
      <c r="AN31" s="407">
        <v>81.396915960000015</v>
      </c>
      <c r="AO31" s="408">
        <v>297.88893474000008</v>
      </c>
      <c r="AP31" s="409">
        <v>12511.335259080002</v>
      </c>
      <c r="AQ31" s="389" t="s">
        <v>110</v>
      </c>
      <c r="AR31" s="407">
        <f t="shared" si="10"/>
        <v>83.83882343880002</v>
      </c>
      <c r="AS31" s="408">
        <f t="shared" si="11"/>
        <v>306.82560278220006</v>
      </c>
      <c r="AT31" s="409">
        <f t="shared" si="12"/>
        <v>12886.675316852403</v>
      </c>
      <c r="AU31" s="407">
        <f t="shared" si="13"/>
        <v>86.353988141964024</v>
      </c>
      <c r="AV31" s="408">
        <f t="shared" si="14"/>
        <v>316.0303708656661</v>
      </c>
      <c r="AW31" s="409">
        <f t="shared" si="15"/>
        <v>13273.275576357975</v>
      </c>
      <c r="AX31" s="407">
        <f t="shared" si="16"/>
        <v>88.944607786222946</v>
      </c>
      <c r="AY31" s="408">
        <f t="shared" si="17"/>
        <v>325.51128199163611</v>
      </c>
      <c r="AZ31" s="409">
        <f t="shared" si="18"/>
        <v>13671.473843648715</v>
      </c>
      <c r="BA31" s="407">
        <f t="shared" si="19"/>
        <v>91.612946019809641</v>
      </c>
      <c r="BB31" s="408">
        <f t="shared" si="0"/>
        <v>335.27662045138521</v>
      </c>
      <c r="BC31" s="409">
        <f t="shared" si="1"/>
        <v>14081.618058958176</v>
      </c>
      <c r="BD31" s="407">
        <f t="shared" si="2"/>
        <v>94.361334400403933</v>
      </c>
      <c r="BE31" s="408">
        <f t="shared" si="3"/>
        <v>345.33491906492679</v>
      </c>
      <c r="BF31" s="409">
        <f t="shared" si="4"/>
        <v>14504.066600726923</v>
      </c>
      <c r="BG31" s="407">
        <f t="shared" si="5"/>
        <v>97.192174432416053</v>
      </c>
      <c r="BH31" s="408">
        <f t="shared" si="6"/>
        <v>355.6949666368746</v>
      </c>
      <c r="BI31" s="409">
        <f t="shared" si="7"/>
        <v>14939.188598748731</v>
      </c>
    </row>
    <row r="32" spans="1:61" ht="15" thickBot="1">
      <c r="A32" s="159">
        <v>210</v>
      </c>
      <c r="B32" s="156" t="s">
        <v>99</v>
      </c>
      <c r="C32" s="177">
        <v>15</v>
      </c>
      <c r="D32" s="161">
        <v>15</v>
      </c>
      <c r="E32" s="161">
        <v>630</v>
      </c>
      <c r="F32" s="163">
        <v>35.32</v>
      </c>
      <c r="G32" s="161">
        <v>35.32</v>
      </c>
      <c r="H32" s="162">
        <v>1483.44</v>
      </c>
      <c r="I32" s="164">
        <v>37.262599999999999</v>
      </c>
      <c r="J32" s="161">
        <v>37.262599999999999</v>
      </c>
      <c r="K32" s="162">
        <v>1565.0291999999999</v>
      </c>
      <c r="L32" s="164">
        <v>39.125729999999997</v>
      </c>
      <c r="M32" s="161">
        <v>39.125729999999997</v>
      </c>
      <c r="N32" s="162">
        <v>1643.2806599999999</v>
      </c>
      <c r="O32" s="164">
        <v>40.886387849999991</v>
      </c>
      <c r="P32" s="161">
        <v>40.886387849999991</v>
      </c>
      <c r="Q32" s="162">
        <v>1717.2282896999996</v>
      </c>
      <c r="R32" s="164">
        <v>63.55</v>
      </c>
      <c r="S32" s="161">
        <v>63.55</v>
      </c>
      <c r="T32" s="162">
        <v>2669.1</v>
      </c>
      <c r="U32" s="164">
        <v>66.091999999999999</v>
      </c>
      <c r="V32" s="161">
        <v>66.091999999999999</v>
      </c>
      <c r="W32" s="162">
        <v>2775.864</v>
      </c>
      <c r="X32" s="161">
        <v>68.725679999999997</v>
      </c>
      <c r="Y32" s="161">
        <v>68.725679999999997</v>
      </c>
      <c r="Z32" s="162">
        <v>2886.47856</v>
      </c>
      <c r="AA32" s="161">
        <v>72.161963999999998</v>
      </c>
      <c r="AB32" s="161">
        <v>72.161963999999998</v>
      </c>
      <c r="AC32" s="162">
        <v>3030.8024879999998</v>
      </c>
      <c r="AD32" s="161">
        <v>74.319999999999993</v>
      </c>
      <c r="AE32" s="165">
        <v>74.319999999999993</v>
      </c>
      <c r="AF32" s="162">
        <f t="shared" si="20"/>
        <v>3121.4399999999996</v>
      </c>
      <c r="AG32" s="161">
        <f t="shared" si="8"/>
        <v>76.549599999999998</v>
      </c>
      <c r="AH32" s="165">
        <f t="shared" si="8"/>
        <v>76.549599999999998</v>
      </c>
      <c r="AI32" s="162">
        <f t="shared" si="21"/>
        <v>3215.0832</v>
      </c>
      <c r="AJ32" s="161">
        <f t="shared" si="24"/>
        <v>78.846087999999995</v>
      </c>
      <c r="AK32" s="165">
        <f t="shared" si="23"/>
        <v>78.846087999999995</v>
      </c>
      <c r="AL32" s="162">
        <f t="shared" si="22"/>
        <v>3311.5356959999999</v>
      </c>
      <c r="AM32" s="388" t="s">
        <v>111</v>
      </c>
      <c r="AN32" s="410">
        <v>76.938908069999997</v>
      </c>
      <c r="AO32" s="411">
        <v>374.82784280999999</v>
      </c>
      <c r="AP32" s="412">
        <v>15742.76939802</v>
      </c>
      <c r="AQ32" s="388" t="s">
        <v>111</v>
      </c>
      <c r="AR32" s="410">
        <f t="shared" si="10"/>
        <v>79.247075312099994</v>
      </c>
      <c r="AS32" s="411">
        <f t="shared" si="11"/>
        <v>386.07267809429999</v>
      </c>
      <c r="AT32" s="412">
        <f t="shared" si="12"/>
        <v>16215.052479960601</v>
      </c>
      <c r="AU32" s="410">
        <f t="shared" si="13"/>
        <v>81.624487571462993</v>
      </c>
      <c r="AV32" s="411">
        <f t="shared" si="14"/>
        <v>397.65485843712901</v>
      </c>
      <c r="AW32" s="412">
        <f t="shared" si="15"/>
        <v>16701.504054359419</v>
      </c>
      <c r="AX32" s="410">
        <f t="shared" si="16"/>
        <v>84.073222198606885</v>
      </c>
      <c r="AY32" s="411">
        <f t="shared" si="17"/>
        <v>409.58450419024291</v>
      </c>
      <c r="AZ32" s="412">
        <f t="shared" si="18"/>
        <v>17202.549175990203</v>
      </c>
      <c r="BA32" s="410">
        <f t="shared" si="19"/>
        <v>86.59541886456509</v>
      </c>
      <c r="BB32" s="411">
        <f t="shared" si="0"/>
        <v>421.87203931595019</v>
      </c>
      <c r="BC32" s="412">
        <f t="shared" si="1"/>
        <v>17718.625651269911</v>
      </c>
      <c r="BD32" s="410">
        <f t="shared" si="2"/>
        <v>89.19328143050204</v>
      </c>
      <c r="BE32" s="411">
        <f t="shared" si="3"/>
        <v>434.52820049542873</v>
      </c>
      <c r="BF32" s="412">
        <f t="shared" si="4"/>
        <v>18250.184420808007</v>
      </c>
      <c r="BG32" s="410">
        <f t="shared" si="5"/>
        <v>91.869079873417107</v>
      </c>
      <c r="BH32" s="411">
        <f t="shared" si="6"/>
        <v>447.56404651029163</v>
      </c>
      <c r="BI32" s="412">
        <f t="shared" si="7"/>
        <v>18797.689953432247</v>
      </c>
    </row>
    <row r="33" spans="1:61" ht="14.25">
      <c r="A33" s="166">
        <v>260</v>
      </c>
      <c r="B33" s="157" t="s">
        <v>102</v>
      </c>
      <c r="C33" s="177">
        <v>100</v>
      </c>
      <c r="D33" s="168">
        <v>100</v>
      </c>
      <c r="E33" s="168">
        <v>4200</v>
      </c>
      <c r="F33" s="170">
        <v>106.32</v>
      </c>
      <c r="G33" s="168">
        <v>106.32</v>
      </c>
      <c r="H33" s="169">
        <v>4465.4399999999996</v>
      </c>
      <c r="I33" s="171">
        <v>112.16759999999999</v>
      </c>
      <c r="J33" s="168">
        <v>112.16759999999999</v>
      </c>
      <c r="K33" s="169">
        <v>4711.0391999999993</v>
      </c>
      <c r="L33" s="171">
        <v>117.77598</v>
      </c>
      <c r="M33" s="168">
        <v>117.77598</v>
      </c>
      <c r="N33" s="169">
        <v>4946.5911599999999</v>
      </c>
      <c r="O33" s="171">
        <v>123.0758991</v>
      </c>
      <c r="P33" s="168">
        <v>123.0758991</v>
      </c>
      <c r="Q33" s="169">
        <v>5169.1877622000002</v>
      </c>
      <c r="R33" s="171">
        <v>123.0758991</v>
      </c>
      <c r="S33" s="168">
        <v>123.0758991</v>
      </c>
      <c r="T33" s="169">
        <v>5169.1877622000002</v>
      </c>
      <c r="U33" s="171">
        <v>127.99893506400001</v>
      </c>
      <c r="V33" s="168">
        <v>127.99893506400001</v>
      </c>
      <c r="W33" s="169">
        <v>5375.9552726880002</v>
      </c>
      <c r="X33" s="168">
        <v>133.11889246656003</v>
      </c>
      <c r="Y33" s="168">
        <v>133.11889246656003</v>
      </c>
      <c r="Z33" s="169">
        <v>5590.993483595521</v>
      </c>
      <c r="AA33" s="168">
        <v>139.78008708988804</v>
      </c>
      <c r="AB33" s="168">
        <v>139.78008708988804</v>
      </c>
      <c r="AC33" s="169">
        <v>5870.7636577752974</v>
      </c>
      <c r="AD33" s="168">
        <v>143.97</v>
      </c>
      <c r="AE33" s="172">
        <v>143.97</v>
      </c>
      <c r="AF33" s="169">
        <f t="shared" si="20"/>
        <v>6046.74</v>
      </c>
      <c r="AG33" s="168">
        <f t="shared" si="8"/>
        <v>148.28909999999999</v>
      </c>
      <c r="AH33" s="172">
        <f t="shared" si="8"/>
        <v>148.28909999999999</v>
      </c>
      <c r="AI33" s="169">
        <f t="shared" si="21"/>
        <v>6228.1421999999993</v>
      </c>
      <c r="AJ33" s="168">
        <f t="shared" si="24"/>
        <v>152.737773</v>
      </c>
      <c r="AK33" s="172">
        <f t="shared" si="23"/>
        <v>152.737773</v>
      </c>
      <c r="AL33" s="169">
        <f t="shared" si="22"/>
        <v>6414.9864660000003</v>
      </c>
      <c r="AM33" s="392" t="s">
        <v>99</v>
      </c>
      <c r="AN33" s="404">
        <v>81.211470640000002</v>
      </c>
      <c r="AO33" s="405">
        <v>81.211470640000002</v>
      </c>
      <c r="AP33" s="406">
        <v>3410.8817668800002</v>
      </c>
      <c r="AQ33" s="392" t="s">
        <v>99</v>
      </c>
      <c r="AR33" s="404">
        <f t="shared" si="10"/>
        <v>83.647814759200003</v>
      </c>
      <c r="AS33" s="405">
        <f t="shared" si="11"/>
        <v>83.647814759200003</v>
      </c>
      <c r="AT33" s="406">
        <f t="shared" si="12"/>
        <v>3513.2082198864005</v>
      </c>
      <c r="AU33" s="404">
        <f t="shared" si="13"/>
        <v>86.157249201976001</v>
      </c>
      <c r="AV33" s="405">
        <f t="shared" si="14"/>
        <v>86.157249201976001</v>
      </c>
      <c r="AW33" s="406">
        <f t="shared" si="15"/>
        <v>3618.6044664829924</v>
      </c>
      <c r="AX33" s="404">
        <f t="shared" si="16"/>
        <v>88.741966678035283</v>
      </c>
      <c r="AY33" s="405">
        <f t="shared" si="17"/>
        <v>88.741966678035283</v>
      </c>
      <c r="AZ33" s="406">
        <f t="shared" si="18"/>
        <v>3727.1626004774821</v>
      </c>
      <c r="BA33" s="404">
        <f t="shared" si="19"/>
        <v>91.404225678376349</v>
      </c>
      <c r="BB33" s="405">
        <f t="shared" si="0"/>
        <v>91.404225678376349</v>
      </c>
      <c r="BC33" s="406">
        <f t="shared" si="1"/>
        <v>3838.9774784918068</v>
      </c>
      <c r="BD33" s="404">
        <f t="shared" si="2"/>
        <v>94.14635244872764</v>
      </c>
      <c r="BE33" s="405">
        <f t="shared" si="3"/>
        <v>94.14635244872764</v>
      </c>
      <c r="BF33" s="406">
        <f t="shared" si="4"/>
        <v>3954.1468028465611</v>
      </c>
      <c r="BG33" s="404">
        <f t="shared" si="5"/>
        <v>96.970743022189467</v>
      </c>
      <c r="BH33" s="405">
        <f t="shared" si="6"/>
        <v>96.970743022189467</v>
      </c>
      <c r="BI33" s="406">
        <f t="shared" si="7"/>
        <v>4072.7712069319582</v>
      </c>
    </row>
    <row r="34" spans="1:61" ht="14.25">
      <c r="A34" s="173">
        <v>263</v>
      </c>
      <c r="B34" s="158" t="s">
        <v>112</v>
      </c>
      <c r="C34" s="175">
        <v>5.5762711864406782</v>
      </c>
      <c r="D34" s="175">
        <v>201.58</v>
      </c>
      <c r="E34" s="175">
        <v>8466.36</v>
      </c>
      <c r="F34" s="174">
        <v>11.152542372881356</v>
      </c>
      <c r="G34" s="175">
        <v>213.47254237288135</v>
      </c>
      <c r="H34" s="176">
        <v>8965.8467796610166</v>
      </c>
      <c r="I34" s="174">
        <v>11.765932203389829</v>
      </c>
      <c r="J34" s="175">
        <v>225.22353220338982</v>
      </c>
      <c r="K34" s="176">
        <v>9459.3883525423735</v>
      </c>
      <c r="L34" s="174">
        <v>12.35422881355932</v>
      </c>
      <c r="M34" s="175">
        <v>236.47420881355933</v>
      </c>
      <c r="N34" s="176">
        <v>9931.9167701694914</v>
      </c>
      <c r="O34" s="174">
        <v>12.910169110169489</v>
      </c>
      <c r="P34" s="175">
        <v>247.11554821016949</v>
      </c>
      <c r="Q34" s="176">
        <v>10378.853024827118</v>
      </c>
      <c r="R34" s="174">
        <v>12.910169110169489</v>
      </c>
      <c r="S34" s="175">
        <v>247.11554821016949</v>
      </c>
      <c r="T34" s="176">
        <v>10378.853024827118</v>
      </c>
      <c r="U34" s="174">
        <v>13.426575874576269</v>
      </c>
      <c r="V34" s="175">
        <v>257.00017013857627</v>
      </c>
      <c r="W34" s="176">
        <v>10794.007145820204</v>
      </c>
      <c r="X34" s="175">
        <v>13.96363890955932</v>
      </c>
      <c r="Y34" s="175">
        <v>267.27017694411933</v>
      </c>
      <c r="Z34" s="176">
        <v>11225.347431653012</v>
      </c>
      <c r="AA34" s="175">
        <v>14.661820855037286</v>
      </c>
      <c r="AB34" s="175">
        <v>280.62893579132532</v>
      </c>
      <c r="AC34" s="176">
        <v>11786.415303235663</v>
      </c>
      <c r="AD34" s="175">
        <v>15.1</v>
      </c>
      <c r="AE34" s="172">
        <v>289.05</v>
      </c>
      <c r="AF34" s="176">
        <f t="shared" si="20"/>
        <v>12140.1</v>
      </c>
      <c r="AG34" s="175">
        <f t="shared" si="8"/>
        <v>15.553000000000001</v>
      </c>
      <c r="AH34" s="172">
        <f t="shared" si="8"/>
        <v>297.72149999999999</v>
      </c>
      <c r="AI34" s="176">
        <f t="shared" si="21"/>
        <v>12504.303</v>
      </c>
      <c r="AJ34" s="175">
        <f t="shared" si="24"/>
        <v>16.019590000000001</v>
      </c>
      <c r="AK34" s="172">
        <f t="shared" si="23"/>
        <v>306.65314499999999</v>
      </c>
      <c r="AL34" s="176">
        <f t="shared" si="22"/>
        <v>12879.43209</v>
      </c>
      <c r="AM34" s="389" t="s">
        <v>102</v>
      </c>
      <c r="AN34" s="407">
        <v>157.31990619000001</v>
      </c>
      <c r="AO34" s="408">
        <v>157.31990619000001</v>
      </c>
      <c r="AP34" s="409">
        <v>6607.4360599800002</v>
      </c>
      <c r="AQ34" s="389" t="s">
        <v>102</v>
      </c>
      <c r="AR34" s="407">
        <f t="shared" si="10"/>
        <v>162.03950337570001</v>
      </c>
      <c r="AS34" s="408">
        <f t="shared" si="11"/>
        <v>162.03950337570001</v>
      </c>
      <c r="AT34" s="409">
        <f t="shared" si="12"/>
        <v>6805.6591417794007</v>
      </c>
      <c r="AU34" s="407">
        <f t="shared" si="13"/>
        <v>166.900688476971</v>
      </c>
      <c r="AV34" s="408">
        <f t="shared" si="14"/>
        <v>166.900688476971</v>
      </c>
      <c r="AW34" s="409">
        <f t="shared" si="15"/>
        <v>7009.8289160327831</v>
      </c>
      <c r="AX34" s="407">
        <f t="shared" si="16"/>
        <v>171.90770913128014</v>
      </c>
      <c r="AY34" s="408">
        <f t="shared" si="17"/>
        <v>171.90770913128014</v>
      </c>
      <c r="AZ34" s="409">
        <f t="shared" si="18"/>
        <v>7220.1237835137672</v>
      </c>
      <c r="BA34" s="407">
        <f t="shared" si="19"/>
        <v>177.06494040521855</v>
      </c>
      <c r="BB34" s="408">
        <f t="shared" si="0"/>
        <v>177.06494040521855</v>
      </c>
      <c r="BC34" s="409">
        <f t="shared" si="1"/>
        <v>7436.7274970191802</v>
      </c>
      <c r="BD34" s="407">
        <f t="shared" si="2"/>
        <v>182.3768886173751</v>
      </c>
      <c r="BE34" s="408">
        <f t="shared" si="3"/>
        <v>182.3768886173751</v>
      </c>
      <c r="BF34" s="409">
        <f t="shared" si="4"/>
        <v>7659.8293219297557</v>
      </c>
      <c r="BG34" s="407">
        <f t="shared" si="5"/>
        <v>187.84819527589636</v>
      </c>
      <c r="BH34" s="408">
        <f t="shared" si="6"/>
        <v>187.84819527589636</v>
      </c>
      <c r="BI34" s="409">
        <f t="shared" si="7"/>
        <v>7889.6242015876487</v>
      </c>
    </row>
    <row r="35" spans="1:61" ht="14.25">
      <c r="A35" s="166">
        <v>264</v>
      </c>
      <c r="B35" s="222" t="s">
        <v>113</v>
      </c>
      <c r="C35" s="177">
        <v>96</v>
      </c>
      <c r="D35" s="168">
        <v>196</v>
      </c>
      <c r="E35" s="168">
        <v>8232</v>
      </c>
      <c r="F35" s="170">
        <v>96</v>
      </c>
      <c r="G35" s="168">
        <v>202.32</v>
      </c>
      <c r="H35" s="169">
        <v>8497.44</v>
      </c>
      <c r="I35" s="171">
        <v>101.28</v>
      </c>
      <c r="J35" s="168">
        <v>213.44759999999999</v>
      </c>
      <c r="K35" s="169">
        <v>8964.7991999999995</v>
      </c>
      <c r="L35" s="171">
        <v>106.34400000000001</v>
      </c>
      <c r="M35" s="168">
        <v>224.11998</v>
      </c>
      <c r="N35" s="169">
        <v>9413.0391600000003</v>
      </c>
      <c r="O35" s="171">
        <v>111.12948</v>
      </c>
      <c r="P35" s="168">
        <v>234.20537910000002</v>
      </c>
      <c r="Q35" s="169">
        <v>9836.6259222000008</v>
      </c>
      <c r="R35" s="171">
        <v>111.12948</v>
      </c>
      <c r="S35" s="168">
        <v>234.20537910000002</v>
      </c>
      <c r="T35" s="169">
        <v>9836.6259222000008</v>
      </c>
      <c r="U35" s="171">
        <v>115.5746592</v>
      </c>
      <c r="V35" s="168">
        <v>243.57359426400001</v>
      </c>
      <c r="W35" s="169">
        <v>10230.090959088</v>
      </c>
      <c r="X35" s="168">
        <v>120.18764556799999</v>
      </c>
      <c r="Y35" s="168">
        <v>253.30653803456002</v>
      </c>
      <c r="Z35" s="169">
        <v>10638.87459745152</v>
      </c>
      <c r="AA35" s="168">
        <v>126.1870278464</v>
      </c>
      <c r="AB35" s="168">
        <v>265.96711493628806</v>
      </c>
      <c r="AC35" s="169">
        <v>11170.618827324099</v>
      </c>
      <c r="AD35" s="168">
        <v>129.97999999999999</v>
      </c>
      <c r="AE35" s="172">
        <v>273.95</v>
      </c>
      <c r="AF35" s="169">
        <f t="shared" si="20"/>
        <v>11505.9</v>
      </c>
      <c r="AG35" s="168">
        <f t="shared" si="8"/>
        <v>133.8794</v>
      </c>
      <c r="AH35" s="172">
        <f t="shared" si="8"/>
        <v>282.16849999999999</v>
      </c>
      <c r="AI35" s="169">
        <f t="shared" si="21"/>
        <v>11851.076999999999</v>
      </c>
      <c r="AJ35" s="168">
        <f t="shared" si="24"/>
        <v>137.895782</v>
      </c>
      <c r="AK35" s="172">
        <f t="shared" si="23"/>
        <v>290.633555</v>
      </c>
      <c r="AL35" s="169">
        <f t="shared" si="22"/>
        <v>12206.60931</v>
      </c>
      <c r="AM35" s="389" t="s">
        <v>112</v>
      </c>
      <c r="AN35" s="407">
        <v>16.500177700000002</v>
      </c>
      <c r="AO35" s="408">
        <v>315.85273934999998</v>
      </c>
      <c r="AP35" s="409">
        <v>13265.8150527</v>
      </c>
      <c r="AQ35" s="389" t="s">
        <v>112</v>
      </c>
      <c r="AR35" s="407">
        <f t="shared" si="10"/>
        <v>16.995183031000003</v>
      </c>
      <c r="AS35" s="408">
        <f t="shared" si="11"/>
        <v>325.32832153049998</v>
      </c>
      <c r="AT35" s="409">
        <f t="shared" si="12"/>
        <v>13663.789504281</v>
      </c>
      <c r="AU35" s="407">
        <f t="shared" si="13"/>
        <v>17.505038521930004</v>
      </c>
      <c r="AV35" s="408">
        <f t="shared" si="14"/>
        <v>335.08817117641496</v>
      </c>
      <c r="AW35" s="409">
        <f t="shared" si="15"/>
        <v>14073.703189409431</v>
      </c>
      <c r="AX35" s="407">
        <f t="shared" si="16"/>
        <v>18.030189677587906</v>
      </c>
      <c r="AY35" s="408">
        <f t="shared" si="17"/>
        <v>345.1408163117074</v>
      </c>
      <c r="AZ35" s="409">
        <f t="shared" si="18"/>
        <v>14495.914285091714</v>
      </c>
      <c r="BA35" s="407">
        <f t="shared" si="19"/>
        <v>18.571095367915543</v>
      </c>
      <c r="BB35" s="408">
        <f t="shared" si="0"/>
        <v>355.49504080105862</v>
      </c>
      <c r="BC35" s="409">
        <f t="shared" si="1"/>
        <v>14930.791713644467</v>
      </c>
      <c r="BD35" s="407">
        <f t="shared" si="2"/>
        <v>19.128228228953009</v>
      </c>
      <c r="BE35" s="408">
        <f t="shared" si="3"/>
        <v>366.15989202509041</v>
      </c>
      <c r="BF35" s="409">
        <f t="shared" si="4"/>
        <v>15378.715465053801</v>
      </c>
      <c r="BG35" s="407">
        <f t="shared" si="5"/>
        <v>19.7020750758216</v>
      </c>
      <c r="BH35" s="408">
        <f t="shared" si="6"/>
        <v>377.14468878584313</v>
      </c>
      <c r="BI35" s="409">
        <f t="shared" si="7"/>
        <v>15840.076929005416</v>
      </c>
    </row>
    <row r="36" spans="1:61" ht="14.25">
      <c r="A36" s="166">
        <v>264</v>
      </c>
      <c r="B36" s="222" t="s">
        <v>114</v>
      </c>
      <c r="C36" s="177"/>
      <c r="D36" s="168"/>
      <c r="E36" s="168"/>
      <c r="F36" s="181"/>
      <c r="G36" s="168"/>
      <c r="H36" s="169"/>
      <c r="I36" s="171"/>
      <c r="J36" s="168"/>
      <c r="K36" s="169"/>
      <c r="L36" s="171"/>
      <c r="M36" s="168"/>
      <c r="N36" s="169"/>
      <c r="O36" s="171">
        <v>93.054100899999995</v>
      </c>
      <c r="P36" s="168">
        <v>216.13</v>
      </c>
      <c r="Q36" s="169">
        <v>9077.4599999999991</v>
      </c>
      <c r="R36" s="171">
        <v>96.781064935999993</v>
      </c>
      <c r="S36" s="171">
        <v>224.78</v>
      </c>
      <c r="T36" s="169">
        <v>9440.76</v>
      </c>
      <c r="U36" s="171">
        <v>96.781064935999993</v>
      </c>
      <c r="V36" s="171">
        <v>224.78</v>
      </c>
      <c r="W36" s="169">
        <v>9440.76</v>
      </c>
      <c r="X36" s="168">
        <v>100.65230753343999</v>
      </c>
      <c r="Y36" s="168">
        <v>233.77120000000002</v>
      </c>
      <c r="Z36" s="169">
        <v>9818.3904000000002</v>
      </c>
      <c r="AA36" s="168">
        <v>105.67492291011199</v>
      </c>
      <c r="AB36" s="168">
        <v>245.45501000000002</v>
      </c>
      <c r="AC36" s="169">
        <v>10309.110420000001</v>
      </c>
      <c r="AD36" s="168">
        <v>108.84</v>
      </c>
      <c r="AE36" s="172">
        <v>252.81</v>
      </c>
      <c r="AF36" s="169">
        <f t="shared" si="20"/>
        <v>10618.02</v>
      </c>
      <c r="AG36" s="168">
        <f>AD36*(1+$AI$2)-0.01</f>
        <v>112.09520000000001</v>
      </c>
      <c r="AH36" s="172">
        <f>AE36*(1+$AI$2)</f>
        <v>260.39429999999999</v>
      </c>
      <c r="AI36" s="169">
        <f t="shared" si="21"/>
        <v>10936.560599999999</v>
      </c>
      <c r="AJ36" s="168">
        <f>AG36*(1+$AI$2)-0.01</f>
        <v>115.44805600000001</v>
      </c>
      <c r="AK36" s="172">
        <f>AH36*(1+$AI$2)-0.02</f>
        <v>268.18612899999999</v>
      </c>
      <c r="AL36" s="169">
        <f t="shared" si="22"/>
        <v>11263.817418000001</v>
      </c>
      <c r="AM36" s="389" t="s">
        <v>113</v>
      </c>
      <c r="AN36" s="407">
        <v>142.03265546</v>
      </c>
      <c r="AO36" s="408">
        <v>299.35256164999998</v>
      </c>
      <c r="AP36" s="409">
        <v>12572.8075893</v>
      </c>
      <c r="AQ36" s="389" t="s">
        <v>113</v>
      </c>
      <c r="AR36" s="407">
        <f t="shared" si="10"/>
        <v>146.29363512380002</v>
      </c>
      <c r="AS36" s="408">
        <f t="shared" si="11"/>
        <v>308.33313849949997</v>
      </c>
      <c r="AT36" s="409">
        <f t="shared" si="12"/>
        <v>12949.991816979002</v>
      </c>
      <c r="AU36" s="407">
        <f t="shared" si="13"/>
        <v>150.68244417751401</v>
      </c>
      <c r="AV36" s="408">
        <f t="shared" si="14"/>
        <v>317.58313265448498</v>
      </c>
      <c r="AW36" s="409">
        <f t="shared" si="15"/>
        <v>13338.491571488372</v>
      </c>
      <c r="AX36" s="407">
        <f t="shared" si="16"/>
        <v>155.20291750283943</v>
      </c>
      <c r="AY36" s="408">
        <f t="shared" si="17"/>
        <v>327.11062663411957</v>
      </c>
      <c r="AZ36" s="409">
        <f t="shared" si="18"/>
        <v>13738.646318633024</v>
      </c>
      <c r="BA36" s="407">
        <f t="shared" si="19"/>
        <v>159.85900502792461</v>
      </c>
      <c r="BB36" s="408">
        <f t="shared" si="0"/>
        <v>336.92394543314316</v>
      </c>
      <c r="BC36" s="409">
        <f t="shared" si="1"/>
        <v>14150.805708192014</v>
      </c>
      <c r="BD36" s="407">
        <f t="shared" si="2"/>
        <v>164.65477517876235</v>
      </c>
      <c r="BE36" s="408">
        <f t="shared" si="3"/>
        <v>347.03166379613748</v>
      </c>
      <c r="BF36" s="409">
        <f t="shared" si="4"/>
        <v>14575.329879437775</v>
      </c>
      <c r="BG36" s="407">
        <f t="shared" si="5"/>
        <v>169.59441843412523</v>
      </c>
      <c r="BH36" s="408">
        <f t="shared" si="6"/>
        <v>357.44261371002159</v>
      </c>
      <c r="BI36" s="409">
        <f t="shared" si="7"/>
        <v>15012.589775820908</v>
      </c>
    </row>
    <row r="37" spans="1:61" ht="14.25">
      <c r="A37" s="166">
        <v>271</v>
      </c>
      <c r="B37" s="157" t="s">
        <v>115</v>
      </c>
      <c r="C37" s="177">
        <v>14</v>
      </c>
      <c r="D37" s="168">
        <v>210</v>
      </c>
      <c r="E37" s="168">
        <v>8820</v>
      </c>
      <c r="F37" s="181">
        <v>28</v>
      </c>
      <c r="G37" s="168">
        <v>230.32</v>
      </c>
      <c r="H37" s="169">
        <v>9673.44</v>
      </c>
      <c r="I37" s="171">
        <v>29.54</v>
      </c>
      <c r="J37" s="168">
        <v>242.98759999999999</v>
      </c>
      <c r="K37" s="169">
        <v>10205.4792</v>
      </c>
      <c r="L37" s="171">
        <v>31.016999999999999</v>
      </c>
      <c r="M37" s="168">
        <v>255.13697999999999</v>
      </c>
      <c r="N37" s="169">
        <v>10715.75316</v>
      </c>
      <c r="O37" s="171">
        <v>32.412765</v>
      </c>
      <c r="P37" s="168">
        <v>266.61814409999999</v>
      </c>
      <c r="Q37" s="169">
        <v>11197.9620522</v>
      </c>
      <c r="R37" s="171">
        <v>32.412765</v>
      </c>
      <c r="S37" s="168">
        <v>266.61814409999999</v>
      </c>
      <c r="T37" s="169">
        <v>11197.9620522</v>
      </c>
      <c r="U37" s="171">
        <v>33.709275599999998</v>
      </c>
      <c r="V37" s="168">
        <v>277.28286986400002</v>
      </c>
      <c r="W37" s="169">
        <v>11645.880534288</v>
      </c>
      <c r="X37" s="168">
        <v>35.067646623999998</v>
      </c>
      <c r="Y37" s="168">
        <v>288.37418465856001</v>
      </c>
      <c r="Z37" s="169">
        <v>12111.715755659521</v>
      </c>
      <c r="AA37" s="168">
        <v>36.821028955199999</v>
      </c>
      <c r="AB37" s="168">
        <v>302.78814389148806</v>
      </c>
      <c r="AC37" s="169">
        <v>12717.102043442499</v>
      </c>
      <c r="AD37" s="168">
        <v>37.92</v>
      </c>
      <c r="AE37" s="172">
        <v>311.87</v>
      </c>
      <c r="AF37" s="169">
        <f t="shared" si="20"/>
        <v>13098.54</v>
      </c>
      <c r="AG37" s="168">
        <f t="shared" si="8"/>
        <v>39.057600000000001</v>
      </c>
      <c r="AH37" s="172">
        <f t="shared" si="8"/>
        <v>321.22610000000003</v>
      </c>
      <c r="AI37" s="169">
        <f t="shared" si="21"/>
        <v>13491.496200000001</v>
      </c>
      <c r="AJ37" s="168">
        <f t="shared" ref="AJ37:AK47" si="25">AG37*(1+$AI$2)</f>
        <v>40.229328000000002</v>
      </c>
      <c r="AK37" s="172">
        <f>AH37*(1+$AI$2)</f>
        <v>330.86288300000007</v>
      </c>
      <c r="AL37" s="169">
        <f t="shared" si="22"/>
        <v>13896.241086000004</v>
      </c>
      <c r="AM37" s="389" t="s">
        <v>114</v>
      </c>
      <c r="AN37" s="407">
        <v>118.91149768000001</v>
      </c>
      <c r="AO37" s="408">
        <v>276.23171287000002</v>
      </c>
      <c r="AP37" s="409">
        <v>11601.731940540001</v>
      </c>
      <c r="AQ37" s="389" t="s">
        <v>114</v>
      </c>
      <c r="AR37" s="407">
        <f t="shared" si="10"/>
        <v>122.47884261040001</v>
      </c>
      <c r="AS37" s="408">
        <f t="shared" si="11"/>
        <v>284.51866425610001</v>
      </c>
      <c r="AT37" s="409">
        <f t="shared" si="12"/>
        <v>11949.783898756201</v>
      </c>
      <c r="AU37" s="407">
        <f t="shared" si="13"/>
        <v>126.15320788871202</v>
      </c>
      <c r="AV37" s="408">
        <f t="shared" si="14"/>
        <v>293.05422418378299</v>
      </c>
      <c r="AW37" s="409">
        <f t="shared" si="15"/>
        <v>12308.277415718887</v>
      </c>
      <c r="AX37" s="407">
        <f t="shared" si="16"/>
        <v>129.93780412537339</v>
      </c>
      <c r="AY37" s="408">
        <f t="shared" si="17"/>
        <v>301.84585090929647</v>
      </c>
      <c r="AZ37" s="409">
        <f t="shared" si="18"/>
        <v>12677.525738190454</v>
      </c>
      <c r="BA37" s="407">
        <f t="shared" si="19"/>
        <v>133.83593824913459</v>
      </c>
      <c r="BB37" s="408">
        <f t="shared" si="0"/>
        <v>310.90122643657537</v>
      </c>
      <c r="BC37" s="409">
        <f t="shared" si="1"/>
        <v>13057.851510336168</v>
      </c>
      <c r="BD37" s="407">
        <f t="shared" si="2"/>
        <v>137.85101639660863</v>
      </c>
      <c r="BE37" s="408">
        <f t="shared" si="3"/>
        <v>320.22826322967262</v>
      </c>
      <c r="BF37" s="409">
        <f t="shared" si="4"/>
        <v>13449.587055646252</v>
      </c>
      <c r="BG37" s="407">
        <f t="shared" si="5"/>
        <v>141.98654688850689</v>
      </c>
      <c r="BH37" s="408">
        <f t="shared" si="6"/>
        <v>329.83511112656282</v>
      </c>
      <c r="BI37" s="409">
        <f t="shared" si="7"/>
        <v>13853.074667315641</v>
      </c>
    </row>
    <row r="38" spans="1:61" ht="14.25">
      <c r="A38" s="173">
        <v>273</v>
      </c>
      <c r="B38" s="158" t="s">
        <v>116</v>
      </c>
      <c r="C38" s="175">
        <v>9.1265822784810133</v>
      </c>
      <c r="D38" s="175">
        <v>219.13</v>
      </c>
      <c r="E38" s="175">
        <v>9203.4599999999991</v>
      </c>
      <c r="F38" s="174">
        <v>18.253164556962027</v>
      </c>
      <c r="G38" s="175">
        <v>248.57316455696201</v>
      </c>
      <c r="H38" s="176">
        <v>10440.072911392404</v>
      </c>
      <c r="I38" s="174">
        <v>19.257088607594937</v>
      </c>
      <c r="J38" s="175">
        <v>262.25468860759491</v>
      </c>
      <c r="K38" s="176">
        <v>11014.696921518986</v>
      </c>
      <c r="L38" s="174">
        <v>20.219943037974684</v>
      </c>
      <c r="M38" s="175">
        <v>275.3569230379747</v>
      </c>
      <c r="N38" s="176">
        <v>11564.990767594938</v>
      </c>
      <c r="O38" s="174">
        <v>21.129840474683544</v>
      </c>
      <c r="P38" s="175">
        <v>287.74798457468353</v>
      </c>
      <c r="Q38" s="176">
        <v>12085.415352136708</v>
      </c>
      <c r="R38" s="174">
        <v>21.129840474683544</v>
      </c>
      <c r="S38" s="175">
        <v>287.74798457468353</v>
      </c>
      <c r="T38" s="176">
        <v>12085.415352136708</v>
      </c>
      <c r="U38" s="174">
        <v>21.975034093670885</v>
      </c>
      <c r="V38" s="175">
        <v>299.25790395767092</v>
      </c>
      <c r="W38" s="176">
        <v>12568.831966222178</v>
      </c>
      <c r="X38" s="175">
        <v>22.854035457417723</v>
      </c>
      <c r="Y38" s="175">
        <v>311.22822011597771</v>
      </c>
      <c r="Z38" s="176">
        <v>13071.585244871063</v>
      </c>
      <c r="AA38" s="175">
        <v>23.996737230288609</v>
      </c>
      <c r="AB38" s="175">
        <v>326.78488112177666</v>
      </c>
      <c r="AC38" s="176">
        <v>13724.965007114621</v>
      </c>
      <c r="AD38" s="175">
        <v>24.72</v>
      </c>
      <c r="AE38" s="172">
        <v>336.59</v>
      </c>
      <c r="AF38" s="176">
        <f t="shared" si="20"/>
        <v>14136.779999999999</v>
      </c>
      <c r="AG38" s="175">
        <f t="shared" si="8"/>
        <v>25.461600000000001</v>
      </c>
      <c r="AH38" s="172">
        <f t="shared" si="8"/>
        <v>346.68770000000001</v>
      </c>
      <c r="AI38" s="176">
        <f t="shared" si="21"/>
        <v>14560.883400000001</v>
      </c>
      <c r="AJ38" s="175">
        <f t="shared" si="25"/>
        <v>26.225448</v>
      </c>
      <c r="AK38" s="172">
        <f t="shared" si="25"/>
        <v>357.08833100000004</v>
      </c>
      <c r="AL38" s="176">
        <f t="shared" si="22"/>
        <v>14997.709902000002</v>
      </c>
      <c r="AM38" s="389" t="s">
        <v>115</v>
      </c>
      <c r="AN38" s="407">
        <v>41.435889570000022</v>
      </c>
      <c r="AO38" s="408">
        <v>340.78845122000001</v>
      </c>
      <c r="AP38" s="409">
        <v>14313.114951240001</v>
      </c>
      <c r="AQ38" s="389" t="s">
        <v>115</v>
      </c>
      <c r="AR38" s="407">
        <f t="shared" si="10"/>
        <v>42.678966257100022</v>
      </c>
      <c r="AS38" s="408">
        <f t="shared" si="11"/>
        <v>351.01210475660002</v>
      </c>
      <c r="AT38" s="409">
        <f t="shared" si="12"/>
        <v>14742.508399777202</v>
      </c>
      <c r="AU38" s="407">
        <f t="shared" si="13"/>
        <v>43.959335244813026</v>
      </c>
      <c r="AV38" s="408">
        <f t="shared" si="14"/>
        <v>361.54246789929806</v>
      </c>
      <c r="AW38" s="409">
        <f t="shared" si="15"/>
        <v>15184.783651770518</v>
      </c>
      <c r="AX38" s="407">
        <f t="shared" si="16"/>
        <v>45.278115302157417</v>
      </c>
      <c r="AY38" s="408">
        <f t="shared" si="17"/>
        <v>372.38874193627703</v>
      </c>
      <c r="AZ38" s="409">
        <f t="shared" si="18"/>
        <v>15640.327161323634</v>
      </c>
      <c r="BA38" s="407">
        <f t="shared" si="19"/>
        <v>46.636458761222144</v>
      </c>
      <c r="BB38" s="408">
        <f t="shared" si="0"/>
        <v>383.56040419436533</v>
      </c>
      <c r="BC38" s="409">
        <f t="shared" si="1"/>
        <v>16109.536976163343</v>
      </c>
      <c r="BD38" s="407">
        <f t="shared" si="2"/>
        <v>48.035552524058808</v>
      </c>
      <c r="BE38" s="408">
        <f t="shared" si="3"/>
        <v>395.06721632019628</v>
      </c>
      <c r="BF38" s="409">
        <f t="shared" si="4"/>
        <v>16592.823085448243</v>
      </c>
      <c r="BG38" s="407">
        <f t="shared" si="5"/>
        <v>49.476619099780571</v>
      </c>
      <c r="BH38" s="408">
        <f t="shared" si="6"/>
        <v>406.91923280980217</v>
      </c>
      <c r="BI38" s="409">
        <f t="shared" si="7"/>
        <v>17090.60777801169</v>
      </c>
    </row>
    <row r="39" spans="1:61" ht="14.25">
      <c r="A39" s="173">
        <v>280</v>
      </c>
      <c r="B39" s="158" t="s">
        <v>117</v>
      </c>
      <c r="C39" s="175">
        <v>4.4303797468354427</v>
      </c>
      <c r="D39" s="175">
        <v>223.56</v>
      </c>
      <c r="E39" s="175">
        <v>9389.52</v>
      </c>
      <c r="F39" s="174">
        <v>8.8607594936708853</v>
      </c>
      <c r="G39" s="175">
        <v>257.43392405063292</v>
      </c>
      <c r="H39" s="176">
        <v>10812.224810126583</v>
      </c>
      <c r="I39" s="174">
        <v>9.348101265822784</v>
      </c>
      <c r="J39" s="175">
        <v>271.60278987341769</v>
      </c>
      <c r="K39" s="176">
        <v>11407.317174683543</v>
      </c>
      <c r="L39" s="174">
        <v>9.8155063291139228</v>
      </c>
      <c r="M39" s="175">
        <v>285.17242936708863</v>
      </c>
      <c r="N39" s="176">
        <v>11977.242033417722</v>
      </c>
      <c r="O39" s="174">
        <v>10.257204113924049</v>
      </c>
      <c r="P39" s="175">
        <v>298.00518868860757</v>
      </c>
      <c r="Q39" s="176">
        <v>12516.217924921519</v>
      </c>
      <c r="R39" s="174">
        <v>10.257204113924049</v>
      </c>
      <c r="S39" s="175">
        <v>298.00518868860757</v>
      </c>
      <c r="T39" s="176">
        <v>12516.217924921519</v>
      </c>
      <c r="U39" s="174">
        <v>10.667492278481012</v>
      </c>
      <c r="V39" s="175">
        <v>309.92539623615193</v>
      </c>
      <c r="W39" s="176">
        <v>13016.866641918381</v>
      </c>
      <c r="X39" s="175">
        <v>11.104191969620253</v>
      </c>
      <c r="Y39" s="175">
        <v>322.33241208559798</v>
      </c>
      <c r="Z39" s="176">
        <v>13537.961307595115</v>
      </c>
      <c r="AA39" s="175">
        <v>11.659401568101266</v>
      </c>
      <c r="AB39" s="175">
        <v>338.44428268987792</v>
      </c>
      <c r="AC39" s="176">
        <v>14214.659872974873</v>
      </c>
      <c r="AD39" s="175">
        <v>12.01</v>
      </c>
      <c r="AE39" s="172">
        <v>348.6</v>
      </c>
      <c r="AF39" s="176">
        <f t="shared" si="20"/>
        <v>14641.2</v>
      </c>
      <c r="AG39" s="175">
        <f t="shared" si="8"/>
        <v>12.3703</v>
      </c>
      <c r="AH39" s="172">
        <f t="shared" si="8"/>
        <v>359.05800000000005</v>
      </c>
      <c r="AI39" s="176">
        <f t="shared" si="21"/>
        <v>15080.436000000002</v>
      </c>
      <c r="AJ39" s="175">
        <f t="shared" si="25"/>
        <v>12.741409000000001</v>
      </c>
      <c r="AK39" s="172">
        <f t="shared" si="25"/>
        <v>369.82974000000007</v>
      </c>
      <c r="AL39" s="176">
        <f t="shared" si="22"/>
        <v>15532.849080000004</v>
      </c>
      <c r="AM39" s="389" t="s">
        <v>116</v>
      </c>
      <c r="AN39" s="407">
        <v>27.012211440000002</v>
      </c>
      <c r="AO39" s="408">
        <v>367.80098093000004</v>
      </c>
      <c r="AP39" s="409">
        <v>15447.641199060003</v>
      </c>
      <c r="AQ39" s="389" t="s">
        <v>116</v>
      </c>
      <c r="AR39" s="407">
        <f t="shared" si="10"/>
        <v>27.822577783200003</v>
      </c>
      <c r="AS39" s="408">
        <f t="shared" si="11"/>
        <v>378.83501035790005</v>
      </c>
      <c r="AT39" s="409">
        <f t="shared" si="12"/>
        <v>15911.070435031803</v>
      </c>
      <c r="AU39" s="407">
        <f t="shared" si="13"/>
        <v>28.657255116696003</v>
      </c>
      <c r="AV39" s="408">
        <f t="shared" si="14"/>
        <v>390.20006066863704</v>
      </c>
      <c r="AW39" s="409">
        <f t="shared" si="15"/>
        <v>16388.402548082759</v>
      </c>
      <c r="AX39" s="407">
        <f t="shared" si="16"/>
        <v>29.516972770196883</v>
      </c>
      <c r="AY39" s="408">
        <f t="shared" si="17"/>
        <v>401.90606248869614</v>
      </c>
      <c r="AZ39" s="409">
        <f t="shared" si="18"/>
        <v>16880.054624525241</v>
      </c>
      <c r="BA39" s="407">
        <f t="shared" ref="BA39:BA61" si="26">AX39*(1+$BC$2)</f>
        <v>30.402481953302789</v>
      </c>
      <c r="BB39" s="408">
        <f t="shared" ref="BB39:BB61" si="27">AY39*(1+$BC$2)</f>
        <v>413.96324436335703</v>
      </c>
      <c r="BC39" s="409">
        <f t="shared" ref="BC39:BC61" si="28">AZ39*(1+$BC$2)</f>
        <v>17386.456263261</v>
      </c>
      <c r="BD39" s="407">
        <f t="shared" ref="BD39:BD61" si="29">BA39*(1+$BF$2)</f>
        <v>31.314556411901872</v>
      </c>
      <c r="BE39" s="408">
        <f t="shared" ref="BE39:BE61" si="30">BB39*(1+$BF$2)</f>
        <v>426.38214169425777</v>
      </c>
      <c r="BF39" s="409">
        <f t="shared" ref="BF39:BF61" si="31">BC39*(1+$BF$2)</f>
        <v>17908.049951158831</v>
      </c>
      <c r="BG39" s="407">
        <f t="shared" si="5"/>
        <v>32.253993104258932</v>
      </c>
      <c r="BH39" s="408">
        <f t="shared" si="6"/>
        <v>439.17360594508551</v>
      </c>
      <c r="BI39" s="409">
        <f t="shared" si="7"/>
        <v>18445.291449693595</v>
      </c>
    </row>
    <row r="40" spans="1:61" ht="14.25">
      <c r="A40" s="166">
        <v>278</v>
      </c>
      <c r="B40" s="157" t="s">
        <v>118</v>
      </c>
      <c r="C40" s="177">
        <v>14</v>
      </c>
      <c r="D40" s="168">
        <v>224</v>
      </c>
      <c r="E40" s="168">
        <v>9408</v>
      </c>
      <c r="F40" s="170">
        <v>28</v>
      </c>
      <c r="G40" s="168">
        <v>258.32</v>
      </c>
      <c r="H40" s="169">
        <v>10849.44</v>
      </c>
      <c r="I40" s="171">
        <v>29.54</v>
      </c>
      <c r="J40" s="168">
        <v>272.52760000000001</v>
      </c>
      <c r="K40" s="169">
        <v>11446.1592</v>
      </c>
      <c r="L40" s="171">
        <v>31.016999999999999</v>
      </c>
      <c r="M40" s="168">
        <v>286.16397999999998</v>
      </c>
      <c r="N40" s="169">
        <v>12018.887159999998</v>
      </c>
      <c r="O40" s="171">
        <v>32.418968399999997</v>
      </c>
      <c r="P40" s="168">
        <v>299.03711249999998</v>
      </c>
      <c r="Q40" s="169">
        <v>12559.558724999999</v>
      </c>
      <c r="R40" s="171">
        <v>32.422764999999998</v>
      </c>
      <c r="S40" s="168">
        <v>299.04090910000002</v>
      </c>
      <c r="T40" s="169">
        <v>12559.7181822</v>
      </c>
      <c r="U40" s="171">
        <v>33.719675600000002</v>
      </c>
      <c r="V40" s="168">
        <v>311.00254546400004</v>
      </c>
      <c r="W40" s="169">
        <v>13062.106909488002</v>
      </c>
      <c r="X40" s="168">
        <v>35.058462624000008</v>
      </c>
      <c r="Y40" s="168">
        <v>323.43264728256003</v>
      </c>
      <c r="Z40" s="169">
        <v>13584.171185867521</v>
      </c>
      <c r="AA40" s="168">
        <v>36.811385755200007</v>
      </c>
      <c r="AB40" s="168">
        <v>339.59952964668798</v>
      </c>
      <c r="AC40" s="169">
        <v>14263.1802451609</v>
      </c>
      <c r="AD40" s="168">
        <v>37.909999999999997</v>
      </c>
      <c r="AE40" s="172">
        <v>349.78</v>
      </c>
      <c r="AF40" s="169">
        <f t="shared" si="20"/>
        <v>14690.759999999998</v>
      </c>
      <c r="AG40" s="168">
        <f t="shared" si="8"/>
        <v>39.0473</v>
      </c>
      <c r="AH40" s="172">
        <f t="shared" si="8"/>
        <v>360.27339999999998</v>
      </c>
      <c r="AI40" s="169">
        <f t="shared" si="21"/>
        <v>15131.4828</v>
      </c>
      <c r="AJ40" s="168">
        <f t="shared" si="25"/>
        <v>40.218719</v>
      </c>
      <c r="AK40" s="421">
        <f t="shared" si="25"/>
        <v>371.08160199999998</v>
      </c>
      <c r="AL40" s="169">
        <f t="shared" si="22"/>
        <v>15585.427283999999</v>
      </c>
      <c r="AM40" s="389" t="s">
        <v>117</v>
      </c>
      <c r="AN40" s="407">
        <v>13.123651270000002</v>
      </c>
      <c r="AO40" s="408">
        <v>380.92463220000008</v>
      </c>
      <c r="AP40" s="409">
        <v>15998.834552400003</v>
      </c>
      <c r="AQ40" s="389" t="s">
        <v>117</v>
      </c>
      <c r="AR40" s="407">
        <f t="shared" si="10"/>
        <v>13.517360808100001</v>
      </c>
      <c r="AS40" s="408">
        <f t="shared" si="11"/>
        <v>392.35237116600007</v>
      </c>
      <c r="AT40" s="409">
        <f t="shared" si="12"/>
        <v>16478.799588972004</v>
      </c>
      <c r="AU40" s="407">
        <f t="shared" si="13"/>
        <v>13.922881632343001</v>
      </c>
      <c r="AV40" s="408">
        <f t="shared" si="14"/>
        <v>404.12294230098007</v>
      </c>
      <c r="AW40" s="409">
        <f t="shared" si="15"/>
        <v>16973.163576641164</v>
      </c>
      <c r="AX40" s="407">
        <f t="shared" si="16"/>
        <v>14.340568081313291</v>
      </c>
      <c r="AY40" s="408">
        <f t="shared" si="17"/>
        <v>416.24663057000947</v>
      </c>
      <c r="AZ40" s="409">
        <f t="shared" si="18"/>
        <v>17482.358483940399</v>
      </c>
      <c r="BA40" s="407">
        <f t="shared" si="26"/>
        <v>14.77078512375269</v>
      </c>
      <c r="BB40" s="408">
        <f t="shared" si="27"/>
        <v>428.73402948710975</v>
      </c>
      <c r="BC40" s="409">
        <f t="shared" si="28"/>
        <v>18006.829238458613</v>
      </c>
      <c r="BD40" s="407">
        <f t="shared" si="29"/>
        <v>15.213908677465271</v>
      </c>
      <c r="BE40" s="408">
        <f t="shared" si="30"/>
        <v>441.59605037172304</v>
      </c>
      <c r="BF40" s="409">
        <f t="shared" si="31"/>
        <v>18547.034115612372</v>
      </c>
      <c r="BG40" s="407">
        <f t="shared" si="5"/>
        <v>15.670325937789229</v>
      </c>
      <c r="BH40" s="408">
        <f t="shared" si="6"/>
        <v>454.84393188287476</v>
      </c>
      <c r="BI40" s="409">
        <f t="shared" si="7"/>
        <v>19103.445139080744</v>
      </c>
    </row>
    <row r="41" spans="1:61" ht="14.25">
      <c r="A41" s="166">
        <v>276</v>
      </c>
      <c r="B41" s="157" t="s">
        <v>119</v>
      </c>
      <c r="C41" s="168"/>
      <c r="D41" s="168"/>
      <c r="E41" s="168"/>
      <c r="F41" s="171"/>
      <c r="G41" s="168"/>
      <c r="H41" s="169"/>
      <c r="I41" s="171">
        <v>0</v>
      </c>
      <c r="J41" s="168"/>
      <c r="K41" s="169">
        <v>0</v>
      </c>
      <c r="L41" s="171"/>
      <c r="M41" s="168"/>
      <c r="N41" s="169"/>
      <c r="O41" s="171"/>
      <c r="P41" s="168"/>
      <c r="Q41" s="169"/>
      <c r="R41" s="171">
        <v>0</v>
      </c>
      <c r="S41" s="168"/>
      <c r="T41" s="169"/>
      <c r="U41" s="171"/>
      <c r="V41" s="168"/>
      <c r="W41" s="169"/>
      <c r="X41" s="168"/>
      <c r="Y41" s="168"/>
      <c r="Z41" s="169"/>
      <c r="AA41" s="168">
        <v>0</v>
      </c>
      <c r="AB41" s="168"/>
      <c r="AC41" s="169">
        <v>0</v>
      </c>
      <c r="AD41" s="168">
        <v>0</v>
      </c>
      <c r="AE41" s="172"/>
      <c r="AF41" s="169">
        <f t="shared" si="20"/>
        <v>0</v>
      </c>
      <c r="AG41" s="168">
        <f t="shared" si="8"/>
        <v>0</v>
      </c>
      <c r="AH41" s="172">
        <f t="shared" si="8"/>
        <v>0</v>
      </c>
      <c r="AI41" s="169">
        <f t="shared" si="21"/>
        <v>0</v>
      </c>
      <c r="AJ41" s="168">
        <f t="shared" si="25"/>
        <v>0</v>
      </c>
      <c r="AK41" s="172">
        <f t="shared" si="25"/>
        <v>0</v>
      </c>
      <c r="AL41" s="169">
        <f t="shared" si="22"/>
        <v>0</v>
      </c>
      <c r="AM41" s="389" t="s">
        <v>118</v>
      </c>
      <c r="AN41" s="407">
        <v>41.425280569999998</v>
      </c>
      <c r="AO41" s="421">
        <v>382.21405005999998</v>
      </c>
      <c r="AP41" s="409">
        <v>16052.99010252</v>
      </c>
      <c r="AQ41" s="389" t="s">
        <v>118</v>
      </c>
      <c r="AR41" s="407">
        <f t="shared" si="10"/>
        <v>42.668038987099997</v>
      </c>
      <c r="AS41" s="421">
        <f t="shared" si="11"/>
        <v>393.6804715618</v>
      </c>
      <c r="AT41" s="409">
        <f t="shared" si="12"/>
        <v>16534.5798055956</v>
      </c>
      <c r="AU41" s="407">
        <f t="shared" si="13"/>
        <v>43.948080156712997</v>
      </c>
      <c r="AV41" s="421">
        <f t="shared" si="14"/>
        <v>405.49088570865399</v>
      </c>
      <c r="AW41" s="409">
        <f t="shared" si="15"/>
        <v>17030.61719976347</v>
      </c>
      <c r="AX41" s="407">
        <f t="shared" si="16"/>
        <v>45.266522561414391</v>
      </c>
      <c r="AY41" s="421">
        <f>AV41*(1+$AZ$2)</f>
        <v>417.65561227991361</v>
      </c>
      <c r="AZ41" s="409">
        <f t="shared" si="18"/>
        <v>17541.535715756374</v>
      </c>
      <c r="BA41" s="407">
        <f t="shared" si="26"/>
        <v>46.624518238256826</v>
      </c>
      <c r="BB41" s="421">
        <f t="shared" si="27"/>
        <v>430.18528064831105</v>
      </c>
      <c r="BC41" s="409">
        <f t="shared" si="28"/>
        <v>18067.781787229065</v>
      </c>
      <c r="BD41" s="407">
        <f t="shared" si="29"/>
        <v>48.023253785404535</v>
      </c>
      <c r="BE41" s="421">
        <f t="shared" si="30"/>
        <v>443.09083906776038</v>
      </c>
      <c r="BF41" s="409">
        <f t="shared" si="31"/>
        <v>18609.815240845939</v>
      </c>
      <c r="BG41" s="407">
        <f t="shared" si="5"/>
        <v>49.463951398966671</v>
      </c>
      <c r="BH41" s="421">
        <f t="shared" si="6"/>
        <v>456.3835642397932</v>
      </c>
      <c r="BI41" s="409">
        <f t="shared" si="7"/>
        <v>19168.109698071319</v>
      </c>
    </row>
    <row r="42" spans="1:61" ht="14.25">
      <c r="A42" s="166">
        <v>279</v>
      </c>
      <c r="B42" s="157" t="s">
        <v>120</v>
      </c>
      <c r="C42" s="168">
        <v>0</v>
      </c>
      <c r="D42" s="168">
        <v>0</v>
      </c>
      <c r="E42" s="168">
        <v>0</v>
      </c>
      <c r="F42" s="170">
        <v>37</v>
      </c>
      <c r="G42" s="168">
        <v>295.32</v>
      </c>
      <c r="H42" s="169">
        <v>12403.44</v>
      </c>
      <c r="I42" s="171">
        <v>39.034999999999997</v>
      </c>
      <c r="J42" s="168">
        <v>311.57259999999997</v>
      </c>
      <c r="K42" s="169">
        <v>13086.049199999998</v>
      </c>
      <c r="L42" s="171">
        <v>40.986750000000001</v>
      </c>
      <c r="M42" s="168">
        <v>327.15072999999995</v>
      </c>
      <c r="N42" s="169">
        <v>13740.330659999998</v>
      </c>
      <c r="O42" s="171">
        <v>42.831153749999999</v>
      </c>
      <c r="P42" s="168">
        <v>341.86826624999998</v>
      </c>
      <c r="Q42" s="169">
        <v>14358.467182499999</v>
      </c>
      <c r="R42" s="171">
        <v>42.831153749999999</v>
      </c>
      <c r="S42" s="168">
        <v>341.87206285000002</v>
      </c>
      <c r="T42" s="169">
        <v>14358.6266397</v>
      </c>
      <c r="U42" s="171">
        <v>44.544399900000002</v>
      </c>
      <c r="V42" s="168">
        <v>355.54694536400007</v>
      </c>
      <c r="W42" s="169">
        <v>14932.971705288002</v>
      </c>
      <c r="X42" s="168">
        <v>46.336175896</v>
      </c>
      <c r="Y42" s="168">
        <v>369.76882317856001</v>
      </c>
      <c r="Z42" s="169">
        <v>15530.29057349952</v>
      </c>
      <c r="AA42" s="168">
        <v>48.652984690800004</v>
      </c>
      <c r="AB42" s="168">
        <v>388.25251433748809</v>
      </c>
      <c r="AC42" s="169">
        <v>16306.605602174501</v>
      </c>
      <c r="AD42" s="168">
        <v>50.11</v>
      </c>
      <c r="AE42" s="172">
        <v>399.89</v>
      </c>
      <c r="AF42" s="169">
        <f t="shared" si="20"/>
        <v>16795.38</v>
      </c>
      <c r="AG42" s="168">
        <f t="shared" si="8"/>
        <v>51.613300000000002</v>
      </c>
      <c r="AH42" s="172">
        <f t="shared" si="8"/>
        <v>411.88670000000002</v>
      </c>
      <c r="AI42" s="169">
        <f t="shared" si="21"/>
        <v>17299.241399999999</v>
      </c>
      <c r="AJ42" s="168">
        <f>AG42*(1+$AI$2)+0.01</f>
        <v>53.171699000000004</v>
      </c>
      <c r="AK42" s="172">
        <f>AH42*(1+$AI$2)+0.01</f>
        <v>424.25330100000002</v>
      </c>
      <c r="AL42" s="169">
        <f t="shared" si="22"/>
        <v>17818.638642000002</v>
      </c>
      <c r="AM42" s="389" t="s">
        <v>119</v>
      </c>
      <c r="AN42" s="407">
        <v>0</v>
      </c>
      <c r="AO42" s="408">
        <v>0</v>
      </c>
      <c r="AP42" s="409">
        <v>0</v>
      </c>
      <c r="AQ42" s="389" t="s">
        <v>119</v>
      </c>
      <c r="AR42" s="407">
        <f t="shared" si="10"/>
        <v>0</v>
      </c>
      <c r="AS42" s="408">
        <f t="shared" si="11"/>
        <v>0</v>
      </c>
      <c r="AT42" s="409">
        <f t="shared" si="12"/>
        <v>0</v>
      </c>
      <c r="AU42" s="407">
        <f t="shared" si="13"/>
        <v>0</v>
      </c>
      <c r="AV42" s="408">
        <f t="shared" si="14"/>
        <v>0</v>
      </c>
      <c r="AW42" s="409">
        <f t="shared" si="15"/>
        <v>0</v>
      </c>
      <c r="AX42" s="407">
        <f t="shared" si="16"/>
        <v>0</v>
      </c>
      <c r="AY42" s="408">
        <f t="shared" si="17"/>
        <v>0</v>
      </c>
      <c r="AZ42" s="409">
        <f t="shared" si="18"/>
        <v>0</v>
      </c>
      <c r="BA42" s="407">
        <f t="shared" si="26"/>
        <v>0</v>
      </c>
      <c r="BB42" s="408">
        <f t="shared" si="27"/>
        <v>0</v>
      </c>
      <c r="BC42" s="409">
        <f t="shared" si="28"/>
        <v>0</v>
      </c>
      <c r="BD42" s="407">
        <f t="shared" si="29"/>
        <v>0</v>
      </c>
      <c r="BE42" s="408">
        <f t="shared" si="30"/>
        <v>0</v>
      </c>
      <c r="BF42" s="409">
        <f t="shared" si="31"/>
        <v>0</v>
      </c>
      <c r="BG42" s="407">
        <f t="shared" si="5"/>
        <v>0</v>
      </c>
      <c r="BH42" s="408">
        <f t="shared" si="6"/>
        <v>0</v>
      </c>
      <c r="BI42" s="409">
        <f t="shared" si="7"/>
        <v>0</v>
      </c>
    </row>
    <row r="43" spans="1:61" ht="14.25">
      <c r="A43" s="166"/>
      <c r="B43" s="157" t="s">
        <v>121</v>
      </c>
      <c r="C43" s="177">
        <v>67</v>
      </c>
      <c r="D43" s="168">
        <v>67</v>
      </c>
      <c r="E43" s="168">
        <v>2814</v>
      </c>
      <c r="F43" s="170">
        <v>37</v>
      </c>
      <c r="G43" s="168">
        <v>332.32</v>
      </c>
      <c r="H43" s="169">
        <v>13957.44</v>
      </c>
      <c r="I43" s="171">
        <v>39.034999999999997</v>
      </c>
      <c r="J43" s="168">
        <v>350.59759999999994</v>
      </c>
      <c r="K43" s="169">
        <v>14725.099199999997</v>
      </c>
      <c r="L43" s="171">
        <v>40.986750000000001</v>
      </c>
      <c r="M43" s="168">
        <v>368.13747999999998</v>
      </c>
      <c r="N43" s="169">
        <v>15461.774159999999</v>
      </c>
      <c r="O43" s="171">
        <v>42.831153749999999</v>
      </c>
      <c r="P43" s="168">
        <v>384.70321659999991</v>
      </c>
      <c r="Q43" s="169">
        <v>16157.535097199996</v>
      </c>
      <c r="R43" s="171">
        <v>42.831153749999999</v>
      </c>
      <c r="S43" s="168">
        <v>384.70321659999991</v>
      </c>
      <c r="T43" s="169">
        <v>16157.535097199996</v>
      </c>
      <c r="U43" s="171">
        <v>44.544399900000002</v>
      </c>
      <c r="V43" s="168">
        <v>400.09134526399987</v>
      </c>
      <c r="W43" s="169">
        <v>16803.836501087993</v>
      </c>
      <c r="X43" s="168">
        <v>46.326175896000002</v>
      </c>
      <c r="Y43" s="168">
        <v>416.09499907455989</v>
      </c>
      <c r="Z43" s="169">
        <v>17475.989961131516</v>
      </c>
      <c r="AA43" s="168">
        <v>48.652484690800001</v>
      </c>
      <c r="AB43" s="168">
        <v>436.90974902828793</v>
      </c>
      <c r="AC43" s="169">
        <v>18350.209459188092</v>
      </c>
      <c r="AD43" s="168">
        <v>50.11</v>
      </c>
      <c r="AE43" s="172">
        <v>450.02</v>
      </c>
      <c r="AF43" s="169">
        <f t="shared" si="20"/>
        <v>18900.84</v>
      </c>
      <c r="AG43" s="168">
        <f t="shared" si="8"/>
        <v>51.613300000000002</v>
      </c>
      <c r="AH43" s="172">
        <f t="shared" si="8"/>
        <v>463.5206</v>
      </c>
      <c r="AI43" s="169">
        <f t="shared" si="21"/>
        <v>19467.8652</v>
      </c>
      <c r="AJ43" s="168">
        <f>AG43*(1+$AI$2)+0.01</f>
        <v>53.171699000000004</v>
      </c>
      <c r="AK43" s="172">
        <f>AH43*(1+$AI$2)</f>
        <v>477.42621800000001</v>
      </c>
      <c r="AL43" s="169">
        <f t="shared" si="22"/>
        <v>20051.901156</v>
      </c>
      <c r="AM43" s="389" t="s">
        <v>120</v>
      </c>
      <c r="AN43" s="407">
        <v>54.766849970000003</v>
      </c>
      <c r="AO43" s="408">
        <v>436.98090003000004</v>
      </c>
      <c r="AP43" s="409">
        <v>18353.197801260001</v>
      </c>
      <c r="AQ43" s="389" t="s">
        <v>120</v>
      </c>
      <c r="AR43" s="407">
        <f t="shared" si="10"/>
        <v>56.409855469100002</v>
      </c>
      <c r="AS43" s="408">
        <f t="shared" si="11"/>
        <v>450.09032703090008</v>
      </c>
      <c r="AT43" s="409">
        <f t="shared" si="12"/>
        <v>18903.793735297801</v>
      </c>
      <c r="AU43" s="407">
        <f t="shared" si="13"/>
        <v>58.102151133173003</v>
      </c>
      <c r="AV43" s="408">
        <f t="shared" si="14"/>
        <v>463.59303684182709</v>
      </c>
      <c r="AW43" s="409">
        <f t="shared" si="15"/>
        <v>19470.907547356735</v>
      </c>
      <c r="AX43" s="407">
        <f t="shared" si="16"/>
        <v>59.845215667168198</v>
      </c>
      <c r="AY43" s="408">
        <f t="shared" si="17"/>
        <v>477.50082794708192</v>
      </c>
      <c r="AZ43" s="409">
        <f t="shared" si="18"/>
        <v>20055.034773777439</v>
      </c>
      <c r="BA43" s="407">
        <f t="shared" si="26"/>
        <v>61.640572137183248</v>
      </c>
      <c r="BB43" s="408">
        <f t="shared" si="27"/>
        <v>491.82585278549436</v>
      </c>
      <c r="BC43" s="409">
        <f t="shared" si="28"/>
        <v>20656.685816990765</v>
      </c>
      <c r="BD43" s="407">
        <f t="shared" si="29"/>
        <v>63.48978930129875</v>
      </c>
      <c r="BE43" s="408">
        <f t="shared" si="30"/>
        <v>506.58062836905918</v>
      </c>
      <c r="BF43" s="409">
        <f t="shared" si="31"/>
        <v>21276.386391500488</v>
      </c>
      <c r="BG43" s="407">
        <f t="shared" si="5"/>
        <v>65.394482980337713</v>
      </c>
      <c r="BH43" s="408">
        <f t="shared" si="6"/>
        <v>521.77804722013093</v>
      </c>
      <c r="BI43" s="409">
        <f t="shared" si="7"/>
        <v>21914.677983245503</v>
      </c>
    </row>
    <row r="44" spans="1:61" ht="15" thickBot="1">
      <c r="A44" s="214">
        <v>277</v>
      </c>
      <c r="B44" s="234" t="s">
        <v>122</v>
      </c>
      <c r="C44" s="217">
        <v>0</v>
      </c>
      <c r="D44" s="217">
        <v>0</v>
      </c>
      <c r="E44" s="217">
        <v>0</v>
      </c>
      <c r="F44" s="219">
        <v>295.32</v>
      </c>
      <c r="G44" s="217">
        <v>295.32</v>
      </c>
      <c r="H44" s="218">
        <v>12403.44</v>
      </c>
      <c r="I44" s="224">
        <v>311.56259999999997</v>
      </c>
      <c r="J44" s="217">
        <v>311.57259999999997</v>
      </c>
      <c r="K44" s="218">
        <v>13086.049199999998</v>
      </c>
      <c r="L44" s="224">
        <v>327.14072999999996</v>
      </c>
      <c r="M44" s="217">
        <v>327.15072999999995</v>
      </c>
      <c r="N44" s="218">
        <v>13740.330659999998</v>
      </c>
      <c r="O44" s="224">
        <v>341.86206284999992</v>
      </c>
      <c r="P44" s="217">
        <v>341.87206284999991</v>
      </c>
      <c r="Q44" s="218">
        <v>14358.626639699996</v>
      </c>
      <c r="R44" s="224">
        <v>341.87206284999991</v>
      </c>
      <c r="S44" s="217">
        <v>341.87206284999991</v>
      </c>
      <c r="T44" s="218">
        <v>14358.626639699996</v>
      </c>
      <c r="U44" s="224">
        <v>355.5469453639999</v>
      </c>
      <c r="V44" s="217">
        <v>355.5469453639999</v>
      </c>
      <c r="W44" s="218">
        <v>14932.971705287995</v>
      </c>
      <c r="X44" s="217">
        <v>369.7688231785599</v>
      </c>
      <c r="Y44" s="217">
        <v>369.7688231785599</v>
      </c>
      <c r="Z44" s="218">
        <v>15530.290573499517</v>
      </c>
      <c r="AA44" s="217">
        <v>388.25726433748792</v>
      </c>
      <c r="AB44" s="217">
        <v>388.25726433748792</v>
      </c>
      <c r="AC44" s="218">
        <v>16306.805102174492</v>
      </c>
      <c r="AD44" s="217">
        <v>399.91</v>
      </c>
      <c r="AE44" s="220">
        <v>399.91</v>
      </c>
      <c r="AF44" s="218">
        <f t="shared" si="20"/>
        <v>16796.22</v>
      </c>
      <c r="AG44" s="217">
        <f t="shared" si="8"/>
        <v>411.90730000000002</v>
      </c>
      <c r="AH44" s="220">
        <f t="shared" si="8"/>
        <v>411.90730000000002</v>
      </c>
      <c r="AI44" s="218">
        <f t="shared" si="21"/>
        <v>17300.106599999999</v>
      </c>
      <c r="AJ44" s="217">
        <f>AG44*(1+$AI$2)</f>
        <v>424.26451900000001</v>
      </c>
      <c r="AK44" s="220">
        <f>AH44*(1+$AI$2)</f>
        <v>424.26451900000001</v>
      </c>
      <c r="AL44" s="218">
        <f t="shared" si="22"/>
        <v>17819.109798000001</v>
      </c>
      <c r="AM44" s="389" t="s">
        <v>121</v>
      </c>
      <c r="AN44" s="407">
        <v>54.766849970000003</v>
      </c>
      <c r="AO44" s="408">
        <v>491.74900454000004</v>
      </c>
      <c r="AP44" s="409">
        <v>20653.458190680001</v>
      </c>
      <c r="AQ44" s="389" t="s">
        <v>121</v>
      </c>
      <c r="AR44" s="407">
        <f t="shared" si="10"/>
        <v>56.409855469100002</v>
      </c>
      <c r="AS44" s="408">
        <f t="shared" si="11"/>
        <v>506.50147467620008</v>
      </c>
      <c r="AT44" s="409">
        <f t="shared" si="12"/>
        <v>21273.061936400401</v>
      </c>
      <c r="AU44" s="407">
        <f t="shared" si="13"/>
        <v>58.102151133173003</v>
      </c>
      <c r="AV44" s="408">
        <f t="shared" si="14"/>
        <v>521.69651891648607</v>
      </c>
      <c r="AW44" s="409">
        <f t="shared" si="15"/>
        <v>21911.253794492415</v>
      </c>
      <c r="AX44" s="407">
        <f t="shared" si="16"/>
        <v>59.845215667168198</v>
      </c>
      <c r="AY44" s="408">
        <f t="shared" si="17"/>
        <v>537.34741448398063</v>
      </c>
      <c r="AZ44" s="409">
        <f t="shared" si="18"/>
        <v>22568.591408327189</v>
      </c>
      <c r="BA44" s="407">
        <f t="shared" si="26"/>
        <v>61.640572137183248</v>
      </c>
      <c r="BB44" s="408">
        <f t="shared" si="27"/>
        <v>553.4678369185001</v>
      </c>
      <c r="BC44" s="409">
        <f t="shared" si="28"/>
        <v>23245.649150577006</v>
      </c>
      <c r="BD44" s="407">
        <f t="shared" si="29"/>
        <v>63.48978930129875</v>
      </c>
      <c r="BE44" s="408">
        <f t="shared" si="30"/>
        <v>570.07187202605508</v>
      </c>
      <c r="BF44" s="409">
        <f t="shared" si="31"/>
        <v>23943.018625094319</v>
      </c>
      <c r="BG44" s="407">
        <f t="shared" si="5"/>
        <v>65.394482980337713</v>
      </c>
      <c r="BH44" s="408">
        <f t="shared" si="6"/>
        <v>587.17402818683672</v>
      </c>
      <c r="BI44" s="409">
        <f t="shared" si="7"/>
        <v>24661.309183847148</v>
      </c>
    </row>
    <row r="45" spans="1:61" ht="15" thickBot="1">
      <c r="A45" s="166">
        <v>210</v>
      </c>
      <c r="B45" s="157" t="s">
        <v>99</v>
      </c>
      <c r="C45" s="167">
        <v>15</v>
      </c>
      <c r="D45" s="161">
        <v>15</v>
      </c>
      <c r="E45" s="162">
        <v>630</v>
      </c>
      <c r="F45" s="230">
        <v>35.32</v>
      </c>
      <c r="G45" s="161">
        <v>35.32</v>
      </c>
      <c r="H45" s="162">
        <v>1483.44</v>
      </c>
      <c r="I45" s="164">
        <v>37.262599999999999</v>
      </c>
      <c r="J45" s="161">
        <v>37.262599999999999</v>
      </c>
      <c r="K45" s="162">
        <v>1565.0291999999999</v>
      </c>
      <c r="L45" s="164">
        <v>39.125729999999997</v>
      </c>
      <c r="M45" s="161">
        <v>39.125729999999997</v>
      </c>
      <c r="N45" s="162">
        <v>1643.2806599999999</v>
      </c>
      <c r="O45" s="164">
        <v>40.886387849999991</v>
      </c>
      <c r="P45" s="161">
        <v>40.886387849999991</v>
      </c>
      <c r="Q45" s="162">
        <v>1717.2282896999996</v>
      </c>
      <c r="R45" s="164">
        <v>63.55</v>
      </c>
      <c r="S45" s="161">
        <v>63.55</v>
      </c>
      <c r="T45" s="162">
        <v>2669.1</v>
      </c>
      <c r="U45" s="164">
        <v>66.091999999999999</v>
      </c>
      <c r="V45" s="161">
        <v>66.091999999999999</v>
      </c>
      <c r="W45" s="162">
        <v>2775.864</v>
      </c>
      <c r="X45" s="161">
        <v>68.725679999999997</v>
      </c>
      <c r="Y45" s="161">
        <v>68.725679999999997</v>
      </c>
      <c r="Z45" s="162">
        <v>2886.47856</v>
      </c>
      <c r="AA45" s="161">
        <v>72.161963999999998</v>
      </c>
      <c r="AB45" s="161">
        <v>72.161963999999998</v>
      </c>
      <c r="AC45" s="162">
        <v>3030.8024879999998</v>
      </c>
      <c r="AD45" s="161">
        <v>74.319999999999993</v>
      </c>
      <c r="AE45" s="165">
        <v>74.319999999999993</v>
      </c>
      <c r="AF45" s="162">
        <f t="shared" si="20"/>
        <v>3121.4399999999996</v>
      </c>
      <c r="AG45" s="161">
        <f t="shared" si="8"/>
        <v>76.549599999999998</v>
      </c>
      <c r="AH45" s="165">
        <f t="shared" si="8"/>
        <v>76.549599999999998</v>
      </c>
      <c r="AI45" s="162">
        <f t="shared" si="21"/>
        <v>3215.0832</v>
      </c>
      <c r="AJ45" s="161">
        <f t="shared" si="25"/>
        <v>78.846087999999995</v>
      </c>
      <c r="AK45" s="165">
        <f t="shared" si="25"/>
        <v>78.846087999999995</v>
      </c>
      <c r="AL45" s="162">
        <f t="shared" si="22"/>
        <v>3311.5356959999999</v>
      </c>
      <c r="AM45" s="388" t="s">
        <v>122</v>
      </c>
      <c r="AN45" s="410">
        <v>436.99245457000001</v>
      </c>
      <c r="AO45" s="411">
        <v>436.99245457000001</v>
      </c>
      <c r="AP45" s="412">
        <v>18353.683091940002</v>
      </c>
      <c r="AQ45" s="388" t="s">
        <v>122</v>
      </c>
      <c r="AR45" s="410">
        <f t="shared" si="10"/>
        <v>450.10222820710004</v>
      </c>
      <c r="AS45" s="411">
        <f t="shared" si="11"/>
        <v>450.10222820710004</v>
      </c>
      <c r="AT45" s="412">
        <f t="shared" si="12"/>
        <v>18904.293584698204</v>
      </c>
      <c r="AU45" s="410">
        <f t="shared" si="13"/>
        <v>463.60529505331306</v>
      </c>
      <c r="AV45" s="411">
        <f t="shared" si="14"/>
        <v>463.60529505331306</v>
      </c>
      <c r="AW45" s="412">
        <f t="shared" si="15"/>
        <v>19471.42239223915</v>
      </c>
      <c r="AX45" s="410">
        <f t="shared" si="16"/>
        <v>477.51345390491247</v>
      </c>
      <c r="AY45" s="411">
        <f t="shared" si="17"/>
        <v>477.51345390491247</v>
      </c>
      <c r="AZ45" s="412">
        <f t="shared" si="18"/>
        <v>20055.565064006325</v>
      </c>
      <c r="BA45" s="410">
        <f t="shared" si="26"/>
        <v>491.83885752205987</v>
      </c>
      <c r="BB45" s="411">
        <f t="shared" si="27"/>
        <v>491.83885752205987</v>
      </c>
      <c r="BC45" s="412">
        <f t="shared" si="28"/>
        <v>20657.232015926515</v>
      </c>
      <c r="BD45" s="410">
        <f t="shared" si="29"/>
        <v>506.59402324772168</v>
      </c>
      <c r="BE45" s="411">
        <f t="shared" si="30"/>
        <v>506.59402324772168</v>
      </c>
      <c r="BF45" s="412">
        <f t="shared" si="31"/>
        <v>21276.94897640431</v>
      </c>
      <c r="BG45" s="410">
        <f t="shared" si="5"/>
        <v>521.79184394515335</v>
      </c>
      <c r="BH45" s="411">
        <f t="shared" si="6"/>
        <v>521.79184394515335</v>
      </c>
      <c r="BI45" s="412">
        <f t="shared" si="7"/>
        <v>21915.257445696439</v>
      </c>
    </row>
    <row r="46" spans="1:61" ht="14.25">
      <c r="A46" s="166">
        <v>260</v>
      </c>
      <c r="B46" s="157" t="s">
        <v>102</v>
      </c>
      <c r="C46" s="167">
        <v>100</v>
      </c>
      <c r="D46" s="168">
        <v>100</v>
      </c>
      <c r="E46" s="169">
        <v>4200</v>
      </c>
      <c r="F46" s="181">
        <v>106.32</v>
      </c>
      <c r="G46" s="168">
        <v>106.32</v>
      </c>
      <c r="H46" s="169">
        <v>4465.4399999999996</v>
      </c>
      <c r="I46" s="171">
        <v>112.16759999999999</v>
      </c>
      <c r="J46" s="168">
        <v>112.16759999999999</v>
      </c>
      <c r="K46" s="169">
        <v>4711.0391999999993</v>
      </c>
      <c r="L46" s="171">
        <v>117.77598</v>
      </c>
      <c r="M46" s="168">
        <v>117.77598</v>
      </c>
      <c r="N46" s="169">
        <v>4946.5911599999999</v>
      </c>
      <c r="O46" s="171">
        <v>123.0758991</v>
      </c>
      <c r="P46" s="168">
        <v>123.0758991</v>
      </c>
      <c r="Q46" s="169">
        <v>5169.1877622000002</v>
      </c>
      <c r="R46" s="171">
        <v>123.0758991</v>
      </c>
      <c r="S46" s="168">
        <v>123.0758991</v>
      </c>
      <c r="T46" s="169">
        <v>5169.1877622000002</v>
      </c>
      <c r="U46" s="171">
        <v>127.99893506400001</v>
      </c>
      <c r="V46" s="168">
        <v>127.99893506400001</v>
      </c>
      <c r="W46" s="169">
        <v>5375.9552726880002</v>
      </c>
      <c r="X46" s="168">
        <v>133.11889246656003</v>
      </c>
      <c r="Y46" s="168">
        <v>133.11889246656003</v>
      </c>
      <c r="Z46" s="169">
        <v>5590.993483595521</v>
      </c>
      <c r="AA46" s="168">
        <v>139.78008708988804</v>
      </c>
      <c r="AB46" s="168">
        <v>139.78008708988804</v>
      </c>
      <c r="AC46" s="169">
        <v>5870.7636577752974</v>
      </c>
      <c r="AD46" s="168">
        <v>143.97</v>
      </c>
      <c r="AE46" s="172">
        <v>143.97</v>
      </c>
      <c r="AF46" s="169">
        <f t="shared" si="20"/>
        <v>6046.74</v>
      </c>
      <c r="AG46" s="168">
        <f t="shared" si="8"/>
        <v>148.28909999999999</v>
      </c>
      <c r="AH46" s="172">
        <f t="shared" si="8"/>
        <v>148.28909999999999</v>
      </c>
      <c r="AI46" s="169">
        <f t="shared" si="21"/>
        <v>6228.1421999999993</v>
      </c>
      <c r="AJ46" s="168">
        <f t="shared" si="25"/>
        <v>152.737773</v>
      </c>
      <c r="AK46" s="172">
        <f t="shared" si="25"/>
        <v>152.737773</v>
      </c>
      <c r="AL46" s="169">
        <f t="shared" si="22"/>
        <v>6414.9864660000003</v>
      </c>
      <c r="AM46" s="389" t="s">
        <v>99</v>
      </c>
      <c r="AN46" s="404">
        <v>81.211470640000002</v>
      </c>
      <c r="AO46" s="405">
        <v>81.211470640000002</v>
      </c>
      <c r="AP46" s="406">
        <v>3410.8817668800002</v>
      </c>
      <c r="AQ46" s="389" t="s">
        <v>99</v>
      </c>
      <c r="AR46" s="404">
        <f t="shared" si="10"/>
        <v>83.647814759200003</v>
      </c>
      <c r="AS46" s="405">
        <f t="shared" si="11"/>
        <v>83.647814759200003</v>
      </c>
      <c r="AT46" s="406">
        <f t="shared" si="12"/>
        <v>3513.2082198864005</v>
      </c>
      <c r="AU46" s="404">
        <f t="shared" si="13"/>
        <v>86.157249201976001</v>
      </c>
      <c r="AV46" s="405">
        <f t="shared" si="14"/>
        <v>86.157249201976001</v>
      </c>
      <c r="AW46" s="406">
        <f t="shared" si="15"/>
        <v>3618.6044664829924</v>
      </c>
      <c r="AX46" s="404">
        <f t="shared" si="16"/>
        <v>88.741966678035283</v>
      </c>
      <c r="AY46" s="405">
        <f t="shared" si="17"/>
        <v>88.741966678035283</v>
      </c>
      <c r="AZ46" s="406">
        <f t="shared" si="18"/>
        <v>3727.1626004774821</v>
      </c>
      <c r="BA46" s="404">
        <f t="shared" si="26"/>
        <v>91.404225678376349</v>
      </c>
      <c r="BB46" s="405">
        <f t="shared" si="27"/>
        <v>91.404225678376349</v>
      </c>
      <c r="BC46" s="406">
        <f t="shared" si="28"/>
        <v>3838.9774784918068</v>
      </c>
      <c r="BD46" s="404">
        <f t="shared" si="29"/>
        <v>94.14635244872764</v>
      </c>
      <c r="BE46" s="405">
        <f t="shared" si="30"/>
        <v>94.14635244872764</v>
      </c>
      <c r="BF46" s="406">
        <f t="shared" si="31"/>
        <v>3954.1468028465611</v>
      </c>
      <c r="BG46" s="404">
        <f t="shared" si="5"/>
        <v>96.970743022189467</v>
      </c>
      <c r="BH46" s="405">
        <f t="shared" si="6"/>
        <v>96.970743022189467</v>
      </c>
      <c r="BI46" s="406">
        <f t="shared" si="7"/>
        <v>4072.7712069319582</v>
      </c>
    </row>
    <row r="47" spans="1:61" ht="14.25">
      <c r="A47" s="173">
        <v>231</v>
      </c>
      <c r="B47" s="158" t="s">
        <v>104</v>
      </c>
      <c r="C47" s="174">
        <v>22.089552238805972</v>
      </c>
      <c r="D47" s="175">
        <v>122.09</v>
      </c>
      <c r="E47" s="176">
        <v>5127.78</v>
      </c>
      <c r="F47" s="174">
        <v>22.089552238805972</v>
      </c>
      <c r="G47" s="175">
        <v>128.40955223880596</v>
      </c>
      <c r="H47" s="176">
        <v>5393.2011940298498</v>
      </c>
      <c r="I47" s="174">
        <v>23.3044776119403</v>
      </c>
      <c r="J47" s="175">
        <v>135.47207761194028</v>
      </c>
      <c r="K47" s="176">
        <v>5689.827259701492</v>
      </c>
      <c r="L47" s="174">
        <v>24.469701492537315</v>
      </c>
      <c r="M47" s="175">
        <v>142.24568149253733</v>
      </c>
      <c r="N47" s="176">
        <v>5974.3186226865682</v>
      </c>
      <c r="O47" s="174">
        <v>25.570838059701494</v>
      </c>
      <c r="P47" s="175">
        <v>148.6467371597015</v>
      </c>
      <c r="Q47" s="176">
        <v>6243.1629607074628</v>
      </c>
      <c r="R47" s="174">
        <v>25.570838059701494</v>
      </c>
      <c r="S47" s="175">
        <v>148.6467371597015</v>
      </c>
      <c r="T47" s="176">
        <v>6243.1629607074628</v>
      </c>
      <c r="U47" s="174">
        <v>26.593671582089556</v>
      </c>
      <c r="V47" s="175">
        <v>154.59260664608956</v>
      </c>
      <c r="W47" s="176">
        <v>6492.8894791357616</v>
      </c>
      <c r="X47" s="175">
        <v>27.647418445373138</v>
      </c>
      <c r="Y47" s="175">
        <v>160.76631091193318</v>
      </c>
      <c r="Z47" s="176">
        <v>6752.1850583011937</v>
      </c>
      <c r="AA47" s="175">
        <v>29.029789367641797</v>
      </c>
      <c r="AB47" s="175">
        <v>168.80987645752984</v>
      </c>
      <c r="AC47" s="176">
        <v>7090.0148112162533</v>
      </c>
      <c r="AD47" s="175">
        <v>29.9</v>
      </c>
      <c r="AE47" s="172">
        <v>173.87</v>
      </c>
      <c r="AF47" s="176">
        <f t="shared" si="20"/>
        <v>7302.54</v>
      </c>
      <c r="AG47" s="175">
        <f t="shared" si="8"/>
        <v>30.797000000000001</v>
      </c>
      <c r="AH47" s="172">
        <f t="shared" si="8"/>
        <v>179.08610000000002</v>
      </c>
      <c r="AI47" s="176">
        <f t="shared" si="21"/>
        <v>7521.6162000000004</v>
      </c>
      <c r="AJ47" s="175">
        <f t="shared" si="25"/>
        <v>31.72091</v>
      </c>
      <c r="AK47" s="172">
        <f t="shared" si="25"/>
        <v>184.45868300000001</v>
      </c>
      <c r="AL47" s="176">
        <f t="shared" si="22"/>
        <v>7747.2646860000004</v>
      </c>
      <c r="AM47" s="389" t="s">
        <v>102</v>
      </c>
      <c r="AN47" s="407">
        <v>157.31990619000001</v>
      </c>
      <c r="AO47" s="408">
        <v>157.31990619000001</v>
      </c>
      <c r="AP47" s="409">
        <v>6607.4360599800002</v>
      </c>
      <c r="AQ47" s="389" t="s">
        <v>102</v>
      </c>
      <c r="AR47" s="407">
        <f t="shared" si="10"/>
        <v>162.03950337570001</v>
      </c>
      <c r="AS47" s="408">
        <f t="shared" si="11"/>
        <v>162.03950337570001</v>
      </c>
      <c r="AT47" s="409">
        <f t="shared" si="12"/>
        <v>6805.6591417794007</v>
      </c>
      <c r="AU47" s="407">
        <f t="shared" si="13"/>
        <v>166.900688476971</v>
      </c>
      <c r="AV47" s="408">
        <f t="shared" si="14"/>
        <v>166.900688476971</v>
      </c>
      <c r="AW47" s="409">
        <f t="shared" si="15"/>
        <v>7009.8289160327831</v>
      </c>
      <c r="AX47" s="407">
        <f t="shared" si="16"/>
        <v>171.90770913128014</v>
      </c>
      <c r="AY47" s="408">
        <f t="shared" si="17"/>
        <v>171.90770913128014</v>
      </c>
      <c r="AZ47" s="409">
        <f t="shared" si="18"/>
        <v>7220.1237835137672</v>
      </c>
      <c r="BA47" s="407">
        <f t="shared" si="26"/>
        <v>177.06494040521855</v>
      </c>
      <c r="BB47" s="408">
        <f t="shared" si="27"/>
        <v>177.06494040521855</v>
      </c>
      <c r="BC47" s="409">
        <f t="shared" si="28"/>
        <v>7436.7274970191802</v>
      </c>
      <c r="BD47" s="407">
        <f t="shared" si="29"/>
        <v>182.3768886173751</v>
      </c>
      <c r="BE47" s="408">
        <f t="shared" si="30"/>
        <v>182.3768886173751</v>
      </c>
      <c r="BF47" s="409">
        <f t="shared" si="31"/>
        <v>7659.8293219297557</v>
      </c>
      <c r="BG47" s="407">
        <f t="shared" si="5"/>
        <v>187.84819527589636</v>
      </c>
      <c r="BH47" s="408">
        <f t="shared" si="6"/>
        <v>187.84819527589636</v>
      </c>
      <c r="BI47" s="409">
        <f t="shared" si="7"/>
        <v>7889.6242015876487</v>
      </c>
    </row>
    <row r="48" spans="1:61" ht="14.25">
      <c r="A48" s="166">
        <v>221</v>
      </c>
      <c r="B48" s="157" t="s">
        <v>105</v>
      </c>
      <c r="C48" s="167">
        <v>40</v>
      </c>
      <c r="D48" s="168">
        <v>140</v>
      </c>
      <c r="E48" s="169">
        <v>5880</v>
      </c>
      <c r="F48" s="181">
        <v>40</v>
      </c>
      <c r="G48" s="168">
        <v>146.32</v>
      </c>
      <c r="H48" s="169">
        <v>6145.44</v>
      </c>
      <c r="I48" s="171">
        <v>42.2</v>
      </c>
      <c r="J48" s="168">
        <v>154.36759999999998</v>
      </c>
      <c r="K48" s="169">
        <v>6483.4391999999989</v>
      </c>
      <c r="L48" s="171">
        <v>44.31</v>
      </c>
      <c r="M48" s="168">
        <v>162.08598000000001</v>
      </c>
      <c r="N48" s="169">
        <v>6807.6111600000004</v>
      </c>
      <c r="O48" s="171">
        <v>46.30395</v>
      </c>
      <c r="P48" s="168">
        <v>169.3798491</v>
      </c>
      <c r="Q48" s="169">
        <v>7113.9536621999996</v>
      </c>
      <c r="R48" s="171">
        <v>46.30395</v>
      </c>
      <c r="S48" s="168">
        <v>169.3798491</v>
      </c>
      <c r="T48" s="169">
        <v>7113.9536621999996</v>
      </c>
      <c r="U48" s="171">
        <v>48.156108000000003</v>
      </c>
      <c r="V48" s="168">
        <v>176.15504306400001</v>
      </c>
      <c r="W48" s="169">
        <v>7398.5118086880002</v>
      </c>
      <c r="X48" s="168">
        <v>50.092352320000003</v>
      </c>
      <c r="Y48" s="168">
        <v>183.21124478656003</v>
      </c>
      <c r="Z48" s="169">
        <v>7694.8722810355212</v>
      </c>
      <c r="AA48" s="168">
        <v>52.58696993600001</v>
      </c>
      <c r="AB48" s="168">
        <v>192.36705702588804</v>
      </c>
      <c r="AC48" s="169">
        <v>8079.416395087298</v>
      </c>
      <c r="AD48" s="168">
        <v>54.17</v>
      </c>
      <c r="AE48" s="172">
        <v>198.14</v>
      </c>
      <c r="AF48" s="169">
        <f t="shared" si="20"/>
        <v>8321.8799999999992</v>
      </c>
      <c r="AG48" s="168">
        <f>AD48*(1+$AI$2)-0.01</f>
        <v>55.785100000000007</v>
      </c>
      <c r="AH48" s="172">
        <f>AE48*(1+$AI$2)</f>
        <v>204.08419999999998</v>
      </c>
      <c r="AI48" s="169">
        <f t="shared" si="21"/>
        <v>8571.536399999999</v>
      </c>
      <c r="AJ48" s="168">
        <f>AG48*(1+$AI$2)-0.01</f>
        <v>57.448653000000007</v>
      </c>
      <c r="AK48" s="172">
        <f>AH48*(1+$AI$2)-0.02</f>
        <v>210.18672599999996</v>
      </c>
      <c r="AL48" s="169">
        <f t="shared" si="22"/>
        <v>8827.8424919999979</v>
      </c>
      <c r="AM48" s="389" t="s">
        <v>104</v>
      </c>
      <c r="AN48" s="407">
        <v>32.672537300000002</v>
      </c>
      <c r="AO48" s="408">
        <v>189.99244349</v>
      </c>
      <c r="AP48" s="409">
        <v>7979.6826265800009</v>
      </c>
      <c r="AQ48" s="389" t="s">
        <v>104</v>
      </c>
      <c r="AR48" s="407">
        <f t="shared" si="10"/>
        <v>33.652713419000001</v>
      </c>
      <c r="AS48" s="408">
        <f t="shared" si="11"/>
        <v>195.69221679470002</v>
      </c>
      <c r="AT48" s="409">
        <f t="shared" si="12"/>
        <v>8219.0731053774016</v>
      </c>
      <c r="AU48" s="407">
        <f t="shared" si="13"/>
        <v>34.662294821570001</v>
      </c>
      <c r="AV48" s="408">
        <f t="shared" si="14"/>
        <v>201.56298329854101</v>
      </c>
      <c r="AW48" s="409">
        <f t="shared" si="15"/>
        <v>8465.6452985387241</v>
      </c>
      <c r="AX48" s="407">
        <f t="shared" si="16"/>
        <v>35.702163666217103</v>
      </c>
      <c r="AY48" s="408">
        <f t="shared" si="17"/>
        <v>207.60987279749725</v>
      </c>
      <c r="AZ48" s="409">
        <f t="shared" si="18"/>
        <v>8719.6146574948853</v>
      </c>
      <c r="BA48" s="407">
        <f t="shared" si="26"/>
        <v>36.773228576203614</v>
      </c>
      <c r="BB48" s="408">
        <f t="shared" si="27"/>
        <v>213.83816898142217</v>
      </c>
      <c r="BC48" s="409">
        <f t="shared" si="28"/>
        <v>8981.2030972197317</v>
      </c>
      <c r="BD48" s="407">
        <f t="shared" si="29"/>
        <v>37.876425433489722</v>
      </c>
      <c r="BE48" s="408">
        <f t="shared" si="30"/>
        <v>220.25331405086484</v>
      </c>
      <c r="BF48" s="409">
        <f t="shared" si="31"/>
        <v>9250.639190136324</v>
      </c>
      <c r="BG48" s="407">
        <f t="shared" si="5"/>
        <v>39.012718196494411</v>
      </c>
      <c r="BH48" s="408">
        <f t="shared" si="6"/>
        <v>226.86091347239079</v>
      </c>
      <c r="BI48" s="409">
        <f t="shared" si="7"/>
        <v>9528.1583658404143</v>
      </c>
    </row>
    <row r="49" spans="1:61" ht="14.25">
      <c r="A49" s="166">
        <v>245</v>
      </c>
      <c r="B49" s="157" t="s">
        <v>123</v>
      </c>
      <c r="C49" s="167">
        <v>70</v>
      </c>
      <c r="D49" s="168">
        <v>210</v>
      </c>
      <c r="E49" s="169">
        <v>8820</v>
      </c>
      <c r="F49" s="181">
        <v>84</v>
      </c>
      <c r="G49" s="168">
        <v>230.32</v>
      </c>
      <c r="H49" s="169">
        <v>9673.44</v>
      </c>
      <c r="I49" s="171">
        <v>88.62</v>
      </c>
      <c r="J49" s="168">
        <v>242.98759999999999</v>
      </c>
      <c r="K49" s="169">
        <v>10205.4792</v>
      </c>
      <c r="L49" s="171">
        <v>93.051000000000002</v>
      </c>
      <c r="M49" s="168">
        <v>255.13697999999999</v>
      </c>
      <c r="N49" s="169">
        <v>10715.75316</v>
      </c>
      <c r="O49" s="171">
        <v>97.238294999999994</v>
      </c>
      <c r="P49" s="168">
        <v>266.61814409999999</v>
      </c>
      <c r="Q49" s="169">
        <v>11197.9620522</v>
      </c>
      <c r="R49" s="171">
        <v>97.238294999999994</v>
      </c>
      <c r="S49" s="168">
        <v>266.61814409999999</v>
      </c>
      <c r="T49" s="169">
        <v>11197.9620522</v>
      </c>
      <c r="U49" s="171">
        <v>101.11782679999999</v>
      </c>
      <c r="V49" s="168">
        <v>277.27286986399997</v>
      </c>
      <c r="W49" s="169">
        <v>11645.460534287999</v>
      </c>
      <c r="X49" s="168">
        <v>105.15253987199999</v>
      </c>
      <c r="Y49" s="168">
        <v>288.36378465856001</v>
      </c>
      <c r="Z49" s="169">
        <v>12111.27895565952</v>
      </c>
      <c r="AA49" s="168">
        <v>110.41016686559999</v>
      </c>
      <c r="AB49" s="168">
        <v>302.77722389148801</v>
      </c>
      <c r="AC49" s="169">
        <v>12716.643403442496</v>
      </c>
      <c r="AD49" s="168">
        <v>113.72</v>
      </c>
      <c r="AE49" s="172">
        <v>311.86</v>
      </c>
      <c r="AF49" s="169">
        <f t="shared" si="20"/>
        <v>13098.12</v>
      </c>
      <c r="AG49" s="168">
        <f>AD49*(1+$AI$2)+0.01</f>
        <v>117.14160000000001</v>
      </c>
      <c r="AH49" s="172">
        <f>AH48+AG49</f>
        <v>321.22579999999999</v>
      </c>
      <c r="AI49" s="169">
        <f t="shared" si="21"/>
        <v>13491.4836</v>
      </c>
      <c r="AJ49" s="168">
        <f>AG49*(1+$AI$2)+0.02</f>
        <v>120.67584800000002</v>
      </c>
      <c r="AK49" s="172">
        <f>AK48+AJ49</f>
        <v>330.862574</v>
      </c>
      <c r="AL49" s="169">
        <f t="shared" si="22"/>
        <v>13896.228107999999</v>
      </c>
      <c r="AM49" s="389" t="s">
        <v>105</v>
      </c>
      <c r="AN49" s="407">
        <v>59.172112590000012</v>
      </c>
      <c r="AO49" s="408">
        <v>216.49232777999998</v>
      </c>
      <c r="AP49" s="409">
        <v>9092.6777667599981</v>
      </c>
      <c r="AQ49" s="389" t="s">
        <v>105</v>
      </c>
      <c r="AR49" s="407">
        <f t="shared" si="10"/>
        <v>60.947275967700016</v>
      </c>
      <c r="AS49" s="408">
        <f t="shared" si="11"/>
        <v>222.98709761339998</v>
      </c>
      <c r="AT49" s="409">
        <f t="shared" si="12"/>
        <v>9365.4580997627982</v>
      </c>
      <c r="AU49" s="407">
        <f t="shared" si="13"/>
        <v>62.775694246731021</v>
      </c>
      <c r="AV49" s="408">
        <f t="shared" si="14"/>
        <v>229.67671054180198</v>
      </c>
      <c r="AW49" s="409">
        <f t="shared" si="15"/>
        <v>9646.4218427556825</v>
      </c>
      <c r="AX49" s="407">
        <f t="shared" si="16"/>
        <v>64.658965074132951</v>
      </c>
      <c r="AY49" s="408">
        <f t="shared" si="17"/>
        <v>236.56701185805605</v>
      </c>
      <c r="AZ49" s="409">
        <f t="shared" si="18"/>
        <v>9935.8144980383531</v>
      </c>
      <c r="BA49" s="407">
        <f t="shared" si="26"/>
        <v>66.598734026356937</v>
      </c>
      <c r="BB49" s="408">
        <f t="shared" si="27"/>
        <v>243.66402221379775</v>
      </c>
      <c r="BC49" s="409">
        <f t="shared" si="28"/>
        <v>10233.888932979504</v>
      </c>
      <c r="BD49" s="407">
        <f t="shared" si="29"/>
        <v>68.596696047147645</v>
      </c>
      <c r="BE49" s="408">
        <f t="shared" si="30"/>
        <v>250.97394288021169</v>
      </c>
      <c r="BF49" s="409">
        <f t="shared" si="31"/>
        <v>10540.905600968888</v>
      </c>
      <c r="BG49" s="407">
        <f t="shared" si="5"/>
        <v>70.654596928562071</v>
      </c>
      <c r="BH49" s="408">
        <f t="shared" si="6"/>
        <v>258.50316116661804</v>
      </c>
      <c r="BI49" s="409">
        <f t="shared" si="7"/>
        <v>10857.132768997955</v>
      </c>
    </row>
    <row r="50" spans="1:61" ht="15" thickBot="1">
      <c r="A50" s="214">
        <v>251</v>
      </c>
      <c r="B50" s="234" t="s">
        <v>124</v>
      </c>
      <c r="C50" s="216">
        <v>70</v>
      </c>
      <c r="D50" s="217">
        <v>162.09</v>
      </c>
      <c r="E50" s="218">
        <v>6807.78</v>
      </c>
      <c r="F50" s="219">
        <v>84</v>
      </c>
      <c r="G50" s="217">
        <v>230.32</v>
      </c>
      <c r="H50" s="218">
        <v>9673.44</v>
      </c>
      <c r="I50" s="224">
        <v>88.62</v>
      </c>
      <c r="J50" s="217">
        <v>242.98759999999999</v>
      </c>
      <c r="K50" s="218">
        <v>10205.4792</v>
      </c>
      <c r="L50" s="224">
        <v>93.051000000000002</v>
      </c>
      <c r="M50" s="217">
        <v>255.13697999999999</v>
      </c>
      <c r="N50" s="218">
        <v>10715.75316</v>
      </c>
      <c r="O50" s="224">
        <v>97.238294999999994</v>
      </c>
      <c r="P50" s="217">
        <v>266.61814409999999</v>
      </c>
      <c r="Q50" s="218">
        <v>11197.9620522</v>
      </c>
      <c r="R50" s="224">
        <v>97.238294999999994</v>
      </c>
      <c r="S50" s="217">
        <v>266.61814409999999</v>
      </c>
      <c r="T50" s="218">
        <v>11197.9620522</v>
      </c>
      <c r="U50" s="224">
        <v>101.11782679999999</v>
      </c>
      <c r="V50" s="217">
        <v>277.27286986399997</v>
      </c>
      <c r="W50" s="218">
        <v>11645.460534287999</v>
      </c>
      <c r="X50" s="217">
        <v>105.15253987199999</v>
      </c>
      <c r="Y50" s="217">
        <v>288.36378465856001</v>
      </c>
      <c r="Z50" s="218">
        <v>12111.27895565952</v>
      </c>
      <c r="AA50" s="217">
        <v>110.41016686559999</v>
      </c>
      <c r="AB50" s="217">
        <v>302.77722389148801</v>
      </c>
      <c r="AC50" s="218">
        <v>12716.643403442496</v>
      </c>
      <c r="AD50" s="217">
        <v>113.72</v>
      </c>
      <c r="AE50" s="220">
        <v>311.86</v>
      </c>
      <c r="AF50" s="218">
        <f t="shared" si="20"/>
        <v>13098.12</v>
      </c>
      <c r="AG50" s="217">
        <f>AD50*(1+$AI$2)+0.01</f>
        <v>117.14160000000001</v>
      </c>
      <c r="AH50" s="220">
        <f>AH48+AG50</f>
        <v>321.22579999999999</v>
      </c>
      <c r="AI50" s="218">
        <f t="shared" si="21"/>
        <v>13491.4836</v>
      </c>
      <c r="AJ50" s="217">
        <f>AG50*(1+$AI$2)+0.02</f>
        <v>120.67584800000002</v>
      </c>
      <c r="AK50" s="220">
        <f>AK48+AJ50</f>
        <v>330.862574</v>
      </c>
      <c r="AL50" s="218">
        <f t="shared" si="22"/>
        <v>13896.228107999999</v>
      </c>
      <c r="AM50" s="389" t="s">
        <v>123</v>
      </c>
      <c r="AN50" s="407">
        <v>124.29612344000002</v>
      </c>
      <c r="AO50" s="408">
        <v>340.78845122000001</v>
      </c>
      <c r="AP50" s="409">
        <v>14313.114951239999</v>
      </c>
      <c r="AQ50" s="389" t="s">
        <v>123</v>
      </c>
      <c r="AR50" s="407">
        <f t="shared" si="10"/>
        <v>128.02500714320001</v>
      </c>
      <c r="AS50" s="408">
        <f t="shared" si="11"/>
        <v>351.01210475660002</v>
      </c>
      <c r="AT50" s="409">
        <f t="shared" si="12"/>
        <v>14742.5083997772</v>
      </c>
      <c r="AU50" s="407">
        <f t="shared" si="13"/>
        <v>131.86575735749602</v>
      </c>
      <c r="AV50" s="408">
        <f t="shared" si="14"/>
        <v>361.54246789929806</v>
      </c>
      <c r="AW50" s="409">
        <f t="shared" si="15"/>
        <v>15184.783651770516</v>
      </c>
      <c r="AX50" s="407">
        <f t="shared" si="16"/>
        <v>135.8217300782209</v>
      </c>
      <c r="AY50" s="408">
        <f t="shared" si="17"/>
        <v>372.38874193627703</v>
      </c>
      <c r="AZ50" s="409">
        <f t="shared" si="18"/>
        <v>15640.327161323632</v>
      </c>
      <c r="BA50" s="407">
        <f t="shared" si="26"/>
        <v>139.89638198056753</v>
      </c>
      <c r="BB50" s="408">
        <f t="shared" si="27"/>
        <v>383.56040419436533</v>
      </c>
      <c r="BC50" s="409">
        <f t="shared" si="28"/>
        <v>16109.536976163341</v>
      </c>
      <c r="BD50" s="407">
        <f t="shared" si="29"/>
        <v>144.09327343998456</v>
      </c>
      <c r="BE50" s="408">
        <f t="shared" si="30"/>
        <v>395.06721632019628</v>
      </c>
      <c r="BF50" s="409">
        <f t="shared" si="31"/>
        <v>16592.823085448243</v>
      </c>
      <c r="BG50" s="407">
        <f t="shared" si="5"/>
        <v>148.4160716431841</v>
      </c>
      <c r="BH50" s="408">
        <f t="shared" si="6"/>
        <v>406.91923280980217</v>
      </c>
      <c r="BI50" s="409">
        <f t="shared" si="7"/>
        <v>17090.60777801169</v>
      </c>
    </row>
    <row r="51" spans="1:61" ht="15" thickBot="1">
      <c r="A51" s="159">
        <v>210</v>
      </c>
      <c r="B51" s="156" t="s">
        <v>99</v>
      </c>
      <c r="C51" s="160">
        <v>15</v>
      </c>
      <c r="D51" s="161">
        <v>15</v>
      </c>
      <c r="E51" s="162">
        <v>630</v>
      </c>
      <c r="F51" s="163">
        <v>35.32</v>
      </c>
      <c r="G51" s="161">
        <v>35.32</v>
      </c>
      <c r="H51" s="162">
        <v>1483.44</v>
      </c>
      <c r="I51" s="164">
        <v>37.262599999999999</v>
      </c>
      <c r="J51" s="161">
        <v>37.262599999999999</v>
      </c>
      <c r="K51" s="162">
        <v>1565.0291999999999</v>
      </c>
      <c r="L51" s="164">
        <v>39.125729999999997</v>
      </c>
      <c r="M51" s="161">
        <v>39.125729999999997</v>
      </c>
      <c r="N51" s="162">
        <v>1643.2806599999999</v>
      </c>
      <c r="O51" s="164">
        <v>40.886387849999991</v>
      </c>
      <c r="P51" s="161">
        <v>40.886387849999991</v>
      </c>
      <c r="Q51" s="162">
        <v>1717.2282896999996</v>
      </c>
      <c r="R51" s="161">
        <v>63.55</v>
      </c>
      <c r="S51" s="161">
        <v>63.55</v>
      </c>
      <c r="T51" s="161">
        <v>2669.1</v>
      </c>
      <c r="U51" s="164">
        <v>66.091999999999999</v>
      </c>
      <c r="V51" s="161">
        <v>66.091999999999999</v>
      </c>
      <c r="W51" s="162">
        <v>2775.864</v>
      </c>
      <c r="X51" s="161">
        <v>68.725679999999997</v>
      </c>
      <c r="Y51" s="161">
        <v>68.725679999999997</v>
      </c>
      <c r="Z51" s="161">
        <v>2886.47856</v>
      </c>
      <c r="AA51" s="164">
        <v>72.161963999999998</v>
      </c>
      <c r="AB51" s="161">
        <v>72.161963999999998</v>
      </c>
      <c r="AC51" s="162">
        <v>3030.8024879999998</v>
      </c>
      <c r="AD51" s="164">
        <v>74.319999999999993</v>
      </c>
      <c r="AE51" s="165">
        <v>74.319999999999993</v>
      </c>
      <c r="AF51" s="162">
        <f t="shared" si="20"/>
        <v>3121.4399999999996</v>
      </c>
      <c r="AG51" s="161">
        <f t="shared" ref="AG51:AH54" si="32">AD51*(1+$AI$2)</f>
        <v>76.549599999999998</v>
      </c>
      <c r="AH51" s="165">
        <f t="shared" si="32"/>
        <v>76.549599999999998</v>
      </c>
      <c r="AI51" s="162">
        <f t="shared" si="21"/>
        <v>3215.0832</v>
      </c>
      <c r="AJ51" s="161">
        <f t="shared" ref="AJ51:AK53" si="33">AG51*(1+$AI$2)</f>
        <v>78.846087999999995</v>
      </c>
      <c r="AK51" s="165">
        <f t="shared" si="33"/>
        <v>78.846087999999995</v>
      </c>
      <c r="AL51" s="162">
        <f t="shared" si="22"/>
        <v>3311.5356959999999</v>
      </c>
      <c r="AM51" s="388" t="s">
        <v>124</v>
      </c>
      <c r="AN51" s="410">
        <v>124.29612344000002</v>
      </c>
      <c r="AO51" s="413">
        <v>340.78845122000001</v>
      </c>
      <c r="AP51" s="412">
        <v>14313.114951239999</v>
      </c>
      <c r="AQ51" s="388" t="s">
        <v>124</v>
      </c>
      <c r="AR51" s="410">
        <f t="shared" si="10"/>
        <v>128.02500714320001</v>
      </c>
      <c r="AS51" s="413">
        <f t="shared" si="11"/>
        <v>351.01210475660002</v>
      </c>
      <c r="AT51" s="412">
        <f t="shared" si="12"/>
        <v>14742.5083997772</v>
      </c>
      <c r="AU51" s="410">
        <f t="shared" si="13"/>
        <v>131.86575735749602</v>
      </c>
      <c r="AV51" s="413">
        <f t="shared" si="14"/>
        <v>361.54246789929806</v>
      </c>
      <c r="AW51" s="412">
        <f t="shared" si="15"/>
        <v>15184.783651770516</v>
      </c>
      <c r="AX51" s="410">
        <f t="shared" si="16"/>
        <v>135.8217300782209</v>
      </c>
      <c r="AY51" s="413">
        <f t="shared" si="17"/>
        <v>372.38874193627703</v>
      </c>
      <c r="AZ51" s="412">
        <f t="shared" si="18"/>
        <v>15640.327161323632</v>
      </c>
      <c r="BA51" s="410">
        <f t="shared" si="26"/>
        <v>139.89638198056753</v>
      </c>
      <c r="BB51" s="413">
        <f t="shared" si="27"/>
        <v>383.56040419436533</v>
      </c>
      <c r="BC51" s="412">
        <f t="shared" si="28"/>
        <v>16109.536976163341</v>
      </c>
      <c r="BD51" s="410">
        <f t="shared" si="29"/>
        <v>144.09327343998456</v>
      </c>
      <c r="BE51" s="413">
        <f t="shared" si="30"/>
        <v>395.06721632019628</v>
      </c>
      <c r="BF51" s="412">
        <f t="shared" si="31"/>
        <v>16592.823085448243</v>
      </c>
      <c r="BG51" s="410">
        <f t="shared" si="5"/>
        <v>148.4160716431841</v>
      </c>
      <c r="BH51" s="413">
        <f t="shared" si="6"/>
        <v>406.91923280980217</v>
      </c>
      <c r="BI51" s="412">
        <f t="shared" si="7"/>
        <v>17090.60777801169</v>
      </c>
    </row>
    <row r="52" spans="1:61" ht="14.25">
      <c r="A52" s="166">
        <v>260</v>
      </c>
      <c r="B52" s="157" t="s">
        <v>102</v>
      </c>
      <c r="C52" s="167">
        <v>100</v>
      </c>
      <c r="D52" s="168">
        <v>100</v>
      </c>
      <c r="E52" s="169">
        <v>4200</v>
      </c>
      <c r="F52" s="170">
        <v>106.32</v>
      </c>
      <c r="G52" s="168">
        <v>106.32</v>
      </c>
      <c r="H52" s="169">
        <v>4465.4399999999996</v>
      </c>
      <c r="I52" s="171">
        <v>112.16759999999999</v>
      </c>
      <c r="J52" s="168">
        <v>112.16759999999999</v>
      </c>
      <c r="K52" s="169">
        <v>4711.0391999999993</v>
      </c>
      <c r="L52" s="171">
        <v>117.77598</v>
      </c>
      <c r="M52" s="168">
        <v>117.77598</v>
      </c>
      <c r="N52" s="169">
        <v>4946.5911599999999</v>
      </c>
      <c r="O52" s="171">
        <v>123.0758991</v>
      </c>
      <c r="P52" s="168">
        <v>123.0758991</v>
      </c>
      <c r="Q52" s="169">
        <v>5169.1877622000002</v>
      </c>
      <c r="R52" s="168">
        <v>123.0758991</v>
      </c>
      <c r="S52" s="168">
        <v>123.0758991</v>
      </c>
      <c r="T52" s="168">
        <v>5169.1877622000002</v>
      </c>
      <c r="U52" s="171">
        <v>127.99893506400001</v>
      </c>
      <c r="V52" s="168">
        <v>127.99893506400001</v>
      </c>
      <c r="W52" s="169">
        <v>5375.9552726880002</v>
      </c>
      <c r="X52" s="168">
        <v>133.11889246656003</v>
      </c>
      <c r="Y52" s="168">
        <v>133.11889246656003</v>
      </c>
      <c r="Z52" s="168">
        <v>5590.993483595521</v>
      </c>
      <c r="AA52" s="171">
        <v>139.78008708988804</v>
      </c>
      <c r="AB52" s="168">
        <v>139.78008708988804</v>
      </c>
      <c r="AC52" s="169">
        <v>5870.7636577752974</v>
      </c>
      <c r="AD52" s="171">
        <v>143.97</v>
      </c>
      <c r="AE52" s="172">
        <v>143.97</v>
      </c>
      <c r="AF52" s="169">
        <f t="shared" si="20"/>
        <v>6046.74</v>
      </c>
      <c r="AG52" s="168">
        <f t="shared" si="32"/>
        <v>148.28909999999999</v>
      </c>
      <c r="AH52" s="172">
        <f t="shared" si="32"/>
        <v>148.28909999999999</v>
      </c>
      <c r="AI52" s="169">
        <f t="shared" si="21"/>
        <v>6228.1421999999993</v>
      </c>
      <c r="AJ52" s="168">
        <f t="shared" si="33"/>
        <v>152.737773</v>
      </c>
      <c r="AK52" s="172">
        <f t="shared" si="33"/>
        <v>152.737773</v>
      </c>
      <c r="AL52" s="169">
        <f t="shared" si="22"/>
        <v>6414.9864660000003</v>
      </c>
      <c r="AM52" s="392" t="s">
        <v>99</v>
      </c>
      <c r="AN52" s="404">
        <v>81.211470640000002</v>
      </c>
      <c r="AO52" s="405">
        <v>81.211470640000002</v>
      </c>
      <c r="AP52" s="406">
        <v>3410.8817668800002</v>
      </c>
      <c r="AQ52" s="392" t="s">
        <v>99</v>
      </c>
      <c r="AR52" s="404">
        <f t="shared" si="10"/>
        <v>83.647814759200003</v>
      </c>
      <c r="AS52" s="405">
        <f t="shared" si="11"/>
        <v>83.647814759200003</v>
      </c>
      <c r="AT52" s="406">
        <f t="shared" si="12"/>
        <v>3513.2082198864005</v>
      </c>
      <c r="AU52" s="404">
        <f t="shared" si="13"/>
        <v>86.157249201976001</v>
      </c>
      <c r="AV52" s="405">
        <f t="shared" si="14"/>
        <v>86.157249201976001</v>
      </c>
      <c r="AW52" s="406">
        <f t="shared" si="15"/>
        <v>3618.6044664829924</v>
      </c>
      <c r="AX52" s="404">
        <f t="shared" si="16"/>
        <v>88.741966678035283</v>
      </c>
      <c r="AY52" s="405">
        <f t="shared" si="17"/>
        <v>88.741966678035283</v>
      </c>
      <c r="AZ52" s="406">
        <f t="shared" si="18"/>
        <v>3727.1626004774821</v>
      </c>
      <c r="BA52" s="404">
        <f t="shared" si="26"/>
        <v>91.404225678376349</v>
      </c>
      <c r="BB52" s="405">
        <f t="shared" si="27"/>
        <v>91.404225678376349</v>
      </c>
      <c r="BC52" s="406">
        <f t="shared" si="28"/>
        <v>3838.9774784918068</v>
      </c>
      <c r="BD52" s="404">
        <f t="shared" si="29"/>
        <v>94.14635244872764</v>
      </c>
      <c r="BE52" s="405">
        <f t="shared" si="30"/>
        <v>94.14635244872764</v>
      </c>
      <c r="BF52" s="406">
        <f t="shared" si="31"/>
        <v>3954.1468028465611</v>
      </c>
      <c r="BG52" s="404">
        <f t="shared" si="5"/>
        <v>96.970743022189467</v>
      </c>
      <c r="BH52" s="405">
        <f t="shared" si="6"/>
        <v>96.970743022189467</v>
      </c>
      <c r="BI52" s="406">
        <f t="shared" si="7"/>
        <v>4072.7712069319582</v>
      </c>
    </row>
    <row r="53" spans="1:61" ht="14.25">
      <c r="A53" s="173">
        <v>231</v>
      </c>
      <c r="B53" s="158" t="s">
        <v>104</v>
      </c>
      <c r="C53" s="174">
        <v>22.089552238805972</v>
      </c>
      <c r="D53" s="175">
        <v>122.09</v>
      </c>
      <c r="E53" s="176">
        <v>5127.78</v>
      </c>
      <c r="F53" s="174">
        <v>22.089552238805972</v>
      </c>
      <c r="G53" s="175">
        <v>128.40955223880596</v>
      </c>
      <c r="H53" s="176">
        <v>5393.2011940298498</v>
      </c>
      <c r="I53" s="174">
        <v>23.3044776119403</v>
      </c>
      <c r="J53" s="175">
        <v>135.47207761194028</v>
      </c>
      <c r="K53" s="176">
        <v>5689.827259701492</v>
      </c>
      <c r="L53" s="174">
        <v>24.469701492537315</v>
      </c>
      <c r="M53" s="175">
        <v>142.24568149253733</v>
      </c>
      <c r="N53" s="176">
        <v>5974.3186226865682</v>
      </c>
      <c r="O53" s="174">
        <v>25.570838059701494</v>
      </c>
      <c r="P53" s="175">
        <v>148.6467371597015</v>
      </c>
      <c r="Q53" s="176">
        <v>6243.1629607074628</v>
      </c>
      <c r="R53" s="175">
        <v>25.570838059701494</v>
      </c>
      <c r="S53" s="175">
        <v>148.6467371597015</v>
      </c>
      <c r="T53" s="175">
        <v>6243.1629607074628</v>
      </c>
      <c r="U53" s="174">
        <v>26.593671582089556</v>
      </c>
      <c r="V53" s="175">
        <v>154.59260664608956</v>
      </c>
      <c r="W53" s="176">
        <v>6492.8894791357616</v>
      </c>
      <c r="X53" s="175">
        <v>27.647418445373138</v>
      </c>
      <c r="Y53" s="175">
        <v>160.76631091193318</v>
      </c>
      <c r="Z53" s="175">
        <v>6752.1850583011937</v>
      </c>
      <c r="AA53" s="174">
        <v>29.029789367641797</v>
      </c>
      <c r="AB53" s="175">
        <v>168.80987645752984</v>
      </c>
      <c r="AC53" s="176">
        <v>7090.0148112162533</v>
      </c>
      <c r="AD53" s="174">
        <v>29.9</v>
      </c>
      <c r="AE53" s="172">
        <v>173.87</v>
      </c>
      <c r="AF53" s="176">
        <f t="shared" si="20"/>
        <v>7302.54</v>
      </c>
      <c r="AG53" s="175">
        <f t="shared" si="32"/>
        <v>30.797000000000001</v>
      </c>
      <c r="AH53" s="172">
        <f t="shared" si="32"/>
        <v>179.08610000000002</v>
      </c>
      <c r="AI53" s="176">
        <f t="shared" si="21"/>
        <v>7521.6162000000004</v>
      </c>
      <c r="AJ53" s="175">
        <f t="shared" si="33"/>
        <v>31.72091</v>
      </c>
      <c r="AK53" s="172">
        <f t="shared" si="33"/>
        <v>184.45868300000001</v>
      </c>
      <c r="AL53" s="176">
        <f t="shared" si="22"/>
        <v>7747.2646860000004</v>
      </c>
      <c r="AM53" s="389" t="s">
        <v>102</v>
      </c>
      <c r="AN53" s="407">
        <v>157.31990619000001</v>
      </c>
      <c r="AO53" s="408">
        <v>157.31990619000001</v>
      </c>
      <c r="AP53" s="409">
        <v>6607.4360599800002</v>
      </c>
      <c r="AQ53" s="389" t="s">
        <v>102</v>
      </c>
      <c r="AR53" s="407">
        <f t="shared" si="10"/>
        <v>162.03950337570001</v>
      </c>
      <c r="AS53" s="408">
        <f t="shared" si="11"/>
        <v>162.03950337570001</v>
      </c>
      <c r="AT53" s="409">
        <f t="shared" si="12"/>
        <v>6805.6591417794007</v>
      </c>
      <c r="AU53" s="407">
        <f t="shared" si="13"/>
        <v>166.900688476971</v>
      </c>
      <c r="AV53" s="408">
        <f t="shared" si="14"/>
        <v>166.900688476971</v>
      </c>
      <c r="AW53" s="409">
        <f t="shared" si="15"/>
        <v>7009.8289160327831</v>
      </c>
      <c r="AX53" s="407">
        <f t="shared" si="16"/>
        <v>171.90770913128014</v>
      </c>
      <c r="AY53" s="408">
        <f t="shared" si="17"/>
        <v>171.90770913128014</v>
      </c>
      <c r="AZ53" s="409">
        <f t="shared" si="18"/>
        <v>7220.1237835137672</v>
      </c>
      <c r="BA53" s="407">
        <f t="shared" si="26"/>
        <v>177.06494040521855</v>
      </c>
      <c r="BB53" s="408">
        <f t="shared" si="27"/>
        <v>177.06494040521855</v>
      </c>
      <c r="BC53" s="409">
        <f t="shared" si="28"/>
        <v>7436.7274970191802</v>
      </c>
      <c r="BD53" s="407">
        <f t="shared" si="29"/>
        <v>182.3768886173751</v>
      </c>
      <c r="BE53" s="408">
        <f t="shared" si="30"/>
        <v>182.3768886173751</v>
      </c>
      <c r="BF53" s="409">
        <f t="shared" si="31"/>
        <v>7659.8293219297557</v>
      </c>
      <c r="BG53" s="407">
        <f t="shared" si="5"/>
        <v>187.84819527589636</v>
      </c>
      <c r="BH53" s="408">
        <f t="shared" si="6"/>
        <v>187.84819527589636</v>
      </c>
      <c r="BI53" s="409">
        <f t="shared" si="7"/>
        <v>7889.6242015876487</v>
      </c>
    </row>
    <row r="54" spans="1:61" ht="14.25">
      <c r="A54" s="166">
        <v>221</v>
      </c>
      <c r="B54" s="157" t="s">
        <v>105</v>
      </c>
      <c r="C54" s="167">
        <v>40</v>
      </c>
      <c r="D54" s="168">
        <v>140</v>
      </c>
      <c r="E54" s="169">
        <v>5880</v>
      </c>
      <c r="F54" s="170">
        <v>40</v>
      </c>
      <c r="G54" s="168">
        <v>146.32</v>
      </c>
      <c r="H54" s="169">
        <v>6145.44</v>
      </c>
      <c r="I54" s="171">
        <v>42.2</v>
      </c>
      <c r="J54" s="168">
        <v>154.36759999999998</v>
      </c>
      <c r="K54" s="169">
        <v>6483.4391999999989</v>
      </c>
      <c r="L54" s="171">
        <v>44.31</v>
      </c>
      <c r="M54" s="168">
        <v>162.08598000000001</v>
      </c>
      <c r="N54" s="169">
        <v>6807.6111600000004</v>
      </c>
      <c r="O54" s="171">
        <v>46.30395</v>
      </c>
      <c r="P54" s="168">
        <v>169.3798491</v>
      </c>
      <c r="Q54" s="169">
        <v>7113.9536621999996</v>
      </c>
      <c r="R54" s="168">
        <v>46.30395</v>
      </c>
      <c r="S54" s="168">
        <v>169.3798491</v>
      </c>
      <c r="T54" s="168">
        <v>7113.9536621999996</v>
      </c>
      <c r="U54" s="171">
        <v>48.156108000000003</v>
      </c>
      <c r="V54" s="168">
        <v>176.15504306400001</v>
      </c>
      <c r="W54" s="169">
        <v>7398.5118086880002</v>
      </c>
      <c r="X54" s="168">
        <v>50.092352320000003</v>
      </c>
      <c r="Y54" s="168">
        <v>183.21124478656003</v>
      </c>
      <c r="Z54" s="168">
        <v>7694.8722810355212</v>
      </c>
      <c r="AA54" s="171">
        <v>52.58696993600001</v>
      </c>
      <c r="AB54" s="168">
        <v>192.36705702588804</v>
      </c>
      <c r="AC54" s="169">
        <v>8079.416395087298</v>
      </c>
      <c r="AD54" s="171">
        <v>54.17</v>
      </c>
      <c r="AE54" s="172">
        <v>198.14</v>
      </c>
      <c r="AF54" s="169">
        <f t="shared" si="20"/>
        <v>8321.8799999999992</v>
      </c>
      <c r="AG54" s="168">
        <f>AD54*(1+$AI$2)-0.01</f>
        <v>55.785100000000007</v>
      </c>
      <c r="AH54" s="172">
        <f t="shared" si="32"/>
        <v>204.08419999999998</v>
      </c>
      <c r="AI54" s="169">
        <f t="shared" si="21"/>
        <v>8571.536399999999</v>
      </c>
      <c r="AJ54" s="168">
        <f>AG54*(1+$AI$2)-0.01</f>
        <v>57.448653000000007</v>
      </c>
      <c r="AK54" s="172">
        <f>AH54*(1+$AI$2)-0.02</f>
        <v>210.18672599999996</v>
      </c>
      <c r="AL54" s="169">
        <f t="shared" si="22"/>
        <v>8827.8424919999979</v>
      </c>
      <c r="AM54" s="389" t="s">
        <v>104</v>
      </c>
      <c r="AN54" s="407">
        <v>32.672537300000002</v>
      </c>
      <c r="AO54" s="408">
        <v>189.99244349</v>
      </c>
      <c r="AP54" s="409">
        <v>7979.6826265800009</v>
      </c>
      <c r="AQ54" s="389" t="s">
        <v>104</v>
      </c>
      <c r="AR54" s="407">
        <f t="shared" si="10"/>
        <v>33.652713419000001</v>
      </c>
      <c r="AS54" s="408">
        <f t="shared" si="11"/>
        <v>195.69221679470002</v>
      </c>
      <c r="AT54" s="409">
        <f t="shared" si="12"/>
        <v>8219.0731053774016</v>
      </c>
      <c r="AU54" s="407">
        <f t="shared" si="13"/>
        <v>34.662294821570001</v>
      </c>
      <c r="AV54" s="408">
        <f t="shared" si="14"/>
        <v>201.56298329854101</v>
      </c>
      <c r="AW54" s="409">
        <f t="shared" si="15"/>
        <v>8465.6452985387241</v>
      </c>
      <c r="AX54" s="407">
        <f t="shared" si="16"/>
        <v>35.702163666217103</v>
      </c>
      <c r="AY54" s="408">
        <f t="shared" si="17"/>
        <v>207.60987279749725</v>
      </c>
      <c r="AZ54" s="409">
        <f t="shared" si="18"/>
        <v>8719.6146574948853</v>
      </c>
      <c r="BA54" s="407">
        <f t="shared" si="26"/>
        <v>36.773228576203614</v>
      </c>
      <c r="BB54" s="408">
        <f t="shared" si="27"/>
        <v>213.83816898142217</v>
      </c>
      <c r="BC54" s="409">
        <f t="shared" si="28"/>
        <v>8981.2030972197317</v>
      </c>
      <c r="BD54" s="407">
        <f t="shared" si="29"/>
        <v>37.876425433489722</v>
      </c>
      <c r="BE54" s="408">
        <f t="shared" si="30"/>
        <v>220.25331405086484</v>
      </c>
      <c r="BF54" s="409">
        <f t="shared" si="31"/>
        <v>9250.639190136324</v>
      </c>
      <c r="BG54" s="407">
        <f t="shared" si="5"/>
        <v>39.012718196494411</v>
      </c>
      <c r="BH54" s="408">
        <f t="shared" si="6"/>
        <v>226.86091347239079</v>
      </c>
      <c r="BI54" s="409">
        <f t="shared" si="7"/>
        <v>9528.1583658404143</v>
      </c>
    </row>
    <row r="55" spans="1:61" ht="15" thickBot="1">
      <c r="A55" s="166"/>
      <c r="B55" s="157" t="s">
        <v>184</v>
      </c>
      <c r="C55" s="167"/>
      <c r="D55" s="168"/>
      <c r="E55" s="169"/>
      <c r="F55" s="170"/>
      <c r="G55" s="168"/>
      <c r="H55" s="169"/>
      <c r="I55" s="171"/>
      <c r="J55" s="168"/>
      <c r="K55" s="169"/>
      <c r="L55" s="171"/>
      <c r="M55" s="168"/>
      <c r="N55" s="169"/>
      <c r="O55" s="171"/>
      <c r="P55" s="168"/>
      <c r="Q55" s="169"/>
      <c r="R55" s="168"/>
      <c r="S55" s="168"/>
      <c r="T55" s="168"/>
      <c r="U55" s="171"/>
      <c r="V55" s="168"/>
      <c r="W55" s="169"/>
      <c r="X55" s="168"/>
      <c r="Y55" s="168"/>
      <c r="Z55" s="168"/>
      <c r="AA55" s="171"/>
      <c r="AB55" s="168"/>
      <c r="AC55" s="169"/>
      <c r="AD55" s="217"/>
      <c r="AE55" s="220"/>
      <c r="AF55" s="218"/>
      <c r="AG55" s="217">
        <v>74.599999999999994</v>
      </c>
      <c r="AH55" s="220">
        <f>AH54+AG55</f>
        <v>278.68419999999998</v>
      </c>
      <c r="AI55" s="218">
        <f t="shared" si="21"/>
        <v>11704.7364</v>
      </c>
      <c r="AJ55" s="217">
        <f>AG55*(1+$AI$2)</f>
        <v>76.837999999999994</v>
      </c>
      <c r="AK55" s="220">
        <f>AK54+AJ55</f>
        <v>287.02472599999999</v>
      </c>
      <c r="AL55" s="218">
        <f t="shared" si="22"/>
        <v>12055.038492</v>
      </c>
      <c r="AM55" s="389" t="s">
        <v>105</v>
      </c>
      <c r="AN55" s="407">
        <v>59.172112590000012</v>
      </c>
      <c r="AO55" s="408">
        <v>216.49232777999998</v>
      </c>
      <c r="AP55" s="409">
        <v>9092.6777667599981</v>
      </c>
      <c r="AQ55" s="389" t="s">
        <v>105</v>
      </c>
      <c r="AR55" s="407">
        <f t="shared" si="10"/>
        <v>60.947275967700016</v>
      </c>
      <c r="AS55" s="408">
        <f t="shared" si="11"/>
        <v>222.98709761339998</v>
      </c>
      <c r="AT55" s="409">
        <f t="shared" si="12"/>
        <v>9365.4580997627982</v>
      </c>
      <c r="AU55" s="407">
        <f t="shared" si="13"/>
        <v>62.775694246731021</v>
      </c>
      <c r="AV55" s="408">
        <f t="shared" si="14"/>
        <v>229.67671054180198</v>
      </c>
      <c r="AW55" s="409">
        <f t="shared" si="15"/>
        <v>9646.4218427556825</v>
      </c>
      <c r="AX55" s="407">
        <f t="shared" si="16"/>
        <v>64.658965074132951</v>
      </c>
      <c r="AY55" s="408">
        <f t="shared" si="17"/>
        <v>236.56701185805605</v>
      </c>
      <c r="AZ55" s="409">
        <f t="shared" si="18"/>
        <v>9935.8144980383531</v>
      </c>
      <c r="BA55" s="407">
        <f t="shared" si="26"/>
        <v>66.598734026356937</v>
      </c>
      <c r="BB55" s="408">
        <f t="shared" si="27"/>
        <v>243.66402221379775</v>
      </c>
      <c r="BC55" s="409">
        <f t="shared" si="28"/>
        <v>10233.888932979504</v>
      </c>
      <c r="BD55" s="407">
        <f t="shared" si="29"/>
        <v>68.596696047147645</v>
      </c>
      <c r="BE55" s="408">
        <f t="shared" si="30"/>
        <v>250.97394288021169</v>
      </c>
      <c r="BF55" s="409">
        <f t="shared" si="31"/>
        <v>10540.905600968888</v>
      </c>
      <c r="BG55" s="407">
        <f t="shared" si="5"/>
        <v>70.654596928562071</v>
      </c>
      <c r="BH55" s="408">
        <f t="shared" si="6"/>
        <v>258.50316116661804</v>
      </c>
      <c r="BI55" s="409">
        <f t="shared" si="7"/>
        <v>10857.132768997955</v>
      </c>
    </row>
    <row r="56" spans="1:61" ht="15" thickBot="1">
      <c r="A56" s="159">
        <v>210</v>
      </c>
      <c r="B56" s="156" t="s">
        <v>99</v>
      </c>
      <c r="C56" s="160">
        <v>15</v>
      </c>
      <c r="D56" s="161">
        <v>15</v>
      </c>
      <c r="E56" s="162">
        <v>630</v>
      </c>
      <c r="F56" s="163">
        <v>35.32</v>
      </c>
      <c r="G56" s="161">
        <v>35.32</v>
      </c>
      <c r="H56" s="162">
        <v>1483.44</v>
      </c>
      <c r="I56" s="164">
        <v>37.262599999999999</v>
      </c>
      <c r="J56" s="161">
        <v>37.262599999999999</v>
      </c>
      <c r="K56" s="162">
        <v>1565.0291999999999</v>
      </c>
      <c r="L56" s="164">
        <v>39.125729999999997</v>
      </c>
      <c r="M56" s="161">
        <v>39.125729999999997</v>
      </c>
      <c r="N56" s="162">
        <v>1643.2806599999999</v>
      </c>
      <c r="O56" s="164">
        <v>40.886387849999991</v>
      </c>
      <c r="P56" s="161">
        <v>40.886387849999991</v>
      </c>
      <c r="Q56" s="162">
        <v>1717.2282896999996</v>
      </c>
      <c r="R56" s="161">
        <v>63.55</v>
      </c>
      <c r="S56" s="161">
        <v>63.55</v>
      </c>
      <c r="T56" s="161">
        <v>2669.1</v>
      </c>
      <c r="U56" s="164">
        <v>66.091999999999999</v>
      </c>
      <c r="V56" s="161">
        <v>66.091999999999999</v>
      </c>
      <c r="W56" s="162">
        <v>2775.864</v>
      </c>
      <c r="X56" s="161">
        <v>68.725679999999997</v>
      </c>
      <c r="Y56" s="161">
        <v>68.725679999999997</v>
      </c>
      <c r="Z56" s="161">
        <v>2886.47856</v>
      </c>
      <c r="AA56" s="164">
        <v>72.161963999999998</v>
      </c>
      <c r="AB56" s="161">
        <v>72.161963999999998</v>
      </c>
      <c r="AC56" s="162">
        <v>3030.8024879999998</v>
      </c>
      <c r="AD56" s="164">
        <v>74.319999999999993</v>
      </c>
      <c r="AE56" s="165">
        <v>74.319999999999993</v>
      </c>
      <c r="AF56" s="162">
        <f>AE56*42</f>
        <v>3121.4399999999996</v>
      </c>
      <c r="AG56" s="161">
        <f>AD56*(1+$AI$2)</f>
        <v>76.549599999999998</v>
      </c>
      <c r="AH56" s="165">
        <f>AE56*(1+$AI$2)</f>
        <v>76.549599999999998</v>
      </c>
      <c r="AI56" s="162">
        <f t="shared" si="21"/>
        <v>3215.0832</v>
      </c>
      <c r="AJ56" s="161">
        <f t="shared" ref="AJ56:AK59" si="34">AG56*(1+$AI$2)</f>
        <v>78.846087999999995</v>
      </c>
      <c r="AK56" s="165">
        <f t="shared" si="34"/>
        <v>78.846087999999995</v>
      </c>
      <c r="AL56" s="162">
        <f t="shared" si="22"/>
        <v>3311.5356959999999</v>
      </c>
      <c r="AM56" s="389" t="s">
        <v>184</v>
      </c>
      <c r="AN56" s="410">
        <v>53.436400000000006</v>
      </c>
      <c r="AO56" s="411">
        <v>269.92872777999997</v>
      </c>
      <c r="AP56" s="412">
        <v>11337.006566759999</v>
      </c>
      <c r="AQ56" s="389" t="s">
        <v>184</v>
      </c>
      <c r="AR56" s="410">
        <f t="shared" si="10"/>
        <v>55.03949200000001</v>
      </c>
      <c r="AS56" s="411">
        <f t="shared" si="11"/>
        <v>278.02658961340001</v>
      </c>
      <c r="AT56" s="412">
        <f t="shared" si="12"/>
        <v>11677.116763762799</v>
      </c>
      <c r="AU56" s="410">
        <f t="shared" si="13"/>
        <v>56.690676760000009</v>
      </c>
      <c r="AV56" s="411">
        <f t="shared" si="14"/>
        <v>286.36738730180201</v>
      </c>
      <c r="AW56" s="412">
        <f t="shared" si="15"/>
        <v>12027.430266675683</v>
      </c>
      <c r="AX56" s="410">
        <f t="shared" si="16"/>
        <v>58.39139706280001</v>
      </c>
      <c r="AY56" s="411">
        <f t="shared" si="17"/>
        <v>294.95840892085607</v>
      </c>
      <c r="AZ56" s="412">
        <f t="shared" si="18"/>
        <v>12388.253174675954</v>
      </c>
      <c r="BA56" s="410">
        <f t="shared" si="26"/>
        <v>60.143138974684014</v>
      </c>
      <c r="BB56" s="411">
        <f t="shared" si="27"/>
        <v>303.80716118848176</v>
      </c>
      <c r="BC56" s="412">
        <f t="shared" si="28"/>
        <v>12759.900769916234</v>
      </c>
      <c r="BD56" s="410">
        <f t="shared" si="29"/>
        <v>61.947433143924535</v>
      </c>
      <c r="BE56" s="411">
        <f t="shared" si="30"/>
        <v>312.92137602413624</v>
      </c>
      <c r="BF56" s="412">
        <f t="shared" si="31"/>
        <v>13142.697793013722</v>
      </c>
      <c r="BG56" s="410">
        <f t="shared" si="5"/>
        <v>63.80585613824227</v>
      </c>
      <c r="BH56" s="411">
        <f t="shared" si="6"/>
        <v>322.30901730486033</v>
      </c>
      <c r="BI56" s="412">
        <f t="shared" si="7"/>
        <v>13536.978726804135</v>
      </c>
    </row>
    <row r="57" spans="1:61" ht="14.25">
      <c r="A57" s="166">
        <v>260</v>
      </c>
      <c r="B57" s="157" t="s">
        <v>102</v>
      </c>
      <c r="C57" s="167">
        <v>100</v>
      </c>
      <c r="D57" s="168">
        <v>100</v>
      </c>
      <c r="E57" s="169">
        <v>4200</v>
      </c>
      <c r="F57" s="170">
        <v>106.32</v>
      </c>
      <c r="G57" s="168">
        <v>106.32</v>
      </c>
      <c r="H57" s="169">
        <v>4465.4399999999996</v>
      </c>
      <c r="I57" s="171">
        <v>112.16759999999999</v>
      </c>
      <c r="J57" s="168">
        <v>112.16759999999999</v>
      </c>
      <c r="K57" s="169">
        <v>4711.0391999999993</v>
      </c>
      <c r="L57" s="171">
        <v>117.77598</v>
      </c>
      <c r="M57" s="168">
        <v>117.77598</v>
      </c>
      <c r="N57" s="169">
        <v>4946.5911599999999</v>
      </c>
      <c r="O57" s="171">
        <v>123.0758991</v>
      </c>
      <c r="P57" s="168">
        <v>123.0758991</v>
      </c>
      <c r="Q57" s="169">
        <v>5169.1877622000002</v>
      </c>
      <c r="R57" s="168">
        <v>123.0758991</v>
      </c>
      <c r="S57" s="168">
        <v>123.0758991</v>
      </c>
      <c r="T57" s="168">
        <v>5169.1877622000002</v>
      </c>
      <c r="U57" s="171">
        <v>127.99893506400001</v>
      </c>
      <c r="V57" s="168">
        <v>127.99893506400001</v>
      </c>
      <c r="W57" s="169">
        <v>5375.9552726880002</v>
      </c>
      <c r="X57" s="168">
        <v>133.11889246656003</v>
      </c>
      <c r="Y57" s="168">
        <v>133.11889246656003</v>
      </c>
      <c r="Z57" s="168">
        <v>5590.993483595521</v>
      </c>
      <c r="AA57" s="171">
        <v>139.78008708988804</v>
      </c>
      <c r="AB57" s="168">
        <v>139.78008708988804</v>
      </c>
      <c r="AC57" s="169">
        <v>5870.7636577752974</v>
      </c>
      <c r="AD57" s="171">
        <v>143.97</v>
      </c>
      <c r="AE57" s="172">
        <v>143.97</v>
      </c>
      <c r="AF57" s="169">
        <f>AE57*42</f>
        <v>6046.74</v>
      </c>
      <c r="AG57" s="168">
        <f>AD57*(1+$AI$2)</f>
        <v>148.28909999999999</v>
      </c>
      <c r="AH57" s="172">
        <f>AE57*(1+$AI$2)</f>
        <v>148.28909999999999</v>
      </c>
      <c r="AI57" s="169">
        <f t="shared" si="21"/>
        <v>6228.1421999999993</v>
      </c>
      <c r="AJ57" s="168">
        <f t="shared" si="34"/>
        <v>152.737773</v>
      </c>
      <c r="AK57" s="172">
        <f t="shared" si="34"/>
        <v>152.737773</v>
      </c>
      <c r="AL57" s="169">
        <f t="shared" si="22"/>
        <v>6414.9864660000003</v>
      </c>
      <c r="AM57" s="392" t="s">
        <v>99</v>
      </c>
      <c r="AN57" s="404">
        <v>81.211470640000002</v>
      </c>
      <c r="AO57" s="405">
        <v>81.211470640000002</v>
      </c>
      <c r="AP57" s="406">
        <v>3410.8817668800002</v>
      </c>
      <c r="AQ57" s="392" t="s">
        <v>99</v>
      </c>
      <c r="AR57" s="404">
        <f t="shared" si="10"/>
        <v>83.647814759200003</v>
      </c>
      <c r="AS57" s="405">
        <f t="shared" si="11"/>
        <v>83.647814759200003</v>
      </c>
      <c r="AT57" s="406">
        <f t="shared" si="12"/>
        <v>3513.2082198864005</v>
      </c>
      <c r="AU57" s="404">
        <f t="shared" si="13"/>
        <v>86.157249201976001</v>
      </c>
      <c r="AV57" s="405">
        <f t="shared" si="14"/>
        <v>86.157249201976001</v>
      </c>
      <c r="AW57" s="406">
        <f t="shared" si="15"/>
        <v>3618.6044664829924</v>
      </c>
      <c r="AX57" s="404">
        <f t="shared" si="16"/>
        <v>88.741966678035283</v>
      </c>
      <c r="AY57" s="405">
        <f t="shared" si="17"/>
        <v>88.741966678035283</v>
      </c>
      <c r="AZ57" s="406">
        <f t="shared" si="18"/>
        <v>3727.1626004774821</v>
      </c>
      <c r="BA57" s="404">
        <f t="shared" si="26"/>
        <v>91.404225678376349</v>
      </c>
      <c r="BB57" s="405">
        <f t="shared" si="27"/>
        <v>91.404225678376349</v>
      </c>
      <c r="BC57" s="406">
        <f t="shared" si="28"/>
        <v>3838.9774784918068</v>
      </c>
      <c r="BD57" s="404">
        <f t="shared" si="29"/>
        <v>94.14635244872764</v>
      </c>
      <c r="BE57" s="405">
        <f t="shared" si="30"/>
        <v>94.14635244872764</v>
      </c>
      <c r="BF57" s="406">
        <f t="shared" si="31"/>
        <v>3954.1468028465611</v>
      </c>
      <c r="BG57" s="404">
        <f t="shared" si="5"/>
        <v>96.970743022189467</v>
      </c>
      <c r="BH57" s="405">
        <f t="shared" si="6"/>
        <v>96.970743022189467</v>
      </c>
      <c r="BI57" s="406">
        <f t="shared" si="7"/>
        <v>4072.7712069319582</v>
      </c>
    </row>
    <row r="58" spans="1:61" ht="14.25">
      <c r="A58" s="235"/>
      <c r="B58" s="222" t="s">
        <v>199</v>
      </c>
      <c r="C58" s="236"/>
      <c r="D58" s="237"/>
      <c r="E58" s="238"/>
      <c r="F58" s="236"/>
      <c r="G58" s="237"/>
      <c r="H58" s="238"/>
      <c r="I58" s="236"/>
      <c r="J58" s="237"/>
      <c r="K58" s="238"/>
      <c r="L58" s="236"/>
      <c r="M58" s="237"/>
      <c r="N58" s="238"/>
      <c r="O58" s="236"/>
      <c r="P58" s="237"/>
      <c r="Q58" s="238"/>
      <c r="R58" s="237"/>
      <c r="S58" s="237"/>
      <c r="T58" s="237"/>
      <c r="U58" s="236"/>
      <c r="V58" s="237"/>
      <c r="W58" s="238"/>
      <c r="X58" s="237"/>
      <c r="Y58" s="237"/>
      <c r="Z58" s="237"/>
      <c r="AA58" s="236"/>
      <c r="AB58" s="237"/>
      <c r="AC58" s="238"/>
      <c r="AD58" s="168"/>
      <c r="AE58" s="172"/>
      <c r="AF58" s="169"/>
      <c r="AG58" s="168">
        <v>116.27947684440193</v>
      </c>
      <c r="AH58" s="172">
        <f>+AG58+AH57</f>
        <v>264.56857684440195</v>
      </c>
      <c r="AI58" s="169">
        <f>AH58*42</f>
        <v>11111.880227464882</v>
      </c>
      <c r="AJ58" s="168">
        <f t="shared" si="34"/>
        <v>119.76786114973399</v>
      </c>
      <c r="AK58" s="172">
        <f>+AJ58+AK57</f>
        <v>272.50563414973396</v>
      </c>
      <c r="AL58" s="169">
        <f>AK58*42</f>
        <v>11445.236634288827</v>
      </c>
      <c r="AM58" s="389" t="s">
        <v>102</v>
      </c>
      <c r="AN58" s="407">
        <v>157.31990619000001</v>
      </c>
      <c r="AO58" s="408">
        <v>157.31990619000001</v>
      </c>
      <c r="AP58" s="409">
        <v>6607.4360599800002</v>
      </c>
      <c r="AQ58" s="389" t="s">
        <v>102</v>
      </c>
      <c r="AR58" s="407">
        <f t="shared" si="10"/>
        <v>162.03950337570001</v>
      </c>
      <c r="AS58" s="408">
        <f t="shared" si="11"/>
        <v>162.03950337570001</v>
      </c>
      <c r="AT58" s="409">
        <f t="shared" si="12"/>
        <v>6805.6591417794007</v>
      </c>
      <c r="AU58" s="407">
        <f t="shared" si="13"/>
        <v>166.900688476971</v>
      </c>
      <c r="AV58" s="408">
        <f t="shared" si="14"/>
        <v>166.900688476971</v>
      </c>
      <c r="AW58" s="409">
        <f t="shared" si="15"/>
        <v>7009.8289160327831</v>
      </c>
      <c r="AX58" s="407">
        <f t="shared" si="16"/>
        <v>171.90770913128014</v>
      </c>
      <c r="AY58" s="408">
        <f t="shared" si="17"/>
        <v>171.90770913128014</v>
      </c>
      <c r="AZ58" s="409">
        <f t="shared" si="18"/>
        <v>7220.1237835137672</v>
      </c>
      <c r="BA58" s="407">
        <f t="shared" si="26"/>
        <v>177.06494040521855</v>
      </c>
      <c r="BB58" s="408">
        <f t="shared" si="27"/>
        <v>177.06494040521855</v>
      </c>
      <c r="BC58" s="409">
        <f t="shared" si="28"/>
        <v>7436.7274970191802</v>
      </c>
      <c r="BD58" s="407">
        <f t="shared" si="29"/>
        <v>182.3768886173751</v>
      </c>
      <c r="BE58" s="408">
        <f t="shared" si="30"/>
        <v>182.3768886173751</v>
      </c>
      <c r="BF58" s="409">
        <f t="shared" si="31"/>
        <v>7659.8293219297557</v>
      </c>
      <c r="BG58" s="407">
        <f t="shared" si="5"/>
        <v>187.84819527589636</v>
      </c>
      <c r="BH58" s="408">
        <f t="shared" si="6"/>
        <v>187.84819527589636</v>
      </c>
      <c r="BI58" s="409">
        <f t="shared" si="7"/>
        <v>7889.6242015876487</v>
      </c>
    </row>
    <row r="59" spans="1:61" ht="15" thickBot="1">
      <c r="A59" s="214"/>
      <c r="B59" s="234" t="s">
        <v>200</v>
      </c>
      <c r="C59" s="239"/>
      <c r="D59" s="240"/>
      <c r="E59" s="241"/>
      <c r="F59" s="239"/>
      <c r="G59" s="240"/>
      <c r="H59" s="241"/>
      <c r="I59" s="239"/>
      <c r="J59" s="240"/>
      <c r="K59" s="241"/>
      <c r="L59" s="239"/>
      <c r="M59" s="240"/>
      <c r="N59" s="241"/>
      <c r="O59" s="239"/>
      <c r="P59" s="240"/>
      <c r="Q59" s="241"/>
      <c r="R59" s="240"/>
      <c r="S59" s="240"/>
      <c r="T59" s="240"/>
      <c r="U59" s="239"/>
      <c r="V59" s="240"/>
      <c r="W59" s="241"/>
      <c r="X59" s="240"/>
      <c r="Y59" s="240"/>
      <c r="Z59" s="240"/>
      <c r="AA59" s="239"/>
      <c r="AB59" s="240"/>
      <c r="AC59" s="241"/>
      <c r="AD59" s="217"/>
      <c r="AE59" s="220"/>
      <c r="AF59" s="218"/>
      <c r="AG59" s="217">
        <v>205.64</v>
      </c>
      <c r="AH59" s="220">
        <f>+AH58+AG59</f>
        <v>470.20857684440193</v>
      </c>
      <c r="AI59" s="218">
        <f t="shared" si="21"/>
        <v>19748.760227464882</v>
      </c>
      <c r="AJ59" s="217">
        <f t="shared" si="34"/>
        <v>211.8092</v>
      </c>
      <c r="AK59" s="220">
        <f>+AK58+AJ59</f>
        <v>484.314834149734</v>
      </c>
      <c r="AL59" s="218">
        <f>AK59*42</f>
        <v>20341.223034288829</v>
      </c>
      <c r="AM59" s="389" t="s">
        <v>199</v>
      </c>
      <c r="AN59" s="407">
        <v>127.0617238937528</v>
      </c>
      <c r="AO59" s="408">
        <v>284.38163008375284</v>
      </c>
      <c r="AP59" s="409">
        <v>11944.028463517619</v>
      </c>
      <c r="AQ59" s="389" t="s">
        <v>199</v>
      </c>
      <c r="AR59" s="407">
        <f t="shared" si="10"/>
        <v>130.87357561056538</v>
      </c>
      <c r="AS59" s="408">
        <f t="shared" si="11"/>
        <v>292.91307898626542</v>
      </c>
      <c r="AT59" s="409">
        <f t="shared" si="12"/>
        <v>12302.349317423148</v>
      </c>
      <c r="AU59" s="407">
        <f t="shared" si="13"/>
        <v>134.79978287888235</v>
      </c>
      <c r="AV59" s="408">
        <f t="shared" si="14"/>
        <v>301.70047135585338</v>
      </c>
      <c r="AW59" s="409">
        <f t="shared" si="15"/>
        <v>12671.419796945844</v>
      </c>
      <c r="AX59" s="407">
        <f t="shared" si="16"/>
        <v>138.84377636524883</v>
      </c>
      <c r="AY59" s="408">
        <f t="shared" si="17"/>
        <v>310.75148549652897</v>
      </c>
      <c r="AZ59" s="409">
        <f t="shared" si="18"/>
        <v>13051.56239085422</v>
      </c>
      <c r="BA59" s="407">
        <f t="shared" si="26"/>
        <v>143.0090896562063</v>
      </c>
      <c r="BB59" s="408">
        <f t="shared" si="27"/>
        <v>320.07403006142482</v>
      </c>
      <c r="BC59" s="409">
        <f t="shared" si="28"/>
        <v>13443.109262579846</v>
      </c>
      <c r="BD59" s="407">
        <f t="shared" si="29"/>
        <v>147.29936234589249</v>
      </c>
      <c r="BE59" s="408">
        <f t="shared" si="30"/>
        <v>329.67625096326759</v>
      </c>
      <c r="BF59" s="409">
        <f t="shared" si="31"/>
        <v>13846.402540457242</v>
      </c>
      <c r="BG59" s="407">
        <f t="shared" si="5"/>
        <v>151.71834321626926</v>
      </c>
      <c r="BH59" s="408">
        <f t="shared" si="6"/>
        <v>339.56653849216565</v>
      </c>
      <c r="BI59" s="409">
        <f t="shared" si="7"/>
        <v>14261.794616670959</v>
      </c>
    </row>
    <row r="60" spans="1:61" ht="15" thickBot="1">
      <c r="A60" s="177" t="s">
        <v>125</v>
      </c>
      <c r="B60" s="177"/>
      <c r="C60" s="177"/>
      <c r="D60" s="177"/>
      <c r="E60" s="177"/>
      <c r="F60" s="242"/>
      <c r="G60" s="242"/>
      <c r="H60" s="242"/>
      <c r="I60" s="242"/>
      <c r="J60" s="242"/>
      <c r="K60" s="242"/>
      <c r="L60" s="242"/>
      <c r="M60" s="242"/>
      <c r="N60" s="242"/>
      <c r="O60" s="242"/>
      <c r="P60" s="242"/>
      <c r="Q60" s="242"/>
      <c r="AE60" s="198"/>
      <c r="AF60" s="198"/>
      <c r="AM60" s="388" t="s">
        <v>200</v>
      </c>
      <c r="AN60" s="410">
        <v>218.163476</v>
      </c>
      <c r="AO60" s="411">
        <v>502.54510608375284</v>
      </c>
      <c r="AP60" s="412">
        <v>21106.89445551762</v>
      </c>
      <c r="AQ60" s="388" t="s">
        <v>200</v>
      </c>
      <c r="AR60" s="410">
        <f t="shared" si="10"/>
        <v>224.70838028</v>
      </c>
      <c r="AS60" s="411">
        <f t="shared" si="11"/>
        <v>517.62145926626545</v>
      </c>
      <c r="AT60" s="412">
        <f t="shared" si="12"/>
        <v>21740.101289183149</v>
      </c>
      <c r="AU60" s="410">
        <f t="shared" si="13"/>
        <v>231.44963168840002</v>
      </c>
      <c r="AV60" s="411">
        <f t="shared" si="14"/>
        <v>533.15010304425346</v>
      </c>
      <c r="AW60" s="412">
        <f t="shared" si="15"/>
        <v>22392.304327858645</v>
      </c>
      <c r="AX60" s="410">
        <f t="shared" si="16"/>
        <v>238.39312063905203</v>
      </c>
      <c r="AY60" s="411">
        <f t="shared" si="17"/>
        <v>549.14460613558106</v>
      </c>
      <c r="AZ60" s="412">
        <f t="shared" si="18"/>
        <v>23064.073457694405</v>
      </c>
      <c r="BA60" s="410">
        <f t="shared" si="26"/>
        <v>245.5449142582236</v>
      </c>
      <c r="BB60" s="411">
        <f t="shared" si="27"/>
        <v>565.61894431964845</v>
      </c>
      <c r="BC60" s="412">
        <f t="shared" si="28"/>
        <v>23755.995661425237</v>
      </c>
      <c r="BD60" s="410">
        <f t="shared" si="29"/>
        <v>252.91126168597032</v>
      </c>
      <c r="BE60" s="411">
        <f t="shared" si="30"/>
        <v>582.58751264923796</v>
      </c>
      <c r="BF60" s="412">
        <f t="shared" si="31"/>
        <v>24468.675531267996</v>
      </c>
      <c r="BG60" s="410">
        <f t="shared" si="5"/>
        <v>260.49859953654942</v>
      </c>
      <c r="BH60" s="411">
        <f t="shared" si="6"/>
        <v>600.06513802871507</v>
      </c>
      <c r="BI60" s="412">
        <f t="shared" si="7"/>
        <v>25202.735797206038</v>
      </c>
    </row>
    <row r="61" spans="1:61" ht="15" thickBot="1">
      <c r="A61" s="178" t="s">
        <v>126</v>
      </c>
      <c r="B61" s="179"/>
      <c r="C61" s="178"/>
      <c r="D61" s="178"/>
      <c r="E61" s="178"/>
      <c r="F61" s="198"/>
      <c r="G61" s="198"/>
      <c r="H61" s="242"/>
      <c r="I61" s="198"/>
      <c r="J61" s="198"/>
      <c r="K61" s="198"/>
      <c r="L61" s="242"/>
      <c r="M61" s="242"/>
      <c r="N61" s="242"/>
      <c r="O61" s="242"/>
      <c r="P61" s="242"/>
      <c r="Q61" s="242"/>
      <c r="AE61" s="198"/>
      <c r="AF61" s="198"/>
      <c r="AG61" s="233"/>
      <c r="AM61" s="393" t="s">
        <v>283</v>
      </c>
      <c r="AN61" s="414">
        <v>43.568999999999996</v>
      </c>
      <c r="AO61" s="415">
        <v>43.568999999999996</v>
      </c>
      <c r="AP61" s="412">
        <v>1829.8979999999999</v>
      </c>
      <c r="AQ61" s="393" t="s">
        <v>283</v>
      </c>
      <c r="AR61" s="414">
        <f t="shared" si="10"/>
        <v>44.876069999999999</v>
      </c>
      <c r="AS61" s="415">
        <f t="shared" si="11"/>
        <v>44.876069999999999</v>
      </c>
      <c r="AT61" s="412">
        <f t="shared" si="12"/>
        <v>1884.79494</v>
      </c>
      <c r="AU61" s="414">
        <f t="shared" si="13"/>
        <v>46.222352100000002</v>
      </c>
      <c r="AV61" s="415">
        <f t="shared" si="14"/>
        <v>46.222352100000002</v>
      </c>
      <c r="AW61" s="412">
        <f t="shared" si="15"/>
        <v>1941.3387882</v>
      </c>
      <c r="AX61" s="414">
        <f t="shared" si="16"/>
        <v>47.609022663000005</v>
      </c>
      <c r="AY61" s="415">
        <f t="shared" si="17"/>
        <v>47.609022663000005</v>
      </c>
      <c r="AZ61" s="412">
        <f t="shared" si="18"/>
        <v>1999.5789518460001</v>
      </c>
      <c r="BA61" s="414">
        <f t="shared" si="26"/>
        <v>49.037293342890003</v>
      </c>
      <c r="BB61" s="415">
        <f t="shared" si="27"/>
        <v>49.037293342890003</v>
      </c>
      <c r="BC61" s="412">
        <f t="shared" si="28"/>
        <v>2059.5663204013804</v>
      </c>
      <c r="BD61" s="414">
        <f t="shared" si="29"/>
        <v>50.508412143176706</v>
      </c>
      <c r="BE61" s="415">
        <f t="shared" si="30"/>
        <v>50.508412143176706</v>
      </c>
      <c r="BF61" s="412">
        <f t="shared" si="31"/>
        <v>2121.3533100134218</v>
      </c>
      <c r="BG61" s="414">
        <f t="shared" si="5"/>
        <v>52.023664507472006</v>
      </c>
      <c r="BH61" s="415">
        <f t="shared" si="6"/>
        <v>52.023664507472006</v>
      </c>
      <c r="BI61" s="412">
        <f t="shared" si="7"/>
        <v>2184.9939093138246</v>
      </c>
    </row>
    <row r="62" spans="1:61" ht="15" customHeight="1">
      <c r="A62" s="180" t="s">
        <v>127</v>
      </c>
      <c r="B62" s="180"/>
      <c r="C62" s="180"/>
      <c r="D62" s="180"/>
      <c r="E62" s="180"/>
      <c r="F62" s="198"/>
      <c r="G62" s="198"/>
      <c r="H62" s="242"/>
      <c r="I62" s="198"/>
      <c r="J62" s="198"/>
      <c r="K62" s="198"/>
      <c r="L62" s="198"/>
      <c r="M62" s="198"/>
      <c r="N62" s="198"/>
      <c r="O62" s="198"/>
      <c r="P62" s="198"/>
      <c r="Q62" s="198"/>
      <c r="AE62" s="198"/>
      <c r="AF62" s="198"/>
      <c r="AM62" s="177"/>
      <c r="AQ62" s="177"/>
    </row>
    <row r="63" spans="1:61" ht="14.25">
      <c r="A63" s="181" t="s">
        <v>128</v>
      </c>
      <c r="B63" s="181"/>
      <c r="C63" s="181"/>
      <c r="D63" s="181"/>
      <c r="E63" s="181"/>
      <c r="F63" s="243"/>
      <c r="G63" s="243"/>
      <c r="H63" s="243"/>
      <c r="I63" s="198"/>
      <c r="J63" s="198"/>
      <c r="K63" s="198"/>
      <c r="L63" s="198"/>
      <c r="M63" s="198"/>
      <c r="N63" s="198"/>
      <c r="O63" s="198"/>
      <c r="P63" s="198"/>
      <c r="Q63" s="198"/>
      <c r="AE63" s="198"/>
      <c r="AF63" s="198"/>
      <c r="AM63" s="179"/>
      <c r="AQ63" s="179"/>
    </row>
    <row r="64" spans="1:61" ht="14.25">
      <c r="A64" s="182" t="s">
        <v>185</v>
      </c>
      <c r="B64" s="182"/>
      <c r="C64" s="182"/>
      <c r="D64" s="182"/>
      <c r="E64" s="182"/>
      <c r="F64" s="243"/>
      <c r="G64" s="243"/>
      <c r="H64" s="243"/>
      <c r="I64" s="198"/>
      <c r="J64" s="198"/>
      <c r="K64" s="198"/>
      <c r="L64" s="198"/>
      <c r="M64" s="198"/>
      <c r="N64" s="198"/>
      <c r="O64" s="198"/>
      <c r="P64" s="198"/>
      <c r="Q64" s="198"/>
      <c r="AE64" s="198"/>
      <c r="AF64" s="198"/>
      <c r="AM64" s="180"/>
      <c r="AQ64" s="180"/>
    </row>
    <row r="65" spans="1:61" ht="15" thickBot="1">
      <c r="A65" s="244" t="s">
        <v>201</v>
      </c>
      <c r="B65" s="244"/>
      <c r="C65" s="244"/>
      <c r="D65" s="244"/>
      <c r="E65" s="244"/>
      <c r="F65" s="243"/>
      <c r="G65" s="243"/>
      <c r="H65" s="243"/>
      <c r="I65" s="198"/>
      <c r="J65" s="198"/>
      <c r="K65" s="198"/>
      <c r="L65" s="198"/>
      <c r="M65" s="198"/>
      <c r="N65" s="198"/>
      <c r="O65" s="198"/>
      <c r="P65" s="198"/>
      <c r="Q65" s="198"/>
      <c r="AE65" s="198"/>
      <c r="AF65" s="198"/>
      <c r="AM65" s="181"/>
      <c r="AQ65" s="181"/>
    </row>
    <row r="66" spans="1:61" ht="15.75" thickBot="1">
      <c r="A66" s="245">
        <v>279</v>
      </c>
      <c r="B66" s="246" t="s">
        <v>129</v>
      </c>
      <c r="C66" s="247"/>
      <c r="D66" s="247"/>
      <c r="E66" s="247"/>
      <c r="F66" s="247"/>
      <c r="G66" s="247"/>
      <c r="H66" s="247"/>
      <c r="I66" s="247"/>
      <c r="J66" s="247"/>
      <c r="K66" s="248">
        <v>6.4899999999999999E-2</v>
      </c>
      <c r="L66" s="198"/>
      <c r="M66" s="198"/>
      <c r="N66" s="248">
        <v>5.5E-2</v>
      </c>
      <c r="O66" s="198"/>
      <c r="P66" s="198"/>
      <c r="Q66" s="248">
        <v>4.8500000000000001E-2</v>
      </c>
      <c r="T66" s="248"/>
      <c r="V66" s="249" t="s">
        <v>130</v>
      </c>
      <c r="W66" s="248">
        <v>4.48E-2</v>
      </c>
      <c r="Y66" s="249" t="s">
        <v>131</v>
      </c>
      <c r="Z66" s="248">
        <v>5.6899999999999999E-2</v>
      </c>
      <c r="AB66" s="249"/>
      <c r="AC66" s="248">
        <v>7.6700000000000004E-2</v>
      </c>
      <c r="AE66" s="249"/>
      <c r="AF66" s="248">
        <v>0.02</v>
      </c>
      <c r="AG66" s="250" t="s">
        <v>171</v>
      </c>
      <c r="AI66" s="251">
        <v>3.1699999999999999E-2</v>
      </c>
      <c r="AJ66" s="250" t="s">
        <v>202</v>
      </c>
      <c r="AL66" s="251">
        <v>3.73E-2</v>
      </c>
      <c r="AM66" s="182"/>
      <c r="AQ66" s="182"/>
    </row>
    <row r="67" spans="1:61" ht="13.5" thickBot="1">
      <c r="A67" s="252"/>
      <c r="B67" s="253" t="s">
        <v>132</v>
      </c>
      <c r="C67" s="254" t="s">
        <v>133</v>
      </c>
      <c r="D67" s="255"/>
      <c r="E67" s="255"/>
      <c r="F67" s="256" t="s">
        <v>134</v>
      </c>
      <c r="G67" s="257"/>
      <c r="H67" s="257"/>
      <c r="I67" s="256" t="s">
        <v>135</v>
      </c>
      <c r="J67" s="257"/>
      <c r="K67" s="257"/>
      <c r="L67" s="256" t="s">
        <v>136</v>
      </c>
      <c r="M67" s="257"/>
      <c r="N67" s="257"/>
      <c r="O67" s="256" t="s">
        <v>137</v>
      </c>
      <c r="P67" s="257"/>
      <c r="Q67" s="257"/>
      <c r="R67" s="256" t="s">
        <v>137</v>
      </c>
      <c r="S67" s="257"/>
      <c r="T67" s="257"/>
      <c r="U67" s="256" t="s">
        <v>138</v>
      </c>
      <c r="V67" s="257"/>
      <c r="W67" s="257"/>
      <c r="X67" s="258" t="s">
        <v>139</v>
      </c>
      <c r="Y67" s="259"/>
      <c r="Z67" s="260"/>
      <c r="AA67" s="258" t="s">
        <v>140</v>
      </c>
      <c r="AB67" s="261"/>
      <c r="AC67" s="260"/>
      <c r="AD67" s="258" t="s">
        <v>141</v>
      </c>
      <c r="AE67" s="261"/>
      <c r="AF67" s="260"/>
      <c r="AG67" s="258" t="s">
        <v>172</v>
      </c>
      <c r="AH67" s="261"/>
      <c r="AI67" s="260"/>
      <c r="AJ67" s="258" t="s">
        <v>203</v>
      </c>
      <c r="AK67" s="261"/>
      <c r="AL67" s="260"/>
      <c r="AM67" s="244"/>
      <c r="AQ67" s="244"/>
    </row>
    <row r="68" spans="1:61" ht="13.5" thickBot="1">
      <c r="A68" s="262"/>
      <c r="B68" s="255" t="s">
        <v>142</v>
      </c>
      <c r="C68" s="255">
        <v>306.31</v>
      </c>
      <c r="D68" s="255">
        <v>306.31</v>
      </c>
      <c r="E68" s="263">
        <v>12865.02</v>
      </c>
      <c r="F68" s="255">
        <v>327.72</v>
      </c>
      <c r="G68" s="255">
        <v>327.72</v>
      </c>
      <c r="H68" s="263">
        <v>13764.240000000002</v>
      </c>
      <c r="I68" s="263">
        <v>348.98902800000002</v>
      </c>
      <c r="J68" s="263">
        <v>348.98902800000002</v>
      </c>
      <c r="K68" s="263">
        <v>14657.539176</v>
      </c>
      <c r="L68" s="263">
        <v>368.18342454000003</v>
      </c>
      <c r="M68" s="263">
        <v>368.18342454000003</v>
      </c>
      <c r="N68" s="263">
        <v>15463.703830680002</v>
      </c>
      <c r="O68" s="263">
        <v>386.04032063019002</v>
      </c>
      <c r="P68" s="263">
        <v>386.04032063019002</v>
      </c>
      <c r="Q68" s="263">
        <v>16213.693466467981</v>
      </c>
      <c r="R68" s="263">
        <v>386.04032063019002</v>
      </c>
      <c r="S68" s="263">
        <v>386.04032063019002</v>
      </c>
      <c r="T68" s="263">
        <v>16213.693466467981</v>
      </c>
      <c r="U68" s="263">
        <v>403.33492699442252</v>
      </c>
      <c r="V68" s="263">
        <v>403.33492699442252</v>
      </c>
      <c r="W68" s="263">
        <v>16940.066933765745</v>
      </c>
      <c r="X68" s="263">
        <v>426.28468434040514</v>
      </c>
      <c r="Y68" s="263">
        <v>426.28468434040514</v>
      </c>
      <c r="Z68" s="263">
        <v>17903.956742297014</v>
      </c>
      <c r="AA68" s="263">
        <v>458.98071962931419</v>
      </c>
      <c r="AB68" s="263">
        <v>458.98071962931419</v>
      </c>
      <c r="AC68" s="263">
        <v>19277.190224431197</v>
      </c>
      <c r="AD68" s="263">
        <v>468.16</v>
      </c>
      <c r="AE68" s="263">
        <v>468.16</v>
      </c>
      <c r="AF68" s="263">
        <f>AE68*42</f>
        <v>19662.72</v>
      </c>
      <c r="AG68" s="263">
        <f>AD68*(1+$AI$66)</f>
        <v>483.00067200000007</v>
      </c>
      <c r="AH68" s="263">
        <f>AE68*(1+$AI$66)</f>
        <v>483.00067200000007</v>
      </c>
      <c r="AI68" s="263">
        <f>AH68*42</f>
        <v>20286.028224000002</v>
      </c>
      <c r="AJ68" s="263">
        <f>AG68*(1+$AL$66)</f>
        <v>501.01659706560014</v>
      </c>
      <c r="AK68" s="263">
        <f>AH68*(1+$AL$66)</f>
        <v>501.01659706560014</v>
      </c>
      <c r="AL68" s="263">
        <f>AK68*42</f>
        <v>21042.697076755205</v>
      </c>
      <c r="AM68" s="244"/>
      <c r="AQ68" s="244"/>
    </row>
    <row r="69" spans="1:61" ht="13.5" thickBot="1">
      <c r="A69" s="262"/>
      <c r="B69" s="255" t="s">
        <v>143</v>
      </c>
      <c r="C69" s="264"/>
      <c r="D69" s="247"/>
      <c r="E69" s="265"/>
      <c r="F69" s="256" t="s">
        <v>144</v>
      </c>
      <c r="G69" s="261"/>
      <c r="H69" s="266"/>
      <c r="I69" s="256" t="s">
        <v>135</v>
      </c>
      <c r="J69" s="267"/>
      <c r="K69" s="266"/>
      <c r="L69" s="256" t="s">
        <v>136</v>
      </c>
      <c r="M69" s="267"/>
      <c r="N69" s="266"/>
      <c r="O69" s="256" t="s">
        <v>136</v>
      </c>
      <c r="P69" s="267"/>
      <c r="Q69" s="266"/>
      <c r="R69" s="256" t="s">
        <v>137</v>
      </c>
      <c r="S69" s="267"/>
      <c r="T69" s="266"/>
      <c r="U69" s="256" t="s">
        <v>138</v>
      </c>
      <c r="V69" s="267"/>
      <c r="W69" s="266"/>
      <c r="X69" s="258" t="s">
        <v>139</v>
      </c>
      <c r="Y69" s="267"/>
      <c r="Z69" s="266"/>
      <c r="AA69" s="258" t="s">
        <v>140</v>
      </c>
      <c r="AB69" s="267"/>
      <c r="AC69" s="266"/>
      <c r="AD69" s="258" t="s">
        <v>141</v>
      </c>
      <c r="AE69" s="267"/>
      <c r="AF69" s="266"/>
      <c r="AG69" s="258" t="s">
        <v>172</v>
      </c>
      <c r="AH69" s="267"/>
      <c r="AI69" s="266"/>
      <c r="AJ69" s="258" t="s">
        <v>203</v>
      </c>
      <c r="AK69" s="267"/>
      <c r="AL69" s="266"/>
      <c r="AM69" s="394"/>
      <c r="AQ69" s="394"/>
    </row>
    <row r="70" spans="1:61" ht="13.5" thickBot="1">
      <c r="A70" s="255"/>
      <c r="B70" s="255" t="s">
        <v>145</v>
      </c>
      <c r="C70" s="264"/>
      <c r="D70" s="247"/>
      <c r="E70" s="268"/>
      <c r="F70" s="263">
        <v>323</v>
      </c>
      <c r="G70" s="263">
        <v>323</v>
      </c>
      <c r="H70" s="263">
        <v>13566</v>
      </c>
      <c r="I70" s="263">
        <v>343.96269999999998</v>
      </c>
      <c r="J70" s="263">
        <v>343.96269999999998</v>
      </c>
      <c r="K70" s="263">
        <v>14446.4334</v>
      </c>
      <c r="L70" s="263">
        <v>362.88064850000001</v>
      </c>
      <c r="M70" s="263">
        <v>362.88064850000001</v>
      </c>
      <c r="N70" s="263">
        <v>15240.987237000001</v>
      </c>
      <c r="O70" s="263">
        <v>380.48035995225001</v>
      </c>
      <c r="P70" s="263">
        <v>380.48035995225001</v>
      </c>
      <c r="Q70" s="263">
        <v>15980.1751179945</v>
      </c>
      <c r="R70" s="263">
        <v>380.48035995225001</v>
      </c>
      <c r="S70" s="263">
        <v>380.48035995225001</v>
      </c>
      <c r="T70" s="263">
        <v>15980.1751179945</v>
      </c>
      <c r="U70" s="263">
        <v>397.52588007811079</v>
      </c>
      <c r="V70" s="263">
        <v>397.52588007811079</v>
      </c>
      <c r="W70" s="263">
        <v>16696.086963280653</v>
      </c>
      <c r="X70" s="263">
        <v>420.14510265455527</v>
      </c>
      <c r="Y70" s="263">
        <v>420.14510265455527</v>
      </c>
      <c r="Z70" s="263">
        <v>17646.094311491321</v>
      </c>
      <c r="AA70" s="263">
        <v>452.37023202815965</v>
      </c>
      <c r="AB70" s="263">
        <v>452.37023202815965</v>
      </c>
      <c r="AC70" s="263">
        <v>18999.549745182707</v>
      </c>
      <c r="AD70" s="263">
        <v>461.42</v>
      </c>
      <c r="AE70" s="263">
        <v>461.42</v>
      </c>
      <c r="AF70" s="263">
        <f>AE70*42</f>
        <v>19379.64</v>
      </c>
      <c r="AG70" s="263">
        <f>AD70*(1+$AI$66)</f>
        <v>476.04701400000005</v>
      </c>
      <c r="AH70" s="263">
        <f>AE70*(1+$AI$66)</f>
        <v>476.04701400000005</v>
      </c>
      <c r="AI70" s="263">
        <f>AH70*42</f>
        <v>19993.974588000001</v>
      </c>
      <c r="AJ70" s="263">
        <f>AG70*(1+$AL$66)</f>
        <v>493.80356762220009</v>
      </c>
      <c r="AK70" s="263">
        <f>AH70*(1+$AL$66)</f>
        <v>493.80356762220009</v>
      </c>
      <c r="AL70" s="263">
        <f>AK70*42</f>
        <v>20739.749840132405</v>
      </c>
      <c r="AM70" s="198"/>
      <c r="AQ70" s="198"/>
    </row>
    <row r="71" spans="1:61" ht="24.75" thickBot="1">
      <c r="A71" s="197"/>
      <c r="B71" s="255" t="s">
        <v>143</v>
      </c>
      <c r="C71" s="197"/>
      <c r="D71" s="197"/>
      <c r="E71" s="242"/>
      <c r="F71" s="197"/>
      <c r="G71" s="197"/>
      <c r="H71" s="242"/>
      <c r="I71" s="242"/>
      <c r="J71" s="242"/>
      <c r="K71" s="242"/>
      <c r="L71" s="198"/>
      <c r="M71" s="198"/>
      <c r="N71" s="269"/>
      <c r="O71" s="198"/>
      <c r="P71" s="198"/>
      <c r="Q71" s="269"/>
      <c r="T71" s="269"/>
      <c r="W71" s="269"/>
      <c r="Z71" s="269"/>
      <c r="AC71" s="269"/>
      <c r="AE71" s="198"/>
      <c r="AF71" s="269"/>
      <c r="AM71" s="395" t="s">
        <v>284</v>
      </c>
      <c r="AN71" s="416" t="s">
        <v>287</v>
      </c>
      <c r="AO71" s="417"/>
      <c r="AP71" s="418">
        <v>2.4400000000000002E-2</v>
      </c>
      <c r="AQ71" s="395" t="s">
        <v>284</v>
      </c>
      <c r="AR71" s="416" t="s">
        <v>354</v>
      </c>
      <c r="AS71" s="417"/>
      <c r="AT71" s="418">
        <v>1.9400000000000001E-2</v>
      </c>
      <c r="AU71" s="416" t="s">
        <v>355</v>
      </c>
      <c r="AV71" s="417"/>
      <c r="AW71" s="418">
        <v>3.6600000000000001E-2</v>
      </c>
      <c r="AX71" s="416" t="s">
        <v>368</v>
      </c>
      <c r="AY71" s="417"/>
      <c r="AZ71" s="418">
        <v>6.7699999999999996E-2</v>
      </c>
      <c r="BA71" s="416" t="s">
        <v>386</v>
      </c>
      <c r="BB71" s="417"/>
      <c r="BC71" s="418">
        <v>5.7500000000000002E-2</v>
      </c>
      <c r="BD71" s="416" t="s">
        <v>386</v>
      </c>
      <c r="BE71" s="417"/>
      <c r="BF71" s="418">
        <v>5.7500000000000002E-2</v>
      </c>
      <c r="BG71" s="416" t="s">
        <v>386</v>
      </c>
      <c r="BH71" s="417"/>
      <c r="BI71" s="418">
        <v>5.7500000000000002E-2</v>
      </c>
    </row>
    <row r="72" spans="1:61" ht="14.25" thickTop="1" thickBot="1">
      <c r="A72" s="270"/>
      <c r="B72" s="271" t="s">
        <v>146</v>
      </c>
      <c r="C72" s="272" t="s">
        <v>147</v>
      </c>
      <c r="D72" s="270"/>
      <c r="E72" s="273"/>
      <c r="F72" s="272" t="s">
        <v>144</v>
      </c>
      <c r="G72" s="274"/>
      <c r="H72" s="275"/>
      <c r="I72" s="276" t="s">
        <v>148</v>
      </c>
      <c r="J72" s="277"/>
      <c r="K72" s="277"/>
      <c r="L72" s="198"/>
      <c r="M72" s="198"/>
      <c r="N72" s="198"/>
      <c r="O72" s="198"/>
      <c r="P72" s="198"/>
      <c r="Q72" s="198"/>
      <c r="AD72" s="278"/>
      <c r="AE72" s="198"/>
      <c r="AF72" s="198"/>
      <c r="AM72" s="396" t="s">
        <v>132</v>
      </c>
      <c r="AN72" s="647" t="s">
        <v>288</v>
      </c>
      <c r="AO72" s="647"/>
      <c r="AP72" s="648"/>
      <c r="AQ72" s="396" t="s">
        <v>132</v>
      </c>
      <c r="AR72" s="647" t="s">
        <v>288</v>
      </c>
      <c r="AS72" s="647"/>
      <c r="AT72" s="648"/>
      <c r="AU72" s="647" t="s">
        <v>288</v>
      </c>
      <c r="AV72" s="647"/>
      <c r="AW72" s="648"/>
      <c r="AX72" s="647" t="s">
        <v>288</v>
      </c>
      <c r="AY72" s="647"/>
      <c r="AZ72" s="648"/>
      <c r="BA72" s="647" t="s">
        <v>288</v>
      </c>
      <c r="BB72" s="647"/>
      <c r="BC72" s="648"/>
      <c r="BD72" s="647" t="s">
        <v>288</v>
      </c>
      <c r="BE72" s="647"/>
      <c r="BF72" s="648"/>
      <c r="BG72" s="647" t="s">
        <v>288</v>
      </c>
      <c r="BH72" s="647"/>
      <c r="BI72" s="648"/>
    </row>
    <row r="73" spans="1:61" ht="14.25" thickTop="1" thickBot="1">
      <c r="A73" s="279"/>
      <c r="B73" s="270" t="s">
        <v>149</v>
      </c>
      <c r="C73" s="280">
        <v>320.31</v>
      </c>
      <c r="D73" s="280">
        <v>320.31</v>
      </c>
      <c r="E73" s="281">
        <v>13453.02</v>
      </c>
      <c r="F73" s="281">
        <v>297.03999999999996</v>
      </c>
      <c r="G73" s="281">
        <v>297.03999999999996</v>
      </c>
      <c r="H73" s="281">
        <v>12475.679999999998</v>
      </c>
      <c r="I73" s="273">
        <v>299.55292800000001</v>
      </c>
      <c r="J73" s="273">
        <v>299.55292800000001</v>
      </c>
      <c r="K73" s="273">
        <v>12581.222976000001</v>
      </c>
      <c r="L73" s="198"/>
      <c r="M73" s="198"/>
      <c r="N73" s="198"/>
      <c r="O73" s="198"/>
      <c r="P73" s="198"/>
      <c r="Q73" s="198"/>
      <c r="AE73" s="198"/>
      <c r="AF73" s="198"/>
      <c r="AM73" s="397" t="s">
        <v>142</v>
      </c>
      <c r="AN73" s="419">
        <v>513.24140203400077</v>
      </c>
      <c r="AO73" s="419">
        <v>513.24140203400077</v>
      </c>
      <c r="AP73" s="420">
        <v>21556.13888542803</v>
      </c>
      <c r="AQ73" s="397" t="s">
        <v>142</v>
      </c>
      <c r="AR73" s="419">
        <f>AN73*(1+$AT$71)</f>
        <v>523.19828523346041</v>
      </c>
      <c r="AS73" s="419">
        <f>AO73*(1+$AT$71)</f>
        <v>523.19828523346041</v>
      </c>
      <c r="AT73" s="419">
        <f>AP73*(1+$AT$71)</f>
        <v>21974.327979805337</v>
      </c>
      <c r="AU73" s="419">
        <f>AR73*(1+$AW$71)</f>
        <v>542.34734247300503</v>
      </c>
      <c r="AV73" s="419">
        <f>AS73*(1+$AW$71)</f>
        <v>542.34734247300503</v>
      </c>
      <c r="AW73" s="419">
        <f>AT73*(1+$AW$71)</f>
        <v>22778.588383866212</v>
      </c>
      <c r="AX73" s="419">
        <f>AU73*(1+$AZ$71)</f>
        <v>579.06425755842747</v>
      </c>
      <c r="AY73" s="419">
        <f>AV73*(1+$AZ$71)</f>
        <v>579.06425755842747</v>
      </c>
      <c r="AZ73" s="419">
        <f>AW73*(1+$AZ$71)</f>
        <v>24320.698817453958</v>
      </c>
      <c r="BA73" s="419">
        <f t="shared" ref="BA73:BF73" si="35">AX73*(1+$BC$71)</f>
        <v>612.36045236803716</v>
      </c>
      <c r="BB73" s="419">
        <f t="shared" si="35"/>
        <v>612.36045236803716</v>
      </c>
      <c r="BC73" s="419">
        <f t="shared" si="35"/>
        <v>25719.138999457562</v>
      </c>
      <c r="BD73" s="419">
        <f t="shared" si="35"/>
        <v>647.57117837919941</v>
      </c>
      <c r="BE73" s="419">
        <f t="shared" si="35"/>
        <v>647.57117837919941</v>
      </c>
      <c r="BF73" s="419">
        <f t="shared" si="35"/>
        <v>27197.989491926375</v>
      </c>
      <c r="BG73" s="419">
        <f>BD73*(1+$BC$71)</f>
        <v>684.80652113600343</v>
      </c>
      <c r="BH73" s="419">
        <f>BE73*(1+$BC$71)</f>
        <v>684.80652113600343</v>
      </c>
      <c r="BI73" s="419">
        <f>BF73*(1+$BC$71)</f>
        <v>28761.873887712143</v>
      </c>
    </row>
    <row r="74" spans="1:61" ht="14.25" thickTop="1" thickBot="1">
      <c r="A74" s="282"/>
      <c r="B74" s="283" t="s">
        <v>132</v>
      </c>
      <c r="C74" s="197"/>
      <c r="D74" s="197"/>
      <c r="E74" s="242"/>
      <c r="F74" s="242"/>
      <c r="G74" s="242"/>
      <c r="H74" s="242"/>
      <c r="I74" s="284" t="s">
        <v>150</v>
      </c>
      <c r="J74" s="285"/>
      <c r="K74" s="286"/>
      <c r="L74" s="284" t="s">
        <v>151</v>
      </c>
      <c r="M74" s="285"/>
      <c r="N74" s="286"/>
      <c r="O74" s="284" t="s">
        <v>151</v>
      </c>
      <c r="P74" s="285"/>
      <c r="Q74" s="286"/>
      <c r="R74" s="284" t="s">
        <v>137</v>
      </c>
      <c r="S74" s="285"/>
      <c r="T74" s="286"/>
      <c r="U74" s="284" t="s">
        <v>138</v>
      </c>
      <c r="V74" s="285"/>
      <c r="W74" s="286"/>
      <c r="X74" s="287" t="s">
        <v>139</v>
      </c>
      <c r="Y74" s="285"/>
      <c r="Z74" s="286"/>
      <c r="AA74" s="287" t="s">
        <v>140</v>
      </c>
      <c r="AB74" s="285"/>
      <c r="AC74" s="286"/>
      <c r="AD74" s="287" t="s">
        <v>141</v>
      </c>
      <c r="AE74" s="285"/>
      <c r="AF74" s="286"/>
      <c r="AG74" s="287" t="s">
        <v>172</v>
      </c>
      <c r="AH74" s="285"/>
      <c r="AI74" s="286"/>
      <c r="AJ74" s="287" t="s">
        <v>203</v>
      </c>
      <c r="AK74" s="285"/>
      <c r="AL74" s="286"/>
      <c r="AM74" s="397" t="s">
        <v>143</v>
      </c>
      <c r="AN74" s="634" t="s">
        <v>289</v>
      </c>
      <c r="AO74" s="634"/>
      <c r="AP74" s="635"/>
      <c r="AQ74" s="397" t="s">
        <v>143</v>
      </c>
      <c r="AR74" s="634"/>
      <c r="AS74" s="634"/>
      <c r="AT74" s="635"/>
      <c r="AU74" s="634"/>
      <c r="AV74" s="634"/>
      <c r="AW74" s="635"/>
      <c r="AX74" s="634"/>
      <c r="AY74" s="634"/>
      <c r="AZ74" s="635"/>
      <c r="BA74" s="634"/>
      <c r="BB74" s="634"/>
      <c r="BC74" s="635"/>
      <c r="BD74" s="634"/>
      <c r="BE74" s="634"/>
      <c r="BF74" s="635"/>
      <c r="BG74" s="634"/>
      <c r="BH74" s="634"/>
      <c r="BI74" s="635"/>
    </row>
    <row r="75" spans="1:61" ht="14.25" thickTop="1" thickBot="1">
      <c r="A75" s="288"/>
      <c r="B75" s="289" t="s">
        <v>143</v>
      </c>
      <c r="C75" s="290"/>
      <c r="D75" s="290"/>
      <c r="E75" s="291"/>
      <c r="F75" s="291"/>
      <c r="G75" s="291"/>
      <c r="H75" s="291"/>
      <c r="I75" s="281">
        <v>313.76052800000002</v>
      </c>
      <c r="J75" s="292">
        <v>313.76052800000002</v>
      </c>
      <c r="K75" s="293">
        <v>13177.942176</v>
      </c>
      <c r="L75" s="281">
        <v>329.66471903999997</v>
      </c>
      <c r="M75" s="292">
        <v>329.66471903999997</v>
      </c>
      <c r="N75" s="293">
        <v>13845.918199679998</v>
      </c>
      <c r="O75" s="281">
        <v>344.64763738343999</v>
      </c>
      <c r="P75" s="292">
        <v>344.64763738343999</v>
      </c>
      <c r="Q75" s="293">
        <v>14475.200770104479</v>
      </c>
      <c r="R75" s="281">
        <v>344.64763738343999</v>
      </c>
      <c r="S75" s="292">
        <v>344.64763738343999</v>
      </c>
      <c r="T75" s="293">
        <v>14475.200770104479</v>
      </c>
      <c r="U75" s="281">
        <v>358.65642186221817</v>
      </c>
      <c r="V75" s="292">
        <v>358.65642186221817</v>
      </c>
      <c r="W75" s="293">
        <v>15063.569718213163</v>
      </c>
      <c r="X75" s="281">
        <v>373.79802924783672</v>
      </c>
      <c r="Y75" s="292">
        <v>373.79802924783672</v>
      </c>
      <c r="Z75" s="293">
        <v>15699.517228409142</v>
      </c>
      <c r="AA75" s="281">
        <v>393.82793640870153</v>
      </c>
      <c r="AB75" s="292">
        <v>393.82793640870153</v>
      </c>
      <c r="AC75" s="293">
        <v>16540.773329165466</v>
      </c>
      <c r="AD75" s="281">
        <f>38.72*1.0649*1.055*1.0485*1.0448*1.0569*1.0767*1.02+AE40</f>
        <v>405.09297489725367</v>
      </c>
      <c r="AE75" s="292">
        <f>AD75</f>
        <v>405.09297489725367</v>
      </c>
      <c r="AF75" s="293">
        <f>AE75*42</f>
        <v>17013.904945684655</v>
      </c>
      <c r="AG75" s="281">
        <f>38.72*1.0649*1.055*1.0485*1.0448*1.0569*1.0767*1.02*1.0317+AH40</f>
        <v>417.33979620149665</v>
      </c>
      <c r="AH75" s="292">
        <f>AG75</f>
        <v>417.33979620149665</v>
      </c>
      <c r="AI75" s="293">
        <f>AH75*42</f>
        <v>17528.27144046286</v>
      </c>
      <c r="AJ75" s="281">
        <f>38.72*1.0649*1.055*1.0485*1.0448*1.0569*1.0767*1.02*1.0317*1.0373+AK40</f>
        <v>430.27657477981245</v>
      </c>
      <c r="AK75" s="292">
        <f>AJ75</f>
        <v>430.27657477981245</v>
      </c>
      <c r="AL75" s="293">
        <f>AK75*42</f>
        <v>18071.616140752121</v>
      </c>
      <c r="AM75" s="397" t="s">
        <v>145</v>
      </c>
      <c r="AN75" s="419">
        <v>505.85237467218178</v>
      </c>
      <c r="AO75" s="419">
        <v>505.85237467218178</v>
      </c>
      <c r="AP75" s="420">
        <v>21245.799736231635</v>
      </c>
      <c r="AQ75" s="397" t="s">
        <v>145</v>
      </c>
      <c r="AR75" s="419">
        <f>AN75*(1+$AT$71)</f>
        <v>515.66591074082214</v>
      </c>
      <c r="AS75" s="419">
        <f>AO75*(1+$AT$71)</f>
        <v>515.66591074082214</v>
      </c>
      <c r="AT75" s="419">
        <f>AP75*(1+$AT$71)</f>
        <v>21657.968251114529</v>
      </c>
      <c r="AU75" s="419">
        <f>AR75*(1+$AW$71)</f>
        <v>534.53928307393619</v>
      </c>
      <c r="AV75" s="419">
        <f>AS75*(1+$AW$71)</f>
        <v>534.53928307393619</v>
      </c>
      <c r="AW75" s="419">
        <f>AT75*(1+$AW$71)</f>
        <v>22450.64988910532</v>
      </c>
      <c r="AX75" s="419">
        <f>AU75*(1+$AZ$71)</f>
        <v>570.72759253804168</v>
      </c>
      <c r="AY75" s="419">
        <f>AV75*(1+$AZ$71)</f>
        <v>570.72759253804168</v>
      </c>
      <c r="AZ75" s="419">
        <f>AW75*(1+$AZ$71)</f>
        <v>23970.558886597752</v>
      </c>
      <c r="BA75" s="419">
        <f t="shared" ref="BA75:BF75" si="36">AX75*(1+$BC$71)</f>
        <v>603.5444291089791</v>
      </c>
      <c r="BB75" s="419">
        <f t="shared" si="36"/>
        <v>603.5444291089791</v>
      </c>
      <c r="BC75" s="419">
        <f t="shared" si="36"/>
        <v>25348.866022577124</v>
      </c>
      <c r="BD75" s="419">
        <f t="shared" si="36"/>
        <v>638.2482337827455</v>
      </c>
      <c r="BE75" s="419">
        <f t="shared" si="36"/>
        <v>638.2482337827455</v>
      </c>
      <c r="BF75" s="419">
        <f t="shared" si="36"/>
        <v>26806.425818875312</v>
      </c>
      <c r="BG75" s="419">
        <f>BD75*(1+$BC$71)</f>
        <v>674.94750722525339</v>
      </c>
      <c r="BH75" s="419">
        <f>BE75*(1+$BC$71)</f>
        <v>674.94750722525339</v>
      </c>
      <c r="BI75" s="419">
        <f>BF75*(1+$BC$71)</f>
        <v>28347.795303460643</v>
      </c>
    </row>
    <row r="76" spans="1:61" ht="12.75" customHeight="1" thickTop="1">
      <c r="A76" s="294"/>
      <c r="B76" s="295" t="s">
        <v>152</v>
      </c>
      <c r="C76" s="198"/>
      <c r="D76" s="198"/>
      <c r="E76" s="198"/>
      <c r="G76" s="198"/>
      <c r="H76" s="198"/>
      <c r="I76" s="278">
        <v>41.232927999999994</v>
      </c>
      <c r="J76" s="198"/>
      <c r="K76" s="198"/>
      <c r="L76" s="278">
        <v>43.500739039999992</v>
      </c>
      <c r="M76" s="198"/>
      <c r="N76" s="198"/>
      <c r="O76" s="278">
        <v>45.610524883439993</v>
      </c>
      <c r="P76" s="198"/>
      <c r="Q76" s="198"/>
      <c r="R76" s="278">
        <v>45.610524883439993</v>
      </c>
      <c r="U76" s="278">
        <v>47.653876398218102</v>
      </c>
      <c r="X76" s="278">
        <v>50.355381965276713</v>
      </c>
      <c r="AA76" s="278">
        <v>54.227639762013432</v>
      </c>
      <c r="AD76" s="278">
        <v>55.31</v>
      </c>
      <c r="AE76" s="198"/>
      <c r="AF76" s="198"/>
      <c r="AG76" s="296">
        <f>AD76*(1+AI66)</f>
        <v>57.063327000000008</v>
      </c>
      <c r="AJ76" s="422">
        <f>AG76*(1+AL66)</f>
        <v>59.191789097100013</v>
      </c>
      <c r="AM76" s="397" t="s">
        <v>143</v>
      </c>
      <c r="AN76" s="625"/>
      <c r="AO76" s="626"/>
      <c r="AP76" s="627"/>
      <c r="AQ76" s="397" t="s">
        <v>143</v>
      </c>
      <c r="AR76" s="625"/>
      <c r="AS76" s="626"/>
      <c r="AT76" s="627"/>
      <c r="AU76" s="625"/>
      <c r="AV76" s="626"/>
      <c r="AW76" s="627"/>
      <c r="AX76" s="625"/>
      <c r="AY76" s="626"/>
      <c r="AZ76" s="627"/>
      <c r="BA76" s="625"/>
      <c r="BB76" s="626"/>
      <c r="BC76" s="627"/>
      <c r="BD76" s="625"/>
      <c r="BE76" s="626"/>
      <c r="BF76" s="627"/>
      <c r="BG76" s="625"/>
      <c r="BH76" s="626"/>
      <c r="BI76" s="627"/>
    </row>
    <row r="77" spans="1:61">
      <c r="A77" s="297" t="s">
        <v>153</v>
      </c>
      <c r="B77" s="198"/>
      <c r="C77" s="198"/>
      <c r="D77" s="198"/>
      <c r="E77" s="198"/>
      <c r="F77" s="269"/>
      <c r="G77" s="198"/>
      <c r="H77" s="198"/>
      <c r="I77" s="198"/>
      <c r="J77" s="198"/>
      <c r="K77" s="198"/>
      <c r="L77" s="198"/>
      <c r="M77" s="198"/>
      <c r="N77" s="198"/>
      <c r="O77" s="198"/>
      <c r="P77" s="198"/>
      <c r="Q77" s="198"/>
      <c r="AM77" s="398" t="s">
        <v>146</v>
      </c>
      <c r="AN77" s="628"/>
      <c r="AO77" s="629"/>
      <c r="AP77" s="630"/>
      <c r="AQ77" s="398" t="s">
        <v>146</v>
      </c>
      <c r="AR77" s="628"/>
      <c r="AS77" s="629"/>
      <c r="AT77" s="630"/>
      <c r="AU77" s="628"/>
      <c r="AV77" s="629"/>
      <c r="AW77" s="630"/>
      <c r="AX77" s="628"/>
      <c r="AY77" s="629"/>
      <c r="AZ77" s="630"/>
      <c r="BA77" s="628"/>
      <c r="BB77" s="629"/>
      <c r="BC77" s="630"/>
      <c r="BD77" s="628"/>
      <c r="BE77" s="629"/>
      <c r="BF77" s="630"/>
      <c r="BG77" s="628"/>
      <c r="BH77" s="629"/>
      <c r="BI77" s="630"/>
    </row>
    <row r="78" spans="1:61">
      <c r="A78" s="297" t="s">
        <v>154</v>
      </c>
      <c r="B78" s="198"/>
      <c r="C78" s="198"/>
      <c r="D78" s="198"/>
      <c r="E78" s="198"/>
      <c r="F78" s="269"/>
      <c r="G78" s="198"/>
      <c r="H78" s="198"/>
      <c r="I78" s="198"/>
      <c r="J78" s="198"/>
      <c r="K78" s="198"/>
      <c r="L78" s="298"/>
      <c r="M78" s="198"/>
      <c r="N78" s="198"/>
      <c r="O78" s="299"/>
      <c r="P78" s="198"/>
      <c r="Q78" s="198"/>
      <c r="AC78" s="300"/>
      <c r="AM78" s="397" t="s">
        <v>149</v>
      </c>
      <c r="AN78" s="631"/>
      <c r="AO78" s="632"/>
      <c r="AP78" s="633"/>
      <c r="AQ78" s="397" t="s">
        <v>149</v>
      </c>
      <c r="AR78" s="631"/>
      <c r="AS78" s="632"/>
      <c r="AT78" s="633"/>
      <c r="AU78" s="631"/>
      <c r="AV78" s="632"/>
      <c r="AW78" s="633"/>
      <c r="AX78" s="631"/>
      <c r="AY78" s="632"/>
      <c r="AZ78" s="633"/>
      <c r="BA78" s="631"/>
      <c r="BB78" s="632"/>
      <c r="BC78" s="633"/>
      <c r="BD78" s="631"/>
      <c r="BE78" s="632"/>
      <c r="BF78" s="633"/>
      <c r="BG78" s="631"/>
      <c r="BH78" s="632"/>
      <c r="BI78" s="633"/>
    </row>
    <row r="79" spans="1:61">
      <c r="A79" s="294"/>
      <c r="B79" s="198"/>
      <c r="C79" s="198"/>
      <c r="D79" s="198"/>
      <c r="E79" s="198"/>
      <c r="F79" s="198"/>
      <c r="G79" s="198"/>
      <c r="H79" s="198"/>
      <c r="I79" s="198"/>
      <c r="J79" s="198"/>
      <c r="K79" s="198"/>
      <c r="L79" s="198"/>
      <c r="M79" s="198"/>
      <c r="N79" s="198"/>
      <c r="O79" s="198"/>
      <c r="P79" s="198"/>
      <c r="Q79" s="198"/>
      <c r="AC79" s="278"/>
      <c r="AM79" s="397" t="s">
        <v>132</v>
      </c>
      <c r="AN79" s="634" t="s">
        <v>289</v>
      </c>
      <c r="AO79" s="634"/>
      <c r="AP79" s="635"/>
      <c r="AQ79" s="397" t="s">
        <v>132</v>
      </c>
      <c r="AR79" s="634"/>
      <c r="AS79" s="634"/>
      <c r="AT79" s="635"/>
      <c r="AU79" s="634"/>
      <c r="AV79" s="634"/>
      <c r="AW79" s="635"/>
      <c r="AX79" s="634"/>
      <c r="AY79" s="634"/>
      <c r="AZ79" s="635"/>
      <c r="BA79" s="634"/>
      <c r="BB79" s="634"/>
      <c r="BC79" s="635"/>
      <c r="BD79" s="634"/>
      <c r="BE79" s="634"/>
      <c r="BF79" s="635"/>
      <c r="BG79" s="634"/>
      <c r="BH79" s="634"/>
      <c r="BI79" s="635"/>
    </row>
    <row r="80" spans="1:61">
      <c r="A80" s="198"/>
      <c r="B80" s="198"/>
      <c r="C80" s="198"/>
      <c r="D80" s="198"/>
      <c r="E80" s="198"/>
      <c r="F80" s="198"/>
      <c r="G80" s="198"/>
      <c r="H80" s="198"/>
      <c r="I80" s="198"/>
      <c r="J80" s="198"/>
      <c r="K80" s="198"/>
      <c r="L80" s="198"/>
      <c r="M80" s="198"/>
      <c r="N80" s="198"/>
      <c r="O80" s="198"/>
      <c r="P80" s="198"/>
      <c r="Q80" s="198"/>
      <c r="AM80" s="397" t="s">
        <v>143</v>
      </c>
      <c r="AN80" s="419">
        <v>442.85011881106925</v>
      </c>
      <c r="AO80" s="419">
        <v>442.85011881106925</v>
      </c>
      <c r="AP80" s="420">
        <v>18599.704990064907</v>
      </c>
      <c r="AQ80" s="397" t="s">
        <v>143</v>
      </c>
      <c r="AR80" s="419">
        <f>AN80*(1+$AT$71)</f>
        <v>451.44141111600402</v>
      </c>
      <c r="AS80" s="419">
        <f>AO80*(1+$AT$71)</f>
        <v>451.44141111600402</v>
      </c>
      <c r="AT80" s="419">
        <f>AP80*(1+$AT$71)</f>
        <v>18960.539266872169</v>
      </c>
      <c r="AU80" s="419">
        <f>AR80*(1+$AW$71)</f>
        <v>467.96416676284974</v>
      </c>
      <c r="AV80" s="419">
        <f>AS80*(1+$AW$71)</f>
        <v>467.96416676284974</v>
      </c>
      <c r="AW80" s="419">
        <f>AT80*(1+$AW$71)</f>
        <v>19654.495004039691</v>
      </c>
      <c r="AX80" s="419">
        <f>AU80*(1+$AZ$71)</f>
        <v>499.64534085269469</v>
      </c>
      <c r="AY80" s="419">
        <f>AV80*(1+$AZ$71)</f>
        <v>499.64534085269469</v>
      </c>
      <c r="AZ80" s="419">
        <f>AW80*(1+$AZ$71)</f>
        <v>20985.10431581318</v>
      </c>
      <c r="BA80" s="419">
        <f t="shared" ref="BA80:BF80" si="37">AX80*(1+$BC$71)</f>
        <v>528.37494795172472</v>
      </c>
      <c r="BB80" s="419">
        <f t="shared" si="37"/>
        <v>528.37494795172472</v>
      </c>
      <c r="BC80" s="419">
        <f t="shared" si="37"/>
        <v>22191.747813972441</v>
      </c>
      <c r="BD80" s="419">
        <f t="shared" si="37"/>
        <v>558.75650745894893</v>
      </c>
      <c r="BE80" s="419">
        <f t="shared" si="37"/>
        <v>558.75650745894893</v>
      </c>
      <c r="BF80" s="419">
        <f t="shared" si="37"/>
        <v>23467.773313275859</v>
      </c>
      <c r="BG80" s="419">
        <f>BD80*(1+$BC$71)</f>
        <v>590.8850066378385</v>
      </c>
      <c r="BH80" s="419">
        <f>BE80*(1+$BC$71)</f>
        <v>590.8850066378385</v>
      </c>
      <c r="BI80" s="419">
        <f>BF80*(1+$BC$71)</f>
        <v>24817.170278789225</v>
      </c>
    </row>
    <row r="81" spans="1:61" ht="14.25" customHeight="1" thickBot="1">
      <c r="A81" s="198"/>
      <c r="B81" s="198"/>
      <c r="C81" s="198"/>
      <c r="D81" s="198"/>
      <c r="E81" s="198"/>
      <c r="F81" s="198"/>
      <c r="G81" s="198"/>
      <c r="H81" s="198"/>
      <c r="I81" s="198"/>
      <c r="J81" s="198"/>
      <c r="K81" s="198"/>
      <c r="L81" s="198"/>
      <c r="M81" s="198"/>
      <c r="N81" s="198"/>
      <c r="O81" s="198"/>
      <c r="P81" s="198"/>
      <c r="Q81" s="198"/>
      <c r="Z81" s="661" t="s">
        <v>155</v>
      </c>
      <c r="AA81" s="661"/>
      <c r="AD81" s="661" t="s">
        <v>156</v>
      </c>
      <c r="AE81" s="661"/>
      <c r="AG81" s="661" t="s">
        <v>204</v>
      </c>
      <c r="AH81" s="661"/>
      <c r="AJ81" s="661" t="s">
        <v>204</v>
      </c>
      <c r="AK81" s="661"/>
      <c r="AM81" s="399" t="s">
        <v>152</v>
      </c>
      <c r="AN81" s="423">
        <v>60.636068751069253</v>
      </c>
      <c r="AO81" s="636"/>
      <c r="AP81" s="637"/>
      <c r="AQ81" s="399" t="s">
        <v>152</v>
      </c>
      <c r="AR81" s="423">
        <f>AN81*(1+$AT$71)</f>
        <v>61.812408484839999</v>
      </c>
      <c r="AS81" s="636"/>
      <c r="AT81" s="637"/>
      <c r="AU81" s="423">
        <f>AR81*(1+$AW$71)</f>
        <v>64.074742635385135</v>
      </c>
      <c r="AV81" s="636"/>
      <c r="AW81" s="637"/>
      <c r="AX81" s="423">
        <f>AU81*(1+$AZ$71)</f>
        <v>68.412602711800716</v>
      </c>
      <c r="AY81" s="636"/>
      <c r="AZ81" s="637"/>
      <c r="BA81" s="423">
        <f>AX81*(1+$BC$71)</f>
        <v>72.346327367729259</v>
      </c>
      <c r="BB81" s="636"/>
      <c r="BC81" s="637"/>
      <c r="BD81" s="423">
        <f>BA81*(1+$BC$71)</f>
        <v>76.506241191373704</v>
      </c>
      <c r="BE81" s="636"/>
      <c r="BF81" s="637"/>
      <c r="BG81" s="423">
        <f>BD81*(1+$BC$71)</f>
        <v>80.905350059877705</v>
      </c>
      <c r="BH81" s="636"/>
      <c r="BI81" s="637"/>
    </row>
    <row r="82" spans="1:61">
      <c r="A82" s="198"/>
      <c r="B82" s="198"/>
      <c r="C82" s="198"/>
      <c r="D82" s="198"/>
      <c r="E82" s="198"/>
      <c r="F82" s="198"/>
      <c r="G82" s="198"/>
      <c r="H82" s="198"/>
      <c r="I82" s="198"/>
      <c r="J82" s="198"/>
      <c r="K82" s="198"/>
      <c r="L82" s="198"/>
      <c r="M82" s="198"/>
      <c r="N82" s="198"/>
      <c r="O82" s="198"/>
      <c r="P82" s="198"/>
      <c r="Q82" s="198"/>
      <c r="Z82" s="661"/>
      <c r="AA82" s="661"/>
      <c r="AD82" s="661"/>
      <c r="AE82" s="661"/>
      <c r="AG82" s="661"/>
      <c r="AH82" s="661"/>
      <c r="AJ82" s="661"/>
      <c r="AK82" s="661"/>
    </row>
    <row r="83" spans="1:61" ht="83.25" customHeight="1">
      <c r="A83" s="198"/>
      <c r="B83" s="198"/>
      <c r="C83" s="198"/>
      <c r="D83" s="198"/>
      <c r="E83" s="198"/>
      <c r="F83" s="198"/>
      <c r="G83" s="198"/>
      <c r="H83" s="198"/>
      <c r="I83" s="198"/>
      <c r="J83" s="198"/>
      <c r="K83" s="198"/>
      <c r="L83" s="198"/>
      <c r="M83" s="198"/>
      <c r="N83" s="198"/>
      <c r="O83" s="198"/>
      <c r="P83" s="198"/>
      <c r="Q83" s="198"/>
      <c r="Z83" s="656" t="s">
        <v>157</v>
      </c>
      <c r="AA83" s="656"/>
      <c r="AD83" s="656" t="s">
        <v>158</v>
      </c>
      <c r="AE83" s="656"/>
      <c r="AG83" s="301" t="s">
        <v>205</v>
      </c>
      <c r="AJ83" s="301" t="s">
        <v>205</v>
      </c>
    </row>
    <row r="84" spans="1:61">
      <c r="A84" s="198"/>
      <c r="B84" s="198"/>
      <c r="C84" s="198"/>
      <c r="D84" s="198"/>
      <c r="E84" s="198"/>
      <c r="F84" s="198"/>
      <c r="G84" s="198"/>
      <c r="H84" s="198"/>
      <c r="I84" s="198"/>
      <c r="J84" s="198"/>
      <c r="K84" s="198"/>
      <c r="L84" s="198"/>
      <c r="M84" s="198"/>
      <c r="N84" s="198"/>
      <c r="O84" s="198"/>
      <c r="P84" s="198"/>
      <c r="Q84" s="198"/>
      <c r="AD84" s="656"/>
      <c r="AE84" s="656"/>
    </row>
    <row r="85" spans="1:61">
      <c r="A85" s="198"/>
      <c r="B85" s="198"/>
      <c r="C85" s="198"/>
      <c r="D85" s="198"/>
      <c r="E85" s="198"/>
      <c r="F85" s="198"/>
      <c r="G85" s="198"/>
      <c r="H85" s="198"/>
      <c r="I85" s="198"/>
      <c r="J85" s="198"/>
      <c r="K85" s="198"/>
      <c r="L85" s="198"/>
      <c r="M85" s="198"/>
      <c r="N85" s="198"/>
      <c r="O85" s="198"/>
      <c r="P85" s="198"/>
      <c r="Q85" s="198"/>
      <c r="AD85" s="656"/>
      <c r="AE85" s="656"/>
    </row>
    <row r="86" spans="1:61">
      <c r="A86" s="198"/>
      <c r="B86" s="198"/>
      <c r="C86" s="198"/>
      <c r="D86" s="198"/>
      <c r="E86" s="198"/>
      <c r="F86" s="198"/>
      <c r="G86" s="198"/>
      <c r="H86" s="198"/>
      <c r="I86" s="198"/>
      <c r="J86" s="198"/>
      <c r="K86" s="198"/>
      <c r="L86" s="198"/>
      <c r="M86" s="198"/>
      <c r="N86" s="198"/>
      <c r="O86" s="198"/>
      <c r="P86" s="198"/>
      <c r="Q86" s="198"/>
      <c r="AD86" s="656"/>
      <c r="AE86" s="656"/>
    </row>
    <row r="87" spans="1:61">
      <c r="A87" s="198"/>
      <c r="B87" s="198"/>
      <c r="C87" s="198"/>
      <c r="D87" s="198"/>
      <c r="E87" s="198"/>
      <c r="F87" s="198"/>
      <c r="G87" s="198"/>
      <c r="H87" s="198"/>
      <c r="I87" s="198"/>
      <c r="J87" s="198"/>
      <c r="K87" s="198"/>
      <c r="L87" s="198"/>
      <c r="M87" s="198"/>
      <c r="N87" s="198"/>
      <c r="O87" s="198"/>
      <c r="P87" s="198"/>
      <c r="Q87" s="198"/>
      <c r="AD87" s="656"/>
      <c r="AE87" s="656"/>
    </row>
    <row r="88" spans="1:61">
      <c r="A88" s="198"/>
      <c r="B88" s="198"/>
      <c r="C88" s="198"/>
      <c r="D88" s="198"/>
      <c r="E88" s="198"/>
      <c r="F88" s="198"/>
      <c r="G88" s="198"/>
      <c r="H88" s="198"/>
      <c r="I88" s="198"/>
      <c r="J88" s="198"/>
      <c r="K88" s="198"/>
      <c r="L88" s="198"/>
      <c r="M88" s="198"/>
      <c r="N88" s="198"/>
      <c r="O88" s="198"/>
      <c r="P88" s="198"/>
      <c r="Q88" s="198"/>
      <c r="AD88" s="656"/>
      <c r="AE88" s="656"/>
    </row>
    <row r="89" spans="1:61">
      <c r="A89" s="198"/>
      <c r="B89" s="198"/>
      <c r="C89" s="198"/>
      <c r="D89" s="198"/>
      <c r="E89" s="198"/>
      <c r="F89" s="198"/>
      <c r="G89" s="198"/>
      <c r="H89" s="198"/>
      <c r="I89" s="198"/>
      <c r="J89" s="198"/>
      <c r="K89" s="198"/>
      <c r="L89" s="198"/>
      <c r="M89" s="198"/>
      <c r="N89" s="198"/>
      <c r="O89" s="198"/>
      <c r="P89" s="198"/>
      <c r="Q89" s="198"/>
      <c r="AD89" s="656"/>
      <c r="AE89" s="656"/>
    </row>
    <row r="90" spans="1:61">
      <c r="A90" s="198"/>
      <c r="B90" s="198"/>
      <c r="C90" s="198"/>
      <c r="D90" s="198"/>
      <c r="E90" s="198"/>
      <c r="F90" s="198"/>
      <c r="G90" s="198"/>
      <c r="H90" s="198"/>
      <c r="I90" s="198"/>
      <c r="J90" s="198"/>
      <c r="K90" s="198"/>
      <c r="L90" s="198"/>
      <c r="M90" s="198"/>
      <c r="N90" s="198"/>
      <c r="O90" s="198"/>
      <c r="P90" s="198"/>
      <c r="Q90" s="198"/>
      <c r="AD90" s="198" t="s">
        <v>159</v>
      </c>
      <c r="AG90" s="199" t="s">
        <v>206</v>
      </c>
      <c r="AJ90" s="199" t="s">
        <v>206</v>
      </c>
    </row>
    <row r="91" spans="1:61">
      <c r="A91" s="198"/>
      <c r="B91" s="198"/>
      <c r="C91" s="198"/>
      <c r="D91" s="198"/>
      <c r="E91" s="198"/>
      <c r="F91" s="198"/>
      <c r="G91" s="198"/>
      <c r="H91" s="198"/>
      <c r="I91" s="198"/>
      <c r="J91" s="198"/>
      <c r="K91" s="198"/>
      <c r="L91" s="198"/>
      <c r="M91" s="198"/>
      <c r="N91" s="198"/>
      <c r="O91" s="198"/>
      <c r="P91" s="198"/>
      <c r="Q91" s="198"/>
    </row>
    <row r="92" spans="1:61">
      <c r="A92" s="198"/>
      <c r="B92" s="198"/>
      <c r="C92" s="198"/>
      <c r="D92" s="198"/>
      <c r="E92" s="198"/>
      <c r="F92" s="198"/>
      <c r="G92" s="198"/>
      <c r="H92" s="198"/>
      <c r="I92" s="198"/>
      <c r="J92" s="198"/>
      <c r="K92" s="198"/>
      <c r="L92" s="198"/>
      <c r="M92" s="198"/>
      <c r="N92" s="198"/>
      <c r="O92" s="198"/>
      <c r="P92" s="198"/>
      <c r="Q92" s="198"/>
    </row>
    <row r="93" spans="1:61">
      <c r="A93" s="198"/>
      <c r="B93" s="198"/>
      <c r="C93" s="198"/>
      <c r="D93" s="198"/>
      <c r="E93" s="198"/>
      <c r="F93" s="198"/>
      <c r="G93" s="198"/>
      <c r="H93" s="198"/>
      <c r="I93" s="198"/>
      <c r="J93" s="198"/>
      <c r="K93" s="198"/>
      <c r="L93" s="198"/>
      <c r="M93" s="198"/>
      <c r="N93" s="198"/>
      <c r="O93" s="198"/>
      <c r="P93" s="198"/>
      <c r="Q93" s="198"/>
    </row>
    <row r="94" spans="1:61">
      <c r="A94" s="198"/>
      <c r="B94" s="198"/>
      <c r="C94" s="198"/>
      <c r="D94" s="198"/>
      <c r="E94" s="198"/>
      <c r="F94" s="198"/>
      <c r="G94" s="198"/>
      <c r="H94" s="198"/>
      <c r="I94" s="198"/>
      <c r="J94" s="198"/>
      <c r="K94" s="198"/>
      <c r="L94" s="198"/>
      <c r="M94" s="198"/>
      <c r="N94" s="198"/>
      <c r="O94" s="198"/>
      <c r="P94" s="198"/>
      <c r="Q94" s="198"/>
    </row>
    <row r="95" spans="1:61">
      <c r="A95" s="198"/>
      <c r="B95" s="198"/>
      <c r="C95" s="198"/>
      <c r="D95" s="198"/>
      <c r="E95" s="198"/>
      <c r="F95" s="198"/>
      <c r="G95" s="198"/>
      <c r="H95" s="198"/>
      <c r="I95" s="198"/>
      <c r="J95" s="198"/>
      <c r="K95" s="198"/>
      <c r="L95" s="198"/>
      <c r="M95" s="198"/>
      <c r="N95" s="198"/>
      <c r="O95" s="198"/>
      <c r="P95" s="198"/>
      <c r="Q95" s="198"/>
    </row>
    <row r="96" spans="1:61">
      <c r="A96" s="198"/>
      <c r="B96" s="198"/>
      <c r="C96" s="198"/>
      <c r="D96" s="198"/>
      <c r="E96" s="198"/>
      <c r="F96" s="198"/>
      <c r="G96" s="198"/>
      <c r="H96" s="198"/>
      <c r="I96" s="198"/>
      <c r="J96" s="198"/>
      <c r="K96" s="198"/>
      <c r="L96" s="198"/>
      <c r="M96" s="198"/>
      <c r="N96" s="198"/>
      <c r="O96" s="198"/>
      <c r="P96" s="198"/>
      <c r="Q96" s="198"/>
    </row>
    <row r="97" spans="1:236">
      <c r="A97" s="198"/>
      <c r="B97" s="198"/>
      <c r="C97" s="198"/>
      <c r="D97" s="198"/>
      <c r="E97" s="198"/>
      <c r="F97" s="198"/>
      <c r="G97" s="198"/>
      <c r="H97" s="198"/>
      <c r="I97" s="198"/>
      <c r="J97" s="198"/>
      <c r="K97" s="198"/>
      <c r="L97" s="198"/>
      <c r="M97" s="198"/>
      <c r="N97" s="198"/>
      <c r="O97" s="198"/>
      <c r="P97" s="198"/>
      <c r="Q97" s="198"/>
    </row>
    <row r="98" spans="1:236">
      <c r="A98" s="198"/>
      <c r="B98" s="198"/>
      <c r="C98" s="198"/>
      <c r="D98" s="198"/>
      <c r="E98" s="198"/>
      <c r="F98" s="198"/>
      <c r="G98" s="198"/>
      <c r="H98" s="198"/>
      <c r="I98" s="198"/>
      <c r="J98" s="198"/>
      <c r="K98" s="198"/>
      <c r="L98" s="198"/>
      <c r="M98" s="198"/>
      <c r="N98" s="198"/>
      <c r="O98" s="198"/>
      <c r="P98" s="198"/>
      <c r="Q98" s="198"/>
    </row>
    <row r="99" spans="1:236">
      <c r="A99" s="198"/>
      <c r="B99" s="198"/>
      <c r="C99" s="198"/>
      <c r="D99" s="198"/>
      <c r="E99" s="198"/>
      <c r="F99" s="198"/>
      <c r="G99" s="198"/>
      <c r="H99" s="198"/>
      <c r="I99" s="198"/>
      <c r="J99" s="198"/>
      <c r="K99" s="198"/>
      <c r="L99" s="198"/>
      <c r="M99" s="198"/>
      <c r="N99" s="198"/>
      <c r="O99" s="198"/>
      <c r="P99" s="198"/>
      <c r="Q99" s="198"/>
    </row>
    <row r="100" spans="1:236">
      <c r="A100" s="198"/>
      <c r="B100" s="198"/>
      <c r="C100" s="198"/>
      <c r="D100" s="198"/>
      <c r="E100" s="198"/>
      <c r="F100" s="198"/>
      <c r="G100" s="198"/>
      <c r="H100" s="198"/>
      <c r="I100" s="198"/>
      <c r="J100" s="198"/>
      <c r="K100" s="198"/>
      <c r="L100" s="198"/>
      <c r="M100" s="198"/>
      <c r="N100" s="198"/>
      <c r="O100" s="198"/>
      <c r="P100" s="198"/>
      <c r="Q100" s="198"/>
    </row>
    <row r="101" spans="1:236">
      <c r="A101" s="198"/>
      <c r="B101" s="198"/>
      <c r="C101" s="198"/>
      <c r="D101" s="198"/>
      <c r="E101" s="198"/>
      <c r="F101" s="198"/>
      <c r="G101" s="198"/>
      <c r="H101" s="198"/>
      <c r="I101" s="198"/>
      <c r="J101" s="198"/>
      <c r="K101" s="198"/>
      <c r="L101" s="198"/>
      <c r="M101" s="198"/>
      <c r="N101" s="198"/>
      <c r="O101" s="198"/>
      <c r="P101" s="198"/>
      <c r="Q101" s="198"/>
    </row>
    <row r="102" spans="1:236">
      <c r="A102" s="198"/>
      <c r="B102" s="198"/>
      <c r="C102" s="198"/>
      <c r="D102" s="198"/>
      <c r="E102" s="198"/>
      <c r="F102" s="198"/>
      <c r="G102" s="198"/>
      <c r="H102" s="198"/>
      <c r="I102" s="198"/>
      <c r="J102" s="198"/>
      <c r="K102" s="198"/>
      <c r="L102" s="198"/>
      <c r="M102" s="198"/>
      <c r="N102" s="198"/>
      <c r="O102" s="198"/>
      <c r="P102" s="198"/>
      <c r="Q102" s="198"/>
    </row>
    <row r="103" spans="1:236" s="144" customFormat="1" ht="14.25">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199"/>
      <c r="FU103" s="199"/>
      <c r="FV103" s="199"/>
      <c r="FW103" s="199"/>
      <c r="FX103" s="199"/>
      <c r="FY103" s="199"/>
      <c r="FZ103" s="199"/>
      <c r="GA103" s="199"/>
      <c r="GB103" s="199"/>
      <c r="GC103" s="199"/>
      <c r="GD103" s="199"/>
      <c r="GE103" s="199"/>
      <c r="GF103" s="199"/>
      <c r="GG103" s="199"/>
      <c r="GH103" s="199"/>
      <c r="GI103" s="199"/>
      <c r="GJ103" s="199"/>
      <c r="GK103" s="199"/>
      <c r="GL103" s="199"/>
      <c r="GM103" s="199"/>
      <c r="GN103" s="199"/>
      <c r="GO103" s="199"/>
      <c r="GP103" s="199"/>
      <c r="GQ103" s="199"/>
      <c r="GR103" s="199"/>
      <c r="GS103" s="199"/>
      <c r="GT103" s="199"/>
      <c r="GU103" s="199"/>
      <c r="GV103" s="199"/>
      <c r="GW103" s="199"/>
      <c r="GX103" s="199"/>
      <c r="GY103" s="199"/>
      <c r="GZ103" s="199"/>
      <c r="HA103" s="199"/>
      <c r="HB103" s="199"/>
      <c r="HC103" s="199"/>
      <c r="HD103" s="199"/>
      <c r="HE103" s="199"/>
      <c r="HF103" s="199"/>
      <c r="HG103" s="199"/>
      <c r="HH103" s="199"/>
      <c r="HI103" s="199"/>
      <c r="HJ103" s="199"/>
      <c r="HK103" s="199"/>
      <c r="HL103" s="199"/>
      <c r="HM103" s="199"/>
      <c r="HN103" s="199"/>
      <c r="HO103" s="199"/>
      <c r="HP103" s="199"/>
      <c r="HQ103" s="199"/>
      <c r="HR103" s="199"/>
      <c r="HS103" s="199"/>
      <c r="HT103" s="199"/>
      <c r="HU103" s="199"/>
      <c r="HV103" s="199"/>
      <c r="HW103" s="199"/>
      <c r="HX103" s="199"/>
      <c r="HY103" s="199"/>
      <c r="HZ103" s="199"/>
      <c r="IA103" s="199"/>
      <c r="IB103" s="199"/>
    </row>
    <row r="104" spans="1:236" s="144" customFormat="1" ht="14.25">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c r="EO104" s="199"/>
      <c r="EP104" s="199"/>
      <c r="EQ104" s="199"/>
      <c r="ER104" s="199"/>
      <c r="ES104" s="199"/>
      <c r="ET104" s="199"/>
      <c r="EU104" s="199"/>
      <c r="EV104" s="199"/>
      <c r="EW104" s="199"/>
      <c r="EX104" s="199"/>
      <c r="EY104" s="199"/>
      <c r="EZ104" s="199"/>
      <c r="FA104" s="199"/>
      <c r="FB104" s="199"/>
      <c r="FC104" s="199"/>
      <c r="FD104" s="199"/>
      <c r="FE104" s="199"/>
      <c r="FF104" s="199"/>
      <c r="FG104" s="199"/>
      <c r="FH104" s="199"/>
      <c r="FI104" s="199"/>
      <c r="FJ104" s="199"/>
      <c r="FK104" s="199"/>
      <c r="FL104" s="199"/>
      <c r="FM104" s="199"/>
      <c r="FN104" s="199"/>
      <c r="FO104" s="199"/>
      <c r="FP104" s="199"/>
      <c r="FQ104" s="199"/>
      <c r="FR104" s="199"/>
      <c r="FS104" s="199"/>
      <c r="FT104" s="199"/>
      <c r="FU104" s="199"/>
      <c r="FV104" s="199"/>
      <c r="FW104" s="199"/>
      <c r="FX104" s="199"/>
      <c r="FY104" s="199"/>
      <c r="FZ104" s="199"/>
      <c r="GA104" s="199"/>
      <c r="GB104" s="199"/>
      <c r="GC104" s="199"/>
      <c r="GD104" s="199"/>
      <c r="GE104" s="199"/>
      <c r="GF104" s="199"/>
      <c r="GG104" s="199"/>
      <c r="GH104" s="199"/>
      <c r="GI104" s="199"/>
      <c r="GJ104" s="199"/>
      <c r="GK104" s="199"/>
      <c r="GL104" s="199"/>
      <c r="GM104" s="199"/>
      <c r="GN104" s="199"/>
      <c r="GO104" s="199"/>
      <c r="GP104" s="199"/>
      <c r="GQ104" s="199"/>
      <c r="GR104" s="199"/>
      <c r="GS104" s="199"/>
      <c r="GT104" s="199"/>
      <c r="GU104" s="199"/>
      <c r="GV104" s="199"/>
      <c r="GW104" s="199"/>
      <c r="GX104" s="199"/>
      <c r="GY104" s="199"/>
      <c r="GZ104" s="199"/>
      <c r="HA104" s="199"/>
      <c r="HB104" s="199"/>
      <c r="HC104" s="199"/>
      <c r="HD104" s="199"/>
      <c r="HE104" s="199"/>
      <c r="HF104" s="199"/>
      <c r="HG104" s="199"/>
      <c r="HH104" s="199"/>
      <c r="HI104" s="199"/>
      <c r="HJ104" s="199"/>
      <c r="HK104" s="199"/>
      <c r="HL104" s="199"/>
      <c r="HM104" s="199"/>
      <c r="HN104" s="199"/>
      <c r="HO104" s="199"/>
      <c r="HP104" s="199"/>
      <c r="HQ104" s="199"/>
      <c r="HR104" s="199"/>
      <c r="HS104" s="199"/>
      <c r="HT104" s="199"/>
      <c r="HU104" s="199"/>
      <c r="HV104" s="199"/>
      <c r="HW104" s="199"/>
      <c r="HX104" s="199"/>
      <c r="HY104" s="199"/>
      <c r="HZ104" s="199"/>
      <c r="IA104" s="199"/>
      <c r="IB104" s="199"/>
    </row>
    <row r="105" spans="1:236" s="144" customFormat="1" ht="14.25">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c r="HO105" s="199"/>
      <c r="HP105" s="199"/>
      <c r="HQ105" s="199"/>
      <c r="HR105" s="199"/>
      <c r="HS105" s="199"/>
      <c r="HT105" s="199"/>
      <c r="HU105" s="199"/>
      <c r="HV105" s="199"/>
      <c r="HW105" s="199"/>
      <c r="HX105" s="199"/>
      <c r="HY105" s="199"/>
      <c r="HZ105" s="199"/>
      <c r="IA105" s="199"/>
      <c r="IB105" s="199"/>
    </row>
    <row r="106" spans="1:236" s="144" customFormat="1" ht="14.25">
      <c r="A106" s="198"/>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c r="HO106" s="199"/>
      <c r="HP106" s="199"/>
      <c r="HQ106" s="199"/>
      <c r="HR106" s="199"/>
      <c r="HS106" s="199"/>
      <c r="HT106" s="199"/>
      <c r="HU106" s="199"/>
      <c r="HV106" s="199"/>
      <c r="HW106" s="199"/>
      <c r="HX106" s="199"/>
      <c r="HY106" s="199"/>
      <c r="HZ106" s="199"/>
      <c r="IA106" s="199"/>
      <c r="IB106" s="199"/>
    </row>
    <row r="107" spans="1:236" s="144" customFormat="1" ht="14.25">
      <c r="A107" s="198"/>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c r="HO107" s="199"/>
      <c r="HP107" s="199"/>
      <c r="HQ107" s="199"/>
      <c r="HR107" s="199"/>
      <c r="HS107" s="199"/>
      <c r="HT107" s="199"/>
      <c r="HU107" s="199"/>
      <c r="HV107" s="199"/>
      <c r="HW107" s="199"/>
      <c r="HX107" s="199"/>
      <c r="HY107" s="199"/>
      <c r="HZ107" s="199"/>
      <c r="IA107" s="199"/>
      <c r="IB107" s="199"/>
    </row>
    <row r="108" spans="1:236" s="144" customFormat="1" ht="14.25">
      <c r="A108" s="198"/>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row>
    <row r="109" spans="1:236" s="144" customFormat="1" ht="14.25">
      <c r="A109" s="198"/>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row>
    <row r="110" spans="1:236" s="144" customFormat="1" ht="14.25">
      <c r="A110" s="198"/>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row>
    <row r="111" spans="1:236" s="144" customFormat="1" ht="14.25">
      <c r="A111" s="198"/>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c r="HY111" s="198"/>
      <c r="HZ111" s="198"/>
      <c r="IA111" s="198"/>
      <c r="IB111" s="198"/>
    </row>
    <row r="112" spans="1:236" s="144" customFormat="1" ht="14.25">
      <c r="A112" s="198"/>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c r="HY112" s="198"/>
      <c r="HZ112" s="198"/>
      <c r="IA112" s="198"/>
      <c r="IB112" s="198"/>
    </row>
    <row r="113" spans="1:236" s="144" customFormat="1" ht="14.25">
      <c r="A113" s="198"/>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row>
    <row r="114" spans="1:236" s="144" customFormat="1" ht="14.25">
      <c r="A114" s="198"/>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row>
    <row r="115" spans="1:236" s="144" customFormat="1" ht="14.25">
      <c r="A115" s="198"/>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row>
    <row r="116" spans="1:236" s="144" customFormat="1" ht="14.25">
      <c r="A116" s="198"/>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row>
    <row r="117" spans="1:236" s="144" customFormat="1" ht="14.25">
      <c r="A117" s="198"/>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row>
    <row r="118" spans="1:236" s="144" customFormat="1" ht="14.25">
      <c r="A118" s="198"/>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row>
    <row r="119" spans="1:236" s="144" customFormat="1" ht="14.25">
      <c r="A119" s="198"/>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row>
    <row r="120" spans="1:236" s="144" customFormat="1" ht="14.25">
      <c r="A120" s="198"/>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row>
    <row r="121" spans="1:236" s="144" customFormat="1" ht="14.25">
      <c r="A121" s="198"/>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row>
    <row r="122" spans="1:236" s="144" customFormat="1" ht="14.25">
      <c r="A122" s="198"/>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row>
    <row r="123" spans="1:236" s="144" customFormat="1" ht="14.25">
      <c r="A123" s="198"/>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row>
    <row r="124" spans="1:236" s="144" customFormat="1" ht="14.25">
      <c r="A124" s="198"/>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row>
    <row r="125" spans="1:236" s="144" customFormat="1" ht="14.25">
      <c r="A125" s="198"/>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row>
    <row r="126" spans="1:236" s="144" customFormat="1" ht="14.25">
      <c r="A126" s="198"/>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row>
    <row r="127" spans="1:236" s="144" customFormat="1" ht="14.25">
      <c r="A127" s="198"/>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row>
    <row r="128" spans="1:236" s="144" customFormat="1" ht="14.25">
      <c r="A128" s="198"/>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row>
    <row r="129" spans="1:236" s="144" customFormat="1" ht="14.25">
      <c r="A129" s="198"/>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row>
    <row r="130" spans="1:236" s="144" customFormat="1" ht="14.25">
      <c r="A130" s="198"/>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row>
    <row r="131" spans="1:236" s="144" customFormat="1" ht="14.25">
      <c r="A131" s="198"/>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row>
    <row r="132" spans="1:236" s="144" customFormat="1" ht="14.25">
      <c r="A132" s="198"/>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row>
    <row r="133" spans="1:236" s="144" customFormat="1" ht="14.25">
      <c r="A133" s="198"/>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row>
    <row r="134" spans="1:236" s="144" customFormat="1" ht="14.25">
      <c r="A134" s="198"/>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row>
    <row r="135" spans="1:236" s="144" customFormat="1" ht="14.25">
      <c r="A135" s="198"/>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row>
    <row r="136" spans="1:236" s="144" customFormat="1" ht="14.25">
      <c r="A136" s="198"/>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row>
    <row r="137" spans="1:236" s="144" customFormat="1" ht="14.25">
      <c r="A137" s="198"/>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row>
    <row r="138" spans="1:236" s="144" customFormat="1" ht="14.25">
      <c r="A138" s="198"/>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row>
    <row r="139" spans="1:236" s="144" customFormat="1" ht="14.25">
      <c r="A139" s="198"/>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row>
    <row r="140" spans="1:236" s="144" customFormat="1" ht="14.25">
      <c r="A140" s="198"/>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row>
    <row r="141" spans="1:236" s="144" customFormat="1" ht="14.25">
      <c r="A141" s="198"/>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row>
    <row r="142" spans="1:236" s="144" customFormat="1" ht="14.25">
      <c r="A142" s="198"/>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row>
    <row r="143" spans="1:236" s="144" customFormat="1" ht="14.25">
      <c r="A143" s="198"/>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row>
    <row r="144" spans="1:236" s="144" customFormat="1" ht="14.25">
      <c r="A144" s="198"/>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row>
    <row r="145" spans="1:236" s="144" customFormat="1" ht="14.25">
      <c r="A145" s="198"/>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row>
    <row r="146" spans="1:236" s="144" customFormat="1" ht="14.25">
      <c r="A146" s="198"/>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row>
    <row r="147" spans="1:236" s="144" customFormat="1" ht="14.25">
      <c r="A147" s="198"/>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row>
    <row r="148" spans="1:236" s="144" customFormat="1" ht="14.25">
      <c r="A148" s="198"/>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row>
    <row r="149" spans="1:236" s="144" customFormat="1" ht="14.25">
      <c r="A149" s="198"/>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row>
    <row r="150" spans="1:236" s="144" customFormat="1" ht="14.25">
      <c r="A150" s="198"/>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row>
    <row r="151" spans="1:236" s="144" customFormat="1" ht="14.25">
      <c r="A151" s="198"/>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row>
    <row r="152" spans="1:236" s="144" customFormat="1" ht="14.25">
      <c r="A152" s="198"/>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row>
    <row r="153" spans="1:236" s="144" customFormat="1" ht="14.25">
      <c r="A153" s="198"/>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row>
    <row r="154" spans="1:236" s="144" customFormat="1" ht="14.25">
      <c r="A154" s="198"/>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row>
    <row r="155" spans="1:236" s="144" customFormat="1" ht="14.25">
      <c r="A155" s="198"/>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row>
    <row r="156" spans="1:236" s="144" customFormat="1" ht="14.25">
      <c r="A156" s="198"/>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row>
    <row r="157" spans="1:236" s="144" customFormat="1" ht="14.25">
      <c r="A157" s="198"/>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row>
    <row r="158" spans="1:236" s="144" customFormat="1" ht="14.25">
      <c r="A158" s="198"/>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row>
    <row r="159" spans="1:236" s="144" customFormat="1" ht="14.25">
      <c r="A159" s="198"/>
      <c r="B159" s="198"/>
      <c r="C159" s="198"/>
      <c r="D159" s="198"/>
      <c r="E159" s="198"/>
      <c r="F159" s="198"/>
      <c r="G159" s="198"/>
      <c r="H159" s="198"/>
      <c r="I159" s="198"/>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c r="FF159" s="198"/>
      <c r="FG159" s="198"/>
      <c r="FH159" s="198"/>
      <c r="FI159" s="198"/>
      <c r="FJ159" s="198"/>
      <c r="FK159" s="198"/>
      <c r="FL159" s="198"/>
      <c r="FM159" s="198"/>
      <c r="FN159" s="198"/>
      <c r="FO159" s="198"/>
      <c r="FP159" s="198"/>
      <c r="FQ159" s="198"/>
      <c r="FR159" s="198"/>
      <c r="FS159" s="198"/>
      <c r="FT159" s="198"/>
      <c r="FU159" s="198"/>
      <c r="FV159" s="198"/>
      <c r="FW159" s="198"/>
      <c r="FX159" s="198"/>
      <c r="FY159" s="198"/>
      <c r="FZ159" s="198"/>
      <c r="GA159" s="198"/>
      <c r="GB159" s="198"/>
      <c r="GC159" s="198"/>
      <c r="GD159" s="198"/>
      <c r="GE159" s="198"/>
      <c r="GF159" s="198"/>
      <c r="GG159" s="198"/>
      <c r="GH159" s="198"/>
      <c r="GI159" s="198"/>
      <c r="GJ159" s="198"/>
      <c r="GK159" s="198"/>
      <c r="GL159" s="198"/>
      <c r="GM159" s="198"/>
      <c r="GN159" s="198"/>
      <c r="GO159" s="198"/>
      <c r="GP159" s="198"/>
      <c r="GQ159" s="198"/>
      <c r="GR159" s="198"/>
      <c r="GS159" s="198"/>
      <c r="GT159" s="198"/>
      <c r="GU159" s="198"/>
      <c r="GV159" s="198"/>
      <c r="GW159" s="198"/>
      <c r="GX159" s="198"/>
      <c r="GY159" s="198"/>
      <c r="GZ159" s="198"/>
      <c r="HA159" s="198"/>
      <c r="HB159" s="198"/>
      <c r="HC159" s="198"/>
      <c r="HD159" s="198"/>
      <c r="HE159" s="198"/>
      <c r="HF159" s="198"/>
      <c r="HG159" s="198"/>
      <c r="HH159" s="198"/>
      <c r="HI159" s="198"/>
      <c r="HJ159" s="198"/>
      <c r="HK159" s="198"/>
      <c r="HL159" s="198"/>
      <c r="HM159" s="198"/>
      <c r="HN159" s="198"/>
      <c r="HO159" s="198"/>
      <c r="HP159" s="198"/>
      <c r="HQ159" s="198"/>
      <c r="HR159" s="198"/>
      <c r="HS159" s="198"/>
      <c r="HT159" s="198"/>
      <c r="HU159" s="198"/>
      <c r="HV159" s="198"/>
      <c r="HW159" s="198"/>
      <c r="HX159" s="198"/>
      <c r="HY159" s="198"/>
      <c r="HZ159" s="198"/>
      <c r="IA159" s="198"/>
      <c r="IB159" s="198"/>
    </row>
    <row r="160" spans="1:236" s="144" customFormat="1" ht="14.25">
      <c r="A160" s="198"/>
      <c r="B160" s="198"/>
      <c r="C160" s="198"/>
      <c r="D160" s="198"/>
      <c r="E160" s="198"/>
      <c r="F160" s="198"/>
      <c r="G160" s="198"/>
      <c r="H160" s="198"/>
      <c r="I160" s="198"/>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98"/>
      <c r="DP160" s="198"/>
      <c r="DQ160" s="198"/>
      <c r="DR160" s="198"/>
      <c r="DS160" s="198"/>
      <c r="DT160" s="198"/>
      <c r="DU160" s="198"/>
      <c r="DV160" s="198"/>
      <c r="DW160" s="198"/>
      <c r="DX160" s="198"/>
      <c r="DY160" s="198"/>
      <c r="DZ160" s="198"/>
      <c r="EA160" s="198"/>
      <c r="EB160" s="198"/>
      <c r="EC160" s="198"/>
      <c r="ED160" s="198"/>
      <c r="EE160" s="198"/>
      <c r="EF160" s="198"/>
      <c r="EG160" s="198"/>
      <c r="EH160" s="198"/>
      <c r="EI160" s="198"/>
      <c r="EJ160" s="198"/>
      <c r="EK160" s="198"/>
      <c r="EL160" s="198"/>
      <c r="EM160" s="198"/>
      <c r="EN160" s="198"/>
      <c r="EO160" s="198"/>
      <c r="EP160" s="198"/>
      <c r="EQ160" s="198"/>
      <c r="ER160" s="198"/>
      <c r="ES160" s="198"/>
      <c r="ET160" s="198"/>
      <c r="EU160" s="198"/>
      <c r="EV160" s="198"/>
      <c r="EW160" s="198"/>
      <c r="EX160" s="198"/>
      <c r="EY160" s="198"/>
      <c r="EZ160" s="198"/>
      <c r="FA160" s="198"/>
      <c r="FB160" s="198"/>
      <c r="FC160" s="198"/>
      <c r="FD160" s="198"/>
      <c r="FE160" s="198"/>
      <c r="FF160" s="198"/>
      <c r="FG160" s="198"/>
      <c r="FH160" s="198"/>
      <c r="FI160" s="198"/>
      <c r="FJ160" s="198"/>
      <c r="FK160" s="198"/>
      <c r="FL160" s="198"/>
      <c r="FM160" s="198"/>
      <c r="FN160" s="198"/>
      <c r="FO160" s="198"/>
      <c r="FP160" s="198"/>
      <c r="FQ160" s="198"/>
      <c r="FR160" s="198"/>
      <c r="FS160" s="198"/>
      <c r="FT160" s="198"/>
      <c r="FU160" s="198"/>
      <c r="FV160" s="198"/>
      <c r="FW160" s="198"/>
      <c r="FX160" s="198"/>
      <c r="FY160" s="198"/>
      <c r="FZ160" s="198"/>
      <c r="GA160" s="198"/>
      <c r="GB160" s="198"/>
      <c r="GC160" s="198"/>
      <c r="GD160" s="198"/>
      <c r="GE160" s="198"/>
      <c r="GF160" s="198"/>
      <c r="GG160" s="198"/>
      <c r="GH160" s="198"/>
      <c r="GI160" s="198"/>
      <c r="GJ160" s="198"/>
      <c r="GK160" s="198"/>
      <c r="GL160" s="198"/>
      <c r="GM160" s="198"/>
      <c r="GN160" s="198"/>
      <c r="GO160" s="198"/>
      <c r="GP160" s="198"/>
      <c r="GQ160" s="198"/>
      <c r="GR160" s="198"/>
      <c r="GS160" s="198"/>
      <c r="GT160" s="198"/>
      <c r="GU160" s="198"/>
      <c r="GV160" s="198"/>
      <c r="GW160" s="198"/>
      <c r="GX160" s="198"/>
      <c r="GY160" s="198"/>
      <c r="GZ160" s="198"/>
      <c r="HA160" s="198"/>
      <c r="HB160" s="198"/>
      <c r="HC160" s="198"/>
      <c r="HD160" s="198"/>
      <c r="HE160" s="198"/>
      <c r="HF160" s="198"/>
      <c r="HG160" s="198"/>
      <c r="HH160" s="198"/>
      <c r="HI160" s="198"/>
      <c r="HJ160" s="198"/>
      <c r="HK160" s="198"/>
      <c r="HL160" s="198"/>
      <c r="HM160" s="198"/>
      <c r="HN160" s="198"/>
      <c r="HO160" s="198"/>
      <c r="HP160" s="198"/>
      <c r="HQ160" s="198"/>
      <c r="HR160" s="198"/>
      <c r="HS160" s="198"/>
      <c r="HT160" s="198"/>
      <c r="HU160" s="198"/>
      <c r="HV160" s="198"/>
      <c r="HW160" s="198"/>
      <c r="HX160" s="198"/>
      <c r="HY160" s="198"/>
      <c r="HZ160" s="198"/>
      <c r="IA160" s="198"/>
      <c r="IB160" s="198"/>
    </row>
    <row r="161" spans="1:236" s="144" customFormat="1" ht="14.25">
      <c r="A161" s="198"/>
      <c r="B161" s="198"/>
      <c r="C161" s="198"/>
      <c r="D161" s="198"/>
      <c r="E161" s="198"/>
      <c r="F161" s="198"/>
      <c r="G161" s="198"/>
      <c r="H161" s="198"/>
      <c r="I161" s="198"/>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c r="DH161" s="198"/>
      <c r="DI161" s="198"/>
      <c r="DJ161" s="198"/>
      <c r="DK161" s="198"/>
      <c r="DL161" s="198"/>
      <c r="DM161" s="198"/>
      <c r="DN161" s="198"/>
      <c r="DO161" s="198"/>
      <c r="DP161" s="198"/>
      <c r="DQ161" s="198"/>
      <c r="DR161" s="198"/>
      <c r="DS161" s="198"/>
      <c r="DT161" s="198"/>
      <c r="DU161" s="198"/>
      <c r="DV161" s="198"/>
      <c r="DW161" s="198"/>
      <c r="DX161" s="198"/>
      <c r="DY161" s="198"/>
      <c r="DZ161" s="198"/>
      <c r="EA161" s="198"/>
      <c r="EB161" s="198"/>
      <c r="EC161" s="198"/>
      <c r="ED161" s="198"/>
      <c r="EE161" s="198"/>
      <c r="EF161" s="198"/>
      <c r="EG161" s="198"/>
      <c r="EH161" s="198"/>
      <c r="EI161" s="198"/>
      <c r="EJ161" s="198"/>
      <c r="EK161" s="198"/>
      <c r="EL161" s="198"/>
      <c r="EM161" s="198"/>
      <c r="EN161" s="198"/>
      <c r="EO161" s="198"/>
      <c r="EP161" s="198"/>
      <c r="EQ161" s="198"/>
      <c r="ER161" s="198"/>
      <c r="ES161" s="198"/>
      <c r="ET161" s="198"/>
      <c r="EU161" s="198"/>
      <c r="EV161" s="198"/>
      <c r="EW161" s="198"/>
      <c r="EX161" s="198"/>
      <c r="EY161" s="198"/>
      <c r="EZ161" s="198"/>
      <c r="FA161" s="198"/>
      <c r="FB161" s="198"/>
      <c r="FC161" s="198"/>
      <c r="FD161" s="198"/>
      <c r="FE161" s="198"/>
      <c r="FF161" s="198"/>
      <c r="FG161" s="198"/>
      <c r="FH161" s="198"/>
      <c r="FI161" s="198"/>
      <c r="FJ161" s="198"/>
      <c r="FK161" s="198"/>
      <c r="FL161" s="198"/>
      <c r="FM161" s="198"/>
      <c r="FN161" s="198"/>
      <c r="FO161" s="198"/>
      <c r="FP161" s="198"/>
      <c r="FQ161" s="198"/>
      <c r="FR161" s="198"/>
      <c r="FS161" s="198"/>
      <c r="FT161" s="198"/>
      <c r="FU161" s="198"/>
      <c r="FV161" s="198"/>
      <c r="FW161" s="198"/>
      <c r="FX161" s="198"/>
      <c r="FY161" s="198"/>
      <c r="FZ161" s="198"/>
      <c r="GA161" s="198"/>
      <c r="GB161" s="198"/>
      <c r="GC161" s="198"/>
      <c r="GD161" s="198"/>
      <c r="GE161" s="198"/>
      <c r="GF161" s="198"/>
      <c r="GG161" s="198"/>
      <c r="GH161" s="198"/>
      <c r="GI161" s="198"/>
      <c r="GJ161" s="198"/>
      <c r="GK161" s="198"/>
      <c r="GL161" s="198"/>
      <c r="GM161" s="198"/>
      <c r="GN161" s="198"/>
      <c r="GO161" s="198"/>
      <c r="GP161" s="198"/>
      <c r="GQ161" s="198"/>
      <c r="GR161" s="198"/>
      <c r="GS161" s="198"/>
      <c r="GT161" s="198"/>
      <c r="GU161" s="198"/>
      <c r="GV161" s="198"/>
      <c r="GW161" s="198"/>
      <c r="GX161" s="198"/>
      <c r="GY161" s="198"/>
      <c r="GZ161" s="198"/>
      <c r="HA161" s="198"/>
      <c r="HB161" s="198"/>
      <c r="HC161" s="198"/>
      <c r="HD161" s="198"/>
      <c r="HE161" s="198"/>
      <c r="HF161" s="198"/>
      <c r="HG161" s="198"/>
      <c r="HH161" s="198"/>
      <c r="HI161" s="198"/>
      <c r="HJ161" s="198"/>
      <c r="HK161" s="198"/>
      <c r="HL161" s="198"/>
      <c r="HM161" s="198"/>
      <c r="HN161" s="198"/>
      <c r="HO161" s="198"/>
      <c r="HP161" s="198"/>
      <c r="HQ161" s="198"/>
      <c r="HR161" s="198"/>
      <c r="HS161" s="198"/>
      <c r="HT161" s="198"/>
      <c r="HU161" s="198"/>
      <c r="HV161" s="198"/>
      <c r="HW161" s="198"/>
      <c r="HX161" s="198"/>
      <c r="HY161" s="198"/>
      <c r="HZ161" s="198"/>
      <c r="IA161" s="198"/>
      <c r="IB161" s="198"/>
    </row>
    <row r="162" spans="1:236" s="144" customFormat="1" ht="14.25">
      <c r="A162" s="198"/>
      <c r="B162" s="198"/>
      <c r="C162" s="198"/>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8"/>
      <c r="AP162" s="198"/>
      <c r="AQ162" s="198"/>
      <c r="AR162" s="198"/>
      <c r="AS162" s="198"/>
      <c r="AT162" s="198"/>
      <c r="AU162" s="198"/>
      <c r="AV162" s="198"/>
      <c r="AW162" s="198"/>
      <c r="AX162" s="198"/>
      <c r="AY162" s="198"/>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198"/>
      <c r="DB162" s="198"/>
      <c r="DC162" s="198"/>
      <c r="DD162" s="198"/>
      <c r="DE162" s="198"/>
      <c r="DF162" s="198"/>
      <c r="DG162" s="198"/>
      <c r="DH162" s="198"/>
      <c r="DI162" s="198"/>
      <c r="DJ162" s="198"/>
      <c r="DK162" s="198"/>
      <c r="DL162" s="198"/>
      <c r="DM162" s="198"/>
      <c r="DN162" s="198"/>
      <c r="DO162" s="198"/>
      <c r="DP162" s="198"/>
      <c r="DQ162" s="198"/>
      <c r="DR162" s="198"/>
      <c r="DS162" s="198"/>
      <c r="DT162" s="198"/>
      <c r="DU162" s="198"/>
      <c r="DV162" s="198"/>
      <c r="DW162" s="198"/>
      <c r="DX162" s="198"/>
      <c r="DY162" s="198"/>
      <c r="DZ162" s="198"/>
      <c r="EA162" s="198"/>
      <c r="EB162" s="198"/>
      <c r="EC162" s="198"/>
      <c r="ED162" s="198"/>
      <c r="EE162" s="198"/>
      <c r="EF162" s="198"/>
      <c r="EG162" s="198"/>
      <c r="EH162" s="198"/>
      <c r="EI162" s="198"/>
      <c r="EJ162" s="198"/>
      <c r="EK162" s="198"/>
      <c r="EL162" s="198"/>
      <c r="EM162" s="198"/>
      <c r="EN162" s="198"/>
      <c r="EO162" s="198"/>
      <c r="EP162" s="198"/>
      <c r="EQ162" s="198"/>
      <c r="ER162" s="198"/>
      <c r="ES162" s="198"/>
      <c r="ET162" s="198"/>
      <c r="EU162" s="198"/>
      <c r="EV162" s="198"/>
      <c r="EW162" s="198"/>
      <c r="EX162" s="198"/>
      <c r="EY162" s="198"/>
      <c r="EZ162" s="198"/>
      <c r="FA162" s="198"/>
      <c r="FB162" s="198"/>
      <c r="FC162" s="198"/>
      <c r="FD162" s="198"/>
      <c r="FE162" s="198"/>
      <c r="FF162" s="198"/>
      <c r="FG162" s="198"/>
      <c r="FH162" s="198"/>
      <c r="FI162" s="198"/>
      <c r="FJ162" s="198"/>
      <c r="FK162" s="198"/>
      <c r="FL162" s="198"/>
      <c r="FM162" s="198"/>
      <c r="FN162" s="198"/>
      <c r="FO162" s="198"/>
      <c r="FP162" s="198"/>
      <c r="FQ162" s="198"/>
      <c r="FR162" s="198"/>
      <c r="FS162" s="198"/>
      <c r="FT162" s="198"/>
      <c r="FU162" s="198"/>
      <c r="FV162" s="198"/>
      <c r="FW162" s="198"/>
      <c r="FX162" s="198"/>
      <c r="FY162" s="198"/>
      <c r="FZ162" s="198"/>
      <c r="GA162" s="198"/>
      <c r="GB162" s="198"/>
      <c r="GC162" s="198"/>
      <c r="GD162" s="198"/>
      <c r="GE162" s="198"/>
      <c r="GF162" s="198"/>
      <c r="GG162" s="198"/>
      <c r="GH162" s="198"/>
      <c r="GI162" s="198"/>
      <c r="GJ162" s="198"/>
      <c r="GK162" s="198"/>
      <c r="GL162" s="198"/>
      <c r="GM162" s="198"/>
      <c r="GN162" s="198"/>
      <c r="GO162" s="198"/>
      <c r="GP162" s="198"/>
      <c r="GQ162" s="198"/>
      <c r="GR162" s="198"/>
      <c r="GS162" s="198"/>
      <c r="GT162" s="198"/>
      <c r="GU162" s="198"/>
      <c r="GV162" s="198"/>
      <c r="GW162" s="198"/>
      <c r="GX162" s="198"/>
      <c r="GY162" s="198"/>
      <c r="GZ162" s="198"/>
      <c r="HA162" s="198"/>
      <c r="HB162" s="198"/>
      <c r="HC162" s="198"/>
      <c r="HD162" s="198"/>
      <c r="HE162" s="198"/>
      <c r="HF162" s="198"/>
      <c r="HG162" s="198"/>
      <c r="HH162" s="198"/>
      <c r="HI162" s="198"/>
      <c r="HJ162" s="198"/>
      <c r="HK162" s="198"/>
      <c r="HL162" s="198"/>
      <c r="HM162" s="198"/>
      <c r="HN162" s="198"/>
      <c r="HO162" s="198"/>
      <c r="HP162" s="198"/>
      <c r="HQ162" s="198"/>
      <c r="HR162" s="198"/>
      <c r="HS162" s="198"/>
      <c r="HT162" s="198"/>
      <c r="HU162" s="198"/>
      <c r="HV162" s="198"/>
      <c r="HW162" s="198"/>
      <c r="HX162" s="198"/>
      <c r="HY162" s="198"/>
      <c r="HZ162" s="198"/>
      <c r="IA162" s="198"/>
      <c r="IB162" s="198"/>
    </row>
    <row r="163" spans="1:236" s="144" customFormat="1" ht="14.25">
      <c r="A163" s="198"/>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198"/>
      <c r="DB163" s="198"/>
      <c r="DC163" s="198"/>
      <c r="DD163" s="198"/>
      <c r="DE163" s="198"/>
      <c r="DF163" s="198"/>
      <c r="DG163" s="198"/>
      <c r="DH163" s="198"/>
      <c r="DI163" s="198"/>
      <c r="DJ163" s="198"/>
      <c r="DK163" s="198"/>
      <c r="DL163" s="198"/>
      <c r="DM163" s="198"/>
      <c r="DN163" s="198"/>
      <c r="DO163" s="198"/>
      <c r="DP163" s="198"/>
      <c r="DQ163" s="198"/>
      <c r="DR163" s="198"/>
      <c r="DS163" s="198"/>
      <c r="DT163" s="198"/>
      <c r="DU163" s="198"/>
      <c r="DV163" s="198"/>
      <c r="DW163" s="198"/>
      <c r="DX163" s="198"/>
      <c r="DY163" s="198"/>
      <c r="DZ163" s="198"/>
      <c r="EA163" s="198"/>
      <c r="EB163" s="198"/>
      <c r="EC163" s="198"/>
      <c r="ED163" s="198"/>
      <c r="EE163" s="198"/>
      <c r="EF163" s="198"/>
      <c r="EG163" s="198"/>
      <c r="EH163" s="198"/>
      <c r="EI163" s="198"/>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8"/>
      <c r="FU163" s="198"/>
      <c r="FV163" s="198"/>
      <c r="FW163" s="198"/>
      <c r="FX163" s="198"/>
      <c r="FY163" s="198"/>
      <c r="FZ163" s="198"/>
      <c r="GA163" s="198"/>
      <c r="GB163" s="198"/>
      <c r="GC163" s="198"/>
      <c r="GD163" s="198"/>
      <c r="GE163" s="198"/>
      <c r="GF163" s="198"/>
      <c r="GG163" s="198"/>
      <c r="GH163" s="198"/>
      <c r="GI163" s="198"/>
      <c r="GJ163" s="198"/>
      <c r="GK163" s="198"/>
      <c r="GL163" s="198"/>
      <c r="GM163" s="198"/>
      <c r="GN163" s="198"/>
      <c r="GO163" s="198"/>
      <c r="GP163" s="198"/>
      <c r="GQ163" s="198"/>
      <c r="GR163" s="198"/>
      <c r="GS163" s="198"/>
      <c r="GT163" s="198"/>
      <c r="GU163" s="198"/>
      <c r="GV163" s="198"/>
      <c r="GW163" s="198"/>
      <c r="GX163" s="198"/>
      <c r="GY163" s="198"/>
      <c r="GZ163" s="198"/>
      <c r="HA163" s="198"/>
      <c r="HB163" s="198"/>
      <c r="HC163" s="198"/>
      <c r="HD163" s="198"/>
      <c r="HE163" s="198"/>
      <c r="HF163" s="198"/>
      <c r="HG163" s="198"/>
      <c r="HH163" s="198"/>
      <c r="HI163" s="198"/>
      <c r="HJ163" s="198"/>
      <c r="HK163" s="198"/>
      <c r="HL163" s="198"/>
      <c r="HM163" s="198"/>
      <c r="HN163" s="198"/>
      <c r="HO163" s="198"/>
      <c r="HP163" s="198"/>
      <c r="HQ163" s="198"/>
      <c r="HR163" s="198"/>
      <c r="HS163" s="198"/>
      <c r="HT163" s="198"/>
      <c r="HU163" s="198"/>
      <c r="HV163" s="198"/>
      <c r="HW163" s="198"/>
      <c r="HX163" s="198"/>
      <c r="HY163" s="198"/>
      <c r="HZ163" s="198"/>
      <c r="IA163" s="198"/>
      <c r="IB163" s="198"/>
    </row>
    <row r="164" spans="1:236" s="144" customFormat="1" ht="14.25">
      <c r="A164" s="198"/>
      <c r="B164" s="198"/>
      <c r="C164" s="198"/>
      <c r="D164" s="198"/>
      <c r="E164" s="198"/>
      <c r="F164" s="198"/>
      <c r="G164" s="198"/>
      <c r="H164" s="198"/>
      <c r="I164" s="198"/>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E164" s="198"/>
      <c r="AF164" s="198"/>
      <c r="AG164" s="198"/>
      <c r="AH164" s="198"/>
      <c r="AI164" s="198"/>
      <c r="AJ164" s="198"/>
      <c r="AK164" s="198"/>
      <c r="AL164" s="198"/>
      <c r="AM164" s="198"/>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198"/>
      <c r="DB164" s="198"/>
      <c r="DC164" s="198"/>
      <c r="DD164" s="198"/>
      <c r="DE164" s="198"/>
      <c r="DF164" s="198"/>
      <c r="DG164" s="198"/>
      <c r="DH164" s="198"/>
      <c r="DI164" s="198"/>
      <c r="DJ164" s="198"/>
      <c r="DK164" s="198"/>
      <c r="DL164" s="198"/>
      <c r="DM164" s="198"/>
      <c r="DN164" s="198"/>
      <c r="DO164" s="198"/>
      <c r="DP164" s="198"/>
      <c r="DQ164" s="198"/>
      <c r="DR164" s="198"/>
      <c r="DS164" s="198"/>
      <c r="DT164" s="198"/>
      <c r="DU164" s="198"/>
      <c r="DV164" s="198"/>
      <c r="DW164" s="198"/>
      <c r="DX164" s="198"/>
      <c r="DY164" s="198"/>
      <c r="DZ164" s="198"/>
      <c r="EA164" s="198"/>
      <c r="EB164" s="198"/>
      <c r="EC164" s="198"/>
      <c r="ED164" s="198"/>
      <c r="EE164" s="198"/>
      <c r="EF164" s="198"/>
      <c r="EG164" s="198"/>
      <c r="EH164" s="198"/>
      <c r="EI164" s="198"/>
      <c r="EJ164" s="198"/>
      <c r="EK164" s="198"/>
      <c r="EL164" s="198"/>
      <c r="EM164" s="198"/>
      <c r="EN164" s="198"/>
      <c r="EO164" s="198"/>
      <c r="EP164" s="198"/>
      <c r="EQ164" s="198"/>
      <c r="ER164" s="198"/>
      <c r="ES164" s="198"/>
      <c r="ET164" s="198"/>
      <c r="EU164" s="198"/>
      <c r="EV164" s="198"/>
      <c r="EW164" s="198"/>
      <c r="EX164" s="198"/>
      <c r="EY164" s="198"/>
      <c r="EZ164" s="198"/>
      <c r="FA164" s="198"/>
      <c r="FB164" s="198"/>
      <c r="FC164" s="198"/>
      <c r="FD164" s="198"/>
      <c r="FE164" s="198"/>
      <c r="FF164" s="198"/>
      <c r="FG164" s="198"/>
      <c r="FH164" s="198"/>
      <c r="FI164" s="198"/>
      <c r="FJ164" s="198"/>
      <c r="FK164" s="198"/>
      <c r="FL164" s="198"/>
      <c r="FM164" s="198"/>
      <c r="FN164" s="198"/>
      <c r="FO164" s="198"/>
      <c r="FP164" s="198"/>
      <c r="FQ164" s="198"/>
      <c r="FR164" s="198"/>
      <c r="FS164" s="198"/>
      <c r="FT164" s="198"/>
      <c r="FU164" s="198"/>
      <c r="FV164" s="198"/>
      <c r="FW164" s="198"/>
      <c r="FX164" s="198"/>
      <c r="FY164" s="198"/>
      <c r="FZ164" s="198"/>
      <c r="GA164" s="198"/>
      <c r="GB164" s="198"/>
      <c r="GC164" s="198"/>
      <c r="GD164" s="198"/>
      <c r="GE164" s="198"/>
      <c r="GF164" s="198"/>
      <c r="GG164" s="198"/>
      <c r="GH164" s="198"/>
      <c r="GI164" s="198"/>
      <c r="GJ164" s="198"/>
      <c r="GK164" s="198"/>
      <c r="GL164" s="198"/>
      <c r="GM164" s="198"/>
      <c r="GN164" s="198"/>
      <c r="GO164" s="198"/>
      <c r="GP164" s="198"/>
      <c r="GQ164" s="198"/>
      <c r="GR164" s="198"/>
      <c r="GS164" s="198"/>
      <c r="GT164" s="198"/>
      <c r="GU164" s="198"/>
      <c r="GV164" s="198"/>
      <c r="GW164" s="198"/>
      <c r="GX164" s="198"/>
      <c r="GY164" s="198"/>
      <c r="GZ164" s="198"/>
      <c r="HA164" s="198"/>
      <c r="HB164" s="198"/>
      <c r="HC164" s="198"/>
      <c r="HD164" s="198"/>
      <c r="HE164" s="198"/>
      <c r="HF164" s="198"/>
      <c r="HG164" s="198"/>
      <c r="HH164" s="198"/>
      <c r="HI164" s="198"/>
      <c r="HJ164" s="198"/>
      <c r="HK164" s="198"/>
      <c r="HL164" s="198"/>
      <c r="HM164" s="198"/>
      <c r="HN164" s="198"/>
      <c r="HO164" s="198"/>
      <c r="HP164" s="198"/>
      <c r="HQ164" s="198"/>
      <c r="HR164" s="198"/>
      <c r="HS164" s="198"/>
      <c r="HT164" s="198"/>
      <c r="HU164" s="198"/>
      <c r="HV164" s="198"/>
      <c r="HW164" s="198"/>
      <c r="HX164" s="198"/>
      <c r="HY164" s="198"/>
      <c r="HZ164" s="198"/>
      <c r="IA164" s="198"/>
      <c r="IB164" s="198"/>
    </row>
    <row r="165" spans="1:236" s="144" customFormat="1" ht="14.25">
      <c r="A165" s="198"/>
      <c r="B165" s="198"/>
      <c r="C165" s="198"/>
      <c r="D165" s="198"/>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c r="CM165" s="198"/>
      <c r="CN165" s="198"/>
      <c r="CO165" s="198"/>
      <c r="CP165" s="198"/>
      <c r="CQ165" s="198"/>
      <c r="CR165" s="198"/>
      <c r="CS165" s="198"/>
      <c r="CT165" s="198"/>
      <c r="CU165" s="198"/>
      <c r="CV165" s="198"/>
      <c r="CW165" s="198"/>
      <c r="CX165" s="198"/>
      <c r="CY165" s="198"/>
      <c r="CZ165" s="198"/>
      <c r="DA165" s="198"/>
      <c r="DB165" s="198"/>
      <c r="DC165" s="198"/>
      <c r="DD165" s="198"/>
      <c r="DE165" s="198"/>
      <c r="DF165" s="198"/>
      <c r="DG165" s="198"/>
      <c r="DH165" s="198"/>
      <c r="DI165" s="198"/>
      <c r="DJ165" s="198"/>
      <c r="DK165" s="198"/>
      <c r="DL165" s="198"/>
      <c r="DM165" s="198"/>
      <c r="DN165" s="198"/>
      <c r="DO165" s="198"/>
      <c r="DP165" s="198"/>
      <c r="DQ165" s="198"/>
      <c r="DR165" s="198"/>
      <c r="DS165" s="198"/>
      <c r="DT165" s="198"/>
      <c r="DU165" s="198"/>
      <c r="DV165" s="198"/>
      <c r="DW165" s="198"/>
      <c r="DX165" s="198"/>
      <c r="DY165" s="198"/>
      <c r="DZ165" s="198"/>
      <c r="EA165" s="198"/>
      <c r="EB165" s="198"/>
      <c r="EC165" s="198"/>
      <c r="ED165" s="198"/>
      <c r="EE165" s="198"/>
      <c r="EF165" s="198"/>
      <c r="EG165" s="198"/>
      <c r="EH165" s="198"/>
      <c r="EI165" s="198"/>
      <c r="EJ165" s="198"/>
      <c r="EK165" s="198"/>
      <c r="EL165" s="198"/>
      <c r="EM165" s="198"/>
      <c r="EN165" s="198"/>
      <c r="EO165" s="198"/>
      <c r="EP165" s="198"/>
      <c r="EQ165" s="198"/>
      <c r="ER165" s="198"/>
      <c r="ES165" s="198"/>
      <c r="ET165" s="198"/>
      <c r="EU165" s="198"/>
      <c r="EV165" s="198"/>
      <c r="EW165" s="198"/>
      <c r="EX165" s="198"/>
      <c r="EY165" s="198"/>
      <c r="EZ165" s="198"/>
      <c r="FA165" s="198"/>
      <c r="FB165" s="198"/>
      <c r="FC165" s="198"/>
      <c r="FD165" s="198"/>
      <c r="FE165" s="198"/>
      <c r="FF165" s="198"/>
      <c r="FG165" s="198"/>
      <c r="FH165" s="198"/>
      <c r="FI165" s="198"/>
      <c r="FJ165" s="198"/>
      <c r="FK165" s="198"/>
      <c r="FL165" s="198"/>
      <c r="FM165" s="198"/>
      <c r="FN165" s="198"/>
      <c r="FO165" s="198"/>
      <c r="FP165" s="198"/>
      <c r="FQ165" s="198"/>
      <c r="FR165" s="198"/>
      <c r="FS165" s="198"/>
      <c r="FT165" s="198"/>
      <c r="FU165" s="198"/>
      <c r="FV165" s="198"/>
      <c r="FW165" s="198"/>
      <c r="FX165" s="198"/>
      <c r="FY165" s="198"/>
      <c r="FZ165" s="198"/>
      <c r="GA165" s="198"/>
      <c r="GB165" s="198"/>
      <c r="GC165" s="198"/>
      <c r="GD165" s="198"/>
      <c r="GE165" s="198"/>
      <c r="GF165" s="198"/>
      <c r="GG165" s="198"/>
      <c r="GH165" s="198"/>
      <c r="GI165" s="198"/>
      <c r="GJ165" s="198"/>
      <c r="GK165" s="198"/>
      <c r="GL165" s="198"/>
      <c r="GM165" s="198"/>
      <c r="GN165" s="198"/>
      <c r="GO165" s="198"/>
      <c r="GP165" s="198"/>
      <c r="GQ165" s="198"/>
      <c r="GR165" s="198"/>
      <c r="GS165" s="198"/>
      <c r="GT165" s="198"/>
      <c r="GU165" s="198"/>
      <c r="GV165" s="198"/>
      <c r="GW165" s="198"/>
      <c r="GX165" s="198"/>
      <c r="GY165" s="198"/>
      <c r="GZ165" s="198"/>
      <c r="HA165" s="198"/>
      <c r="HB165" s="198"/>
      <c r="HC165" s="198"/>
      <c r="HD165" s="198"/>
      <c r="HE165" s="198"/>
      <c r="HF165" s="198"/>
      <c r="HG165" s="198"/>
      <c r="HH165" s="198"/>
      <c r="HI165" s="198"/>
      <c r="HJ165" s="198"/>
      <c r="HK165" s="198"/>
      <c r="HL165" s="198"/>
      <c r="HM165" s="198"/>
      <c r="HN165" s="198"/>
      <c r="HO165" s="198"/>
      <c r="HP165" s="198"/>
      <c r="HQ165" s="198"/>
      <c r="HR165" s="198"/>
      <c r="HS165" s="198"/>
      <c r="HT165" s="198"/>
      <c r="HU165" s="198"/>
      <c r="HV165" s="198"/>
      <c r="HW165" s="198"/>
      <c r="HX165" s="198"/>
      <c r="HY165" s="198"/>
      <c r="HZ165" s="198"/>
      <c r="IA165" s="198"/>
      <c r="IB165" s="198"/>
    </row>
    <row r="166" spans="1:236" s="144" customFormat="1" ht="14.25">
      <c r="A166" s="198"/>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8"/>
      <c r="DE166" s="198"/>
      <c r="DF166" s="198"/>
      <c r="DG166" s="198"/>
      <c r="DH166" s="198"/>
      <c r="DI166" s="198"/>
      <c r="DJ166" s="198"/>
      <c r="DK166" s="198"/>
      <c r="DL166" s="198"/>
      <c r="DM166" s="198"/>
      <c r="DN166" s="198"/>
      <c r="DO166" s="198"/>
      <c r="DP166" s="198"/>
      <c r="DQ166" s="198"/>
      <c r="DR166" s="198"/>
      <c r="DS166" s="198"/>
      <c r="DT166" s="198"/>
      <c r="DU166" s="198"/>
      <c r="DV166" s="198"/>
      <c r="DW166" s="198"/>
      <c r="DX166" s="198"/>
      <c r="DY166" s="198"/>
      <c r="DZ166" s="198"/>
      <c r="EA166" s="198"/>
      <c r="EB166" s="198"/>
      <c r="EC166" s="198"/>
      <c r="ED166" s="198"/>
      <c r="EE166" s="198"/>
      <c r="EF166" s="198"/>
      <c r="EG166" s="198"/>
      <c r="EH166" s="198"/>
      <c r="EI166" s="198"/>
      <c r="EJ166" s="198"/>
      <c r="EK166" s="198"/>
      <c r="EL166" s="198"/>
      <c r="EM166" s="198"/>
      <c r="EN166" s="198"/>
      <c r="EO166" s="198"/>
      <c r="EP166" s="198"/>
      <c r="EQ166" s="198"/>
      <c r="ER166" s="198"/>
      <c r="ES166" s="198"/>
      <c r="ET166" s="198"/>
      <c r="EU166" s="198"/>
      <c r="EV166" s="198"/>
      <c r="EW166" s="198"/>
      <c r="EX166" s="198"/>
      <c r="EY166" s="198"/>
      <c r="EZ166" s="198"/>
      <c r="FA166" s="198"/>
      <c r="FB166" s="198"/>
      <c r="FC166" s="198"/>
      <c r="FD166" s="198"/>
      <c r="FE166" s="198"/>
      <c r="FF166" s="198"/>
      <c r="FG166" s="198"/>
      <c r="FH166" s="198"/>
      <c r="FI166" s="198"/>
      <c r="FJ166" s="198"/>
      <c r="FK166" s="198"/>
      <c r="FL166" s="198"/>
      <c r="FM166" s="198"/>
      <c r="FN166" s="198"/>
      <c r="FO166" s="198"/>
      <c r="FP166" s="198"/>
      <c r="FQ166" s="198"/>
      <c r="FR166" s="198"/>
      <c r="FS166" s="198"/>
      <c r="FT166" s="198"/>
      <c r="FU166" s="198"/>
      <c r="FV166" s="198"/>
      <c r="FW166" s="198"/>
      <c r="FX166" s="198"/>
      <c r="FY166" s="198"/>
      <c r="FZ166" s="198"/>
      <c r="GA166" s="198"/>
      <c r="GB166" s="198"/>
      <c r="GC166" s="198"/>
      <c r="GD166" s="198"/>
      <c r="GE166" s="198"/>
      <c r="GF166" s="198"/>
      <c r="GG166" s="198"/>
      <c r="GH166" s="198"/>
      <c r="GI166" s="198"/>
      <c r="GJ166" s="198"/>
      <c r="GK166" s="198"/>
      <c r="GL166" s="198"/>
      <c r="GM166" s="198"/>
      <c r="GN166" s="198"/>
      <c r="GO166" s="198"/>
      <c r="GP166" s="198"/>
      <c r="GQ166" s="198"/>
      <c r="GR166" s="198"/>
      <c r="GS166" s="198"/>
      <c r="GT166" s="198"/>
      <c r="GU166" s="198"/>
      <c r="GV166" s="198"/>
      <c r="GW166" s="198"/>
      <c r="GX166" s="198"/>
      <c r="GY166" s="198"/>
      <c r="GZ166" s="198"/>
      <c r="HA166" s="198"/>
      <c r="HB166" s="198"/>
      <c r="HC166" s="198"/>
      <c r="HD166" s="198"/>
      <c r="HE166" s="198"/>
      <c r="HF166" s="198"/>
      <c r="HG166" s="198"/>
      <c r="HH166" s="198"/>
      <c r="HI166" s="198"/>
      <c r="HJ166" s="198"/>
      <c r="HK166" s="198"/>
      <c r="HL166" s="198"/>
      <c r="HM166" s="198"/>
      <c r="HN166" s="198"/>
      <c r="HO166" s="198"/>
      <c r="HP166" s="198"/>
      <c r="HQ166" s="198"/>
      <c r="HR166" s="198"/>
      <c r="HS166" s="198"/>
      <c r="HT166" s="198"/>
      <c r="HU166" s="198"/>
      <c r="HV166" s="198"/>
      <c r="HW166" s="198"/>
      <c r="HX166" s="198"/>
      <c r="HY166" s="198"/>
      <c r="HZ166" s="198"/>
      <c r="IA166" s="198"/>
      <c r="IB166" s="198"/>
    </row>
    <row r="167" spans="1:236" s="144" customFormat="1" ht="14.25">
      <c r="A167" s="198"/>
      <c r="B167" s="198"/>
      <c r="C167" s="198"/>
      <c r="D167" s="198"/>
      <c r="E167" s="198"/>
      <c r="F167" s="198"/>
      <c r="G167" s="198"/>
      <c r="H167" s="198"/>
      <c r="I167" s="198"/>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198"/>
      <c r="DB167" s="198"/>
      <c r="DC167" s="198"/>
      <c r="DD167" s="198"/>
      <c r="DE167" s="198"/>
      <c r="DF167" s="198"/>
      <c r="DG167" s="198"/>
      <c r="DH167" s="198"/>
      <c r="DI167" s="198"/>
      <c r="DJ167" s="198"/>
      <c r="DK167" s="198"/>
      <c r="DL167" s="198"/>
      <c r="DM167" s="198"/>
      <c r="DN167" s="198"/>
      <c r="DO167" s="198"/>
      <c r="DP167" s="198"/>
      <c r="DQ167" s="198"/>
      <c r="DR167" s="198"/>
      <c r="DS167" s="198"/>
      <c r="DT167" s="198"/>
      <c r="DU167" s="198"/>
      <c r="DV167" s="198"/>
      <c r="DW167" s="198"/>
      <c r="DX167" s="198"/>
      <c r="DY167" s="198"/>
      <c r="DZ167" s="198"/>
      <c r="EA167" s="198"/>
      <c r="EB167" s="198"/>
      <c r="EC167" s="198"/>
      <c r="ED167" s="198"/>
      <c r="EE167" s="198"/>
      <c r="EF167" s="198"/>
      <c r="EG167" s="198"/>
      <c r="EH167" s="198"/>
      <c r="EI167" s="198"/>
      <c r="EJ167" s="198"/>
      <c r="EK167" s="198"/>
      <c r="EL167" s="198"/>
      <c r="EM167" s="198"/>
      <c r="EN167" s="198"/>
      <c r="EO167" s="198"/>
      <c r="EP167" s="198"/>
      <c r="EQ167" s="198"/>
      <c r="ER167" s="198"/>
      <c r="ES167" s="198"/>
      <c r="ET167" s="198"/>
      <c r="EU167" s="198"/>
      <c r="EV167" s="198"/>
      <c r="EW167" s="198"/>
      <c r="EX167" s="198"/>
      <c r="EY167" s="198"/>
      <c r="EZ167" s="198"/>
      <c r="FA167" s="198"/>
      <c r="FB167" s="198"/>
      <c r="FC167" s="198"/>
      <c r="FD167" s="198"/>
      <c r="FE167" s="198"/>
      <c r="FF167" s="198"/>
      <c r="FG167" s="198"/>
      <c r="FH167" s="198"/>
      <c r="FI167" s="198"/>
      <c r="FJ167" s="198"/>
      <c r="FK167" s="198"/>
      <c r="FL167" s="198"/>
      <c r="FM167" s="198"/>
      <c r="FN167" s="198"/>
      <c r="FO167" s="198"/>
      <c r="FP167" s="198"/>
      <c r="FQ167" s="198"/>
      <c r="FR167" s="198"/>
      <c r="FS167" s="198"/>
      <c r="FT167" s="198"/>
      <c r="FU167" s="198"/>
      <c r="FV167" s="198"/>
      <c r="FW167" s="198"/>
      <c r="FX167" s="198"/>
      <c r="FY167" s="198"/>
      <c r="FZ167" s="198"/>
      <c r="GA167" s="198"/>
      <c r="GB167" s="198"/>
      <c r="GC167" s="198"/>
      <c r="GD167" s="198"/>
      <c r="GE167" s="198"/>
      <c r="GF167" s="198"/>
      <c r="GG167" s="198"/>
      <c r="GH167" s="198"/>
      <c r="GI167" s="198"/>
      <c r="GJ167" s="198"/>
      <c r="GK167" s="198"/>
      <c r="GL167" s="198"/>
      <c r="GM167" s="198"/>
      <c r="GN167" s="198"/>
      <c r="GO167" s="198"/>
      <c r="GP167" s="198"/>
      <c r="GQ167" s="198"/>
      <c r="GR167" s="198"/>
      <c r="GS167" s="198"/>
      <c r="GT167" s="198"/>
      <c r="GU167" s="198"/>
      <c r="GV167" s="198"/>
      <c r="GW167" s="198"/>
      <c r="GX167" s="198"/>
      <c r="GY167" s="198"/>
      <c r="GZ167" s="198"/>
      <c r="HA167" s="198"/>
      <c r="HB167" s="198"/>
      <c r="HC167" s="198"/>
      <c r="HD167" s="198"/>
      <c r="HE167" s="198"/>
      <c r="HF167" s="198"/>
      <c r="HG167" s="198"/>
      <c r="HH167" s="198"/>
      <c r="HI167" s="198"/>
      <c r="HJ167" s="198"/>
      <c r="HK167" s="198"/>
      <c r="HL167" s="198"/>
      <c r="HM167" s="198"/>
      <c r="HN167" s="198"/>
      <c r="HO167" s="198"/>
      <c r="HP167" s="198"/>
      <c r="HQ167" s="198"/>
      <c r="HR167" s="198"/>
      <c r="HS167" s="198"/>
      <c r="HT167" s="198"/>
      <c r="HU167" s="198"/>
      <c r="HV167" s="198"/>
      <c r="HW167" s="198"/>
      <c r="HX167" s="198"/>
      <c r="HY167" s="198"/>
      <c r="HZ167" s="198"/>
      <c r="IA167" s="198"/>
      <c r="IB167" s="198"/>
    </row>
    <row r="168" spans="1:236" s="144" customFormat="1" ht="14.25">
      <c r="A168" s="198"/>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c r="CV168" s="198"/>
      <c r="CW168" s="198"/>
      <c r="CX168" s="198"/>
      <c r="CY168" s="198"/>
      <c r="CZ168" s="198"/>
      <c r="DA168" s="198"/>
      <c r="DB168" s="198"/>
      <c r="DC168" s="198"/>
      <c r="DD168" s="198"/>
      <c r="DE168" s="198"/>
      <c r="DF168" s="198"/>
      <c r="DG168" s="198"/>
      <c r="DH168" s="198"/>
      <c r="DI168" s="198"/>
      <c r="DJ168" s="198"/>
      <c r="DK168" s="198"/>
      <c r="DL168" s="198"/>
      <c r="DM168" s="198"/>
      <c r="DN168" s="198"/>
      <c r="DO168" s="198"/>
      <c r="DP168" s="198"/>
      <c r="DQ168" s="198"/>
      <c r="DR168" s="198"/>
      <c r="DS168" s="198"/>
      <c r="DT168" s="198"/>
      <c r="DU168" s="198"/>
      <c r="DV168" s="198"/>
      <c r="DW168" s="198"/>
      <c r="DX168" s="198"/>
      <c r="DY168" s="198"/>
      <c r="DZ168" s="198"/>
      <c r="EA168" s="198"/>
      <c r="EB168" s="198"/>
      <c r="EC168" s="198"/>
      <c r="ED168" s="198"/>
      <c r="EE168" s="198"/>
      <c r="EF168" s="198"/>
      <c r="EG168" s="198"/>
      <c r="EH168" s="198"/>
      <c r="EI168" s="198"/>
      <c r="EJ168" s="198"/>
      <c r="EK168" s="198"/>
      <c r="EL168" s="198"/>
      <c r="EM168" s="198"/>
      <c r="EN168" s="198"/>
      <c r="EO168" s="198"/>
      <c r="EP168" s="198"/>
      <c r="EQ168" s="198"/>
      <c r="ER168" s="198"/>
      <c r="ES168" s="198"/>
      <c r="ET168" s="198"/>
      <c r="EU168" s="198"/>
      <c r="EV168" s="198"/>
      <c r="EW168" s="198"/>
      <c r="EX168" s="198"/>
      <c r="EY168" s="198"/>
      <c r="EZ168" s="198"/>
      <c r="FA168" s="198"/>
      <c r="FB168" s="198"/>
      <c r="FC168" s="198"/>
      <c r="FD168" s="198"/>
      <c r="FE168" s="198"/>
      <c r="FF168" s="198"/>
      <c r="FG168" s="198"/>
      <c r="FH168" s="198"/>
      <c r="FI168" s="198"/>
      <c r="FJ168" s="198"/>
      <c r="FK168" s="198"/>
      <c r="FL168" s="198"/>
      <c r="FM168" s="198"/>
      <c r="FN168" s="198"/>
      <c r="FO168" s="198"/>
      <c r="FP168" s="198"/>
      <c r="FQ168" s="198"/>
      <c r="FR168" s="198"/>
      <c r="FS168" s="198"/>
      <c r="FT168" s="198"/>
      <c r="FU168" s="198"/>
      <c r="FV168" s="198"/>
      <c r="FW168" s="198"/>
      <c r="FX168" s="198"/>
      <c r="FY168" s="198"/>
      <c r="FZ168" s="198"/>
      <c r="GA168" s="198"/>
      <c r="GB168" s="198"/>
      <c r="GC168" s="198"/>
      <c r="GD168" s="198"/>
      <c r="GE168" s="198"/>
      <c r="GF168" s="198"/>
      <c r="GG168" s="198"/>
      <c r="GH168" s="198"/>
      <c r="GI168" s="198"/>
      <c r="GJ168" s="198"/>
      <c r="GK168" s="198"/>
      <c r="GL168" s="198"/>
      <c r="GM168" s="198"/>
      <c r="GN168" s="198"/>
      <c r="GO168" s="198"/>
      <c r="GP168" s="198"/>
      <c r="GQ168" s="198"/>
      <c r="GR168" s="198"/>
      <c r="GS168" s="198"/>
      <c r="GT168" s="198"/>
      <c r="GU168" s="198"/>
      <c r="GV168" s="198"/>
      <c r="GW168" s="198"/>
      <c r="GX168" s="198"/>
      <c r="GY168" s="198"/>
      <c r="GZ168" s="198"/>
      <c r="HA168" s="198"/>
      <c r="HB168" s="198"/>
      <c r="HC168" s="198"/>
      <c r="HD168" s="198"/>
      <c r="HE168" s="198"/>
      <c r="HF168" s="198"/>
      <c r="HG168" s="198"/>
      <c r="HH168" s="198"/>
      <c r="HI168" s="198"/>
      <c r="HJ168" s="198"/>
      <c r="HK168" s="198"/>
      <c r="HL168" s="198"/>
      <c r="HM168" s="198"/>
      <c r="HN168" s="198"/>
      <c r="HO168" s="198"/>
      <c r="HP168" s="198"/>
      <c r="HQ168" s="198"/>
      <c r="HR168" s="198"/>
      <c r="HS168" s="198"/>
      <c r="HT168" s="198"/>
      <c r="HU168" s="198"/>
      <c r="HV168" s="198"/>
      <c r="HW168" s="198"/>
      <c r="HX168" s="198"/>
      <c r="HY168" s="198"/>
      <c r="HZ168" s="198"/>
      <c r="IA168" s="198"/>
      <c r="IB168" s="198"/>
    </row>
    <row r="169" spans="1:236" s="144" customFormat="1" ht="14.25">
      <c r="A169" s="198"/>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c r="CV169" s="198"/>
      <c r="CW169" s="198"/>
      <c r="CX169" s="198"/>
      <c r="CY169" s="198"/>
      <c r="CZ169" s="198"/>
      <c r="DA169" s="198"/>
      <c r="DB169" s="198"/>
      <c r="DC169" s="198"/>
      <c r="DD169" s="198"/>
      <c r="DE169" s="198"/>
      <c r="DF169" s="198"/>
      <c r="DG169" s="198"/>
      <c r="DH169" s="198"/>
      <c r="DI169" s="198"/>
      <c r="DJ169" s="198"/>
      <c r="DK169" s="198"/>
      <c r="DL169" s="198"/>
      <c r="DM169" s="198"/>
      <c r="DN169" s="198"/>
      <c r="DO169" s="198"/>
      <c r="DP169" s="198"/>
      <c r="DQ169" s="198"/>
      <c r="DR169" s="198"/>
      <c r="DS169" s="198"/>
      <c r="DT169" s="198"/>
      <c r="DU169" s="198"/>
      <c r="DV169" s="198"/>
      <c r="DW169" s="198"/>
      <c r="DX169" s="198"/>
      <c r="DY169" s="198"/>
      <c r="DZ169" s="198"/>
      <c r="EA169" s="198"/>
      <c r="EB169" s="198"/>
      <c r="EC169" s="198"/>
      <c r="ED169" s="198"/>
      <c r="EE169" s="198"/>
      <c r="EF169" s="198"/>
      <c r="EG169" s="198"/>
      <c r="EH169" s="198"/>
      <c r="EI169" s="198"/>
      <c r="EJ169" s="198"/>
      <c r="EK169" s="198"/>
      <c r="EL169" s="198"/>
      <c r="EM169" s="198"/>
      <c r="EN169" s="198"/>
      <c r="EO169" s="198"/>
      <c r="EP169" s="198"/>
      <c r="EQ169" s="198"/>
      <c r="ER169" s="198"/>
      <c r="ES169" s="198"/>
      <c r="ET169" s="198"/>
      <c r="EU169" s="198"/>
      <c r="EV169" s="198"/>
      <c r="EW169" s="198"/>
      <c r="EX169" s="198"/>
      <c r="EY169" s="198"/>
      <c r="EZ169" s="198"/>
      <c r="FA169" s="198"/>
      <c r="FB169" s="198"/>
      <c r="FC169" s="198"/>
      <c r="FD169" s="198"/>
      <c r="FE169" s="198"/>
      <c r="FF169" s="198"/>
      <c r="FG169" s="198"/>
      <c r="FH169" s="198"/>
      <c r="FI169" s="198"/>
      <c r="FJ169" s="198"/>
      <c r="FK169" s="198"/>
      <c r="FL169" s="198"/>
      <c r="FM169" s="198"/>
      <c r="FN169" s="198"/>
      <c r="FO169" s="198"/>
      <c r="FP169" s="198"/>
      <c r="FQ169" s="198"/>
      <c r="FR169" s="198"/>
      <c r="FS169" s="198"/>
      <c r="FT169" s="198"/>
      <c r="FU169" s="198"/>
      <c r="FV169" s="198"/>
      <c r="FW169" s="198"/>
      <c r="FX169" s="198"/>
      <c r="FY169" s="198"/>
      <c r="FZ169" s="198"/>
      <c r="GA169" s="198"/>
      <c r="GB169" s="198"/>
      <c r="GC169" s="198"/>
      <c r="GD169" s="198"/>
      <c r="GE169" s="198"/>
      <c r="GF169" s="198"/>
      <c r="GG169" s="198"/>
      <c r="GH169" s="198"/>
      <c r="GI169" s="198"/>
      <c r="GJ169" s="198"/>
      <c r="GK169" s="198"/>
      <c r="GL169" s="198"/>
      <c r="GM169" s="198"/>
      <c r="GN169" s="198"/>
      <c r="GO169" s="198"/>
      <c r="GP169" s="198"/>
      <c r="GQ169" s="198"/>
      <c r="GR169" s="198"/>
      <c r="GS169" s="198"/>
      <c r="GT169" s="198"/>
      <c r="GU169" s="198"/>
      <c r="GV169" s="198"/>
      <c r="GW169" s="198"/>
      <c r="GX169" s="198"/>
      <c r="GY169" s="198"/>
      <c r="GZ169" s="198"/>
      <c r="HA169" s="198"/>
      <c r="HB169" s="198"/>
      <c r="HC169" s="198"/>
      <c r="HD169" s="198"/>
      <c r="HE169" s="198"/>
      <c r="HF169" s="198"/>
      <c r="HG169" s="198"/>
      <c r="HH169" s="198"/>
      <c r="HI169" s="198"/>
      <c r="HJ169" s="198"/>
      <c r="HK169" s="198"/>
      <c r="HL169" s="198"/>
      <c r="HM169" s="198"/>
      <c r="HN169" s="198"/>
      <c r="HO169" s="198"/>
      <c r="HP169" s="198"/>
      <c r="HQ169" s="198"/>
      <c r="HR169" s="198"/>
      <c r="HS169" s="198"/>
      <c r="HT169" s="198"/>
      <c r="HU169" s="198"/>
      <c r="HV169" s="198"/>
      <c r="HW169" s="198"/>
      <c r="HX169" s="198"/>
      <c r="HY169" s="198"/>
      <c r="HZ169" s="198"/>
      <c r="IA169" s="198"/>
      <c r="IB169" s="198"/>
    </row>
    <row r="170" spans="1:236" s="144" customFormat="1" ht="14.25">
      <c r="A170" s="198"/>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c r="CP170" s="198"/>
      <c r="CQ170" s="198"/>
      <c r="CR170" s="198"/>
      <c r="CS170" s="198"/>
      <c r="CT170" s="198"/>
      <c r="CU170" s="198"/>
      <c r="CV170" s="198"/>
      <c r="CW170" s="198"/>
      <c r="CX170" s="198"/>
      <c r="CY170" s="198"/>
      <c r="CZ170" s="198"/>
      <c r="DA170" s="198"/>
      <c r="DB170" s="198"/>
      <c r="DC170" s="198"/>
      <c r="DD170" s="198"/>
      <c r="DE170" s="198"/>
      <c r="DF170" s="198"/>
      <c r="DG170" s="198"/>
      <c r="DH170" s="198"/>
      <c r="DI170" s="198"/>
      <c r="DJ170" s="198"/>
      <c r="DK170" s="198"/>
      <c r="DL170" s="198"/>
      <c r="DM170" s="198"/>
      <c r="DN170" s="198"/>
      <c r="DO170" s="198"/>
      <c r="DP170" s="198"/>
      <c r="DQ170" s="198"/>
      <c r="DR170" s="198"/>
      <c r="DS170" s="198"/>
      <c r="DT170" s="198"/>
      <c r="DU170" s="198"/>
      <c r="DV170" s="198"/>
      <c r="DW170" s="198"/>
      <c r="DX170" s="198"/>
      <c r="DY170" s="198"/>
      <c r="DZ170" s="198"/>
      <c r="EA170" s="198"/>
      <c r="EB170" s="198"/>
      <c r="EC170" s="198"/>
      <c r="ED170" s="198"/>
      <c r="EE170" s="198"/>
      <c r="EF170" s="198"/>
      <c r="EG170" s="198"/>
      <c r="EH170" s="198"/>
      <c r="EI170" s="198"/>
      <c r="EJ170" s="198"/>
      <c r="EK170" s="198"/>
      <c r="EL170" s="198"/>
      <c r="EM170" s="198"/>
      <c r="EN170" s="198"/>
      <c r="EO170" s="198"/>
      <c r="EP170" s="198"/>
      <c r="EQ170" s="198"/>
      <c r="ER170" s="198"/>
      <c r="ES170" s="198"/>
      <c r="ET170" s="198"/>
      <c r="EU170" s="198"/>
      <c r="EV170" s="198"/>
      <c r="EW170" s="198"/>
      <c r="EX170" s="198"/>
      <c r="EY170" s="198"/>
      <c r="EZ170" s="198"/>
      <c r="FA170" s="198"/>
      <c r="FB170" s="198"/>
      <c r="FC170" s="198"/>
      <c r="FD170" s="198"/>
      <c r="FE170" s="198"/>
      <c r="FF170" s="198"/>
      <c r="FG170" s="198"/>
      <c r="FH170" s="198"/>
      <c r="FI170" s="198"/>
      <c r="FJ170" s="198"/>
      <c r="FK170" s="198"/>
      <c r="FL170" s="198"/>
      <c r="FM170" s="198"/>
      <c r="FN170" s="198"/>
      <c r="FO170" s="198"/>
      <c r="FP170" s="198"/>
      <c r="FQ170" s="198"/>
      <c r="FR170" s="198"/>
      <c r="FS170" s="198"/>
      <c r="FT170" s="198"/>
      <c r="FU170" s="198"/>
      <c r="FV170" s="198"/>
      <c r="FW170" s="198"/>
      <c r="FX170" s="198"/>
      <c r="FY170" s="198"/>
      <c r="FZ170" s="198"/>
      <c r="GA170" s="198"/>
      <c r="GB170" s="198"/>
      <c r="GC170" s="198"/>
      <c r="GD170" s="198"/>
      <c r="GE170" s="198"/>
      <c r="GF170" s="198"/>
      <c r="GG170" s="198"/>
      <c r="GH170" s="198"/>
      <c r="GI170" s="198"/>
      <c r="GJ170" s="198"/>
      <c r="GK170" s="198"/>
      <c r="GL170" s="198"/>
      <c r="GM170" s="198"/>
      <c r="GN170" s="198"/>
      <c r="GO170" s="198"/>
      <c r="GP170" s="198"/>
      <c r="GQ170" s="198"/>
      <c r="GR170" s="198"/>
      <c r="GS170" s="198"/>
      <c r="GT170" s="198"/>
      <c r="GU170" s="198"/>
      <c r="GV170" s="198"/>
      <c r="GW170" s="198"/>
      <c r="GX170" s="198"/>
      <c r="GY170" s="198"/>
      <c r="GZ170" s="198"/>
      <c r="HA170" s="198"/>
      <c r="HB170" s="198"/>
      <c r="HC170" s="198"/>
      <c r="HD170" s="198"/>
      <c r="HE170" s="198"/>
      <c r="HF170" s="198"/>
      <c r="HG170" s="198"/>
      <c r="HH170" s="198"/>
      <c r="HI170" s="198"/>
      <c r="HJ170" s="198"/>
      <c r="HK170" s="198"/>
      <c r="HL170" s="198"/>
      <c r="HM170" s="198"/>
      <c r="HN170" s="198"/>
      <c r="HO170" s="198"/>
      <c r="HP170" s="198"/>
      <c r="HQ170" s="198"/>
      <c r="HR170" s="198"/>
      <c r="HS170" s="198"/>
      <c r="HT170" s="198"/>
      <c r="HU170" s="198"/>
      <c r="HV170" s="198"/>
      <c r="HW170" s="198"/>
      <c r="HX170" s="198"/>
      <c r="HY170" s="198"/>
      <c r="HZ170" s="198"/>
      <c r="IA170" s="198"/>
      <c r="IB170" s="198"/>
    </row>
    <row r="171" spans="1:236" s="144" customFormat="1" ht="14.25">
      <c r="A171" s="198"/>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c r="CV171" s="198"/>
      <c r="CW171" s="198"/>
      <c r="CX171" s="198"/>
      <c r="CY171" s="198"/>
      <c r="CZ171" s="198"/>
      <c r="DA171" s="198"/>
      <c r="DB171" s="198"/>
      <c r="DC171" s="198"/>
      <c r="DD171" s="198"/>
      <c r="DE171" s="198"/>
      <c r="DF171" s="198"/>
      <c r="DG171" s="198"/>
      <c r="DH171" s="198"/>
      <c r="DI171" s="198"/>
      <c r="DJ171" s="198"/>
      <c r="DK171" s="198"/>
      <c r="DL171" s="198"/>
      <c r="DM171" s="198"/>
      <c r="DN171" s="198"/>
      <c r="DO171" s="198"/>
      <c r="DP171" s="198"/>
      <c r="DQ171" s="198"/>
      <c r="DR171" s="198"/>
      <c r="DS171" s="198"/>
      <c r="DT171" s="198"/>
      <c r="DU171" s="198"/>
      <c r="DV171" s="198"/>
      <c r="DW171" s="198"/>
      <c r="DX171" s="198"/>
      <c r="DY171" s="198"/>
      <c r="DZ171" s="198"/>
      <c r="EA171" s="198"/>
      <c r="EB171" s="198"/>
      <c r="EC171" s="198"/>
      <c r="ED171" s="198"/>
      <c r="EE171" s="198"/>
      <c r="EF171" s="198"/>
      <c r="EG171" s="198"/>
      <c r="EH171" s="198"/>
      <c r="EI171" s="198"/>
      <c r="EJ171" s="198"/>
      <c r="EK171" s="198"/>
      <c r="EL171" s="198"/>
      <c r="EM171" s="198"/>
      <c r="EN171" s="198"/>
      <c r="EO171" s="198"/>
      <c r="EP171" s="198"/>
      <c r="EQ171" s="198"/>
      <c r="ER171" s="198"/>
      <c r="ES171" s="198"/>
      <c r="ET171" s="198"/>
      <c r="EU171" s="198"/>
      <c r="EV171" s="198"/>
      <c r="EW171" s="198"/>
      <c r="EX171" s="198"/>
      <c r="EY171" s="198"/>
      <c r="EZ171" s="198"/>
      <c r="FA171" s="198"/>
      <c r="FB171" s="198"/>
      <c r="FC171" s="198"/>
      <c r="FD171" s="198"/>
      <c r="FE171" s="198"/>
      <c r="FF171" s="198"/>
      <c r="FG171" s="198"/>
      <c r="FH171" s="198"/>
      <c r="FI171" s="198"/>
      <c r="FJ171" s="198"/>
      <c r="FK171" s="198"/>
      <c r="FL171" s="198"/>
      <c r="FM171" s="198"/>
      <c r="FN171" s="198"/>
      <c r="FO171" s="198"/>
      <c r="FP171" s="198"/>
      <c r="FQ171" s="198"/>
      <c r="FR171" s="198"/>
      <c r="FS171" s="198"/>
      <c r="FT171" s="198"/>
      <c r="FU171" s="198"/>
      <c r="FV171" s="198"/>
      <c r="FW171" s="198"/>
      <c r="FX171" s="198"/>
      <c r="FY171" s="198"/>
      <c r="FZ171" s="198"/>
      <c r="GA171" s="198"/>
      <c r="GB171" s="198"/>
      <c r="GC171" s="198"/>
      <c r="GD171" s="198"/>
      <c r="GE171" s="198"/>
      <c r="GF171" s="198"/>
      <c r="GG171" s="198"/>
      <c r="GH171" s="198"/>
      <c r="GI171" s="198"/>
      <c r="GJ171" s="198"/>
      <c r="GK171" s="198"/>
      <c r="GL171" s="198"/>
      <c r="GM171" s="198"/>
      <c r="GN171" s="198"/>
      <c r="GO171" s="198"/>
      <c r="GP171" s="198"/>
      <c r="GQ171" s="198"/>
      <c r="GR171" s="198"/>
      <c r="GS171" s="198"/>
      <c r="GT171" s="198"/>
      <c r="GU171" s="198"/>
      <c r="GV171" s="198"/>
      <c r="GW171" s="198"/>
      <c r="GX171" s="198"/>
      <c r="GY171" s="198"/>
      <c r="GZ171" s="198"/>
      <c r="HA171" s="198"/>
      <c r="HB171" s="198"/>
      <c r="HC171" s="198"/>
      <c r="HD171" s="198"/>
      <c r="HE171" s="198"/>
      <c r="HF171" s="198"/>
      <c r="HG171" s="198"/>
      <c r="HH171" s="198"/>
      <c r="HI171" s="198"/>
      <c r="HJ171" s="198"/>
      <c r="HK171" s="198"/>
      <c r="HL171" s="198"/>
      <c r="HM171" s="198"/>
      <c r="HN171" s="198"/>
      <c r="HO171" s="198"/>
      <c r="HP171" s="198"/>
      <c r="HQ171" s="198"/>
      <c r="HR171" s="198"/>
      <c r="HS171" s="198"/>
      <c r="HT171" s="198"/>
      <c r="HU171" s="198"/>
      <c r="HV171" s="198"/>
      <c r="HW171" s="198"/>
      <c r="HX171" s="198"/>
      <c r="HY171" s="198"/>
      <c r="HZ171" s="198"/>
      <c r="IA171" s="198"/>
      <c r="IB171" s="198"/>
    </row>
    <row r="172" spans="1:236" s="144" customFormat="1" ht="14.25">
      <c r="A172" s="198"/>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8"/>
      <c r="DE172" s="198"/>
      <c r="DF172" s="198"/>
      <c r="DG172" s="198"/>
      <c r="DH172" s="198"/>
      <c r="DI172" s="198"/>
      <c r="DJ172" s="198"/>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8"/>
      <c r="EH172" s="198"/>
      <c r="EI172" s="198"/>
      <c r="EJ172" s="198"/>
      <c r="EK172" s="198"/>
      <c r="EL172" s="198"/>
      <c r="EM172" s="198"/>
      <c r="EN172" s="198"/>
      <c r="EO172" s="198"/>
      <c r="EP172" s="198"/>
      <c r="EQ172" s="198"/>
      <c r="ER172" s="198"/>
      <c r="ES172" s="198"/>
      <c r="ET172" s="198"/>
      <c r="EU172" s="198"/>
      <c r="EV172" s="198"/>
      <c r="EW172" s="198"/>
      <c r="EX172" s="198"/>
      <c r="EY172" s="198"/>
      <c r="EZ172" s="198"/>
      <c r="FA172" s="198"/>
      <c r="FB172" s="198"/>
      <c r="FC172" s="198"/>
      <c r="FD172" s="198"/>
      <c r="FE172" s="198"/>
      <c r="FF172" s="198"/>
      <c r="FG172" s="198"/>
      <c r="FH172" s="198"/>
      <c r="FI172" s="198"/>
      <c r="FJ172" s="198"/>
      <c r="FK172" s="198"/>
      <c r="FL172" s="198"/>
      <c r="FM172" s="198"/>
      <c r="FN172" s="198"/>
      <c r="FO172" s="198"/>
      <c r="FP172" s="198"/>
      <c r="FQ172" s="198"/>
      <c r="FR172" s="198"/>
      <c r="FS172" s="198"/>
      <c r="FT172" s="198"/>
      <c r="FU172" s="198"/>
      <c r="FV172" s="198"/>
      <c r="FW172" s="198"/>
      <c r="FX172" s="198"/>
      <c r="FY172" s="198"/>
      <c r="FZ172" s="198"/>
      <c r="GA172" s="198"/>
      <c r="GB172" s="198"/>
      <c r="GC172" s="198"/>
      <c r="GD172" s="198"/>
      <c r="GE172" s="198"/>
      <c r="GF172" s="198"/>
      <c r="GG172" s="198"/>
      <c r="GH172" s="198"/>
      <c r="GI172" s="198"/>
      <c r="GJ172" s="198"/>
      <c r="GK172" s="198"/>
      <c r="GL172" s="198"/>
      <c r="GM172" s="198"/>
      <c r="GN172" s="198"/>
      <c r="GO172" s="198"/>
      <c r="GP172" s="198"/>
      <c r="GQ172" s="198"/>
      <c r="GR172" s="198"/>
      <c r="GS172" s="198"/>
      <c r="GT172" s="198"/>
      <c r="GU172" s="198"/>
      <c r="GV172" s="198"/>
      <c r="GW172" s="198"/>
      <c r="GX172" s="198"/>
      <c r="GY172" s="198"/>
      <c r="GZ172" s="198"/>
      <c r="HA172" s="198"/>
      <c r="HB172" s="198"/>
      <c r="HC172" s="198"/>
      <c r="HD172" s="198"/>
      <c r="HE172" s="198"/>
      <c r="HF172" s="198"/>
      <c r="HG172" s="198"/>
      <c r="HH172" s="198"/>
      <c r="HI172" s="198"/>
      <c r="HJ172" s="198"/>
      <c r="HK172" s="198"/>
      <c r="HL172" s="198"/>
      <c r="HM172" s="198"/>
      <c r="HN172" s="198"/>
      <c r="HO172" s="198"/>
      <c r="HP172" s="198"/>
      <c r="HQ172" s="198"/>
      <c r="HR172" s="198"/>
      <c r="HS172" s="198"/>
      <c r="HT172" s="198"/>
      <c r="HU172" s="198"/>
      <c r="HV172" s="198"/>
      <c r="HW172" s="198"/>
      <c r="HX172" s="198"/>
      <c r="HY172" s="198"/>
      <c r="HZ172" s="198"/>
      <c r="IA172" s="198"/>
      <c r="IB172" s="198"/>
    </row>
    <row r="173" spans="1:236" s="144" customFormat="1" ht="14.25">
      <c r="A173" s="198"/>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c r="CW173" s="198"/>
      <c r="CX173" s="198"/>
      <c r="CY173" s="198"/>
      <c r="CZ173" s="198"/>
      <c r="DA173" s="198"/>
      <c r="DB173" s="198"/>
      <c r="DC173" s="198"/>
      <c r="DD173" s="198"/>
      <c r="DE173" s="198"/>
      <c r="DF173" s="198"/>
      <c r="DG173" s="198"/>
      <c r="DH173" s="198"/>
      <c r="DI173" s="198"/>
      <c r="DJ173" s="198"/>
      <c r="DK173" s="198"/>
      <c r="DL173" s="198"/>
      <c r="DM173" s="198"/>
      <c r="DN173" s="198"/>
      <c r="DO173" s="198"/>
      <c r="DP173" s="198"/>
      <c r="DQ173" s="198"/>
      <c r="DR173" s="198"/>
      <c r="DS173" s="198"/>
      <c r="DT173" s="198"/>
      <c r="DU173" s="198"/>
      <c r="DV173" s="198"/>
      <c r="DW173" s="198"/>
      <c r="DX173" s="198"/>
      <c r="DY173" s="198"/>
      <c r="DZ173" s="198"/>
      <c r="EA173" s="198"/>
      <c r="EB173" s="198"/>
      <c r="EC173" s="198"/>
      <c r="ED173" s="198"/>
      <c r="EE173" s="198"/>
      <c r="EF173" s="198"/>
      <c r="EG173" s="198"/>
      <c r="EH173" s="198"/>
      <c r="EI173" s="198"/>
      <c r="EJ173" s="198"/>
      <c r="EK173" s="198"/>
      <c r="EL173" s="198"/>
      <c r="EM173" s="198"/>
      <c r="EN173" s="198"/>
      <c r="EO173" s="198"/>
      <c r="EP173" s="198"/>
      <c r="EQ173" s="198"/>
      <c r="ER173" s="198"/>
      <c r="ES173" s="198"/>
      <c r="ET173" s="198"/>
      <c r="EU173" s="198"/>
      <c r="EV173" s="198"/>
      <c r="EW173" s="198"/>
      <c r="EX173" s="198"/>
      <c r="EY173" s="198"/>
      <c r="EZ173" s="198"/>
      <c r="FA173" s="198"/>
      <c r="FB173" s="198"/>
      <c r="FC173" s="198"/>
      <c r="FD173" s="198"/>
      <c r="FE173" s="198"/>
      <c r="FF173" s="198"/>
      <c r="FG173" s="198"/>
      <c r="FH173" s="198"/>
      <c r="FI173" s="198"/>
      <c r="FJ173" s="198"/>
      <c r="FK173" s="198"/>
      <c r="FL173" s="198"/>
      <c r="FM173" s="198"/>
      <c r="FN173" s="198"/>
      <c r="FO173" s="198"/>
      <c r="FP173" s="198"/>
      <c r="FQ173" s="198"/>
      <c r="FR173" s="198"/>
      <c r="FS173" s="198"/>
      <c r="FT173" s="198"/>
      <c r="FU173" s="198"/>
      <c r="FV173" s="198"/>
      <c r="FW173" s="198"/>
      <c r="FX173" s="198"/>
      <c r="FY173" s="198"/>
      <c r="FZ173" s="198"/>
      <c r="GA173" s="198"/>
      <c r="GB173" s="198"/>
      <c r="GC173" s="198"/>
      <c r="GD173" s="198"/>
      <c r="GE173" s="198"/>
      <c r="GF173" s="198"/>
      <c r="GG173" s="198"/>
      <c r="GH173" s="198"/>
      <c r="GI173" s="198"/>
      <c r="GJ173" s="198"/>
      <c r="GK173" s="198"/>
      <c r="GL173" s="198"/>
      <c r="GM173" s="198"/>
      <c r="GN173" s="198"/>
      <c r="GO173" s="198"/>
      <c r="GP173" s="198"/>
      <c r="GQ173" s="198"/>
      <c r="GR173" s="198"/>
      <c r="GS173" s="198"/>
      <c r="GT173" s="198"/>
      <c r="GU173" s="198"/>
      <c r="GV173" s="198"/>
      <c r="GW173" s="198"/>
      <c r="GX173" s="198"/>
      <c r="GY173" s="198"/>
      <c r="GZ173" s="198"/>
      <c r="HA173" s="198"/>
      <c r="HB173" s="198"/>
      <c r="HC173" s="198"/>
      <c r="HD173" s="198"/>
      <c r="HE173" s="198"/>
      <c r="HF173" s="198"/>
      <c r="HG173" s="198"/>
      <c r="HH173" s="198"/>
      <c r="HI173" s="198"/>
      <c r="HJ173" s="198"/>
      <c r="HK173" s="198"/>
      <c r="HL173" s="198"/>
      <c r="HM173" s="198"/>
      <c r="HN173" s="198"/>
      <c r="HO173" s="198"/>
      <c r="HP173" s="198"/>
      <c r="HQ173" s="198"/>
      <c r="HR173" s="198"/>
      <c r="HS173" s="198"/>
      <c r="HT173" s="198"/>
      <c r="HU173" s="198"/>
      <c r="HV173" s="198"/>
      <c r="HW173" s="198"/>
      <c r="HX173" s="198"/>
      <c r="HY173" s="198"/>
      <c r="HZ173" s="198"/>
      <c r="IA173" s="198"/>
      <c r="IB173" s="198"/>
    </row>
    <row r="174" spans="1:236">
      <c r="A174" s="198"/>
      <c r="B174" s="198"/>
      <c r="C174" s="198"/>
      <c r="D174" s="198"/>
      <c r="E174" s="198"/>
      <c r="F174" s="198"/>
      <c r="G174" s="198"/>
      <c r="H174" s="198"/>
      <c r="I174" s="198"/>
      <c r="J174" s="198"/>
      <c r="K174" s="198"/>
      <c r="L174" s="198"/>
      <c r="M174" s="198"/>
      <c r="N174" s="198"/>
      <c r="O174" s="198"/>
      <c r="P174" s="198"/>
      <c r="Q174" s="198"/>
      <c r="AE174" s="198"/>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98"/>
      <c r="CB174" s="198"/>
      <c r="CC174" s="198"/>
      <c r="CD174" s="198"/>
      <c r="CE174" s="198"/>
      <c r="CF174" s="198"/>
      <c r="CG174" s="198"/>
      <c r="CH174" s="198"/>
      <c r="CI174" s="198"/>
      <c r="CJ174" s="198"/>
      <c r="CK174" s="198"/>
      <c r="CL174" s="198"/>
      <c r="CM174" s="198"/>
      <c r="CN174" s="198"/>
      <c r="CO174" s="198"/>
      <c r="CP174" s="198"/>
      <c r="CQ174" s="198"/>
      <c r="CR174" s="198"/>
      <c r="CS174" s="198"/>
      <c r="CT174" s="198"/>
      <c r="CU174" s="198"/>
      <c r="CV174" s="198"/>
      <c r="CW174" s="198"/>
      <c r="CX174" s="198"/>
      <c r="CY174" s="198"/>
      <c r="CZ174" s="198"/>
      <c r="DA174" s="198"/>
      <c r="DB174" s="198"/>
      <c r="DC174" s="198"/>
      <c r="DD174" s="198"/>
      <c r="DE174" s="198"/>
      <c r="DF174" s="198"/>
      <c r="DG174" s="198"/>
      <c r="DH174" s="198"/>
      <c r="DI174" s="198"/>
      <c r="DJ174" s="198"/>
      <c r="DK174" s="198"/>
      <c r="DL174" s="198"/>
      <c r="DM174" s="198"/>
      <c r="DN174" s="198"/>
      <c r="DO174" s="198"/>
      <c r="DP174" s="198"/>
      <c r="DQ174" s="198"/>
      <c r="DR174" s="198"/>
      <c r="DS174" s="198"/>
      <c r="DT174" s="198"/>
      <c r="DU174" s="198"/>
      <c r="DV174" s="198"/>
      <c r="DW174" s="198"/>
      <c r="DX174" s="198"/>
      <c r="DY174" s="198"/>
      <c r="DZ174" s="198"/>
      <c r="EA174" s="198"/>
      <c r="EB174" s="198"/>
      <c r="EC174" s="198"/>
      <c r="ED174" s="198"/>
      <c r="EE174" s="198"/>
      <c r="EF174" s="198"/>
      <c r="EG174" s="198"/>
      <c r="EH174" s="198"/>
      <c r="EI174" s="198"/>
      <c r="EJ174" s="198"/>
      <c r="EK174" s="198"/>
      <c r="EL174" s="198"/>
      <c r="EM174" s="198"/>
      <c r="EN174" s="198"/>
      <c r="EO174" s="198"/>
      <c r="EP174" s="198"/>
      <c r="EQ174" s="198"/>
      <c r="ER174" s="198"/>
      <c r="ES174" s="198"/>
      <c r="ET174" s="198"/>
      <c r="EU174" s="198"/>
      <c r="EV174" s="198"/>
      <c r="EW174" s="198"/>
      <c r="EX174" s="198"/>
      <c r="EY174" s="198"/>
      <c r="EZ174" s="198"/>
      <c r="FA174" s="198"/>
      <c r="FB174" s="198"/>
      <c r="FC174" s="198"/>
      <c r="FD174" s="198"/>
      <c r="FE174" s="198"/>
      <c r="FF174" s="198"/>
      <c r="FG174" s="198"/>
      <c r="FH174" s="198"/>
      <c r="FI174" s="198"/>
      <c r="FJ174" s="198"/>
      <c r="FK174" s="198"/>
      <c r="FL174" s="198"/>
      <c r="FM174" s="198"/>
      <c r="FN174" s="198"/>
      <c r="FO174" s="198"/>
      <c r="FP174" s="198"/>
      <c r="FQ174" s="198"/>
      <c r="FR174" s="198"/>
      <c r="FS174" s="198"/>
      <c r="FT174" s="198"/>
      <c r="FU174" s="198"/>
      <c r="FV174" s="198"/>
      <c r="FW174" s="198"/>
      <c r="FX174" s="198"/>
      <c r="FY174" s="198"/>
      <c r="FZ174" s="198"/>
      <c r="GA174" s="198"/>
      <c r="GB174" s="198"/>
      <c r="GC174" s="198"/>
      <c r="GD174" s="198"/>
      <c r="GE174" s="198"/>
      <c r="GF174" s="198"/>
      <c r="GG174" s="198"/>
      <c r="GH174" s="198"/>
      <c r="GI174" s="198"/>
      <c r="GJ174" s="198"/>
      <c r="GK174" s="198"/>
      <c r="GL174" s="198"/>
      <c r="GM174" s="198"/>
      <c r="GN174" s="198"/>
      <c r="GO174" s="198"/>
      <c r="GP174" s="198"/>
      <c r="GQ174" s="198"/>
      <c r="GR174" s="198"/>
      <c r="GS174" s="198"/>
      <c r="GT174" s="198"/>
      <c r="GU174" s="198"/>
      <c r="GV174" s="198"/>
      <c r="GW174" s="198"/>
      <c r="GX174" s="198"/>
      <c r="GY174" s="198"/>
      <c r="GZ174" s="198"/>
      <c r="HA174" s="198"/>
      <c r="HB174" s="198"/>
      <c r="HC174" s="198"/>
      <c r="HD174" s="198"/>
      <c r="HE174" s="198"/>
      <c r="HF174" s="198"/>
      <c r="HG174" s="198"/>
      <c r="HH174" s="198"/>
      <c r="HI174" s="198"/>
      <c r="HJ174" s="198"/>
      <c r="HK174" s="198"/>
      <c r="HL174" s="198"/>
      <c r="HM174" s="198"/>
      <c r="HN174" s="198"/>
      <c r="HO174" s="198"/>
      <c r="HP174" s="198"/>
      <c r="HQ174" s="198"/>
      <c r="HR174" s="198"/>
      <c r="HS174" s="198"/>
      <c r="HT174" s="198"/>
      <c r="HU174" s="198"/>
      <c r="HV174" s="198"/>
      <c r="HW174" s="198"/>
      <c r="HX174" s="198"/>
      <c r="HY174" s="198"/>
      <c r="HZ174" s="198"/>
      <c r="IA174" s="198"/>
      <c r="IB174" s="198"/>
    </row>
    <row r="175" spans="1:236">
      <c r="A175" s="198"/>
      <c r="B175" s="198"/>
      <c r="C175" s="198"/>
      <c r="D175" s="198"/>
      <c r="E175" s="198"/>
      <c r="F175" s="198"/>
      <c r="G175" s="198"/>
      <c r="H175" s="198"/>
      <c r="I175" s="198"/>
      <c r="J175" s="198"/>
      <c r="K175" s="198"/>
      <c r="L175" s="198"/>
      <c r="M175" s="198"/>
      <c r="N175" s="198"/>
      <c r="O175" s="198"/>
      <c r="P175" s="198"/>
      <c r="Q175" s="198"/>
      <c r="AE175" s="198"/>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c r="BV175" s="198"/>
      <c r="BW175" s="198"/>
      <c r="BX175" s="198"/>
      <c r="BY175" s="198"/>
      <c r="BZ175" s="198"/>
      <c r="CA175" s="198"/>
      <c r="CB175" s="198"/>
      <c r="CC175" s="198"/>
      <c r="CD175" s="198"/>
      <c r="CE175" s="198"/>
      <c r="CF175" s="198"/>
      <c r="CG175" s="198"/>
      <c r="CH175" s="198"/>
      <c r="CI175" s="198"/>
      <c r="CJ175" s="198"/>
      <c r="CK175" s="198"/>
      <c r="CL175" s="198"/>
      <c r="CM175" s="198"/>
      <c r="CN175" s="198"/>
      <c r="CO175" s="198"/>
      <c r="CP175" s="198"/>
      <c r="CQ175" s="198"/>
      <c r="CR175" s="198"/>
      <c r="CS175" s="198"/>
      <c r="CT175" s="198"/>
      <c r="CU175" s="198"/>
      <c r="CV175" s="198"/>
      <c r="CW175" s="198"/>
      <c r="CX175" s="198"/>
      <c r="CY175" s="198"/>
      <c r="CZ175" s="198"/>
      <c r="DA175" s="198"/>
      <c r="DB175" s="198"/>
      <c r="DC175" s="198"/>
      <c r="DD175" s="198"/>
      <c r="DE175" s="198"/>
      <c r="DF175" s="198"/>
      <c r="DG175" s="198"/>
      <c r="DH175" s="198"/>
      <c r="DI175" s="198"/>
      <c r="DJ175" s="198"/>
      <c r="DK175" s="198"/>
      <c r="DL175" s="198"/>
      <c r="DM175" s="198"/>
      <c r="DN175" s="198"/>
      <c r="DO175" s="198"/>
      <c r="DP175" s="198"/>
      <c r="DQ175" s="198"/>
      <c r="DR175" s="198"/>
      <c r="DS175" s="198"/>
      <c r="DT175" s="198"/>
      <c r="DU175" s="198"/>
      <c r="DV175" s="198"/>
      <c r="DW175" s="198"/>
      <c r="DX175" s="198"/>
      <c r="DY175" s="198"/>
      <c r="DZ175" s="198"/>
      <c r="EA175" s="198"/>
      <c r="EB175" s="198"/>
      <c r="EC175" s="198"/>
      <c r="ED175" s="198"/>
      <c r="EE175" s="198"/>
      <c r="EF175" s="198"/>
      <c r="EG175" s="198"/>
      <c r="EH175" s="198"/>
      <c r="EI175" s="198"/>
      <c r="EJ175" s="198"/>
      <c r="EK175" s="198"/>
      <c r="EL175" s="198"/>
      <c r="EM175" s="198"/>
      <c r="EN175" s="198"/>
      <c r="EO175" s="198"/>
      <c r="EP175" s="198"/>
      <c r="EQ175" s="198"/>
      <c r="ER175" s="198"/>
      <c r="ES175" s="198"/>
      <c r="ET175" s="198"/>
      <c r="EU175" s="198"/>
      <c r="EV175" s="198"/>
      <c r="EW175" s="198"/>
      <c r="EX175" s="198"/>
      <c r="EY175" s="198"/>
      <c r="EZ175" s="198"/>
      <c r="FA175" s="198"/>
      <c r="FB175" s="198"/>
      <c r="FC175" s="198"/>
      <c r="FD175" s="198"/>
      <c r="FE175" s="198"/>
      <c r="FF175" s="198"/>
      <c r="FG175" s="198"/>
      <c r="FH175" s="198"/>
      <c r="FI175" s="198"/>
      <c r="FJ175" s="198"/>
      <c r="FK175" s="198"/>
      <c r="FL175" s="198"/>
      <c r="FM175" s="198"/>
      <c r="FN175" s="198"/>
      <c r="FO175" s="198"/>
      <c r="FP175" s="198"/>
      <c r="FQ175" s="198"/>
      <c r="FR175" s="198"/>
      <c r="FS175" s="198"/>
      <c r="FT175" s="198"/>
      <c r="FU175" s="198"/>
      <c r="FV175" s="198"/>
      <c r="FW175" s="198"/>
      <c r="FX175" s="198"/>
      <c r="FY175" s="198"/>
      <c r="FZ175" s="198"/>
      <c r="GA175" s="198"/>
      <c r="GB175" s="198"/>
      <c r="GC175" s="198"/>
      <c r="GD175" s="198"/>
      <c r="GE175" s="198"/>
      <c r="GF175" s="198"/>
      <c r="GG175" s="198"/>
      <c r="GH175" s="198"/>
      <c r="GI175" s="198"/>
      <c r="GJ175" s="198"/>
      <c r="GK175" s="198"/>
      <c r="GL175" s="198"/>
      <c r="GM175" s="198"/>
      <c r="GN175" s="198"/>
      <c r="GO175" s="198"/>
      <c r="GP175" s="198"/>
      <c r="GQ175" s="198"/>
      <c r="GR175" s="198"/>
      <c r="GS175" s="198"/>
      <c r="GT175" s="198"/>
      <c r="GU175" s="198"/>
      <c r="GV175" s="198"/>
      <c r="GW175" s="198"/>
      <c r="GX175" s="198"/>
      <c r="GY175" s="198"/>
      <c r="GZ175" s="198"/>
      <c r="HA175" s="198"/>
      <c r="HB175" s="198"/>
      <c r="HC175" s="198"/>
      <c r="HD175" s="198"/>
      <c r="HE175" s="198"/>
      <c r="HF175" s="198"/>
      <c r="HG175" s="198"/>
      <c r="HH175" s="198"/>
      <c r="HI175" s="198"/>
      <c r="HJ175" s="198"/>
      <c r="HK175" s="198"/>
      <c r="HL175" s="198"/>
      <c r="HM175" s="198"/>
      <c r="HN175" s="198"/>
      <c r="HO175" s="198"/>
      <c r="HP175" s="198"/>
      <c r="HQ175" s="198"/>
      <c r="HR175" s="198"/>
      <c r="HS175" s="198"/>
      <c r="HT175" s="198"/>
      <c r="HU175" s="198"/>
      <c r="HV175" s="198"/>
      <c r="HW175" s="198"/>
      <c r="HX175" s="198"/>
      <c r="HY175" s="198"/>
      <c r="HZ175" s="198"/>
      <c r="IA175" s="198"/>
      <c r="IB175" s="198"/>
    </row>
    <row r="176" spans="1:236">
      <c r="A176" s="198"/>
      <c r="B176" s="198"/>
      <c r="C176" s="198"/>
      <c r="D176" s="198"/>
      <c r="E176" s="198"/>
      <c r="F176" s="198"/>
      <c r="G176" s="198"/>
      <c r="H176" s="198"/>
      <c r="I176" s="198"/>
      <c r="J176" s="198"/>
      <c r="K176" s="198"/>
      <c r="L176" s="198"/>
      <c r="M176" s="198"/>
      <c r="N176" s="198"/>
      <c r="O176" s="198"/>
      <c r="P176" s="198"/>
      <c r="Q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98"/>
      <c r="CB176" s="198"/>
      <c r="CC176" s="198"/>
      <c r="CD176" s="198"/>
      <c r="CE176" s="198"/>
      <c r="CF176" s="198"/>
      <c r="CG176" s="198"/>
      <c r="CH176" s="198"/>
      <c r="CI176" s="198"/>
      <c r="CJ176" s="198"/>
      <c r="CK176" s="198"/>
      <c r="CL176" s="198"/>
      <c r="CM176" s="198"/>
      <c r="CN176" s="198"/>
      <c r="CO176" s="198"/>
      <c r="CP176" s="198"/>
      <c r="CQ176" s="198"/>
      <c r="CR176" s="198"/>
      <c r="CS176" s="198"/>
      <c r="CT176" s="198"/>
      <c r="CU176" s="198"/>
      <c r="CV176" s="198"/>
      <c r="CW176" s="198"/>
      <c r="CX176" s="198"/>
      <c r="CY176" s="198"/>
      <c r="CZ176" s="198"/>
      <c r="DA176" s="198"/>
      <c r="DB176" s="198"/>
      <c r="DC176" s="198"/>
      <c r="DD176" s="198"/>
      <c r="DE176" s="198"/>
      <c r="DF176" s="198"/>
      <c r="DG176" s="198"/>
      <c r="DH176" s="198"/>
      <c r="DI176" s="198"/>
      <c r="DJ176" s="198"/>
      <c r="DK176" s="198"/>
      <c r="DL176" s="198"/>
      <c r="DM176" s="198"/>
      <c r="DN176" s="198"/>
      <c r="DO176" s="198"/>
      <c r="DP176" s="198"/>
      <c r="DQ176" s="198"/>
      <c r="DR176" s="198"/>
      <c r="DS176" s="198"/>
      <c r="DT176" s="198"/>
      <c r="DU176" s="198"/>
      <c r="DV176" s="198"/>
      <c r="DW176" s="198"/>
      <c r="DX176" s="198"/>
      <c r="DY176" s="198"/>
      <c r="DZ176" s="198"/>
      <c r="EA176" s="198"/>
      <c r="EB176" s="198"/>
      <c r="EC176" s="198"/>
      <c r="ED176" s="198"/>
      <c r="EE176" s="198"/>
      <c r="EF176" s="198"/>
      <c r="EG176" s="198"/>
      <c r="EH176" s="198"/>
      <c r="EI176" s="198"/>
      <c r="EJ176" s="198"/>
      <c r="EK176" s="198"/>
      <c r="EL176" s="198"/>
      <c r="EM176" s="198"/>
      <c r="EN176" s="198"/>
      <c r="EO176" s="198"/>
      <c r="EP176" s="198"/>
      <c r="EQ176" s="198"/>
      <c r="ER176" s="198"/>
      <c r="ES176" s="198"/>
      <c r="ET176" s="198"/>
      <c r="EU176" s="198"/>
      <c r="EV176" s="198"/>
      <c r="EW176" s="198"/>
      <c r="EX176" s="198"/>
      <c r="EY176" s="198"/>
      <c r="EZ176" s="198"/>
      <c r="FA176" s="198"/>
      <c r="FB176" s="198"/>
      <c r="FC176" s="198"/>
      <c r="FD176" s="198"/>
      <c r="FE176" s="198"/>
      <c r="FF176" s="198"/>
      <c r="FG176" s="198"/>
      <c r="FH176" s="198"/>
      <c r="FI176" s="198"/>
      <c r="FJ176" s="198"/>
      <c r="FK176" s="198"/>
      <c r="FL176" s="198"/>
      <c r="FM176" s="198"/>
      <c r="FN176" s="198"/>
      <c r="FO176" s="198"/>
      <c r="FP176" s="198"/>
      <c r="FQ176" s="198"/>
      <c r="FR176" s="198"/>
      <c r="FS176" s="198"/>
      <c r="FT176" s="198"/>
      <c r="FU176" s="198"/>
      <c r="FV176" s="198"/>
      <c r="FW176" s="198"/>
      <c r="FX176" s="198"/>
      <c r="FY176" s="198"/>
      <c r="FZ176" s="198"/>
      <c r="GA176" s="198"/>
      <c r="GB176" s="198"/>
      <c r="GC176" s="198"/>
      <c r="GD176" s="198"/>
      <c r="GE176" s="198"/>
      <c r="GF176" s="198"/>
      <c r="GG176" s="198"/>
      <c r="GH176" s="198"/>
      <c r="GI176" s="198"/>
      <c r="GJ176" s="198"/>
      <c r="GK176" s="198"/>
      <c r="GL176" s="198"/>
      <c r="GM176" s="198"/>
      <c r="GN176" s="198"/>
      <c r="GO176" s="198"/>
      <c r="GP176" s="198"/>
      <c r="GQ176" s="198"/>
      <c r="GR176" s="198"/>
      <c r="GS176" s="198"/>
      <c r="GT176" s="198"/>
      <c r="GU176" s="198"/>
      <c r="GV176" s="198"/>
      <c r="GW176" s="198"/>
      <c r="GX176" s="198"/>
      <c r="GY176" s="198"/>
      <c r="GZ176" s="198"/>
      <c r="HA176" s="198"/>
      <c r="HB176" s="198"/>
      <c r="HC176" s="198"/>
      <c r="HD176" s="198"/>
      <c r="HE176" s="198"/>
      <c r="HF176" s="198"/>
      <c r="HG176" s="198"/>
      <c r="HH176" s="198"/>
      <c r="HI176" s="198"/>
      <c r="HJ176" s="198"/>
      <c r="HK176" s="198"/>
      <c r="HL176" s="198"/>
      <c r="HM176" s="198"/>
      <c r="HN176" s="198"/>
      <c r="HO176" s="198"/>
      <c r="HP176" s="198"/>
      <c r="HQ176" s="198"/>
      <c r="HR176" s="198"/>
      <c r="HS176" s="198"/>
      <c r="HT176" s="198"/>
      <c r="HU176" s="198"/>
      <c r="HV176" s="198"/>
      <c r="HW176" s="198"/>
      <c r="HX176" s="198"/>
      <c r="HY176" s="198"/>
      <c r="HZ176" s="198"/>
      <c r="IA176" s="198"/>
      <c r="IB176" s="198"/>
    </row>
    <row r="177" spans="1:236">
      <c r="A177" s="198"/>
      <c r="B177" s="198"/>
      <c r="C177" s="198"/>
      <c r="D177" s="198"/>
      <c r="E177" s="198"/>
      <c r="F177" s="198"/>
      <c r="G177" s="198"/>
      <c r="H177" s="198"/>
      <c r="I177" s="198"/>
      <c r="J177" s="198"/>
      <c r="K177" s="198"/>
      <c r="L177" s="198"/>
      <c r="M177" s="198"/>
      <c r="N177" s="198"/>
      <c r="O177" s="198"/>
      <c r="P177" s="198"/>
      <c r="Q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c r="CO177" s="198"/>
      <c r="CP177" s="198"/>
      <c r="CQ177" s="198"/>
      <c r="CR177" s="198"/>
      <c r="CS177" s="198"/>
      <c r="CT177" s="198"/>
      <c r="CU177" s="198"/>
      <c r="CV177" s="198"/>
      <c r="CW177" s="198"/>
      <c r="CX177" s="198"/>
      <c r="CY177" s="198"/>
      <c r="CZ177" s="198"/>
      <c r="DA177" s="198"/>
      <c r="DB177" s="198"/>
      <c r="DC177" s="198"/>
      <c r="DD177" s="198"/>
      <c r="DE177" s="198"/>
      <c r="DF177" s="198"/>
      <c r="DG177" s="198"/>
      <c r="DH177" s="198"/>
      <c r="DI177" s="198"/>
      <c r="DJ177" s="198"/>
      <c r="DK177" s="198"/>
      <c r="DL177" s="198"/>
      <c r="DM177" s="198"/>
      <c r="DN177" s="198"/>
      <c r="DO177" s="198"/>
      <c r="DP177" s="198"/>
      <c r="DQ177" s="198"/>
      <c r="DR177" s="198"/>
      <c r="DS177" s="198"/>
      <c r="DT177" s="198"/>
      <c r="DU177" s="198"/>
      <c r="DV177" s="198"/>
      <c r="DW177" s="198"/>
      <c r="DX177" s="198"/>
      <c r="DY177" s="198"/>
      <c r="DZ177" s="198"/>
      <c r="EA177" s="198"/>
      <c r="EB177" s="198"/>
      <c r="EC177" s="198"/>
      <c r="ED177" s="198"/>
      <c r="EE177" s="198"/>
      <c r="EF177" s="198"/>
      <c r="EG177" s="198"/>
      <c r="EH177" s="198"/>
      <c r="EI177" s="198"/>
      <c r="EJ177" s="198"/>
      <c r="EK177" s="198"/>
      <c r="EL177" s="198"/>
      <c r="EM177" s="198"/>
      <c r="EN177" s="198"/>
      <c r="EO177" s="198"/>
      <c r="EP177" s="198"/>
      <c r="EQ177" s="198"/>
      <c r="ER177" s="198"/>
      <c r="ES177" s="198"/>
      <c r="ET177" s="198"/>
      <c r="EU177" s="198"/>
      <c r="EV177" s="198"/>
      <c r="EW177" s="198"/>
      <c r="EX177" s="198"/>
      <c r="EY177" s="198"/>
      <c r="EZ177" s="198"/>
      <c r="FA177" s="198"/>
      <c r="FB177" s="198"/>
      <c r="FC177" s="198"/>
      <c r="FD177" s="198"/>
      <c r="FE177" s="198"/>
      <c r="FF177" s="198"/>
      <c r="FG177" s="198"/>
      <c r="FH177" s="198"/>
      <c r="FI177" s="198"/>
      <c r="FJ177" s="198"/>
      <c r="FK177" s="198"/>
      <c r="FL177" s="198"/>
      <c r="FM177" s="198"/>
      <c r="FN177" s="198"/>
      <c r="FO177" s="198"/>
      <c r="FP177" s="198"/>
      <c r="FQ177" s="198"/>
      <c r="FR177" s="198"/>
      <c r="FS177" s="198"/>
      <c r="FT177" s="198"/>
      <c r="FU177" s="198"/>
      <c r="FV177" s="198"/>
      <c r="FW177" s="198"/>
      <c r="FX177" s="198"/>
      <c r="FY177" s="198"/>
      <c r="FZ177" s="198"/>
      <c r="GA177" s="198"/>
      <c r="GB177" s="198"/>
      <c r="GC177" s="198"/>
      <c r="GD177" s="198"/>
      <c r="GE177" s="198"/>
      <c r="GF177" s="198"/>
      <c r="GG177" s="198"/>
      <c r="GH177" s="198"/>
      <c r="GI177" s="198"/>
      <c r="GJ177" s="198"/>
      <c r="GK177" s="198"/>
      <c r="GL177" s="198"/>
      <c r="GM177" s="198"/>
      <c r="GN177" s="198"/>
      <c r="GO177" s="198"/>
      <c r="GP177" s="198"/>
      <c r="GQ177" s="198"/>
      <c r="GR177" s="198"/>
      <c r="GS177" s="198"/>
      <c r="GT177" s="198"/>
      <c r="GU177" s="198"/>
      <c r="GV177" s="198"/>
      <c r="GW177" s="198"/>
      <c r="GX177" s="198"/>
      <c r="GY177" s="198"/>
      <c r="GZ177" s="198"/>
      <c r="HA177" s="198"/>
      <c r="HB177" s="198"/>
      <c r="HC177" s="198"/>
      <c r="HD177" s="198"/>
      <c r="HE177" s="198"/>
      <c r="HF177" s="198"/>
      <c r="HG177" s="198"/>
      <c r="HH177" s="198"/>
      <c r="HI177" s="198"/>
      <c r="HJ177" s="198"/>
      <c r="HK177" s="198"/>
      <c r="HL177" s="198"/>
      <c r="HM177" s="198"/>
      <c r="HN177" s="198"/>
      <c r="HO177" s="198"/>
      <c r="HP177" s="198"/>
      <c r="HQ177" s="198"/>
      <c r="HR177" s="198"/>
      <c r="HS177" s="198"/>
      <c r="HT177" s="198"/>
      <c r="HU177" s="198"/>
      <c r="HV177" s="198"/>
      <c r="HW177" s="198"/>
      <c r="HX177" s="198"/>
      <c r="HY177" s="198"/>
      <c r="HZ177" s="198"/>
      <c r="IA177" s="198"/>
      <c r="IB177" s="198"/>
    </row>
    <row r="178" spans="1:236">
      <c r="A178" s="198"/>
      <c r="B178" s="198"/>
      <c r="C178" s="198"/>
      <c r="D178" s="198"/>
      <c r="E178" s="198"/>
      <c r="F178" s="198"/>
      <c r="G178" s="198"/>
      <c r="H178" s="198"/>
      <c r="I178" s="198"/>
      <c r="J178" s="198"/>
      <c r="K178" s="198"/>
      <c r="L178" s="198"/>
      <c r="M178" s="198"/>
      <c r="N178" s="198"/>
      <c r="O178" s="198"/>
      <c r="P178" s="198"/>
      <c r="Q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8"/>
      <c r="CD178" s="198"/>
      <c r="CE178" s="198"/>
      <c r="CF178" s="198"/>
      <c r="CG178" s="198"/>
      <c r="CH178" s="198"/>
      <c r="CI178" s="198"/>
      <c r="CJ178" s="198"/>
      <c r="CK178" s="198"/>
      <c r="CL178" s="198"/>
      <c r="CM178" s="198"/>
      <c r="CN178" s="198"/>
      <c r="CO178" s="198"/>
      <c r="CP178" s="198"/>
      <c r="CQ178" s="198"/>
      <c r="CR178" s="198"/>
      <c r="CS178" s="198"/>
      <c r="CT178" s="198"/>
      <c r="CU178" s="198"/>
      <c r="CV178" s="198"/>
      <c r="CW178" s="198"/>
      <c r="CX178" s="198"/>
      <c r="CY178" s="198"/>
      <c r="CZ178" s="198"/>
      <c r="DA178" s="198"/>
      <c r="DB178" s="198"/>
      <c r="DC178" s="198"/>
      <c r="DD178" s="198"/>
      <c r="DE178" s="198"/>
      <c r="DF178" s="198"/>
      <c r="DG178" s="198"/>
      <c r="DH178" s="198"/>
      <c r="DI178" s="198"/>
      <c r="DJ178" s="198"/>
      <c r="DK178" s="198"/>
      <c r="DL178" s="198"/>
      <c r="DM178" s="198"/>
      <c r="DN178" s="198"/>
      <c r="DO178" s="198"/>
      <c r="DP178" s="198"/>
      <c r="DQ178" s="198"/>
      <c r="DR178" s="198"/>
      <c r="DS178" s="198"/>
      <c r="DT178" s="198"/>
      <c r="DU178" s="198"/>
      <c r="DV178" s="198"/>
      <c r="DW178" s="198"/>
      <c r="DX178" s="198"/>
      <c r="DY178" s="198"/>
      <c r="DZ178" s="198"/>
      <c r="EA178" s="198"/>
      <c r="EB178" s="198"/>
      <c r="EC178" s="198"/>
      <c r="ED178" s="198"/>
      <c r="EE178" s="198"/>
      <c r="EF178" s="198"/>
      <c r="EG178" s="198"/>
      <c r="EH178" s="198"/>
      <c r="EI178" s="198"/>
      <c r="EJ178" s="198"/>
      <c r="EK178" s="198"/>
      <c r="EL178" s="198"/>
      <c r="EM178" s="198"/>
      <c r="EN178" s="198"/>
      <c r="EO178" s="198"/>
      <c r="EP178" s="198"/>
      <c r="EQ178" s="198"/>
      <c r="ER178" s="198"/>
      <c r="ES178" s="198"/>
      <c r="ET178" s="198"/>
      <c r="EU178" s="198"/>
      <c r="EV178" s="198"/>
      <c r="EW178" s="198"/>
      <c r="EX178" s="198"/>
      <c r="EY178" s="198"/>
      <c r="EZ178" s="198"/>
      <c r="FA178" s="198"/>
      <c r="FB178" s="198"/>
      <c r="FC178" s="198"/>
      <c r="FD178" s="198"/>
      <c r="FE178" s="198"/>
      <c r="FF178" s="198"/>
      <c r="FG178" s="198"/>
      <c r="FH178" s="198"/>
      <c r="FI178" s="198"/>
      <c r="FJ178" s="198"/>
      <c r="FK178" s="198"/>
      <c r="FL178" s="198"/>
      <c r="FM178" s="198"/>
      <c r="FN178" s="198"/>
      <c r="FO178" s="198"/>
      <c r="FP178" s="198"/>
      <c r="FQ178" s="198"/>
      <c r="FR178" s="198"/>
      <c r="FS178" s="198"/>
      <c r="FT178" s="198"/>
      <c r="FU178" s="198"/>
      <c r="FV178" s="198"/>
      <c r="FW178" s="198"/>
      <c r="FX178" s="198"/>
      <c r="FY178" s="198"/>
      <c r="FZ178" s="198"/>
      <c r="GA178" s="198"/>
      <c r="GB178" s="198"/>
      <c r="GC178" s="198"/>
      <c r="GD178" s="198"/>
      <c r="GE178" s="198"/>
      <c r="GF178" s="198"/>
      <c r="GG178" s="198"/>
      <c r="GH178" s="198"/>
      <c r="GI178" s="198"/>
      <c r="GJ178" s="198"/>
      <c r="GK178" s="198"/>
      <c r="GL178" s="198"/>
      <c r="GM178" s="198"/>
      <c r="GN178" s="198"/>
      <c r="GO178" s="198"/>
      <c r="GP178" s="198"/>
      <c r="GQ178" s="198"/>
      <c r="GR178" s="198"/>
      <c r="GS178" s="198"/>
      <c r="GT178" s="198"/>
      <c r="GU178" s="198"/>
      <c r="GV178" s="198"/>
      <c r="GW178" s="198"/>
      <c r="GX178" s="198"/>
      <c r="GY178" s="198"/>
      <c r="GZ178" s="198"/>
      <c r="HA178" s="198"/>
      <c r="HB178" s="198"/>
      <c r="HC178" s="198"/>
      <c r="HD178" s="198"/>
      <c r="HE178" s="198"/>
      <c r="HF178" s="198"/>
      <c r="HG178" s="198"/>
      <c r="HH178" s="198"/>
      <c r="HI178" s="198"/>
      <c r="HJ178" s="198"/>
      <c r="HK178" s="198"/>
      <c r="HL178" s="198"/>
      <c r="HM178" s="198"/>
      <c r="HN178" s="198"/>
      <c r="HO178" s="198"/>
      <c r="HP178" s="198"/>
      <c r="HQ178" s="198"/>
      <c r="HR178" s="198"/>
      <c r="HS178" s="198"/>
      <c r="HT178" s="198"/>
      <c r="HU178" s="198"/>
      <c r="HV178" s="198"/>
      <c r="HW178" s="198"/>
      <c r="HX178" s="198"/>
      <c r="HY178" s="198"/>
      <c r="HZ178" s="198"/>
      <c r="IA178" s="198"/>
      <c r="IB178" s="198"/>
    </row>
  </sheetData>
  <mergeCells count="80">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 ref="BD76:BF78"/>
    <mergeCell ref="BD79:BF79"/>
    <mergeCell ref="BE81:BF81"/>
    <mergeCell ref="BD1:BF1"/>
    <mergeCell ref="BD2:BE3"/>
    <mergeCell ref="BF2:BF3"/>
    <mergeCell ref="BD72:BF72"/>
    <mergeCell ref="BD74:BF74"/>
    <mergeCell ref="BG76:BI78"/>
    <mergeCell ref="BG79:BI79"/>
    <mergeCell ref="BH81:BI81"/>
    <mergeCell ref="BG1:BI1"/>
    <mergeCell ref="BG2:BH3"/>
    <mergeCell ref="BI2:BI3"/>
    <mergeCell ref="BG72:BI72"/>
    <mergeCell ref="BG74:BI74"/>
  </mergeCells>
  <phoneticPr fontId="19"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Y318"/>
  <sheetViews>
    <sheetView showGridLines="0" topLeftCell="B72" zoomScale="70" zoomScaleNormal="70" workbookViewId="0">
      <selection activeCell="C34" sqref="C34"/>
    </sheetView>
  </sheetViews>
  <sheetFormatPr baseColWidth="10" defaultRowHeight="15"/>
  <cols>
    <col min="1" max="1" width="0" style="502" hidden="1" customWidth="1"/>
    <col min="2" max="2" width="30.5703125" style="502" bestFit="1" customWidth="1"/>
    <col min="3" max="3" width="3.85546875" style="502" customWidth="1"/>
    <col min="4" max="4" width="108" style="502" customWidth="1"/>
    <col min="5" max="5" width="23.7109375" style="503" hidden="1" customWidth="1"/>
    <col min="6" max="6" width="21.28515625" style="502" customWidth="1"/>
    <col min="7" max="8" width="11.42578125" style="502"/>
    <col min="9" max="9" width="3.140625" style="502" customWidth="1"/>
    <col min="10" max="10" width="11.42578125" style="502" hidden="1" customWidth="1"/>
    <col min="11" max="11" width="13.85546875" style="502" customWidth="1"/>
    <col min="12" max="15" width="11.42578125" style="502"/>
    <col min="16" max="16" width="16" style="502" customWidth="1"/>
    <col min="17" max="17" width="33.28515625" style="502" bestFit="1" customWidth="1"/>
    <col min="18" max="18" width="11.42578125" style="502"/>
    <col min="19" max="19" width="33.28515625" style="502" bestFit="1" customWidth="1"/>
    <col min="20" max="16384" width="11.42578125" style="502"/>
  </cols>
  <sheetData>
    <row r="2" spans="2:25" ht="36">
      <c r="B2" s="501">
        <v>1</v>
      </c>
      <c r="D2" s="502" t="s">
        <v>396</v>
      </c>
      <c r="P2" s="560" t="s">
        <v>674</v>
      </c>
    </row>
    <row r="3" spans="2:25">
      <c r="P3" s="502" t="s">
        <v>667</v>
      </c>
    </row>
    <row r="4" spans="2:25" ht="21">
      <c r="D4" s="504" t="s">
        <v>397</v>
      </c>
      <c r="E4" s="505" t="s">
        <v>398</v>
      </c>
      <c r="F4" s="506" t="s">
        <v>399</v>
      </c>
      <c r="P4" s="552" t="s">
        <v>662</v>
      </c>
      <c r="Q4" s="552" t="s">
        <v>663</v>
      </c>
      <c r="R4" s="552" t="s">
        <v>664</v>
      </c>
      <c r="S4" s="552" t="s">
        <v>668</v>
      </c>
      <c r="T4" s="552" t="s">
        <v>665</v>
      </c>
      <c r="U4" s="552" t="s">
        <v>666</v>
      </c>
      <c r="V4" s="552"/>
      <c r="W4" s="552"/>
      <c r="X4" s="552" t="s">
        <v>661</v>
      </c>
      <c r="Y4" s="552" t="s">
        <v>660</v>
      </c>
    </row>
    <row r="5" spans="2:25" ht="21">
      <c r="D5" s="504"/>
      <c r="E5" s="505"/>
      <c r="F5" s="506" t="s">
        <v>626</v>
      </c>
      <c r="P5" s="553">
        <v>30000009113</v>
      </c>
      <c r="Q5" s="554" t="s">
        <v>657</v>
      </c>
      <c r="R5" s="556">
        <f>+'COMBUSTIBLES '!B7</f>
        <v>5701</v>
      </c>
      <c r="S5" s="553" t="s">
        <v>658</v>
      </c>
      <c r="T5" s="553">
        <v>1</v>
      </c>
      <c r="U5" s="553" t="s">
        <v>659</v>
      </c>
      <c r="V5" s="553"/>
      <c r="W5" s="553"/>
      <c r="X5" s="555" t="s">
        <v>675</v>
      </c>
      <c r="Y5" s="555" t="s">
        <v>676</v>
      </c>
    </row>
    <row r="6" spans="2:25">
      <c r="D6" s="507" t="s">
        <v>401</v>
      </c>
      <c r="E6" s="508" t="s">
        <v>402</v>
      </c>
      <c r="F6" s="675" t="s">
        <v>403</v>
      </c>
      <c r="G6" s="675"/>
      <c r="H6" s="675"/>
      <c r="I6" s="675"/>
      <c r="J6" s="675"/>
    </row>
    <row r="7" spans="2:25">
      <c r="D7" s="507" t="s">
        <v>404</v>
      </c>
      <c r="E7" s="508" t="s">
        <v>176</v>
      </c>
      <c r="F7" s="675" t="s">
        <v>403</v>
      </c>
      <c r="G7" s="675"/>
      <c r="H7" s="675"/>
      <c r="I7" s="675"/>
      <c r="J7" s="675"/>
    </row>
    <row r="8" spans="2:25">
      <c r="D8" s="507" t="s">
        <v>405</v>
      </c>
      <c r="E8" s="508" t="s">
        <v>211</v>
      </c>
      <c r="F8" s="675" t="s">
        <v>403</v>
      </c>
      <c r="G8" s="675"/>
      <c r="H8" s="675"/>
      <c r="I8" s="675"/>
      <c r="J8" s="675"/>
      <c r="P8" s="557" t="s">
        <v>669</v>
      </c>
    </row>
    <row r="9" spans="2:25">
      <c r="D9" s="507" t="s">
        <v>406</v>
      </c>
      <c r="E9" s="508" t="s">
        <v>407</v>
      </c>
      <c r="F9" s="675" t="s">
        <v>408</v>
      </c>
      <c r="G9" s="675"/>
      <c r="H9" s="675"/>
      <c r="I9" s="675"/>
      <c r="J9" s="675"/>
    </row>
    <row r="10" spans="2:25">
      <c r="D10" s="507" t="s">
        <v>409</v>
      </c>
      <c r="E10" s="508" t="s">
        <v>175</v>
      </c>
      <c r="F10" s="675" t="s">
        <v>403</v>
      </c>
      <c r="G10" s="675"/>
      <c r="H10" s="675"/>
      <c r="I10" s="675"/>
      <c r="J10" s="675"/>
    </row>
    <row r="11" spans="2:25">
      <c r="D11" s="507" t="s">
        <v>410</v>
      </c>
      <c r="E11" s="508" t="s">
        <v>411</v>
      </c>
      <c r="F11" s="675" t="s">
        <v>403</v>
      </c>
      <c r="G11" s="675"/>
      <c r="H11" s="675"/>
      <c r="I11" s="675"/>
      <c r="J11" s="675"/>
    </row>
    <row r="12" spans="2:25">
      <c r="D12" s="507" t="s">
        <v>412</v>
      </c>
      <c r="E12" s="508" t="s">
        <v>413</v>
      </c>
      <c r="F12" s="675" t="s">
        <v>403</v>
      </c>
      <c r="G12" s="675"/>
      <c r="H12" s="675"/>
      <c r="I12" s="675"/>
      <c r="J12" s="675"/>
    </row>
    <row r="13" spans="2:25">
      <c r="D13" s="507" t="s">
        <v>414</v>
      </c>
      <c r="E13" s="508" t="s">
        <v>415</v>
      </c>
      <c r="F13" s="675" t="s">
        <v>403</v>
      </c>
      <c r="G13" s="675"/>
      <c r="H13" s="675"/>
      <c r="I13" s="675"/>
      <c r="J13" s="675"/>
    </row>
    <row r="14" spans="2:25">
      <c r="D14" s="507" t="s">
        <v>416</v>
      </c>
      <c r="E14" s="508" t="s">
        <v>417</v>
      </c>
      <c r="F14" s="675" t="s">
        <v>408</v>
      </c>
      <c r="G14" s="675"/>
      <c r="H14" s="675"/>
      <c r="I14" s="675"/>
      <c r="J14" s="675"/>
    </row>
    <row r="15" spans="2:25">
      <c r="D15" s="523" t="s">
        <v>418</v>
      </c>
      <c r="E15" s="524"/>
      <c r="F15" s="687" t="s">
        <v>419</v>
      </c>
      <c r="G15" s="687"/>
      <c r="H15" s="687"/>
      <c r="I15" s="687"/>
      <c r="J15" s="687"/>
    </row>
    <row r="16" spans="2:25">
      <c r="D16" s="523" t="s">
        <v>420</v>
      </c>
      <c r="E16" s="524"/>
      <c r="F16" s="687" t="s">
        <v>419</v>
      </c>
      <c r="G16" s="687"/>
      <c r="H16" s="687"/>
      <c r="I16" s="687"/>
      <c r="J16" s="687"/>
    </row>
    <row r="17" spans="4:10">
      <c r="D17" s="507" t="s">
        <v>421</v>
      </c>
      <c r="E17" s="508" t="s">
        <v>422</v>
      </c>
      <c r="F17" s="675" t="s">
        <v>423</v>
      </c>
      <c r="G17" s="675"/>
      <c r="H17" s="675"/>
      <c r="I17" s="675"/>
      <c r="J17" s="675"/>
    </row>
    <row r="18" spans="4:10">
      <c r="D18" s="507" t="s">
        <v>424</v>
      </c>
      <c r="E18" s="508" t="s">
        <v>422</v>
      </c>
      <c r="F18" s="675" t="s">
        <v>423</v>
      </c>
      <c r="G18" s="675"/>
      <c r="H18" s="675"/>
      <c r="I18" s="675"/>
      <c r="J18" s="675"/>
    </row>
    <row r="19" spans="4:10">
      <c r="D19" s="507" t="s">
        <v>425</v>
      </c>
      <c r="E19" s="508" t="s">
        <v>422</v>
      </c>
      <c r="F19" s="675" t="s">
        <v>423</v>
      </c>
      <c r="G19" s="675"/>
      <c r="H19" s="675"/>
      <c r="I19" s="675"/>
      <c r="J19" s="675"/>
    </row>
    <row r="20" spans="4:10">
      <c r="D20" s="507" t="s">
        <v>426</v>
      </c>
      <c r="E20" s="508" t="s">
        <v>427</v>
      </c>
      <c r="F20" s="675" t="s">
        <v>423</v>
      </c>
      <c r="G20" s="675"/>
      <c r="H20" s="675"/>
      <c r="I20" s="675"/>
      <c r="J20" s="675"/>
    </row>
    <row r="21" spans="4:10">
      <c r="D21" s="510" t="s">
        <v>428</v>
      </c>
      <c r="E21" s="508" t="s">
        <v>427</v>
      </c>
      <c r="F21" s="675" t="s">
        <v>423</v>
      </c>
      <c r="G21" s="675"/>
      <c r="H21" s="675"/>
      <c r="I21" s="675"/>
      <c r="J21" s="675"/>
    </row>
    <row r="22" spans="4:10">
      <c r="D22" s="510" t="s">
        <v>429</v>
      </c>
      <c r="E22" s="508" t="s">
        <v>430</v>
      </c>
      <c r="F22" s="675" t="s">
        <v>431</v>
      </c>
      <c r="G22" s="675"/>
      <c r="H22" s="675"/>
      <c r="I22" s="675"/>
      <c r="J22" s="675"/>
    </row>
    <row r="23" spans="4:10">
      <c r="D23" s="510" t="s">
        <v>432</v>
      </c>
      <c r="E23" s="508" t="s">
        <v>430</v>
      </c>
      <c r="F23" s="675" t="s">
        <v>431</v>
      </c>
      <c r="G23" s="675"/>
      <c r="H23" s="675"/>
      <c r="I23" s="675"/>
      <c r="J23" s="675"/>
    </row>
    <row r="24" spans="4:10">
      <c r="D24" s="510" t="s">
        <v>433</v>
      </c>
      <c r="E24" s="508" t="s">
        <v>434</v>
      </c>
      <c r="F24" s="675" t="s">
        <v>431</v>
      </c>
      <c r="G24" s="675"/>
      <c r="H24" s="675"/>
      <c r="I24" s="675"/>
      <c r="J24" s="675"/>
    </row>
    <row r="25" spans="4:10">
      <c r="D25" s="510" t="s">
        <v>435</v>
      </c>
      <c r="E25" s="508" t="s">
        <v>427</v>
      </c>
      <c r="F25" s="675" t="s">
        <v>431</v>
      </c>
      <c r="G25" s="675"/>
      <c r="H25" s="675"/>
      <c r="I25" s="675"/>
      <c r="J25" s="675"/>
    </row>
    <row r="28" spans="4:10" ht="21">
      <c r="D28" s="504" t="s">
        <v>436</v>
      </c>
    </row>
    <row r="29" spans="4:10">
      <c r="D29" s="511" t="s">
        <v>437</v>
      </c>
    </row>
    <row r="30" spans="4:10">
      <c r="D30" s="512" t="s">
        <v>438</v>
      </c>
    </row>
    <row r="31" spans="4:10">
      <c r="D31" s="502" t="s">
        <v>439</v>
      </c>
    </row>
    <row r="32" spans="4:10">
      <c r="D32" s="502" t="s">
        <v>440</v>
      </c>
    </row>
    <row r="33" spans="4:16">
      <c r="D33" s="502" t="s">
        <v>441</v>
      </c>
    </row>
    <row r="34" spans="4:16">
      <c r="D34" s="502" t="s">
        <v>442</v>
      </c>
    </row>
    <row r="37" spans="4:16">
      <c r="O37" s="502">
        <v>1</v>
      </c>
      <c r="P37" s="512" t="s">
        <v>443</v>
      </c>
    </row>
    <row r="38" spans="4:16">
      <c r="O38" s="502">
        <v>2</v>
      </c>
      <c r="P38" s="512" t="s">
        <v>444</v>
      </c>
    </row>
    <row r="39" spans="4:16" ht="21">
      <c r="D39" s="666" t="s">
        <v>445</v>
      </c>
      <c r="E39" s="667" t="s">
        <v>398</v>
      </c>
      <c r="F39" s="668" t="s">
        <v>399</v>
      </c>
      <c r="G39" s="669"/>
      <c r="H39" s="669"/>
      <c r="I39" s="669"/>
      <c r="J39" s="670"/>
      <c r="K39" s="688" t="s">
        <v>683</v>
      </c>
      <c r="O39" s="502">
        <v>3</v>
      </c>
      <c r="P39" s="512" t="s">
        <v>446</v>
      </c>
    </row>
    <row r="40" spans="4:16" ht="21">
      <c r="D40" s="666"/>
      <c r="E40" s="667"/>
      <c r="F40" s="671" t="s">
        <v>447</v>
      </c>
      <c r="G40" s="672"/>
      <c r="H40" s="672"/>
      <c r="I40" s="672"/>
      <c r="J40" s="673"/>
      <c r="K40" s="689"/>
      <c r="O40" s="502">
        <v>4</v>
      </c>
      <c r="P40" s="512" t="s">
        <v>448</v>
      </c>
    </row>
    <row r="41" spans="4:16">
      <c r="D41" s="513" t="s">
        <v>449</v>
      </c>
      <c r="E41" s="545"/>
      <c r="F41" s="680" t="s">
        <v>450</v>
      </c>
      <c r="G41" s="680"/>
      <c r="H41" s="680"/>
      <c r="I41" s="680"/>
      <c r="J41" s="680"/>
      <c r="K41" s="519"/>
      <c r="L41" s="596" t="s">
        <v>680</v>
      </c>
      <c r="P41" s="512"/>
    </row>
    <row r="42" spans="4:16">
      <c r="D42" s="513" t="s">
        <v>451</v>
      </c>
      <c r="E42" s="558"/>
      <c r="F42" s="675" t="s">
        <v>450</v>
      </c>
      <c r="G42" s="675"/>
      <c r="H42" s="675"/>
      <c r="I42" s="675"/>
      <c r="J42" s="675"/>
      <c r="K42" s="519"/>
      <c r="L42" s="596" t="s">
        <v>680</v>
      </c>
      <c r="P42" s="512"/>
    </row>
    <row r="43" spans="4:16">
      <c r="D43" s="513" t="s">
        <v>452</v>
      </c>
      <c r="E43" s="558"/>
      <c r="F43" s="675" t="s">
        <v>450</v>
      </c>
      <c r="G43" s="675"/>
      <c r="H43" s="675"/>
      <c r="I43" s="675"/>
      <c r="J43" s="675"/>
      <c r="K43" s="519"/>
      <c r="L43" s="596" t="s">
        <v>680</v>
      </c>
      <c r="O43" s="502">
        <v>5</v>
      </c>
      <c r="P43" s="512" t="s">
        <v>453</v>
      </c>
    </row>
    <row r="44" spans="4:16">
      <c r="D44" s="513" t="s">
        <v>454</v>
      </c>
      <c r="E44" s="558" t="s">
        <v>422</v>
      </c>
      <c r="F44" s="675" t="s">
        <v>423</v>
      </c>
      <c r="G44" s="675"/>
      <c r="H44" s="675"/>
      <c r="I44" s="675"/>
      <c r="J44" s="675"/>
      <c r="K44" s="548">
        <f>+'COMBUSTIBLES '!E7</f>
        <v>5864.6</v>
      </c>
      <c r="L44" s="596" t="s">
        <v>680</v>
      </c>
    </row>
    <row r="45" spans="4:16">
      <c r="D45" s="513" t="s">
        <v>455</v>
      </c>
      <c r="E45" s="558" t="s">
        <v>456</v>
      </c>
      <c r="F45" s="675" t="s">
        <v>423</v>
      </c>
      <c r="G45" s="675"/>
      <c r="H45" s="675"/>
      <c r="I45" s="675"/>
      <c r="J45" s="675"/>
      <c r="K45" s="569">
        <v>7.9</v>
      </c>
      <c r="L45" s="596" t="s">
        <v>680</v>
      </c>
    </row>
    <row r="46" spans="4:16">
      <c r="D46" s="513" t="s">
        <v>457</v>
      </c>
      <c r="E46" s="558"/>
      <c r="F46" s="676" t="s">
        <v>458</v>
      </c>
      <c r="G46" s="676"/>
      <c r="H46" s="676"/>
      <c r="I46" s="676"/>
      <c r="J46" s="676"/>
      <c r="K46" s="548">
        <f>+Variables!E27</f>
        <v>5024.59</v>
      </c>
      <c r="L46" s="596" t="s">
        <v>680</v>
      </c>
    </row>
    <row r="47" spans="4:16">
      <c r="D47" s="513" t="s">
        <v>461</v>
      </c>
      <c r="E47" s="558" t="s">
        <v>462</v>
      </c>
      <c r="F47" s="675" t="s">
        <v>423</v>
      </c>
      <c r="G47" s="675"/>
      <c r="H47" s="675"/>
      <c r="I47" s="675"/>
      <c r="J47" s="675"/>
      <c r="K47" s="548">
        <f>+'COMBUSTIBLES '!B8</f>
        <v>7.9001000000000001</v>
      </c>
      <c r="L47" s="596" t="s">
        <v>680</v>
      </c>
    </row>
    <row r="48" spans="4:16">
      <c r="D48" s="513" t="s">
        <v>463</v>
      </c>
      <c r="E48" s="558" t="s">
        <v>427</v>
      </c>
      <c r="F48" s="675" t="s">
        <v>423</v>
      </c>
      <c r="G48" s="675"/>
      <c r="H48" s="675"/>
      <c r="I48" s="675"/>
      <c r="J48" s="675"/>
      <c r="K48" s="548">
        <f>+'COMBUSTIBLES '!B7</f>
        <v>5701</v>
      </c>
      <c r="L48" s="596" t="s">
        <v>680</v>
      </c>
    </row>
    <row r="49" spans="4:12">
      <c r="D49" s="513" t="s">
        <v>459</v>
      </c>
      <c r="E49" s="559" t="s">
        <v>460</v>
      </c>
      <c r="F49" s="676" t="s">
        <v>458</v>
      </c>
      <c r="G49" s="676"/>
      <c r="H49" s="676"/>
      <c r="I49" s="676"/>
      <c r="J49" s="676"/>
      <c r="K49" s="548">
        <f>+Variables!E20</f>
        <v>5078.7700000000004</v>
      </c>
      <c r="L49" s="596" t="s">
        <v>680</v>
      </c>
    </row>
    <row r="50" spans="4:12">
      <c r="D50" s="513" t="s">
        <v>464</v>
      </c>
      <c r="E50" s="558" t="s">
        <v>456</v>
      </c>
      <c r="F50" s="675" t="s">
        <v>465</v>
      </c>
      <c r="G50" s="675"/>
      <c r="H50" s="675"/>
      <c r="I50" s="675"/>
      <c r="J50" s="675"/>
      <c r="K50" s="548">
        <f>+BIODIESEL!E8</f>
        <v>5747.31</v>
      </c>
      <c r="L50" s="596" t="s">
        <v>680</v>
      </c>
    </row>
    <row r="51" spans="4:12">
      <c r="D51" s="513" t="s">
        <v>466</v>
      </c>
      <c r="E51" s="558" t="s">
        <v>430</v>
      </c>
      <c r="F51" s="675" t="s">
        <v>465</v>
      </c>
      <c r="G51" s="675"/>
      <c r="H51" s="675"/>
      <c r="I51" s="675"/>
      <c r="J51" s="675"/>
      <c r="K51" s="548">
        <f>+BIODIESEL!E10</f>
        <v>5943.97</v>
      </c>
      <c r="L51" s="596" t="s">
        <v>680</v>
      </c>
    </row>
    <row r="52" spans="4:12">
      <c r="D52" s="513" t="s">
        <v>467</v>
      </c>
      <c r="E52" s="558" t="s">
        <v>468</v>
      </c>
      <c r="F52" s="675" t="s">
        <v>465</v>
      </c>
      <c r="G52" s="675"/>
      <c r="H52" s="675"/>
      <c r="I52" s="675"/>
      <c r="J52" s="675"/>
      <c r="K52" s="548">
        <f>+BIODIESEL!E14</f>
        <v>7.9001000000000001</v>
      </c>
      <c r="L52" s="596" t="s">
        <v>680</v>
      </c>
    </row>
    <row r="53" spans="4:12">
      <c r="D53" s="513" t="s">
        <v>469</v>
      </c>
      <c r="E53" s="558" t="s">
        <v>470</v>
      </c>
      <c r="F53" s="675" t="s">
        <v>465</v>
      </c>
      <c r="G53" s="675"/>
      <c r="H53" s="675"/>
      <c r="I53" s="675"/>
      <c r="J53" s="675"/>
      <c r="K53" s="548">
        <f>+BIODIESEL!E9</f>
        <v>196.66</v>
      </c>
      <c r="L53" s="596" t="s">
        <v>680</v>
      </c>
    </row>
    <row r="54" spans="4:12">
      <c r="D54" s="513" t="s">
        <v>471</v>
      </c>
      <c r="E54" s="559" t="s">
        <v>460</v>
      </c>
      <c r="F54" s="676" t="s">
        <v>458</v>
      </c>
      <c r="G54" s="676"/>
      <c r="H54" s="676"/>
      <c r="I54" s="676"/>
      <c r="J54" s="676"/>
      <c r="K54" s="548">
        <f>+Variables!E27</f>
        <v>5024.59</v>
      </c>
      <c r="L54" s="596" t="s">
        <v>680</v>
      </c>
    </row>
    <row r="55" spans="4:12">
      <c r="D55" s="513" t="s">
        <v>472</v>
      </c>
      <c r="E55" s="558" t="s">
        <v>456</v>
      </c>
      <c r="F55" s="675" t="s">
        <v>423</v>
      </c>
      <c r="G55" s="675"/>
      <c r="H55" s="675"/>
      <c r="I55" s="675"/>
      <c r="J55" s="675"/>
      <c r="K55" s="548">
        <f>+'COMBUSTIBLES '!E8</f>
        <v>7.9001000000000001</v>
      </c>
      <c r="L55" s="596" t="s">
        <v>680</v>
      </c>
    </row>
    <row r="56" spans="4:12">
      <c r="D56" s="513" t="s">
        <v>473</v>
      </c>
      <c r="E56" s="558" t="s">
        <v>422</v>
      </c>
      <c r="F56" s="675" t="s">
        <v>423</v>
      </c>
      <c r="G56" s="675"/>
      <c r="H56" s="675"/>
      <c r="I56" s="675"/>
      <c r="J56" s="675"/>
      <c r="K56" s="548">
        <f>+'COMBUSTIBLES '!E7</f>
        <v>5864.6</v>
      </c>
      <c r="L56" s="596" t="s">
        <v>680</v>
      </c>
    </row>
    <row r="57" spans="4:12">
      <c r="D57" s="513" t="s">
        <v>474</v>
      </c>
      <c r="E57" s="559" t="s">
        <v>460</v>
      </c>
      <c r="F57" s="676" t="s">
        <v>458</v>
      </c>
      <c r="G57" s="676"/>
      <c r="H57" s="676"/>
      <c r="I57" s="676"/>
      <c r="J57" s="676"/>
      <c r="K57" s="548">
        <f>+Variables!E27</f>
        <v>5024.59</v>
      </c>
      <c r="L57" s="596" t="s">
        <v>680</v>
      </c>
    </row>
    <row r="58" spans="4:12">
      <c r="D58" s="513" t="s">
        <v>475</v>
      </c>
      <c r="E58" s="558" t="s">
        <v>422</v>
      </c>
      <c r="F58" s="675" t="s">
        <v>423</v>
      </c>
      <c r="G58" s="675"/>
      <c r="H58" s="675"/>
      <c r="I58" s="675"/>
      <c r="J58" s="675"/>
      <c r="K58" s="548">
        <f>+'COMBUSTIBLES '!E7</f>
        <v>5864.6</v>
      </c>
      <c r="L58" s="596" t="s">
        <v>680</v>
      </c>
    </row>
    <row r="59" spans="4:12">
      <c r="D59" s="513" t="s">
        <v>476</v>
      </c>
      <c r="E59" s="559" t="s">
        <v>460</v>
      </c>
      <c r="F59" s="676" t="s">
        <v>458</v>
      </c>
      <c r="G59" s="676"/>
      <c r="H59" s="676"/>
      <c r="I59" s="676"/>
      <c r="J59" s="676"/>
      <c r="K59" s="548">
        <f>+Variables!E27</f>
        <v>5024.59</v>
      </c>
      <c r="L59" s="596" t="s">
        <v>680</v>
      </c>
    </row>
    <row r="60" spans="4:12">
      <c r="D60" s="513" t="s">
        <v>477</v>
      </c>
      <c r="E60" s="558" t="s">
        <v>434</v>
      </c>
      <c r="F60" s="675" t="s">
        <v>465</v>
      </c>
      <c r="G60" s="675"/>
      <c r="H60" s="675"/>
      <c r="I60" s="675"/>
      <c r="J60" s="675"/>
      <c r="K60" s="548">
        <f>+BIODIESEL!F10</f>
        <v>6023.34</v>
      </c>
      <c r="L60" s="577"/>
    </row>
    <row r="61" spans="4:12">
      <c r="D61" s="513" t="s">
        <v>478</v>
      </c>
      <c r="E61" s="558" t="s">
        <v>456</v>
      </c>
      <c r="F61" s="675" t="s">
        <v>423</v>
      </c>
      <c r="G61" s="675"/>
      <c r="H61" s="675"/>
      <c r="I61" s="675"/>
      <c r="J61" s="675"/>
      <c r="K61" s="548">
        <f>+'COMBUSTIBLES '!E8</f>
        <v>7.9001000000000001</v>
      </c>
      <c r="L61" s="577"/>
    </row>
    <row r="62" spans="4:12">
      <c r="D62" s="513" t="s">
        <v>479</v>
      </c>
      <c r="E62" s="558" t="s">
        <v>480</v>
      </c>
      <c r="F62" s="675" t="s">
        <v>465</v>
      </c>
      <c r="G62" s="675"/>
      <c r="H62" s="675"/>
      <c r="I62" s="675"/>
      <c r="J62" s="675"/>
      <c r="K62" s="548">
        <f>+BIODIESEL!F8</f>
        <v>5630.02</v>
      </c>
      <c r="L62" s="577"/>
    </row>
    <row r="63" spans="4:12">
      <c r="D63" s="513" t="s">
        <v>481</v>
      </c>
      <c r="E63" s="558" t="s">
        <v>482</v>
      </c>
      <c r="F63" s="675" t="s">
        <v>465</v>
      </c>
      <c r="G63" s="675"/>
      <c r="H63" s="675"/>
      <c r="I63" s="675"/>
      <c r="J63" s="675"/>
      <c r="K63" s="548">
        <f>+BIODIESEL!F9</f>
        <v>393.32</v>
      </c>
      <c r="L63" s="577"/>
    </row>
    <row r="64" spans="4:12">
      <c r="D64" s="513" t="s">
        <v>483</v>
      </c>
      <c r="E64" s="559" t="s">
        <v>460</v>
      </c>
      <c r="F64" s="676" t="s">
        <v>458</v>
      </c>
      <c r="G64" s="676"/>
      <c r="H64" s="676"/>
      <c r="I64" s="676"/>
      <c r="J64" s="676"/>
      <c r="K64" s="548">
        <f>+Variables!E27</f>
        <v>5024.59</v>
      </c>
      <c r="L64" s="577"/>
    </row>
    <row r="65" spans="4:12">
      <c r="D65" s="513" t="s">
        <v>484</v>
      </c>
      <c r="E65" s="558" t="s">
        <v>456</v>
      </c>
      <c r="F65" s="675" t="s">
        <v>423</v>
      </c>
      <c r="G65" s="675"/>
      <c r="H65" s="675"/>
      <c r="I65" s="675"/>
      <c r="J65" s="675"/>
      <c r="K65" s="548">
        <f>+'COMBUSTIBLES '!E8</f>
        <v>7.9001000000000001</v>
      </c>
      <c r="L65" s="596" t="s">
        <v>680</v>
      </c>
    </row>
    <row r="66" spans="4:12">
      <c r="D66" s="513" t="s">
        <v>485</v>
      </c>
      <c r="E66" s="558" t="s">
        <v>422</v>
      </c>
      <c r="F66" s="675" t="s">
        <v>423</v>
      </c>
      <c r="G66" s="675"/>
      <c r="H66" s="675"/>
      <c r="I66" s="675"/>
      <c r="J66" s="675"/>
      <c r="K66" s="548">
        <f>+'COMBUSTIBLES '!E7</f>
        <v>5864.6</v>
      </c>
      <c r="L66" s="596" t="s">
        <v>680</v>
      </c>
    </row>
    <row r="67" spans="4:12">
      <c r="D67" s="513" t="s">
        <v>486</v>
      </c>
      <c r="E67" s="559" t="s">
        <v>460</v>
      </c>
      <c r="F67" s="676" t="s">
        <v>458</v>
      </c>
      <c r="G67" s="676"/>
      <c r="H67" s="676"/>
      <c r="I67" s="676"/>
      <c r="J67" s="676"/>
      <c r="K67" s="570">
        <f>+Variables!E27</f>
        <v>5024.59</v>
      </c>
      <c r="L67" s="596" t="s">
        <v>680</v>
      </c>
    </row>
    <row r="68" spans="4:12">
      <c r="D68" s="513" t="s">
        <v>487</v>
      </c>
      <c r="E68" s="558" t="s">
        <v>430</v>
      </c>
      <c r="F68" s="675" t="s">
        <v>465</v>
      </c>
      <c r="G68" s="675"/>
      <c r="H68" s="675"/>
      <c r="I68" s="675"/>
      <c r="J68" s="675"/>
      <c r="K68" s="570">
        <f>+BIODIESEL!E10</f>
        <v>5943.97</v>
      </c>
      <c r="L68" s="596" t="s">
        <v>680</v>
      </c>
    </row>
    <row r="69" spans="4:12">
      <c r="D69" s="513" t="s">
        <v>488</v>
      </c>
      <c r="E69" s="558" t="s">
        <v>456</v>
      </c>
      <c r="F69" s="675" t="s">
        <v>465</v>
      </c>
      <c r="G69" s="675"/>
      <c r="H69" s="675"/>
      <c r="I69" s="675"/>
      <c r="J69" s="675"/>
      <c r="K69" s="570">
        <f>+BIODIESEL!E8</f>
        <v>5747.31</v>
      </c>
      <c r="L69" s="596" t="s">
        <v>680</v>
      </c>
    </row>
    <row r="70" spans="4:12">
      <c r="D70" s="513" t="s">
        <v>489</v>
      </c>
      <c r="E70" s="558" t="s">
        <v>470</v>
      </c>
      <c r="F70" s="675" t="s">
        <v>465</v>
      </c>
      <c r="G70" s="675"/>
      <c r="H70" s="675"/>
      <c r="I70" s="675"/>
      <c r="J70" s="675"/>
      <c r="K70" s="570">
        <f>+BIODIESEL!E9</f>
        <v>196.66</v>
      </c>
      <c r="L70" s="596" t="s">
        <v>680</v>
      </c>
    </row>
    <row r="71" spans="4:12">
      <c r="D71" s="513" t="s">
        <v>490</v>
      </c>
      <c r="E71" s="559" t="s">
        <v>460</v>
      </c>
      <c r="F71" s="676" t="s">
        <v>458</v>
      </c>
      <c r="G71" s="676"/>
      <c r="H71" s="676"/>
      <c r="I71" s="676"/>
      <c r="J71" s="676"/>
      <c r="K71" s="570">
        <f>+Variables!E27</f>
        <v>5024.59</v>
      </c>
      <c r="L71" s="596" t="s">
        <v>680</v>
      </c>
    </row>
    <row r="72" spans="4:12">
      <c r="D72" s="513" t="s">
        <v>628</v>
      </c>
      <c r="E72" s="558" t="s">
        <v>422</v>
      </c>
      <c r="F72" s="675" t="s">
        <v>423</v>
      </c>
      <c r="G72" s="675"/>
      <c r="H72" s="675"/>
      <c r="I72" s="675"/>
      <c r="J72" s="675"/>
      <c r="K72" s="570">
        <f>+'COMBUSTIBLES '!E7</f>
        <v>5864.6</v>
      </c>
      <c r="L72" s="596" t="s">
        <v>680</v>
      </c>
    </row>
    <row r="73" spans="4:12">
      <c r="D73" s="513" t="s">
        <v>629</v>
      </c>
      <c r="E73" s="559" t="s">
        <v>460</v>
      </c>
      <c r="F73" s="676" t="s">
        <v>458</v>
      </c>
      <c r="G73" s="676"/>
      <c r="H73" s="676"/>
      <c r="I73" s="676"/>
      <c r="J73" s="676"/>
      <c r="K73" s="548">
        <f>+Variables!E27</f>
        <v>5024.59</v>
      </c>
      <c r="L73" s="596" t="s">
        <v>680</v>
      </c>
    </row>
    <row r="74" spans="4:12">
      <c r="D74" s="513" t="s">
        <v>630</v>
      </c>
      <c r="E74" s="558" t="s">
        <v>456</v>
      </c>
      <c r="F74" s="675" t="s">
        <v>423</v>
      </c>
      <c r="G74" s="675"/>
      <c r="H74" s="675"/>
      <c r="I74" s="675"/>
      <c r="J74" s="675"/>
      <c r="K74" s="548">
        <f>+'COMBUSTIBLES '!E8</f>
        <v>7.9001000000000001</v>
      </c>
      <c r="L74" s="596" t="s">
        <v>680</v>
      </c>
    </row>
    <row r="75" spans="4:12">
      <c r="D75" s="513" t="s">
        <v>631</v>
      </c>
      <c r="E75" s="558"/>
      <c r="F75" s="675" t="s">
        <v>450</v>
      </c>
      <c r="G75" s="675"/>
      <c r="H75" s="675"/>
      <c r="I75" s="675"/>
      <c r="J75" s="675"/>
      <c r="K75" s="519">
        <v>0</v>
      </c>
      <c r="L75" s="596" t="s">
        <v>680</v>
      </c>
    </row>
    <row r="76" spans="4:12">
      <c r="D76" s="580" t="s">
        <v>686</v>
      </c>
      <c r="E76" s="578"/>
      <c r="F76" s="686" t="s">
        <v>458</v>
      </c>
      <c r="G76" s="686"/>
      <c r="H76" s="686"/>
      <c r="I76" s="686"/>
      <c r="J76" s="686"/>
      <c r="K76" s="579">
        <f>+'COMBUSTIBLES '!E7</f>
        <v>5864.6</v>
      </c>
      <c r="L76" s="596" t="s">
        <v>680</v>
      </c>
    </row>
    <row r="77" spans="4:12">
      <c r="D77" s="513" t="s">
        <v>687</v>
      </c>
      <c r="E77" s="558"/>
      <c r="F77" s="677"/>
      <c r="G77" s="678"/>
      <c r="H77" s="678"/>
      <c r="I77" s="679"/>
      <c r="J77" s="576"/>
      <c r="K77" s="548">
        <f>+Variables!E27</f>
        <v>5024.59</v>
      </c>
      <c r="L77" s="596" t="s">
        <v>680</v>
      </c>
    </row>
    <row r="78" spans="4:12">
      <c r="D78" s="513" t="s">
        <v>688</v>
      </c>
      <c r="E78" s="558"/>
      <c r="F78" s="676" t="s">
        <v>458</v>
      </c>
      <c r="G78" s="676"/>
      <c r="H78" s="676"/>
      <c r="I78" s="676"/>
      <c r="J78" s="676"/>
      <c r="K78" s="548">
        <f>+'COMBUSTIBLES '!E8</f>
        <v>7.9001000000000001</v>
      </c>
      <c r="L78" s="596" t="s">
        <v>680</v>
      </c>
    </row>
    <row r="79" spans="4:12">
      <c r="D79" s="513" t="s">
        <v>689</v>
      </c>
      <c r="E79" s="558"/>
      <c r="F79" s="676" t="s">
        <v>458</v>
      </c>
      <c r="G79" s="676"/>
      <c r="H79" s="676"/>
      <c r="I79" s="676"/>
      <c r="J79" s="676"/>
      <c r="K79" s="548">
        <f>+'COMBUSTIBLES '!B7</f>
        <v>5701</v>
      </c>
      <c r="L79" s="596" t="s">
        <v>680</v>
      </c>
    </row>
    <row r="80" spans="4:12">
      <c r="D80" s="513" t="s">
        <v>690</v>
      </c>
      <c r="E80" s="558"/>
      <c r="F80" s="677"/>
      <c r="G80" s="678"/>
      <c r="H80" s="678"/>
      <c r="I80" s="679"/>
      <c r="J80" s="576"/>
      <c r="K80" s="548">
        <f>+Variables!E22</f>
        <v>5078.7700000000004</v>
      </c>
      <c r="L80" s="596" t="s">
        <v>680</v>
      </c>
    </row>
    <row r="81" spans="2:12">
      <c r="D81" s="513" t="s">
        <v>691</v>
      </c>
      <c r="E81" s="558"/>
      <c r="F81" s="677"/>
      <c r="G81" s="678"/>
      <c r="H81" s="678"/>
      <c r="I81" s="679"/>
      <c r="J81" s="576"/>
      <c r="K81" s="548">
        <f>+'COMBUSTIBLES '!B8</f>
        <v>7.9001000000000001</v>
      </c>
      <c r="L81" s="596" t="s">
        <v>680</v>
      </c>
    </row>
    <row r="82" spans="2:12">
      <c r="D82" s="513" t="s">
        <v>692</v>
      </c>
      <c r="E82" s="558"/>
      <c r="F82" s="677"/>
      <c r="G82" s="678"/>
      <c r="H82" s="678"/>
      <c r="I82" s="679"/>
      <c r="J82" s="576"/>
      <c r="K82" s="548">
        <f>+'COMBUSTIBLES '!E10</f>
        <v>71.510000000000005</v>
      </c>
      <c r="L82" s="596" t="s">
        <v>680</v>
      </c>
    </row>
    <row r="83" spans="2:12">
      <c r="D83" s="513" t="s">
        <v>693</v>
      </c>
      <c r="E83" s="558"/>
      <c r="F83" s="677"/>
      <c r="G83" s="678"/>
      <c r="H83" s="678"/>
      <c r="I83" s="679"/>
      <c r="J83" s="576"/>
      <c r="K83" s="548">
        <f>+'COMBUSTIBLES '!E10</f>
        <v>71.510000000000005</v>
      </c>
      <c r="L83" s="596" t="s">
        <v>680</v>
      </c>
    </row>
    <row r="84" spans="2:12">
      <c r="D84" s="513" t="s">
        <v>699</v>
      </c>
      <c r="E84" s="558"/>
      <c r="F84" s="677"/>
      <c r="G84" s="678"/>
      <c r="H84" s="678"/>
      <c r="I84" s="679"/>
      <c r="J84" s="586"/>
      <c r="K84" s="548">
        <f>+BIODIESEL!E10</f>
        <v>5943.97</v>
      </c>
      <c r="L84" s="596" t="s">
        <v>680</v>
      </c>
    </row>
    <row r="85" spans="2:12">
      <c r="D85" s="513" t="s">
        <v>700</v>
      </c>
      <c r="E85" s="558"/>
      <c r="F85" s="677"/>
      <c r="G85" s="678"/>
      <c r="H85" s="678"/>
      <c r="I85" s="679"/>
      <c r="J85" s="586"/>
      <c r="K85" s="548">
        <f>+Variables!E27</f>
        <v>5024.59</v>
      </c>
      <c r="L85" s="596" t="s">
        <v>680</v>
      </c>
    </row>
    <row r="86" spans="2:12">
      <c r="D86" s="513" t="s">
        <v>701</v>
      </c>
      <c r="E86" s="558"/>
      <c r="F86" s="677"/>
      <c r="G86" s="678"/>
      <c r="H86" s="678"/>
      <c r="I86" s="679"/>
      <c r="J86" s="586"/>
      <c r="K86" s="548">
        <f>+K83</f>
        <v>71.510000000000005</v>
      </c>
      <c r="L86" s="596" t="s">
        <v>680</v>
      </c>
    </row>
    <row r="87" spans="2:12">
      <c r="D87" s="513" t="s">
        <v>702</v>
      </c>
      <c r="E87" s="558"/>
      <c r="F87" s="677"/>
      <c r="G87" s="678"/>
      <c r="H87" s="678"/>
      <c r="I87" s="679"/>
      <c r="J87" s="586"/>
      <c r="K87" s="548">
        <f>+BIODIESEL!E9</f>
        <v>196.66</v>
      </c>
      <c r="L87" s="596" t="s">
        <v>680</v>
      </c>
    </row>
    <row r="88" spans="2:12">
      <c r="D88" s="513" t="s">
        <v>703</v>
      </c>
      <c r="E88" s="558"/>
      <c r="F88" s="677"/>
      <c r="G88" s="678"/>
      <c r="H88" s="678"/>
      <c r="I88" s="679"/>
      <c r="J88" s="586"/>
      <c r="K88" s="548">
        <f>+BIODIESEL!E8</f>
        <v>5747.31</v>
      </c>
      <c r="L88" s="596" t="s">
        <v>680</v>
      </c>
    </row>
    <row r="89" spans="2:12">
      <c r="D89" s="599"/>
      <c r="E89" s="578"/>
      <c r="F89" s="597"/>
      <c r="G89" s="597"/>
      <c r="H89" s="597"/>
      <c r="I89" s="597"/>
      <c r="J89" s="598"/>
      <c r="K89" s="579"/>
      <c r="L89" s="577"/>
    </row>
    <row r="90" spans="2:12" ht="36">
      <c r="B90" s="501">
        <v>2</v>
      </c>
      <c r="D90" s="502" t="s">
        <v>491</v>
      </c>
    </row>
    <row r="92" spans="2:12" ht="21">
      <c r="D92" s="504" t="s">
        <v>397</v>
      </c>
      <c r="E92" s="505" t="s">
        <v>398</v>
      </c>
      <c r="F92" s="506" t="s">
        <v>399</v>
      </c>
    </row>
    <row r="93" spans="2:12" ht="21">
      <c r="D93" s="504"/>
      <c r="E93" s="505"/>
      <c r="F93" s="506" t="s">
        <v>447</v>
      </c>
    </row>
    <row r="94" spans="2:12">
      <c r="D94" s="510" t="s">
        <v>492</v>
      </c>
      <c r="E94" s="543" t="s">
        <v>493</v>
      </c>
      <c r="F94" s="675" t="s">
        <v>423</v>
      </c>
      <c r="G94" s="675"/>
      <c r="H94" s="675"/>
      <c r="I94" s="675"/>
      <c r="J94" s="675"/>
      <c r="K94" s="539">
        <f>+'COMBUSTIBLES '!D7</f>
        <v>7000</v>
      </c>
    </row>
    <row r="95" spans="2:12">
      <c r="D95" s="510" t="s">
        <v>494</v>
      </c>
      <c r="E95" s="543" t="s">
        <v>495</v>
      </c>
      <c r="F95" s="675" t="s">
        <v>423</v>
      </c>
      <c r="G95" s="675"/>
      <c r="H95" s="675"/>
      <c r="I95" s="675"/>
      <c r="J95" s="675"/>
      <c r="K95" s="539">
        <f>+'COMBUSTIBLES '!G7</f>
        <v>7155.89</v>
      </c>
    </row>
    <row r="96" spans="2:12">
      <c r="D96" s="509" t="s">
        <v>496</v>
      </c>
      <c r="E96" s="515"/>
      <c r="F96" s="685" t="s">
        <v>497</v>
      </c>
      <c r="G96" s="685"/>
      <c r="H96" s="685"/>
      <c r="I96" s="685"/>
      <c r="J96" s="685"/>
    </row>
    <row r="97" spans="4:11">
      <c r="D97" s="502" t="s">
        <v>642</v>
      </c>
      <c r="E97" s="503" t="s">
        <v>643</v>
      </c>
      <c r="K97" s="572" t="s">
        <v>684</v>
      </c>
    </row>
    <row r="98" spans="4:11" ht="21">
      <c r="D98" s="506" t="s">
        <v>498</v>
      </c>
      <c r="E98" s="503" t="s">
        <v>644</v>
      </c>
    </row>
    <row r="99" spans="4:11">
      <c r="D99" s="512" t="s">
        <v>499</v>
      </c>
    </row>
    <row r="100" spans="4:11">
      <c r="D100" s="512" t="s">
        <v>500</v>
      </c>
    </row>
    <row r="101" spans="4:11">
      <c r="D101" s="512"/>
    </row>
    <row r="102" spans="4:11">
      <c r="D102" s="512" t="s">
        <v>501</v>
      </c>
    </row>
    <row r="103" spans="4:11">
      <c r="D103" s="512"/>
    </row>
    <row r="104" spans="4:11">
      <c r="D104" s="512"/>
    </row>
    <row r="105" spans="4:11" ht="21">
      <c r="D105" s="504" t="s">
        <v>502</v>
      </c>
    </row>
    <row r="106" spans="4:11">
      <c r="D106" s="512" t="s">
        <v>503</v>
      </c>
    </row>
    <row r="107" spans="4:11">
      <c r="D107" s="512" t="s">
        <v>438</v>
      </c>
    </row>
    <row r="108" spans="4:11">
      <c r="D108" s="502" t="s">
        <v>439</v>
      </c>
    </row>
    <row r="109" spans="4:11">
      <c r="D109" s="502" t="s">
        <v>440</v>
      </c>
    </row>
    <row r="110" spans="4:11">
      <c r="D110" s="526" t="s">
        <v>652</v>
      </c>
    </row>
    <row r="111" spans="4:11">
      <c r="D111" s="502" t="s">
        <v>442</v>
      </c>
    </row>
    <row r="114" spans="4:12" ht="21">
      <c r="D114" s="666" t="s">
        <v>445</v>
      </c>
      <c r="E114" s="667" t="s">
        <v>398</v>
      </c>
      <c r="F114" s="668" t="s">
        <v>399</v>
      </c>
      <c r="G114" s="669"/>
      <c r="H114" s="669"/>
      <c r="I114" s="669"/>
      <c r="J114" s="670"/>
    </row>
    <row r="115" spans="4:12" ht="21">
      <c r="D115" s="666"/>
      <c r="E115" s="667"/>
      <c r="F115" s="671" t="s">
        <v>447</v>
      </c>
      <c r="G115" s="672"/>
      <c r="H115" s="672"/>
      <c r="I115" s="672"/>
      <c r="J115" s="673"/>
    </row>
    <row r="116" spans="4:12" ht="15" customHeight="1">
      <c r="D116" s="516" t="s">
        <v>504</v>
      </c>
      <c r="E116" s="517"/>
      <c r="F116" s="682" t="s">
        <v>505</v>
      </c>
      <c r="G116" s="683"/>
      <c r="H116" s="683"/>
      <c r="I116" s="683"/>
      <c r="J116" s="684"/>
      <c r="K116" s="574">
        <v>6543.55</v>
      </c>
    </row>
    <row r="117" spans="4:12">
      <c r="D117" s="518" t="s">
        <v>506</v>
      </c>
      <c r="E117" s="546">
        <f>+$K$55</f>
        <v>7.9001000000000001</v>
      </c>
      <c r="F117" s="682"/>
      <c r="G117" s="683"/>
      <c r="H117" s="683"/>
      <c r="I117" s="683"/>
      <c r="J117" s="684"/>
      <c r="K117" s="565">
        <v>7.9</v>
      </c>
      <c r="L117" s="565"/>
    </row>
    <row r="118" spans="4:12">
      <c r="D118" s="518" t="s">
        <v>507</v>
      </c>
      <c r="E118" s="546">
        <f>+$K$55</f>
        <v>7.9001000000000001</v>
      </c>
      <c r="F118" s="682"/>
      <c r="G118" s="683"/>
      <c r="H118" s="683"/>
      <c r="I118" s="683"/>
      <c r="J118" s="684"/>
      <c r="K118" s="502">
        <v>7.9</v>
      </c>
      <c r="L118" s="565"/>
    </row>
    <row r="119" spans="4:12">
      <c r="D119" s="518" t="s">
        <v>508</v>
      </c>
      <c r="E119" s="545">
        <v>0</v>
      </c>
      <c r="F119" s="682"/>
      <c r="G119" s="683"/>
      <c r="H119" s="683"/>
      <c r="I119" s="683"/>
      <c r="J119" s="684"/>
      <c r="K119" s="502">
        <v>0</v>
      </c>
      <c r="L119" s="565"/>
    </row>
    <row r="120" spans="4:12">
      <c r="D120" s="516" t="s">
        <v>509</v>
      </c>
      <c r="E120" s="545" t="s">
        <v>510</v>
      </c>
      <c r="F120" s="682" t="s">
        <v>511</v>
      </c>
      <c r="G120" s="683"/>
      <c r="H120" s="683"/>
      <c r="I120" s="683"/>
      <c r="J120" s="684"/>
      <c r="K120" s="522">
        <f>+'GASOLINA EXTRA OXIGENADA'!C7</f>
        <v>7000</v>
      </c>
      <c r="L120" s="565"/>
    </row>
    <row r="121" spans="4:12">
      <c r="D121" s="525" t="s">
        <v>632</v>
      </c>
      <c r="E121" s="545"/>
      <c r="F121" s="676" t="s">
        <v>458</v>
      </c>
      <c r="G121" s="676"/>
      <c r="H121" s="676"/>
      <c r="I121" s="676"/>
      <c r="J121" s="676"/>
      <c r="K121" s="571">
        <f>+Variables!E23</f>
        <v>7107.81</v>
      </c>
      <c r="L121" s="565"/>
    </row>
    <row r="122" spans="4:12">
      <c r="D122" s="518"/>
      <c r="E122" s="547"/>
      <c r="F122" s="682"/>
      <c r="G122" s="683"/>
      <c r="H122" s="683"/>
      <c r="I122" s="683"/>
      <c r="J122" s="684"/>
    </row>
    <row r="123" spans="4:12">
      <c r="D123" s="518" t="s">
        <v>512</v>
      </c>
      <c r="E123" s="545" t="s">
        <v>495</v>
      </c>
      <c r="F123" s="682" t="s">
        <v>513</v>
      </c>
      <c r="G123" s="683"/>
      <c r="H123" s="683"/>
      <c r="I123" s="683"/>
      <c r="J123" s="684"/>
      <c r="K123" s="522">
        <f>+'COMBUSTIBLES '!G7</f>
        <v>7155.89</v>
      </c>
      <c r="L123" s="565"/>
    </row>
    <row r="124" spans="4:12">
      <c r="D124" s="518" t="s">
        <v>514</v>
      </c>
      <c r="E124" s="545">
        <v>0</v>
      </c>
      <c r="F124" s="682"/>
      <c r="G124" s="683"/>
      <c r="H124" s="683"/>
      <c r="I124" s="683"/>
      <c r="J124" s="684"/>
      <c r="K124" s="502">
        <v>0</v>
      </c>
    </row>
    <row r="125" spans="4:12">
      <c r="D125" s="516" t="s">
        <v>515</v>
      </c>
      <c r="E125" s="545"/>
      <c r="F125" s="676" t="s">
        <v>458</v>
      </c>
      <c r="G125" s="676"/>
      <c r="H125" s="676"/>
      <c r="I125" s="676"/>
      <c r="J125" s="676"/>
      <c r="K125" s="573">
        <f>+K121</f>
        <v>7107.81</v>
      </c>
      <c r="L125" s="565"/>
    </row>
    <row r="126" spans="4:12">
      <c r="D126" s="518" t="s">
        <v>516</v>
      </c>
      <c r="E126" s="546">
        <f>+$K$55</f>
        <v>7.9001000000000001</v>
      </c>
      <c r="F126" s="682"/>
      <c r="G126" s="683"/>
      <c r="H126" s="683"/>
      <c r="I126" s="683"/>
      <c r="J126" s="684"/>
      <c r="K126" s="502">
        <v>7.9</v>
      </c>
      <c r="L126" s="565"/>
    </row>
    <row r="127" spans="4:12">
      <c r="D127" s="519" t="s">
        <v>517</v>
      </c>
      <c r="E127" s="545" t="s">
        <v>510</v>
      </c>
      <c r="F127" s="682" t="s">
        <v>511</v>
      </c>
      <c r="G127" s="683"/>
      <c r="H127" s="683"/>
      <c r="I127" s="683"/>
      <c r="J127" s="684"/>
      <c r="K127" s="522">
        <f>+'GASOLINA EXTRA OXIGENADA'!C7</f>
        <v>7000</v>
      </c>
      <c r="L127" s="565"/>
    </row>
    <row r="131" spans="2:10" ht="36">
      <c r="B131" s="501">
        <v>3</v>
      </c>
      <c r="D131" s="502" t="s">
        <v>518</v>
      </c>
    </row>
    <row r="133" spans="2:10" ht="21">
      <c r="D133" s="504" t="s">
        <v>397</v>
      </c>
      <c r="E133" s="505" t="s">
        <v>398</v>
      </c>
      <c r="F133" s="506" t="s">
        <v>399</v>
      </c>
    </row>
    <row r="134" spans="2:10" ht="21">
      <c r="D134" s="504"/>
      <c r="E134" s="505"/>
      <c r="F134" s="506" t="s">
        <v>626</v>
      </c>
    </row>
    <row r="135" spans="2:10">
      <c r="D135" s="510" t="s">
        <v>519</v>
      </c>
      <c r="E135" s="508" t="s">
        <v>520</v>
      </c>
      <c r="F135" s="675" t="s">
        <v>521</v>
      </c>
      <c r="G135" s="675"/>
      <c r="H135" s="675"/>
      <c r="I135" s="675"/>
      <c r="J135" s="675"/>
    </row>
    <row r="136" spans="2:10">
      <c r="D136" s="510" t="s">
        <v>522</v>
      </c>
      <c r="E136" s="508" t="s">
        <v>523</v>
      </c>
      <c r="F136" s="675" t="s">
        <v>521</v>
      </c>
      <c r="G136" s="675"/>
      <c r="H136" s="675"/>
      <c r="I136" s="675"/>
      <c r="J136" s="675"/>
    </row>
    <row r="139" spans="2:10" ht="21">
      <c r="D139" s="504" t="s">
        <v>524</v>
      </c>
    </row>
    <row r="140" spans="2:10">
      <c r="D140" s="512" t="s">
        <v>525</v>
      </c>
    </row>
    <row r="141" spans="2:10">
      <c r="D141" s="512" t="s">
        <v>438</v>
      </c>
    </row>
    <row r="142" spans="2:10">
      <c r="D142" s="502" t="s">
        <v>439</v>
      </c>
    </row>
    <row r="143" spans="2:10">
      <c r="D143" s="502" t="s">
        <v>440</v>
      </c>
    </row>
    <row r="144" spans="2:10">
      <c r="D144" s="502" t="s">
        <v>526</v>
      </c>
    </row>
    <row r="145" spans="4:10">
      <c r="D145" s="502" t="s">
        <v>442</v>
      </c>
    </row>
    <row r="148" spans="4:10" ht="21">
      <c r="D148" s="666" t="s">
        <v>445</v>
      </c>
      <c r="E148" s="667" t="s">
        <v>398</v>
      </c>
      <c r="F148" s="668" t="s">
        <v>399</v>
      </c>
      <c r="G148" s="669"/>
      <c r="H148" s="669"/>
      <c r="I148" s="669"/>
      <c r="J148" s="670"/>
    </row>
    <row r="149" spans="4:10" ht="21">
      <c r="D149" s="666"/>
      <c r="E149" s="667"/>
      <c r="F149" s="671" t="s">
        <v>527</v>
      </c>
      <c r="G149" s="672"/>
      <c r="H149" s="672"/>
      <c r="I149" s="672"/>
      <c r="J149" s="673"/>
    </row>
    <row r="150" spans="4:10">
      <c r="D150" s="516" t="s">
        <v>528</v>
      </c>
      <c r="E150" s="514" t="s">
        <v>456</v>
      </c>
      <c r="F150" s="675" t="s">
        <v>529</v>
      </c>
      <c r="G150" s="675"/>
      <c r="H150" s="675"/>
      <c r="I150" s="675"/>
      <c r="J150" s="675"/>
    </row>
    <row r="151" spans="4:10">
      <c r="D151" s="516" t="s">
        <v>530</v>
      </c>
      <c r="E151" s="514" t="s">
        <v>470</v>
      </c>
      <c r="F151" s="675" t="s">
        <v>531</v>
      </c>
      <c r="G151" s="675"/>
      <c r="H151" s="675"/>
      <c r="I151" s="675"/>
      <c r="J151" s="675"/>
    </row>
    <row r="152" spans="4:10">
      <c r="D152" s="516" t="s">
        <v>532</v>
      </c>
      <c r="E152" s="514" t="s">
        <v>427</v>
      </c>
      <c r="F152" s="675" t="s">
        <v>533</v>
      </c>
      <c r="G152" s="675"/>
      <c r="H152" s="675"/>
      <c r="I152" s="675"/>
      <c r="J152" s="675"/>
    </row>
    <row r="153" spans="4:10">
      <c r="D153" s="516" t="s">
        <v>534</v>
      </c>
      <c r="E153" s="514" t="s">
        <v>422</v>
      </c>
      <c r="F153" s="675" t="s">
        <v>533</v>
      </c>
      <c r="G153" s="675"/>
      <c r="H153" s="675"/>
      <c r="I153" s="675"/>
      <c r="J153" s="675"/>
    </row>
    <row r="154" spans="4:10">
      <c r="D154" s="516" t="s">
        <v>535</v>
      </c>
      <c r="E154" s="514" t="s">
        <v>480</v>
      </c>
      <c r="F154" s="675" t="s">
        <v>536</v>
      </c>
      <c r="G154" s="675"/>
      <c r="H154" s="675"/>
      <c r="I154" s="675"/>
      <c r="J154" s="675"/>
    </row>
    <row r="155" spans="4:10">
      <c r="D155" s="516" t="s">
        <v>537</v>
      </c>
      <c r="E155" s="514" t="s">
        <v>538</v>
      </c>
      <c r="F155" s="675" t="s">
        <v>536</v>
      </c>
      <c r="G155" s="675"/>
      <c r="H155" s="675"/>
      <c r="I155" s="675"/>
      <c r="J155" s="675"/>
    </row>
    <row r="156" spans="4:10" ht="15" customHeight="1">
      <c r="D156" s="516" t="s">
        <v>539</v>
      </c>
      <c r="E156" s="514" t="s">
        <v>540</v>
      </c>
      <c r="F156" s="675" t="s">
        <v>536</v>
      </c>
      <c r="G156" s="675"/>
      <c r="H156" s="675"/>
      <c r="I156" s="675"/>
      <c r="J156" s="675"/>
    </row>
    <row r="157" spans="4:10" ht="15" customHeight="1">
      <c r="D157" s="516" t="s">
        <v>541</v>
      </c>
      <c r="E157" s="514" t="s">
        <v>542</v>
      </c>
      <c r="F157" s="675" t="s">
        <v>536</v>
      </c>
      <c r="G157" s="675"/>
      <c r="H157" s="675"/>
      <c r="I157" s="675"/>
      <c r="J157" s="675"/>
    </row>
    <row r="158" spans="4:10" ht="15" customHeight="1">
      <c r="D158" s="516" t="s">
        <v>543</v>
      </c>
      <c r="E158" s="514" t="s">
        <v>544</v>
      </c>
      <c r="F158" s="675" t="s">
        <v>536</v>
      </c>
      <c r="G158" s="675"/>
      <c r="H158" s="675"/>
      <c r="I158" s="675"/>
      <c r="J158" s="675"/>
    </row>
    <row r="159" spans="4:10">
      <c r="D159" s="516" t="s">
        <v>545</v>
      </c>
      <c r="E159" s="514" t="s">
        <v>546</v>
      </c>
      <c r="F159" s="675" t="s">
        <v>536</v>
      </c>
      <c r="G159" s="675"/>
      <c r="H159" s="675"/>
      <c r="I159" s="675"/>
      <c r="J159" s="675"/>
    </row>
    <row r="160" spans="4:10">
      <c r="D160" s="516" t="s">
        <v>547</v>
      </c>
      <c r="E160" s="514" t="s">
        <v>427</v>
      </c>
      <c r="F160" s="675" t="s">
        <v>533</v>
      </c>
      <c r="G160" s="675"/>
      <c r="H160" s="675"/>
      <c r="I160" s="675"/>
      <c r="J160" s="675"/>
    </row>
    <row r="161" spans="4:10">
      <c r="D161" s="516" t="s">
        <v>548</v>
      </c>
      <c r="E161" s="514" t="s">
        <v>544</v>
      </c>
      <c r="F161" s="675" t="s">
        <v>549</v>
      </c>
      <c r="G161" s="675"/>
      <c r="H161" s="675"/>
      <c r="I161" s="675"/>
      <c r="J161" s="675"/>
    </row>
    <row r="162" spans="4:10">
      <c r="D162" s="516" t="s">
        <v>550</v>
      </c>
      <c r="E162" s="514" t="s">
        <v>551</v>
      </c>
      <c r="F162" s="675" t="s">
        <v>536</v>
      </c>
      <c r="G162" s="675"/>
      <c r="H162" s="675"/>
      <c r="I162" s="675"/>
      <c r="J162" s="675"/>
    </row>
    <row r="163" spans="4:10">
      <c r="D163" s="516" t="s">
        <v>552</v>
      </c>
      <c r="E163" s="514">
        <v>0</v>
      </c>
      <c r="F163" s="675"/>
      <c r="G163" s="675"/>
      <c r="H163" s="675"/>
      <c r="I163" s="675"/>
      <c r="J163" s="675"/>
    </row>
    <row r="164" spans="4:10">
      <c r="D164" s="516" t="s">
        <v>553</v>
      </c>
      <c r="E164" s="514" t="s">
        <v>554</v>
      </c>
      <c r="F164" s="675" t="s">
        <v>536</v>
      </c>
      <c r="G164" s="675"/>
      <c r="H164" s="675"/>
      <c r="I164" s="675"/>
      <c r="J164" s="675"/>
    </row>
    <row r="165" spans="4:10">
      <c r="D165" s="516" t="s">
        <v>555</v>
      </c>
      <c r="E165" s="514" t="s">
        <v>556</v>
      </c>
      <c r="F165" s="675" t="s">
        <v>536</v>
      </c>
      <c r="G165" s="675"/>
      <c r="H165" s="675"/>
      <c r="I165" s="675"/>
      <c r="J165" s="675"/>
    </row>
    <row r="166" spans="4:10">
      <c r="D166" s="516" t="s">
        <v>557</v>
      </c>
      <c r="E166" s="514" t="s">
        <v>558</v>
      </c>
      <c r="F166" s="675" t="s">
        <v>559</v>
      </c>
      <c r="G166" s="675"/>
      <c r="H166" s="675"/>
      <c r="I166" s="675"/>
      <c r="J166" s="675"/>
    </row>
    <row r="167" spans="4:10">
      <c r="D167" s="516" t="s">
        <v>560</v>
      </c>
      <c r="E167" s="514" t="s">
        <v>561</v>
      </c>
      <c r="F167" s="675" t="s">
        <v>559</v>
      </c>
      <c r="G167" s="675"/>
      <c r="H167" s="675"/>
      <c r="I167" s="675"/>
      <c r="J167" s="675"/>
    </row>
    <row r="168" spans="4:10">
      <c r="D168" s="516" t="s">
        <v>562</v>
      </c>
      <c r="E168" s="514" t="s">
        <v>563</v>
      </c>
      <c r="F168" s="675" t="s">
        <v>559</v>
      </c>
      <c r="G168" s="675"/>
      <c r="H168" s="675"/>
      <c r="I168" s="675"/>
      <c r="J168" s="675"/>
    </row>
    <row r="169" spans="4:10">
      <c r="D169" s="516" t="s">
        <v>564</v>
      </c>
      <c r="E169" s="514" t="s">
        <v>565</v>
      </c>
      <c r="F169" s="675" t="s">
        <v>566</v>
      </c>
      <c r="G169" s="675"/>
      <c r="H169" s="675"/>
      <c r="I169" s="675"/>
      <c r="J169" s="675"/>
    </row>
    <row r="170" spans="4:10">
      <c r="D170" s="516" t="s">
        <v>567</v>
      </c>
      <c r="E170" s="514" t="s">
        <v>568</v>
      </c>
      <c r="F170" s="675" t="s">
        <v>566</v>
      </c>
      <c r="G170" s="675"/>
      <c r="H170" s="675"/>
      <c r="I170" s="675"/>
      <c r="J170" s="675"/>
    </row>
    <row r="171" spans="4:10">
      <c r="D171" s="516" t="s">
        <v>569</v>
      </c>
      <c r="E171" s="514" t="s">
        <v>570</v>
      </c>
      <c r="F171" s="675" t="s">
        <v>566</v>
      </c>
      <c r="G171" s="675"/>
      <c r="H171" s="675"/>
      <c r="I171" s="675"/>
      <c r="J171" s="675"/>
    </row>
    <row r="172" spans="4:10">
      <c r="D172" s="516" t="s">
        <v>571</v>
      </c>
      <c r="E172" s="514" t="s">
        <v>572</v>
      </c>
      <c r="F172" s="675" t="s">
        <v>573</v>
      </c>
      <c r="G172" s="675"/>
      <c r="H172" s="675"/>
      <c r="I172" s="675"/>
      <c r="J172" s="675"/>
    </row>
    <row r="173" spans="4:10">
      <c r="D173" s="516" t="s">
        <v>574</v>
      </c>
      <c r="E173" s="514" t="s">
        <v>520</v>
      </c>
      <c r="F173" s="675" t="s">
        <v>573</v>
      </c>
      <c r="G173" s="675"/>
      <c r="H173" s="675"/>
      <c r="I173" s="675"/>
      <c r="J173" s="675"/>
    </row>
    <row r="174" spans="4:10">
      <c r="D174" s="516" t="s">
        <v>575</v>
      </c>
      <c r="E174" s="514" t="s">
        <v>576</v>
      </c>
      <c r="F174" s="675" t="s">
        <v>573</v>
      </c>
      <c r="G174" s="675"/>
      <c r="H174" s="675"/>
      <c r="I174" s="675"/>
      <c r="J174" s="675"/>
    </row>
    <row r="175" spans="4:10">
      <c r="D175" s="516" t="s">
        <v>577</v>
      </c>
      <c r="E175" s="514">
        <v>0</v>
      </c>
      <c r="F175" s="675"/>
      <c r="G175" s="675"/>
      <c r="H175" s="675"/>
      <c r="I175" s="675"/>
      <c r="J175" s="675"/>
    </row>
    <row r="176" spans="4:10">
      <c r="D176" s="520"/>
      <c r="E176" s="532"/>
    </row>
    <row r="177" spans="2:12">
      <c r="D177" s="520"/>
      <c r="E177" s="532"/>
    </row>
    <row r="178" spans="2:12" ht="36">
      <c r="B178" s="501">
        <v>4</v>
      </c>
      <c r="D178" s="506" t="s">
        <v>578</v>
      </c>
    </row>
    <row r="179" spans="2:12">
      <c r="D179" s="520"/>
    </row>
    <row r="180" spans="2:12">
      <c r="D180" s="520"/>
    </row>
    <row r="181" spans="2:12" ht="21">
      <c r="D181" s="504" t="s">
        <v>579</v>
      </c>
    </row>
    <row r="182" spans="2:12">
      <c r="D182" s="512" t="s">
        <v>580</v>
      </c>
    </row>
    <row r="183" spans="2:12">
      <c r="D183" s="512" t="s">
        <v>438</v>
      </c>
    </row>
    <row r="184" spans="2:12">
      <c r="D184" s="502" t="s">
        <v>439</v>
      </c>
    </row>
    <row r="185" spans="2:12">
      <c r="D185" s="502" t="s">
        <v>440</v>
      </c>
    </row>
    <row r="186" spans="2:12">
      <c r="D186" s="502" t="s">
        <v>581</v>
      </c>
    </row>
    <row r="187" spans="2:12">
      <c r="D187" s="502" t="s">
        <v>442</v>
      </c>
    </row>
    <row r="189" spans="2:12">
      <c r="D189" s="520"/>
    </row>
    <row r="190" spans="2:12" ht="21">
      <c r="D190" s="666" t="s">
        <v>445</v>
      </c>
      <c r="E190" s="667" t="s">
        <v>398</v>
      </c>
      <c r="F190" s="668" t="s">
        <v>399</v>
      </c>
      <c r="G190" s="669"/>
      <c r="H190" s="669"/>
      <c r="I190" s="669"/>
      <c r="J190" s="670"/>
    </row>
    <row r="191" spans="2:12" ht="21">
      <c r="D191" s="666"/>
      <c r="E191" s="667"/>
      <c r="F191" s="671" t="s">
        <v>627</v>
      </c>
      <c r="G191" s="672"/>
      <c r="H191" s="672"/>
      <c r="I191" s="672"/>
      <c r="J191" s="673"/>
    </row>
    <row r="192" spans="2:12">
      <c r="D192" s="518" t="s">
        <v>582</v>
      </c>
      <c r="E192" s="558" t="s">
        <v>470</v>
      </c>
      <c r="F192" s="675" t="s">
        <v>531</v>
      </c>
      <c r="G192" s="675"/>
      <c r="H192" s="675"/>
      <c r="I192" s="675"/>
      <c r="J192" s="675"/>
      <c r="K192" s="522">
        <f>+BIODIESEL!E9</f>
        <v>196.66</v>
      </c>
      <c r="L192" s="581" t="s">
        <v>680</v>
      </c>
    </row>
    <row r="193" spans="2:12">
      <c r="D193" s="516" t="s">
        <v>583</v>
      </c>
      <c r="E193" s="558" t="s">
        <v>430</v>
      </c>
      <c r="F193" s="675" t="s">
        <v>531</v>
      </c>
      <c r="G193" s="675"/>
      <c r="H193" s="675"/>
      <c r="I193" s="675"/>
      <c r="J193" s="675"/>
      <c r="K193" s="522">
        <f>+BIODIESEL!E10</f>
        <v>5943.97</v>
      </c>
      <c r="L193" s="581" t="s">
        <v>680</v>
      </c>
    </row>
    <row r="194" spans="2:12">
      <c r="D194" s="516" t="s">
        <v>584</v>
      </c>
      <c r="E194" s="558" t="s">
        <v>456</v>
      </c>
      <c r="F194" s="675" t="s">
        <v>531</v>
      </c>
      <c r="G194" s="675"/>
      <c r="H194" s="675"/>
      <c r="I194" s="675"/>
      <c r="J194" s="675"/>
      <c r="K194" s="522">
        <f>+BIODIESEL!E8</f>
        <v>5747.31</v>
      </c>
      <c r="L194" s="581" t="s">
        <v>680</v>
      </c>
    </row>
    <row r="195" spans="2:12">
      <c r="D195" s="513" t="s">
        <v>585</v>
      </c>
      <c r="E195" s="558">
        <v>7.67</v>
      </c>
      <c r="F195" s="681"/>
      <c r="G195" s="681"/>
      <c r="H195" s="681"/>
      <c r="I195" s="681"/>
      <c r="J195" s="681"/>
      <c r="K195" s="551"/>
    </row>
    <row r="196" spans="2:12">
      <c r="D196" s="516" t="s">
        <v>586</v>
      </c>
      <c r="E196" s="558" t="s">
        <v>422</v>
      </c>
      <c r="F196" s="675" t="s">
        <v>533</v>
      </c>
      <c r="G196" s="675"/>
      <c r="H196" s="675"/>
      <c r="I196" s="675"/>
      <c r="J196" s="675"/>
      <c r="K196" s="522">
        <f>+'COMBUSTIBLES '!E7</f>
        <v>5864.6</v>
      </c>
      <c r="L196" s="581" t="s">
        <v>680</v>
      </c>
    </row>
    <row r="197" spans="2:12">
      <c r="D197" s="516" t="s">
        <v>587</v>
      </c>
      <c r="E197" s="558" t="s">
        <v>434</v>
      </c>
      <c r="F197" s="675" t="s">
        <v>531</v>
      </c>
      <c r="G197" s="675"/>
      <c r="H197" s="675"/>
      <c r="I197" s="675"/>
      <c r="J197" s="675"/>
      <c r="K197" s="522">
        <f>+BIODIESEL!F10</f>
        <v>6023.34</v>
      </c>
      <c r="L197" s="581" t="s">
        <v>680</v>
      </c>
    </row>
    <row r="198" spans="2:12">
      <c r="D198" s="513" t="s">
        <v>588</v>
      </c>
      <c r="E198" s="558">
        <v>7.67</v>
      </c>
      <c r="F198" s="677"/>
      <c r="G198" s="678"/>
      <c r="H198" s="678"/>
      <c r="I198" s="678"/>
      <c r="J198" s="679"/>
      <c r="K198" s="551"/>
    </row>
    <row r="199" spans="2:12">
      <c r="D199" s="516" t="s">
        <v>589</v>
      </c>
      <c r="E199" s="558" t="s">
        <v>480</v>
      </c>
      <c r="F199" s="675" t="s">
        <v>531</v>
      </c>
      <c r="G199" s="675"/>
      <c r="H199" s="675"/>
      <c r="I199" s="675"/>
      <c r="J199" s="675"/>
      <c r="K199" s="522">
        <f>+BIODIESEL!F8</f>
        <v>5630.02</v>
      </c>
      <c r="L199" s="581" t="s">
        <v>680</v>
      </c>
    </row>
    <row r="200" spans="2:12">
      <c r="D200" s="516" t="s">
        <v>590</v>
      </c>
      <c r="E200" s="558" t="s">
        <v>482</v>
      </c>
      <c r="F200" s="675" t="s">
        <v>531</v>
      </c>
      <c r="G200" s="675"/>
      <c r="H200" s="675"/>
      <c r="I200" s="675"/>
      <c r="J200" s="675"/>
      <c r="K200" s="522">
        <f>+BIODIESEL!F9</f>
        <v>393.32</v>
      </c>
      <c r="L200" s="581" t="s">
        <v>680</v>
      </c>
    </row>
    <row r="201" spans="2:12">
      <c r="E201" s="533"/>
    </row>
    <row r="202" spans="2:12">
      <c r="E202" s="532"/>
    </row>
    <row r="204" spans="2:12" ht="36">
      <c r="B204" s="501">
        <v>5</v>
      </c>
      <c r="D204" s="506" t="s">
        <v>591</v>
      </c>
    </row>
    <row r="206" spans="2:12" ht="21">
      <c r="D206" s="504" t="s">
        <v>592</v>
      </c>
    </row>
    <row r="207" spans="2:12">
      <c r="D207" s="511" t="s">
        <v>646</v>
      </c>
    </row>
    <row r="208" spans="2:12">
      <c r="D208" s="502" t="s">
        <v>639</v>
      </c>
    </row>
    <row r="209" spans="4:20">
      <c r="D209" s="502" t="s">
        <v>647</v>
      </c>
    </row>
    <row r="210" spans="4:20">
      <c r="D210" s="512" t="s">
        <v>593</v>
      </c>
    </row>
    <row r="211" spans="4:20">
      <c r="D211" s="512" t="s">
        <v>438</v>
      </c>
    </row>
    <row r="212" spans="4:20">
      <c r="D212" s="502" t="s">
        <v>439</v>
      </c>
    </row>
    <row r="213" spans="4:20">
      <c r="D213" s="502" t="s">
        <v>440</v>
      </c>
    </row>
    <row r="214" spans="4:20">
      <c r="D214" s="502" t="s">
        <v>581</v>
      </c>
    </row>
    <row r="215" spans="4:20">
      <c r="D215" s="502" t="s">
        <v>442</v>
      </c>
    </row>
    <row r="218" spans="4:20" ht="21">
      <c r="D218" s="674" t="s">
        <v>397</v>
      </c>
      <c r="E218" s="667" t="s">
        <v>398</v>
      </c>
      <c r="F218" s="668" t="s">
        <v>399</v>
      </c>
      <c r="G218" s="669"/>
      <c r="H218" s="669"/>
      <c r="I218" s="669"/>
      <c r="J218" s="669"/>
      <c r="K218" s="670"/>
    </row>
    <row r="219" spans="4:20" ht="21">
      <c r="D219" s="674"/>
      <c r="E219" s="667"/>
      <c r="F219" s="671" t="s">
        <v>400</v>
      </c>
      <c r="G219" s="672"/>
      <c r="H219" s="672"/>
      <c r="I219" s="672"/>
      <c r="J219" s="672"/>
      <c r="K219" s="673"/>
    </row>
    <row r="220" spans="4:20">
      <c r="D220" s="518" t="s">
        <v>594</v>
      </c>
      <c r="E220" s="558" t="s">
        <v>595</v>
      </c>
      <c r="F220" s="680" t="s">
        <v>596</v>
      </c>
      <c r="G220" s="680"/>
      <c r="H220" s="680"/>
      <c r="I220" s="680"/>
      <c r="J220" s="680"/>
      <c r="K220" s="550">
        <f>+'DIESEL MARINO '!F110</f>
        <v>1126.0068000000001</v>
      </c>
    </row>
    <row r="221" spans="4:20">
      <c r="D221" s="516" t="s">
        <v>597</v>
      </c>
      <c r="E221" s="558" t="s">
        <v>598</v>
      </c>
      <c r="F221" s="675" t="s">
        <v>596</v>
      </c>
      <c r="G221" s="675"/>
      <c r="H221" s="675"/>
      <c r="I221" s="675"/>
      <c r="J221" s="675"/>
      <c r="K221" s="549">
        <f>+'DIESEL MARINO '!F109</f>
        <v>1172.92</v>
      </c>
      <c r="L221" s="581" t="s">
        <v>680</v>
      </c>
    </row>
    <row r="222" spans="4:20">
      <c r="D222" s="516" t="s">
        <v>599</v>
      </c>
      <c r="E222" s="558" t="s">
        <v>598</v>
      </c>
      <c r="F222" s="675" t="s">
        <v>596</v>
      </c>
      <c r="G222" s="675"/>
      <c r="H222" s="675"/>
      <c r="I222" s="675"/>
      <c r="J222" s="675"/>
      <c r="K222" s="549">
        <f>+'DIESEL MARINO '!F109</f>
        <v>1172.92</v>
      </c>
      <c r="L222" s="581" t="s">
        <v>680</v>
      </c>
    </row>
    <row r="223" spans="4:20">
      <c r="D223" s="513" t="s">
        <v>600</v>
      </c>
      <c r="E223" s="558" t="s">
        <v>601</v>
      </c>
      <c r="F223" s="675" t="s">
        <v>596</v>
      </c>
      <c r="G223" s="675"/>
      <c r="H223" s="675"/>
      <c r="I223" s="675"/>
      <c r="J223" s="675"/>
      <c r="K223" s="549">
        <f>+'DIESEL MARINO '!F111</f>
        <v>1149.4633999999996</v>
      </c>
      <c r="L223" s="581" t="s">
        <v>680</v>
      </c>
      <c r="T223" s="502" t="s">
        <v>645</v>
      </c>
    </row>
    <row r="224" spans="4:20">
      <c r="D224" s="513" t="s">
        <v>602</v>
      </c>
      <c r="E224" s="558" t="s">
        <v>603</v>
      </c>
      <c r="F224" s="675" t="s">
        <v>596</v>
      </c>
      <c r="G224" s="675"/>
      <c r="H224" s="675"/>
      <c r="I224" s="675"/>
      <c r="J224" s="675"/>
      <c r="K224" s="549">
        <f>+'DIESEL MARINO '!F111</f>
        <v>1149.4633999999996</v>
      </c>
      <c r="L224" s="581" t="s">
        <v>680</v>
      </c>
    </row>
    <row r="225" spans="2:12">
      <c r="D225" s="513" t="s">
        <v>694</v>
      </c>
      <c r="E225" s="558"/>
      <c r="F225" s="675" t="s">
        <v>596</v>
      </c>
      <c r="G225" s="675"/>
      <c r="H225" s="675"/>
      <c r="I225" s="675"/>
      <c r="J225" s="675"/>
      <c r="K225" s="549">
        <f>+'DIESEL MARINO '!F112</f>
        <v>1348.8580000000002</v>
      </c>
      <c r="L225" s="581" t="s">
        <v>680</v>
      </c>
    </row>
    <row r="226" spans="2:12">
      <c r="D226" s="513" t="s">
        <v>695</v>
      </c>
      <c r="E226" s="558"/>
      <c r="F226" s="675" t="s">
        <v>596</v>
      </c>
      <c r="G226" s="675"/>
      <c r="H226" s="675"/>
      <c r="I226" s="675"/>
      <c r="J226" s="675"/>
      <c r="K226" s="549">
        <f>+'DIESEL MARINO '!F113</f>
        <v>1321.8826399999998</v>
      </c>
      <c r="L226" s="581" t="s">
        <v>680</v>
      </c>
    </row>
    <row r="227" spans="2:12">
      <c r="E227" s="532"/>
    </row>
    <row r="228" spans="2:12" ht="36">
      <c r="B228" s="501">
        <v>6</v>
      </c>
      <c r="D228" s="506" t="s">
        <v>604</v>
      </c>
      <c r="E228" s="532"/>
    </row>
    <row r="230" spans="2:12" ht="21">
      <c r="D230" s="504" t="s">
        <v>605</v>
      </c>
    </row>
    <row r="231" spans="2:12">
      <c r="D231" s="512" t="s">
        <v>606</v>
      </c>
    </row>
    <row r="232" spans="2:12">
      <c r="D232" s="512" t="s">
        <v>438</v>
      </c>
    </row>
    <row r="233" spans="2:12">
      <c r="D233" s="502" t="s">
        <v>439</v>
      </c>
    </row>
    <row r="234" spans="2:12">
      <c r="D234" s="502" t="s">
        <v>440</v>
      </c>
    </row>
    <row r="235" spans="2:12">
      <c r="D235" s="502" t="s">
        <v>581</v>
      </c>
    </row>
    <row r="236" spans="2:12">
      <c r="D236" s="502" t="s">
        <v>442</v>
      </c>
    </row>
    <row r="238" spans="2:12" ht="21">
      <c r="D238" s="666" t="s">
        <v>445</v>
      </c>
      <c r="E238" s="667" t="s">
        <v>398</v>
      </c>
      <c r="F238" s="668" t="s">
        <v>399</v>
      </c>
      <c r="G238" s="669"/>
      <c r="H238" s="669"/>
      <c r="I238" s="669"/>
      <c r="J238" s="670"/>
    </row>
    <row r="239" spans="2:12" ht="21">
      <c r="D239" s="666"/>
      <c r="E239" s="667"/>
      <c r="F239" s="671" t="s">
        <v>527</v>
      </c>
      <c r="G239" s="672"/>
      <c r="H239" s="672"/>
      <c r="I239" s="672"/>
      <c r="J239" s="673"/>
    </row>
    <row r="240" spans="2:12">
      <c r="D240" s="518" t="s">
        <v>607</v>
      </c>
      <c r="E240" s="514" t="s">
        <v>608</v>
      </c>
      <c r="F240" s="675" t="s">
        <v>609</v>
      </c>
      <c r="G240" s="675"/>
      <c r="H240" s="675"/>
      <c r="I240" s="675"/>
      <c r="J240" s="675"/>
    </row>
    <row r="241" spans="2:10">
      <c r="D241" s="516" t="s">
        <v>610</v>
      </c>
      <c r="E241" s="514" t="s">
        <v>558</v>
      </c>
      <c r="F241" s="675" t="s">
        <v>609</v>
      </c>
      <c r="G241" s="675"/>
      <c r="H241" s="675"/>
      <c r="I241" s="675"/>
      <c r="J241" s="675"/>
    </row>
    <row r="242" spans="2:10">
      <c r="D242" s="516" t="s">
        <v>611</v>
      </c>
      <c r="E242" s="514" t="s">
        <v>544</v>
      </c>
      <c r="F242" s="675" t="s">
        <v>609</v>
      </c>
      <c r="G242" s="675"/>
      <c r="H242" s="675"/>
      <c r="I242" s="675"/>
      <c r="J242" s="675"/>
    </row>
    <row r="243" spans="2:10">
      <c r="E243" s="502"/>
    </row>
    <row r="245" spans="2:10" ht="36">
      <c r="B245" s="501">
        <v>7</v>
      </c>
      <c r="D245" s="506" t="s">
        <v>612</v>
      </c>
    </row>
    <row r="247" spans="2:10" ht="21">
      <c r="D247" s="504" t="s">
        <v>613</v>
      </c>
    </row>
    <row r="248" spans="2:10">
      <c r="D248" s="512" t="s">
        <v>614</v>
      </c>
    </row>
    <row r="249" spans="2:10">
      <c r="D249" s="512" t="s">
        <v>438</v>
      </c>
    </row>
    <row r="250" spans="2:10">
      <c r="D250" s="502" t="s">
        <v>439</v>
      </c>
    </row>
    <row r="251" spans="2:10">
      <c r="D251" s="502" t="s">
        <v>440</v>
      </c>
    </row>
    <row r="252" spans="2:10">
      <c r="D252" s="502" t="s">
        <v>581</v>
      </c>
    </row>
    <row r="253" spans="2:10" ht="21">
      <c r="D253" s="534" t="s">
        <v>615</v>
      </c>
    </row>
    <row r="257" spans="2:12" ht="36">
      <c r="B257" s="501">
        <v>8</v>
      </c>
      <c r="D257" s="506" t="s">
        <v>616</v>
      </c>
    </row>
    <row r="259" spans="2:12" ht="21">
      <c r="D259" s="504" t="s">
        <v>617</v>
      </c>
    </row>
    <row r="260" spans="2:12">
      <c r="D260" s="512" t="s">
        <v>618</v>
      </c>
    </row>
    <row r="261" spans="2:12">
      <c r="D261" s="512" t="s">
        <v>438</v>
      </c>
    </row>
    <row r="262" spans="2:12">
      <c r="D262" s="502" t="s">
        <v>439</v>
      </c>
    </row>
    <row r="263" spans="2:12">
      <c r="D263" s="502" t="s">
        <v>440</v>
      </c>
    </row>
    <row r="264" spans="2:12">
      <c r="D264" s="502" t="s">
        <v>581</v>
      </c>
    </row>
    <row r="265" spans="2:12">
      <c r="D265" s="502" t="s">
        <v>442</v>
      </c>
    </row>
    <row r="266" spans="2:12">
      <c r="D266" s="511"/>
    </row>
    <row r="268" spans="2:12" ht="21">
      <c r="D268" s="674" t="s">
        <v>397</v>
      </c>
      <c r="E268" s="667" t="s">
        <v>398</v>
      </c>
      <c r="F268" s="668" t="s">
        <v>399</v>
      </c>
      <c r="G268" s="669"/>
      <c r="H268" s="669"/>
      <c r="I268" s="669"/>
      <c r="J268" s="669"/>
      <c r="K268" s="670"/>
    </row>
    <row r="269" spans="2:12" ht="21">
      <c r="D269" s="674"/>
      <c r="E269" s="667"/>
      <c r="F269" s="671" t="s">
        <v>400</v>
      </c>
      <c r="G269" s="672"/>
      <c r="H269" s="672"/>
      <c r="I269" s="672"/>
      <c r="J269" s="672"/>
      <c r="K269" s="673"/>
    </row>
    <row r="270" spans="2:12">
      <c r="D270" s="518" t="s">
        <v>619</v>
      </c>
      <c r="E270" s="540" t="s">
        <v>462</v>
      </c>
      <c r="F270" s="675" t="s">
        <v>423</v>
      </c>
      <c r="G270" s="675"/>
      <c r="H270" s="675"/>
      <c r="I270" s="675"/>
      <c r="J270" s="675"/>
      <c r="K270" s="535">
        <f>+'COMBUSTIBLES '!B8</f>
        <v>7.9001000000000001</v>
      </c>
      <c r="L270" s="568" t="s">
        <v>682</v>
      </c>
    </row>
    <row r="271" spans="2:12">
      <c r="D271" s="516" t="s">
        <v>620</v>
      </c>
      <c r="E271" s="558" t="s">
        <v>427</v>
      </c>
      <c r="F271" s="675" t="s">
        <v>423</v>
      </c>
      <c r="G271" s="675"/>
      <c r="H271" s="675"/>
      <c r="I271" s="675"/>
      <c r="J271" s="675"/>
      <c r="K271" s="535">
        <f>+'COMBUSTIBLES '!B7</f>
        <v>5701</v>
      </c>
      <c r="L271" s="568" t="s">
        <v>682</v>
      </c>
    </row>
    <row r="272" spans="2:12">
      <c r="D272" s="516" t="s">
        <v>621</v>
      </c>
      <c r="E272" s="558"/>
      <c r="F272" s="676" t="s">
        <v>458</v>
      </c>
      <c r="G272" s="676"/>
      <c r="H272" s="676"/>
      <c r="I272" s="676"/>
      <c r="J272" s="676"/>
      <c r="K272" s="571">
        <f>+Variables!E20</f>
        <v>5078.7700000000004</v>
      </c>
      <c r="L272" s="568" t="s">
        <v>682</v>
      </c>
    </row>
    <row r="273" spans="2:5">
      <c r="E273" s="532"/>
    </row>
    <row r="274" spans="2:5">
      <c r="E274" s="532"/>
    </row>
    <row r="275" spans="2:5">
      <c r="E275" s="532"/>
    </row>
    <row r="276" spans="2:5" ht="36">
      <c r="B276" s="501">
        <v>9</v>
      </c>
      <c r="D276" s="506" t="s">
        <v>622</v>
      </c>
      <c r="E276" s="532"/>
    </row>
    <row r="277" spans="2:5">
      <c r="E277" s="532"/>
    </row>
    <row r="278" spans="2:5" ht="21">
      <c r="D278" s="504" t="s">
        <v>623</v>
      </c>
    </row>
    <row r="279" spans="2:5">
      <c r="D279" s="512" t="s">
        <v>624</v>
      </c>
    </row>
    <row r="280" spans="2:5">
      <c r="D280" s="512" t="s">
        <v>438</v>
      </c>
    </row>
    <row r="281" spans="2:5">
      <c r="D281" s="502" t="s">
        <v>439</v>
      </c>
    </row>
    <row r="282" spans="2:5">
      <c r="D282" s="502" t="s">
        <v>440</v>
      </c>
    </row>
    <row r="283" spans="2:5">
      <c r="D283" s="502" t="s">
        <v>581</v>
      </c>
    </row>
    <row r="284" spans="2:5" ht="21">
      <c r="D284" s="534" t="s">
        <v>633</v>
      </c>
    </row>
    <row r="286" spans="2:5">
      <c r="D286" s="511"/>
    </row>
    <row r="291" spans="2:6" ht="23.25">
      <c r="B291" s="502" t="s">
        <v>670</v>
      </c>
      <c r="D291" s="521" t="s">
        <v>625</v>
      </c>
      <c r="E291" s="562" t="s">
        <v>678</v>
      </c>
      <c r="F291" s="536" t="s">
        <v>651</v>
      </c>
    </row>
    <row r="293" spans="2:6">
      <c r="B293" s="502" t="s">
        <v>634</v>
      </c>
      <c r="C293" s="502">
        <v>1</v>
      </c>
      <c r="D293" s="538" t="str">
        <f>CONCATENATE("PRECIO REGULADOS"," ",$E$291)</f>
        <v>PRECIO REGULADOS FEB 1 A FEB 28  2019</v>
      </c>
      <c r="E293" s="532"/>
    </row>
    <row r="294" spans="2:6">
      <c r="D294" s="537" t="s">
        <v>636</v>
      </c>
      <c r="E294" s="532"/>
    </row>
    <row r="295" spans="2:6">
      <c r="D295" s="537"/>
      <c r="E295" s="532"/>
    </row>
    <row r="296" spans="2:6">
      <c r="B296" s="502" t="s">
        <v>635</v>
      </c>
      <c r="C296" s="502">
        <v>2</v>
      </c>
      <c r="D296" s="544" t="str">
        <f>CONCATENATE("PRECIO NO REGULADOS"," ",$E$291)</f>
        <v>PRECIO NO REGULADOS FEB 1 A FEB 28  2019</v>
      </c>
      <c r="E296" s="566" t="s">
        <v>161</v>
      </c>
    </row>
    <row r="297" spans="2:6">
      <c r="D297" s="537" t="s">
        <v>637</v>
      </c>
      <c r="E297" s="532"/>
    </row>
    <row r="298" spans="2:6">
      <c r="D298" s="537"/>
      <c r="E298" s="532"/>
    </row>
    <row r="299" spans="2:6">
      <c r="B299" s="560" t="s">
        <v>671</v>
      </c>
      <c r="C299" s="502">
        <v>3</v>
      </c>
      <c r="D299" s="538" t="str">
        <f>CONCATENATE("PRECIO ZONAS DE FRONTERA "," ",$E$291)</f>
        <v>PRECIO ZONAS DE FRONTERA  FEB 1 A FEB 28  2019</v>
      </c>
      <c r="E299" s="532"/>
    </row>
    <row r="300" spans="2:6">
      <c r="D300" s="537" t="s">
        <v>636</v>
      </c>
      <c r="E300" s="532"/>
    </row>
    <row r="301" spans="2:6">
      <c r="D301" s="537"/>
      <c r="E301" s="532"/>
    </row>
    <row r="302" spans="2:6">
      <c r="B302" s="502" t="s">
        <v>638</v>
      </c>
      <c r="C302" s="502">
        <v>4</v>
      </c>
      <c r="D302" s="538" t="str">
        <f>CONCATENATE("PRECIO ELECTROCOMBUSTIBLE  ",," ",$E$291)</f>
        <v>PRECIO ELECTROCOMBUSTIBLE   FEB 1 A FEB 28  2019</v>
      </c>
      <c r="E302" s="532"/>
    </row>
    <row r="303" spans="2:6">
      <c r="D303" s="537" t="s">
        <v>636</v>
      </c>
      <c r="E303" s="532"/>
    </row>
    <row r="304" spans="2:6">
      <c r="D304" s="537"/>
      <c r="E304" s="532"/>
    </row>
    <row r="305" spans="2:5">
      <c r="B305" s="502" t="s">
        <v>639</v>
      </c>
      <c r="C305" s="502">
        <v>5</v>
      </c>
      <c r="D305" s="538" t="str">
        <f>CONCATENATE("PRECIO DESCUENTO PESQUEROS "," ",$E$291)</f>
        <v>PRECIO DESCUENTO PESQUEROS  FEB 1 A FEB 28  2019</v>
      </c>
      <c r="E305" s="532"/>
    </row>
    <row r="306" spans="2:5">
      <c r="D306" s="537" t="s">
        <v>636</v>
      </c>
      <c r="E306" s="532"/>
    </row>
    <row r="307" spans="2:5">
      <c r="D307" s="537"/>
      <c r="E307" s="532"/>
    </row>
    <row r="308" spans="2:5">
      <c r="B308" s="192" t="s">
        <v>672</v>
      </c>
      <c r="C308" s="502">
        <v>6</v>
      </c>
      <c r="D308" s="538" t="str">
        <f>CONCATENATE("PRECIO ESPECIAL GUAJIRA "," ",$E$291)</f>
        <v>PRECIO ESPECIAL GUAJIRA  FEB 1 A FEB 28  2019</v>
      </c>
      <c r="E308" s="532"/>
    </row>
    <row r="309" spans="2:5">
      <c r="D309" s="537" t="s">
        <v>636</v>
      </c>
      <c r="E309" s="532"/>
    </row>
    <row r="310" spans="2:5">
      <c r="D310" s="537"/>
      <c r="E310" s="532"/>
    </row>
    <row r="311" spans="2:5">
      <c r="B311" s="502" t="s">
        <v>640</v>
      </c>
      <c r="C311" s="502">
        <v>7</v>
      </c>
      <c r="D311" s="544" t="str">
        <f>CONCATENATE("PRECIO ESTRUCTURA TARIFA BIOS "," ",$E$291)</f>
        <v>PRECIO ESTRUCTURA TARIFA BIOS  FEB 1 A FEB 28  2019</v>
      </c>
      <c r="E311" s="532" t="s">
        <v>656</v>
      </c>
    </row>
    <row r="312" spans="2:5">
      <c r="D312" s="537" t="s">
        <v>636</v>
      </c>
      <c r="E312" s="532"/>
    </row>
    <row r="313" spans="2:5">
      <c r="D313" s="537"/>
      <c r="E313" s="532"/>
    </row>
    <row r="314" spans="2:5">
      <c r="B314" s="502" t="s">
        <v>641</v>
      </c>
      <c r="C314" s="502">
        <v>8</v>
      </c>
      <c r="D314" s="538" t="str">
        <f>CONCATENATE("PRECIO GASOLINA  IMPORTADA "," ",$E$291)</f>
        <v>PRECIO GASOLINA  IMPORTADA  FEB 1 A FEB 28  2019</v>
      </c>
      <c r="E314" s="532"/>
    </row>
    <row r="315" spans="2:5">
      <c r="D315" s="537" t="s">
        <v>636</v>
      </c>
      <c r="E315" s="532"/>
    </row>
    <row r="316" spans="2:5">
      <c r="D316" s="537"/>
      <c r="E316" s="532"/>
    </row>
    <row r="317" spans="2:5">
      <c r="B317" s="560" t="s">
        <v>673</v>
      </c>
      <c r="C317" s="502">
        <v>9</v>
      </c>
      <c r="D317" s="544" t="str">
        <f>CONCATENATE("BALANCE VOLUMETRICO REFICAR A ",," ",$E$291)</f>
        <v>BALANCE VOLUMETRICO REFICAR A  FEB 1 A FEB 28  2019</v>
      </c>
      <c r="E317" s="532" t="s">
        <v>656</v>
      </c>
    </row>
    <row r="318" spans="2:5">
      <c r="D318" s="537" t="s">
        <v>636</v>
      </c>
    </row>
  </sheetData>
  <autoFilter ref="D39:L90">
    <filterColumn colId="2" showButton="0"/>
    <filterColumn colId="3" showButton="0"/>
    <filterColumn colId="4" showButton="0"/>
    <filterColumn colId="5" showButton="0"/>
  </autoFilter>
  <mergeCells count="162">
    <mergeCell ref="K39:K40"/>
    <mergeCell ref="D190:D191"/>
    <mergeCell ref="E190:E191"/>
    <mergeCell ref="F190:J190"/>
    <mergeCell ref="F191:J191"/>
    <mergeCell ref="D218:D219"/>
    <mergeCell ref="E218:E219"/>
    <mergeCell ref="F218:K218"/>
    <mergeCell ref="F219:K219"/>
    <mergeCell ref="F50:J50"/>
    <mergeCell ref="F51:J51"/>
    <mergeCell ref="F58:J58"/>
    <mergeCell ref="F59:J59"/>
    <mergeCell ref="F60:J60"/>
    <mergeCell ref="F61:J61"/>
    <mergeCell ref="F62:J62"/>
    <mergeCell ref="F63:J63"/>
    <mergeCell ref="F52:J52"/>
    <mergeCell ref="F53:J53"/>
    <mergeCell ref="F54:J54"/>
    <mergeCell ref="F55:J55"/>
    <mergeCell ref="F56:J56"/>
    <mergeCell ref="F57:J57"/>
    <mergeCell ref="D114:D115"/>
    <mergeCell ref="F47:J47"/>
    <mergeCell ref="F48:J48"/>
    <mergeCell ref="F49:J49"/>
    <mergeCell ref="F41:J41"/>
    <mergeCell ref="F42:J42"/>
    <mergeCell ref="F43:J43"/>
    <mergeCell ref="F44:J44"/>
    <mergeCell ref="F45:J45"/>
    <mergeCell ref="F46:J46"/>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12:J12"/>
    <mergeCell ref="F13:J13"/>
    <mergeCell ref="F14:J14"/>
    <mergeCell ref="F15:J15"/>
    <mergeCell ref="F16:J16"/>
    <mergeCell ref="F17:J17"/>
    <mergeCell ref="E114:E115"/>
    <mergeCell ref="F114:J114"/>
    <mergeCell ref="F115:J115"/>
    <mergeCell ref="F64:J64"/>
    <mergeCell ref="F65:J65"/>
    <mergeCell ref="F66:J66"/>
    <mergeCell ref="F67:J67"/>
    <mergeCell ref="F68:J68"/>
    <mergeCell ref="F69:J69"/>
    <mergeCell ref="F72:J72"/>
    <mergeCell ref="F73:J73"/>
    <mergeCell ref="F74:J74"/>
    <mergeCell ref="F75:J75"/>
    <mergeCell ref="F116:J116"/>
    <mergeCell ref="F117:J117"/>
    <mergeCell ref="F118:J118"/>
    <mergeCell ref="F119:J119"/>
    <mergeCell ref="F120:J120"/>
    <mergeCell ref="F121:J121"/>
    <mergeCell ref="F70:J70"/>
    <mergeCell ref="F71:J71"/>
    <mergeCell ref="F94:J94"/>
    <mergeCell ref="F95:J95"/>
    <mergeCell ref="F96:J96"/>
    <mergeCell ref="F76:J76"/>
    <mergeCell ref="F78:J78"/>
    <mergeCell ref="F79:J79"/>
    <mergeCell ref="F77:I77"/>
    <mergeCell ref="F80:I80"/>
    <mergeCell ref="F81:I81"/>
    <mergeCell ref="F82:I82"/>
    <mergeCell ref="F83:I83"/>
    <mergeCell ref="F84:I84"/>
    <mergeCell ref="F85:I85"/>
    <mergeCell ref="F86:I86"/>
    <mergeCell ref="F87:I87"/>
    <mergeCell ref="F88:I88"/>
    <mergeCell ref="F135:J135"/>
    <mergeCell ref="F136:J136"/>
    <mergeCell ref="D148:D149"/>
    <mergeCell ref="E148:E149"/>
    <mergeCell ref="F148:J148"/>
    <mergeCell ref="F149:J149"/>
    <mergeCell ref="F122:J122"/>
    <mergeCell ref="F123:J123"/>
    <mergeCell ref="F124:J124"/>
    <mergeCell ref="F125:J125"/>
    <mergeCell ref="F126:J126"/>
    <mergeCell ref="F127:J127"/>
    <mergeCell ref="F156:J156"/>
    <mergeCell ref="F157:J157"/>
    <mergeCell ref="F158:J158"/>
    <mergeCell ref="F159:J159"/>
    <mergeCell ref="F160:J160"/>
    <mergeCell ref="F161:J161"/>
    <mergeCell ref="F150:J150"/>
    <mergeCell ref="F151:J151"/>
    <mergeCell ref="F152:J152"/>
    <mergeCell ref="F153:J153"/>
    <mergeCell ref="F154:J154"/>
    <mergeCell ref="F155:J155"/>
    <mergeCell ref="F168:J168"/>
    <mergeCell ref="F169:J169"/>
    <mergeCell ref="F170:J170"/>
    <mergeCell ref="F171:J171"/>
    <mergeCell ref="F172:J172"/>
    <mergeCell ref="F173:J173"/>
    <mergeCell ref="F162:J162"/>
    <mergeCell ref="F163:J163"/>
    <mergeCell ref="F164:J164"/>
    <mergeCell ref="F165:J165"/>
    <mergeCell ref="F166:J166"/>
    <mergeCell ref="F167:J167"/>
    <mergeCell ref="F196:J196"/>
    <mergeCell ref="F197:J197"/>
    <mergeCell ref="F198:J198"/>
    <mergeCell ref="F199:J199"/>
    <mergeCell ref="F200:J200"/>
    <mergeCell ref="F220:J220"/>
    <mergeCell ref="F174:J174"/>
    <mergeCell ref="F175:J175"/>
    <mergeCell ref="F192:J192"/>
    <mergeCell ref="F193:J193"/>
    <mergeCell ref="F194:J194"/>
    <mergeCell ref="F195:J195"/>
    <mergeCell ref="F270:J270"/>
    <mergeCell ref="F271:J271"/>
    <mergeCell ref="F272:J272"/>
    <mergeCell ref="F221:J221"/>
    <mergeCell ref="F222:J222"/>
    <mergeCell ref="F223:J223"/>
    <mergeCell ref="F224:J224"/>
    <mergeCell ref="F240:J240"/>
    <mergeCell ref="F241:J241"/>
    <mergeCell ref="F225:J225"/>
    <mergeCell ref="F226:J226"/>
    <mergeCell ref="D238:D239"/>
    <mergeCell ref="E238:E239"/>
    <mergeCell ref="F238:J238"/>
    <mergeCell ref="F239:J239"/>
    <mergeCell ref="D268:D269"/>
    <mergeCell ref="E268:E269"/>
    <mergeCell ref="F268:K268"/>
    <mergeCell ref="F269:K269"/>
    <mergeCell ref="F242:J242"/>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48"/>
  <sheetViews>
    <sheetView showGridLines="0" tabSelected="1"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12" customWidth="1" outlineLevel="1"/>
    <col min="7" max="7" width="19.42578125" style="12" customWidth="1"/>
    <col min="8" max="16384" width="11.42578125" style="6"/>
  </cols>
  <sheetData>
    <row r="1" spans="1:10" ht="15.75" thickBot="1">
      <c r="A1" s="1" t="s">
        <v>696</v>
      </c>
      <c r="B1" s="2"/>
      <c r="C1" s="2">
        <v>7.2405999999999997</v>
      </c>
      <c r="D1" s="4"/>
      <c r="E1" s="5"/>
      <c r="F1" s="5"/>
      <c r="G1" s="3"/>
    </row>
    <row r="2" spans="1:10" s="58" customFormat="1" ht="21.75" customHeight="1" thickTop="1">
      <c r="A2" s="699" t="str">
        <f>CONCATENATE("ESTRUCTURAS DE PRECIOS DE COMBUSTIBLES LIQUIDOS VIGENTES A PARTIR DE ",$A$1)</f>
        <v>ESTRUCTURAS DE PRECIOS DE COMBUSTIBLES LIQUIDOS VIGENTES A PARTIR DE 1 DE JULIO 2019</v>
      </c>
      <c r="B2" s="700"/>
      <c r="C2" s="700"/>
      <c r="D2" s="700"/>
      <c r="E2" s="700"/>
      <c r="F2" s="700"/>
      <c r="G2" s="701"/>
    </row>
    <row r="3" spans="1:10" s="58" customFormat="1" ht="21.75" customHeight="1">
      <c r="A3" s="328" t="s">
        <v>0</v>
      </c>
      <c r="B3" s="188"/>
      <c r="C3" s="188"/>
      <c r="D3" s="188"/>
      <c r="E3" s="188"/>
      <c r="F3" s="188"/>
      <c r="G3" s="329"/>
    </row>
    <row r="4" spans="1:10" s="52" customFormat="1" ht="24" customHeight="1">
      <c r="A4" s="693" t="s">
        <v>1</v>
      </c>
      <c r="B4" s="695" t="s">
        <v>25</v>
      </c>
      <c r="C4" s="697" t="s">
        <v>10</v>
      </c>
      <c r="D4" s="698"/>
      <c r="E4" s="695" t="s">
        <v>215</v>
      </c>
      <c r="F4" s="330" t="s">
        <v>371</v>
      </c>
      <c r="G4" s="330" t="s">
        <v>706</v>
      </c>
    </row>
    <row r="5" spans="1:10" s="52" customFormat="1" ht="24" customHeight="1">
      <c r="A5" s="693"/>
      <c r="B5" s="696"/>
      <c r="C5" s="67" t="s">
        <v>51</v>
      </c>
      <c r="D5" s="67" t="s">
        <v>52</v>
      </c>
      <c r="E5" s="696"/>
      <c r="F5" s="331" t="s">
        <v>183</v>
      </c>
      <c r="G5" s="331" t="s">
        <v>183</v>
      </c>
    </row>
    <row r="6" spans="1:10" s="52" customFormat="1" ht="24" customHeight="1" thickBot="1">
      <c r="A6" s="694"/>
      <c r="B6" s="189" t="str">
        <f>+A1</f>
        <v>1 DE JULIO 2019</v>
      </c>
      <c r="C6" s="190" t="str">
        <f>+B6</f>
        <v>1 DE JULIO 2019</v>
      </c>
      <c r="D6" s="189" t="str">
        <f>+C6</f>
        <v>1 DE JULIO 2019</v>
      </c>
      <c r="E6" s="189" t="str">
        <f>+D6</f>
        <v>1 DE JULIO 2019</v>
      </c>
      <c r="F6" s="332" t="str">
        <f>+B6</f>
        <v>1 DE JULIO 2019</v>
      </c>
      <c r="G6" s="332" t="str">
        <f>+C6</f>
        <v>1 DE JULIO 2019</v>
      </c>
    </row>
    <row r="7" spans="1:10" ht="22.5" customHeight="1" thickTop="1">
      <c r="A7" s="76" t="s">
        <v>3</v>
      </c>
      <c r="B7" s="564">
        <v>5701</v>
      </c>
      <c r="C7" s="564">
        <v>7000</v>
      </c>
      <c r="D7" s="185">
        <f>+C7</f>
        <v>7000</v>
      </c>
      <c r="E7" s="564">
        <v>5864.6</v>
      </c>
      <c r="F7" s="607">
        <v>7000</v>
      </c>
      <c r="G7" s="613">
        <v>7155.89</v>
      </c>
      <c r="H7" s="561"/>
    </row>
    <row r="8" spans="1:10" ht="22.5" customHeight="1">
      <c r="A8" s="68" t="s">
        <v>57</v>
      </c>
      <c r="B8" s="491">
        <f>7.67*(1+3%)</f>
        <v>7.9001000000000001</v>
      </c>
      <c r="C8" s="476">
        <f>+B8</f>
        <v>7.9001000000000001</v>
      </c>
      <c r="D8" s="476">
        <f>+C8</f>
        <v>7.9001000000000001</v>
      </c>
      <c r="E8" s="476">
        <f>D8</f>
        <v>7.9001000000000001</v>
      </c>
      <c r="F8" s="608"/>
      <c r="G8" s="614"/>
    </row>
    <row r="9" spans="1:10" ht="22.5" customHeight="1">
      <c r="A9" s="68" t="s">
        <v>238</v>
      </c>
      <c r="B9" s="69" t="s">
        <v>11</v>
      </c>
      <c r="C9" s="69" t="s">
        <v>11</v>
      </c>
      <c r="D9" s="69" t="s">
        <v>11</v>
      </c>
      <c r="E9" s="69" t="s">
        <v>11</v>
      </c>
      <c r="F9" s="604" t="s">
        <v>11</v>
      </c>
      <c r="G9" s="615" t="s">
        <v>11</v>
      </c>
    </row>
    <row r="10" spans="1:10" ht="22.5" customHeight="1">
      <c r="A10" s="68" t="s">
        <v>228</v>
      </c>
      <c r="B10" s="70">
        <v>71.510000000000005</v>
      </c>
      <c r="C10" s="70">
        <f>B10</f>
        <v>71.510000000000005</v>
      </c>
      <c r="D10" s="70">
        <f>B10</f>
        <v>71.510000000000005</v>
      </c>
      <c r="E10" s="70">
        <f>B10</f>
        <v>71.510000000000005</v>
      </c>
      <c r="F10" s="609"/>
      <c r="G10" s="616"/>
    </row>
    <row r="11" spans="1:10" ht="22.5" customHeight="1">
      <c r="A11" s="68" t="s">
        <v>270</v>
      </c>
      <c r="B11" s="477">
        <v>526.26</v>
      </c>
      <c r="C11" s="70">
        <f>+Variables!C23</f>
        <v>998.82057659999998</v>
      </c>
      <c r="D11" s="70">
        <f>+ROUND(C11,2)</f>
        <v>998.82</v>
      </c>
      <c r="E11" s="70">
        <v>503.71</v>
      </c>
      <c r="F11" s="605"/>
      <c r="G11" s="617"/>
      <c r="I11" s="480"/>
      <c r="J11" s="480"/>
    </row>
    <row r="12" spans="1:10" ht="22.5" customHeight="1">
      <c r="A12" s="68" t="s">
        <v>281</v>
      </c>
      <c r="B12" s="496" t="s">
        <v>395</v>
      </c>
      <c r="C12" s="496" t="s">
        <v>395</v>
      </c>
      <c r="D12" s="496" t="s">
        <v>395</v>
      </c>
      <c r="E12" s="496" t="s">
        <v>395</v>
      </c>
      <c r="F12" s="603" t="s">
        <v>395</v>
      </c>
      <c r="G12" s="618" t="s">
        <v>395</v>
      </c>
    </row>
    <row r="13" spans="1:10" ht="22.5" customHeight="1">
      <c r="A13" s="68" t="s">
        <v>373</v>
      </c>
      <c r="B13" s="477">
        <v>148</v>
      </c>
      <c r="C13" s="70">
        <v>148</v>
      </c>
      <c r="D13" s="70">
        <v>148</v>
      </c>
      <c r="E13" s="70">
        <v>166</v>
      </c>
      <c r="F13" s="605"/>
      <c r="G13" s="617"/>
    </row>
    <row r="14" spans="1:10" ht="22.5" customHeight="1">
      <c r="A14" s="68" t="s">
        <v>23</v>
      </c>
      <c r="B14" s="69" t="s">
        <v>12</v>
      </c>
      <c r="C14" s="69" t="s">
        <v>12</v>
      </c>
      <c r="D14" s="69" t="s">
        <v>12</v>
      </c>
      <c r="E14" s="69" t="s">
        <v>12</v>
      </c>
      <c r="F14" s="604"/>
      <c r="G14" s="615"/>
    </row>
    <row r="15" spans="1:10" ht="22.5" customHeight="1">
      <c r="A15" s="68" t="s">
        <v>229</v>
      </c>
      <c r="B15" s="69" t="s">
        <v>22</v>
      </c>
      <c r="C15" s="69"/>
      <c r="D15" s="69"/>
      <c r="E15" s="69" t="str">
        <f>+B15</f>
        <v>(***)</v>
      </c>
      <c r="F15" s="610"/>
      <c r="G15" s="619"/>
    </row>
    <row r="16" spans="1:10" ht="22.5" customHeight="1">
      <c r="A16" s="68" t="s">
        <v>8</v>
      </c>
      <c r="B16" s="70">
        <f>+ROUND(0.25*Variables!E20,2)</f>
        <v>1269.69</v>
      </c>
      <c r="C16" s="70">
        <f>+ROUND(Variables!E23*0.25,2)</f>
        <v>1776.95</v>
      </c>
      <c r="D16" s="70">
        <f>+ROUND(C16,2)</f>
        <v>1776.95</v>
      </c>
      <c r="E16" s="70">
        <f>+ROUND(Variables!E27*0.06,2)</f>
        <v>301.48</v>
      </c>
      <c r="F16" s="611" t="s">
        <v>2</v>
      </c>
      <c r="G16" s="620" t="s">
        <v>2</v>
      </c>
    </row>
    <row r="17" spans="1:7" ht="22.5" customHeight="1">
      <c r="A17" s="68" t="s">
        <v>5</v>
      </c>
      <c r="B17" s="69" t="s">
        <v>12</v>
      </c>
      <c r="C17" s="69" t="s">
        <v>12</v>
      </c>
      <c r="D17" s="69" t="s">
        <v>12</v>
      </c>
      <c r="E17" s="69" t="s">
        <v>12</v>
      </c>
      <c r="F17" s="611" t="s">
        <v>2</v>
      </c>
      <c r="G17" s="620" t="s">
        <v>2</v>
      </c>
    </row>
    <row r="18" spans="1:7" ht="22.5" customHeight="1">
      <c r="A18" s="68" t="s">
        <v>230</v>
      </c>
      <c r="B18" s="69" t="s">
        <v>22</v>
      </c>
      <c r="C18" s="69"/>
      <c r="D18" s="69"/>
      <c r="E18" s="69" t="str">
        <f>+B18</f>
        <v>(***)</v>
      </c>
      <c r="F18" s="611" t="s">
        <v>2</v>
      </c>
      <c r="G18" s="620" t="s">
        <v>2</v>
      </c>
    </row>
    <row r="19" spans="1:7" ht="22.5" customHeight="1">
      <c r="A19" s="68" t="s">
        <v>7</v>
      </c>
      <c r="B19" s="69" t="s">
        <v>231</v>
      </c>
      <c r="C19" s="69"/>
      <c r="D19" s="69"/>
      <c r="E19" s="69"/>
      <c r="F19" s="612" t="s">
        <v>2</v>
      </c>
      <c r="G19" s="621" t="s">
        <v>2</v>
      </c>
    </row>
    <row r="20" spans="1:7" ht="22.5" customHeight="1">
      <c r="A20" s="68" t="s">
        <v>235</v>
      </c>
      <c r="B20" s="69" t="s">
        <v>22</v>
      </c>
      <c r="C20" s="70"/>
      <c r="D20" s="70"/>
      <c r="E20" s="69" t="str">
        <f>+B20</f>
        <v>(***)</v>
      </c>
      <c r="F20" s="611" t="s">
        <v>2</v>
      </c>
      <c r="G20" s="620" t="s">
        <v>2</v>
      </c>
    </row>
    <row r="21" spans="1:7" ht="22.5" customHeight="1" thickBot="1">
      <c r="A21" s="73" t="s">
        <v>9</v>
      </c>
      <c r="B21" s="74" t="s">
        <v>12</v>
      </c>
      <c r="C21" s="74" t="s">
        <v>12</v>
      </c>
      <c r="D21" s="74" t="s">
        <v>12</v>
      </c>
      <c r="E21" s="74" t="s">
        <v>12</v>
      </c>
      <c r="F21" s="606" t="s">
        <v>2</v>
      </c>
      <c r="G21" s="622" t="s">
        <v>2</v>
      </c>
    </row>
    <row r="22" spans="1:7" ht="21.75" customHeight="1" thickTop="1">
      <c r="A22" s="690"/>
      <c r="B22" s="691"/>
      <c r="C22" s="691"/>
      <c r="D22" s="691"/>
      <c r="E22" s="691"/>
      <c r="F22" s="691"/>
      <c r="G22" s="691"/>
    </row>
    <row r="23" spans="1:7" s="66" customFormat="1" ht="30" customHeight="1">
      <c r="A23" s="692" t="s">
        <v>227</v>
      </c>
      <c r="B23" s="692"/>
      <c r="C23" s="692"/>
      <c r="D23" s="692"/>
      <c r="E23" s="692"/>
      <c r="F23" s="692"/>
      <c r="G23" s="692"/>
    </row>
    <row r="24" spans="1:7" s="66" customFormat="1" ht="11.25" customHeight="1">
      <c r="A24" s="325"/>
      <c r="B24" s="325"/>
      <c r="C24" s="325"/>
      <c r="D24" s="325"/>
      <c r="E24" s="325"/>
      <c r="F24" s="600"/>
      <c r="G24" s="325"/>
    </row>
    <row r="25" spans="1:7" s="66" customFormat="1" ht="31.5" customHeight="1">
      <c r="A25" s="692" t="s">
        <v>223</v>
      </c>
      <c r="B25" s="692"/>
      <c r="C25" s="692"/>
      <c r="D25" s="692"/>
      <c r="E25" s="692"/>
      <c r="F25" s="692"/>
      <c r="G25" s="692"/>
    </row>
    <row r="26" spans="1:7" s="66" customFormat="1" ht="7.5" customHeight="1">
      <c r="A26" s="14"/>
      <c r="B26" s="326"/>
      <c r="C26" s="326"/>
      <c r="D26" s="326"/>
      <c r="E26" s="326"/>
      <c r="F26" s="326"/>
      <c r="G26" s="326"/>
    </row>
    <row r="27" spans="1:7" ht="43.5" customHeight="1">
      <c r="A27" s="702" t="s">
        <v>224</v>
      </c>
      <c r="B27" s="702"/>
      <c r="C27" s="702"/>
      <c r="D27" s="702"/>
      <c r="E27" s="702"/>
      <c r="F27" s="702"/>
      <c r="G27" s="702"/>
    </row>
    <row r="28" spans="1:7" s="9" customFormat="1" ht="8.25" customHeight="1">
      <c r="A28" s="327"/>
      <c r="B28" s="327"/>
      <c r="C28" s="327"/>
      <c r="D28" s="327"/>
      <c r="E28" s="327"/>
      <c r="F28" s="601"/>
      <c r="G28" s="327"/>
    </row>
    <row r="29" spans="1:7" ht="18" customHeight="1">
      <c r="A29" s="692" t="s">
        <v>225</v>
      </c>
      <c r="B29" s="692"/>
      <c r="C29" s="692"/>
      <c r="D29" s="692"/>
      <c r="E29" s="692"/>
      <c r="F29" s="692"/>
      <c r="G29" s="692"/>
    </row>
    <row r="30" spans="1:7" ht="7.5" customHeight="1">
      <c r="A30" s="690"/>
      <c r="B30" s="691"/>
      <c r="C30" s="691"/>
      <c r="D30" s="691"/>
      <c r="E30" s="691"/>
      <c r="F30" s="691"/>
      <c r="G30" s="691"/>
    </row>
    <row r="31" spans="1:7" ht="29.25" customHeight="1">
      <c r="A31" s="692" t="s">
        <v>308</v>
      </c>
      <c r="B31" s="692"/>
      <c r="C31" s="692"/>
      <c r="D31" s="692"/>
      <c r="E31" s="692"/>
      <c r="F31" s="692"/>
      <c r="G31" s="692"/>
    </row>
    <row r="32" spans="1:7" s="10" customFormat="1" ht="18" customHeight="1">
      <c r="A32" s="692" t="s">
        <v>315</v>
      </c>
      <c r="B32" s="692"/>
      <c r="C32" s="692"/>
      <c r="D32" s="692"/>
      <c r="E32" s="692"/>
      <c r="F32" s="692"/>
      <c r="G32" s="692"/>
    </row>
    <row r="33" spans="1:7" s="10" customFormat="1">
      <c r="A33" s="692" t="s">
        <v>372</v>
      </c>
      <c r="B33" s="692"/>
      <c r="C33" s="692"/>
      <c r="D33" s="692"/>
      <c r="E33" s="692"/>
      <c r="F33" s="692"/>
      <c r="G33" s="692"/>
    </row>
    <row r="34" spans="1:7" s="10" customFormat="1">
      <c r="A34" s="600"/>
      <c r="B34" s="600"/>
      <c r="C34" s="600"/>
      <c r="D34" s="600"/>
      <c r="E34" s="600"/>
      <c r="F34" s="600"/>
      <c r="G34" s="600"/>
    </row>
    <row r="35" spans="1:7" s="10" customFormat="1">
      <c r="A35" s="692" t="s">
        <v>705</v>
      </c>
      <c r="B35" s="692"/>
      <c r="C35" s="692"/>
      <c r="D35" s="692"/>
      <c r="E35" s="692"/>
      <c r="F35" s="692"/>
      <c r="G35" s="692"/>
    </row>
    <row r="36" spans="1:7" s="10" customFormat="1">
      <c r="A36" s="600"/>
      <c r="B36" s="600"/>
      <c r="C36" s="600"/>
      <c r="D36" s="600"/>
      <c r="E36" s="600"/>
      <c r="F36" s="600"/>
      <c r="G36" s="600"/>
    </row>
    <row r="37" spans="1:7" s="10" customFormat="1" ht="14.25" customHeight="1">
      <c r="A37" s="692" t="s">
        <v>697</v>
      </c>
      <c r="B37" s="692"/>
      <c r="C37" s="692"/>
      <c r="D37" s="692"/>
      <c r="E37" s="692"/>
      <c r="F37" s="692"/>
      <c r="G37" s="692"/>
    </row>
    <row r="38" spans="1:7" s="10" customFormat="1" ht="14.25" customHeight="1">
      <c r="A38" s="692"/>
      <c r="B38" s="692"/>
      <c r="C38" s="692"/>
      <c r="D38" s="692"/>
      <c r="E38" s="692"/>
      <c r="F38" s="692"/>
      <c r="G38" s="692"/>
    </row>
    <row r="39" spans="1:7" s="10" customFormat="1" ht="14.25" customHeight="1">
      <c r="A39" s="692"/>
      <c r="B39" s="692"/>
      <c r="C39" s="692"/>
      <c r="D39" s="692"/>
      <c r="E39" s="692"/>
      <c r="F39" s="692"/>
      <c r="G39" s="692"/>
    </row>
    <row r="40" spans="1:7" s="10" customFormat="1" ht="14.25" customHeight="1">
      <c r="A40" s="692"/>
      <c r="B40" s="692"/>
      <c r="C40" s="692"/>
      <c r="D40" s="692"/>
      <c r="E40" s="692"/>
      <c r="F40" s="692"/>
      <c r="G40" s="692"/>
    </row>
    <row r="41" spans="1:7" s="10" customFormat="1">
      <c r="A41" s="692" t="s">
        <v>161</v>
      </c>
      <c r="B41" s="692"/>
      <c r="C41" s="692"/>
      <c r="D41" s="692"/>
      <c r="E41" s="692"/>
      <c r="F41" s="692"/>
      <c r="G41" s="692"/>
    </row>
    <row r="42" spans="1:7" s="10" customFormat="1" ht="90" customHeight="1">
      <c r="A42" s="703" t="s">
        <v>348</v>
      </c>
      <c r="B42" s="703"/>
      <c r="C42" s="703"/>
      <c r="D42" s="703"/>
      <c r="E42" s="703"/>
      <c r="F42" s="602"/>
      <c r="G42" s="11"/>
    </row>
    <row r="43" spans="1:7" s="10" customFormat="1">
      <c r="A43" s="11"/>
      <c r="B43" s="11"/>
      <c r="C43" s="11"/>
      <c r="D43" s="11"/>
      <c r="E43" s="11"/>
      <c r="F43" s="11"/>
      <c r="G43" s="11"/>
    </row>
    <row r="44" spans="1:7" s="10" customFormat="1">
      <c r="A44" s="11"/>
      <c r="B44" s="11"/>
      <c r="C44" s="11"/>
      <c r="D44" s="11"/>
      <c r="E44" s="11"/>
      <c r="F44" s="11"/>
      <c r="G44" s="11"/>
    </row>
    <row r="45" spans="1:7" s="10" customFormat="1">
      <c r="A45" s="11"/>
      <c r="B45" s="11"/>
      <c r="C45" s="11"/>
      <c r="D45" s="11"/>
      <c r="E45" s="11"/>
      <c r="F45" s="11"/>
      <c r="G45" s="11"/>
    </row>
    <row r="46" spans="1:7" s="10" customFormat="1">
      <c r="A46" s="11"/>
      <c r="B46" s="11"/>
      <c r="C46" s="11"/>
      <c r="D46" s="11"/>
      <c r="E46" s="11"/>
      <c r="F46" s="11"/>
      <c r="G46" s="11"/>
    </row>
    <row r="47" spans="1:7" s="10" customFormat="1">
      <c r="A47" s="11"/>
      <c r="B47" s="11"/>
      <c r="C47" s="11"/>
      <c r="D47" s="11"/>
      <c r="E47" s="11"/>
      <c r="F47" s="11"/>
      <c r="G47" s="11"/>
    </row>
    <row r="48" spans="1:7" s="10" customFormat="1">
      <c r="A48" s="12"/>
      <c r="B48" s="12"/>
      <c r="C48" s="12"/>
      <c r="D48" s="12"/>
      <c r="E48" s="12"/>
      <c r="F48" s="312"/>
      <c r="G48" s="12"/>
    </row>
  </sheetData>
  <sheetProtection password="C712" sheet="1" objects="1" scenarios="1"/>
  <mergeCells count="18">
    <mergeCell ref="A33:G33"/>
    <mergeCell ref="A41:G41"/>
    <mergeCell ref="A42:E42"/>
    <mergeCell ref="A37:G40"/>
    <mergeCell ref="A32:G32"/>
    <mergeCell ref="A35:G35"/>
    <mergeCell ref="A2:G2"/>
    <mergeCell ref="A23:G23"/>
    <mergeCell ref="A25:G25"/>
    <mergeCell ref="A27:G27"/>
    <mergeCell ref="A29:G29"/>
    <mergeCell ref="A22:G22"/>
    <mergeCell ref="A30:G30"/>
    <mergeCell ref="A31:G31"/>
    <mergeCell ref="A4:A6"/>
    <mergeCell ref="B4:B5"/>
    <mergeCell ref="E4:E5"/>
    <mergeCell ref="C4:D4"/>
  </mergeCells>
  <phoneticPr fontId="19"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A21" sqref="A21"/>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5" width="18.85546875" style="7" customWidth="1"/>
    <col min="6" max="16384" width="9.85546875" style="7"/>
  </cols>
  <sheetData>
    <row r="1" spans="1:59" s="6" customFormat="1" ht="15" customHeight="1">
      <c r="A1" s="22"/>
      <c r="B1" s="22"/>
      <c r="C1" s="2"/>
      <c r="D1" s="23"/>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8" customFormat="1" ht="27.75" customHeight="1">
      <c r="A2" s="704" t="str">
        <f>CONCATENATE("ESTRUCTURAS DE PRECIOS PARA GASOLINA MOTOR CORRIENTE OXIGENADA VIGENTES A PARTIR DE ",'COMBUSTIBLES '!$A$1)</f>
        <v>ESTRUCTURAS DE PRECIOS PARA GASOLINA MOTOR CORRIENTE OXIGENADA VIGENTES A PARTIR DE 1 DE JULIO 2019</v>
      </c>
      <c r="B2" s="705"/>
      <c r="C2" s="705"/>
      <c r="D2" s="705"/>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row>
    <row r="3" spans="1:59" s="58" customFormat="1" ht="27.75" customHeight="1">
      <c r="A3" s="706" t="s">
        <v>0</v>
      </c>
      <c r="B3" s="707"/>
      <c r="C3" s="707"/>
      <c r="D3" s="707"/>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row>
    <row r="4" spans="1:59" s="52" customFormat="1" ht="46.5" customHeight="1">
      <c r="A4" s="709" t="s">
        <v>1</v>
      </c>
      <c r="B4" s="708" t="s">
        <v>27</v>
      </c>
      <c r="C4" s="708" t="s">
        <v>681</v>
      </c>
      <c r="D4" s="467" t="s">
        <v>28</v>
      </c>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row>
    <row r="5" spans="1:59" s="52" customFormat="1" ht="19.5" customHeight="1">
      <c r="A5" s="693"/>
      <c r="B5" s="696"/>
      <c r="C5" s="696"/>
      <c r="D5" s="314">
        <v>0.1</v>
      </c>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row>
    <row r="6" spans="1:59" s="52" customFormat="1" ht="25.5" customHeight="1" thickBot="1">
      <c r="A6" s="694"/>
      <c r="B6" s="191" t="str">
        <f>+'COMBUSTIBLES '!B6</f>
        <v>1 DE JULIO 2019</v>
      </c>
      <c r="C6" s="190" t="str">
        <f>'COMBUSTIBLES '!B6</f>
        <v>1 DE JULIO 2019</v>
      </c>
      <c r="D6" s="190" t="e">
        <f>+#REF!</f>
        <v>#REF!</v>
      </c>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row>
    <row r="7" spans="1:59" s="6" customFormat="1" ht="31.5" customHeight="1" thickTop="1">
      <c r="A7" s="85" t="s">
        <v>3</v>
      </c>
      <c r="B7" s="563">
        <v>7762.48</v>
      </c>
      <c r="C7" s="311">
        <f>+'COMBUSTIBLES '!B7</f>
        <v>5701</v>
      </c>
      <c r="D7" s="451"/>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9" t="s">
        <v>187</v>
      </c>
      <c r="B8" s="183"/>
      <c r="C8" s="72"/>
      <c r="D8" s="333">
        <f>ROUND($C$7*(1-D5),2)</f>
        <v>5130.8999999999996</v>
      </c>
      <c r="E8" s="480"/>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9" t="s">
        <v>186</v>
      </c>
      <c r="B9" s="183"/>
      <c r="C9" s="72"/>
      <c r="D9" s="333">
        <f>+ROUND(B7*D5,2)</f>
        <v>776.25</v>
      </c>
      <c r="E9" s="480"/>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9" t="s">
        <v>49</v>
      </c>
      <c r="B10" s="183"/>
      <c r="C10" s="72"/>
      <c r="D10" s="333">
        <f>D8+D9</f>
        <v>5907.15</v>
      </c>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9" t="str">
        <f>+'COMBUSTIBLES '!A11</f>
        <v>Impuesto Nacional a la Gasolina y al ACPM</v>
      </c>
      <c r="B11" s="183"/>
      <c r="C11" s="130">
        <f>+Variables!C21</f>
        <v>526.26030379999997</v>
      </c>
      <c r="D11" s="333">
        <f>+C11*(1-D5)</f>
        <v>473.63427342</v>
      </c>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9" t="str">
        <f>+'COMBUSTIBLES '!A12</f>
        <v>Impuesto sobre las Ventas</v>
      </c>
      <c r="B12" s="183"/>
      <c r="C12" s="491" t="str">
        <f>+'COMBUSTIBLES '!C12</f>
        <v>(3)</v>
      </c>
      <c r="D12" s="333" t="str">
        <f>+C12</f>
        <v>(3)</v>
      </c>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9" t="str">
        <f>+'COMBUSTIBLES '!A13</f>
        <v>Impuesto al carbono</v>
      </c>
      <c r="B13" s="183"/>
      <c r="C13" s="130">
        <f>Variables!C46</f>
        <v>148</v>
      </c>
      <c r="D13" s="333">
        <f>ROUND(C13*(1-D5),2)</f>
        <v>133.19999999999999</v>
      </c>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9" t="s">
        <v>57</v>
      </c>
      <c r="B14" s="183"/>
      <c r="C14" s="130">
        <f>'COMBUSTIBLES '!B8</f>
        <v>7.9001000000000001</v>
      </c>
      <c r="D14" s="333">
        <f>+C14</f>
        <v>7.9001000000000001</v>
      </c>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9" t="s">
        <v>188</v>
      </c>
      <c r="B15" s="183"/>
      <c r="C15" s="72"/>
      <c r="D15" s="464" t="s">
        <v>11</v>
      </c>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9" t="s">
        <v>189</v>
      </c>
      <c r="B16" s="183"/>
      <c r="C16" s="81"/>
      <c r="D16" s="464" t="s">
        <v>12</v>
      </c>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9" t="s">
        <v>228</v>
      </c>
      <c r="B17" s="183"/>
      <c r="C17" s="72">
        <f>'COMBUSTIBLES '!B10</f>
        <v>71.510000000000005</v>
      </c>
      <c r="D17" s="464">
        <f>+C17</f>
        <v>71.510000000000005</v>
      </c>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9" t="s">
        <v>50</v>
      </c>
      <c r="B18" s="183"/>
      <c r="C18" s="72" t="s">
        <v>22</v>
      </c>
      <c r="D18" s="464" t="s">
        <v>22</v>
      </c>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9" t="s">
        <v>8</v>
      </c>
      <c r="B19" s="183"/>
      <c r="C19" s="72">
        <f>+ROUND('COMBUSTIBLES '!B16,2)</f>
        <v>1269.69</v>
      </c>
      <c r="D19" s="464">
        <f>+ROUND(C19*(1-D5),2)</f>
        <v>1142.72</v>
      </c>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9" t="s">
        <v>47</v>
      </c>
      <c r="B20" s="183"/>
      <c r="C20" s="130" t="s">
        <v>161</v>
      </c>
      <c r="D20" s="464" t="s">
        <v>231</v>
      </c>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9" t="s">
        <v>63</v>
      </c>
      <c r="B21" s="183"/>
      <c r="C21" s="72" t="s">
        <v>161</v>
      </c>
      <c r="D21" s="464" t="s">
        <v>22</v>
      </c>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9" t="s">
        <v>48</v>
      </c>
      <c r="B22" s="183"/>
      <c r="C22" s="70" t="s">
        <v>161</v>
      </c>
      <c r="D22" s="464" t="str">
        <f>+D20</f>
        <v>(****)</v>
      </c>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9" t="s">
        <v>61</v>
      </c>
      <c r="B23" s="183"/>
      <c r="C23" s="72" t="s">
        <v>161</v>
      </c>
      <c r="D23" s="464" t="s">
        <v>60</v>
      </c>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9" t="s">
        <v>235</v>
      </c>
      <c r="B24" s="183"/>
      <c r="C24" s="72" t="s">
        <v>161</v>
      </c>
      <c r="D24" s="464" t="str">
        <f>+D22</f>
        <v>(****)</v>
      </c>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82" t="s">
        <v>62</v>
      </c>
      <c r="B25" s="184"/>
      <c r="C25" s="83" t="s">
        <v>161</v>
      </c>
      <c r="D25" s="465" t="s">
        <v>22</v>
      </c>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5"/>
      <c r="D26" s="24"/>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37" customFormat="1" ht="35.25" customHeight="1">
      <c r="A27" s="710" t="s">
        <v>262</v>
      </c>
      <c r="B27" s="710"/>
      <c r="C27" s="710"/>
      <c r="D27" s="710"/>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row>
    <row r="28" spans="1:59" s="336" customFormat="1" ht="8.25" customHeight="1">
      <c r="A28" s="338"/>
      <c r="B28" s="338"/>
      <c r="C28" s="338"/>
      <c r="D28" s="338"/>
    </row>
    <row r="29" spans="1:59" s="336" customFormat="1" ht="48" customHeight="1">
      <c r="A29" s="711" t="s">
        <v>263</v>
      </c>
      <c r="B29" s="711"/>
      <c r="C29" s="711"/>
      <c r="D29" s="711"/>
    </row>
    <row r="30" spans="1:59" s="336" customFormat="1" ht="12.75">
      <c r="A30" s="339"/>
      <c r="B30" s="339"/>
      <c r="C30" s="340"/>
      <c r="D30" s="340"/>
    </row>
    <row r="31" spans="1:59" s="336" customFormat="1" ht="35.25" customHeight="1">
      <c r="A31" s="711" t="s">
        <v>232</v>
      </c>
      <c r="B31" s="711"/>
      <c r="C31" s="711"/>
      <c r="D31" s="711"/>
    </row>
    <row r="32" spans="1:59" s="336" customFormat="1" ht="12.75">
      <c r="A32" s="339"/>
      <c r="B32" s="339"/>
      <c r="C32" s="340"/>
      <c r="D32" s="340"/>
    </row>
    <row r="33" spans="1:6" s="379" customFormat="1" ht="36.75" customHeight="1">
      <c r="A33" s="712" t="s">
        <v>233</v>
      </c>
      <c r="B33" s="712"/>
      <c r="C33" s="712"/>
      <c r="D33" s="712"/>
    </row>
    <row r="34" spans="1:6" s="336" customFormat="1" ht="9" customHeight="1">
      <c r="A34" s="339"/>
      <c r="B34" s="339"/>
      <c r="C34" s="340"/>
      <c r="D34" s="340"/>
    </row>
    <row r="35" spans="1:6" s="336" customFormat="1" ht="12.75">
      <c r="A35" s="711" t="s">
        <v>234</v>
      </c>
      <c r="B35" s="711"/>
      <c r="C35" s="711"/>
      <c r="D35" s="711"/>
    </row>
    <row r="36" spans="1:6" s="336" customFormat="1" ht="10.5" customHeight="1">
      <c r="A36" s="341"/>
      <c r="B36" s="341"/>
      <c r="C36" s="341"/>
      <c r="D36" s="341"/>
    </row>
    <row r="37" spans="1:6" s="336" customFormat="1" ht="30.75" customHeight="1">
      <c r="A37" s="702" t="s">
        <v>308</v>
      </c>
      <c r="B37" s="702"/>
      <c r="C37" s="702"/>
      <c r="D37" s="702"/>
      <c r="E37" s="335"/>
    </row>
    <row r="38" spans="1:6" s="336" customFormat="1" ht="6" customHeight="1">
      <c r="A38" s="584"/>
      <c r="B38" s="584"/>
      <c r="C38" s="584"/>
      <c r="D38" s="584"/>
      <c r="E38" s="335"/>
    </row>
    <row r="39" spans="1:6" s="336" customFormat="1" ht="12.75" customHeight="1">
      <c r="A39" s="692" t="s">
        <v>697</v>
      </c>
      <c r="B39" s="692"/>
      <c r="C39" s="692"/>
      <c r="D39" s="692"/>
      <c r="E39" s="335"/>
      <c r="F39" s="335"/>
    </row>
    <row r="40" spans="1:6" s="336" customFormat="1" ht="12.75">
      <c r="A40" s="692"/>
      <c r="B40" s="692"/>
      <c r="C40" s="692"/>
      <c r="D40" s="692"/>
      <c r="E40" s="335"/>
      <c r="F40" s="335"/>
    </row>
    <row r="41" spans="1:6">
      <c r="A41" s="692"/>
      <c r="B41" s="692"/>
      <c r="C41" s="692"/>
      <c r="D41" s="692"/>
      <c r="E41" s="335"/>
      <c r="F41" s="335"/>
    </row>
    <row r="42" spans="1:6">
      <c r="A42" s="692"/>
      <c r="B42" s="692"/>
      <c r="C42" s="692"/>
      <c r="D42" s="692"/>
      <c r="E42" s="335"/>
      <c r="F42" s="335"/>
    </row>
    <row r="43" spans="1:6">
      <c r="A43" s="692"/>
      <c r="B43" s="692"/>
      <c r="C43" s="692"/>
      <c r="D43" s="692"/>
      <c r="E43" s="583"/>
      <c r="F43" s="583"/>
    </row>
    <row r="44" spans="1:6">
      <c r="A44" s="583"/>
      <c r="B44" s="583"/>
      <c r="C44" s="583"/>
      <c r="D44" s="583"/>
      <c r="E44" s="583"/>
      <c r="F44" s="583"/>
    </row>
    <row r="45" spans="1:6" ht="98.25" customHeight="1">
      <c r="A45" s="703" t="s">
        <v>348</v>
      </c>
      <c r="B45" s="703"/>
      <c r="C45" s="703"/>
      <c r="D45" s="703"/>
    </row>
  </sheetData>
  <sheetProtection password="C712"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19"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27" t="s">
        <v>327</v>
      </c>
    </row>
    <row r="3" spans="1:16" ht="13.5" thickBot="1"/>
    <row r="4" spans="1:16" ht="15.75" customHeight="1" thickTop="1">
      <c r="A4" s="713" t="s">
        <v>316</v>
      </c>
      <c r="B4" s="714"/>
      <c r="C4" s="714"/>
      <c r="D4" s="714"/>
      <c r="E4" s="714"/>
      <c r="F4" s="714"/>
      <c r="G4" s="714"/>
      <c r="H4" s="714"/>
      <c r="I4" s="714"/>
      <c r="J4" s="714"/>
      <c r="K4" s="714"/>
      <c r="L4" s="714"/>
      <c r="M4" s="714"/>
      <c r="N4" s="714"/>
      <c r="O4" s="714"/>
      <c r="P4" s="715"/>
    </row>
    <row r="5" spans="1:16" ht="18" customHeight="1">
      <c r="A5" s="716"/>
      <c r="B5" s="717"/>
      <c r="C5" s="717"/>
      <c r="D5" s="717"/>
      <c r="E5" s="717"/>
      <c r="F5" s="717"/>
      <c r="G5" s="717"/>
      <c r="H5" s="717"/>
      <c r="I5" s="717"/>
      <c r="J5" s="717"/>
      <c r="K5" s="717"/>
      <c r="L5" s="717"/>
      <c r="M5" s="717"/>
      <c r="N5" s="717"/>
      <c r="O5" s="717"/>
      <c r="P5" s="718"/>
    </row>
    <row r="6" spans="1:16" ht="51" customHeight="1">
      <c r="A6" s="426" t="s">
        <v>1</v>
      </c>
      <c r="B6" s="454" t="s">
        <v>318</v>
      </c>
      <c r="C6" s="454" t="s">
        <v>317</v>
      </c>
      <c r="D6" s="425" t="s">
        <v>294</v>
      </c>
      <c r="E6" s="454" t="s">
        <v>319</v>
      </c>
      <c r="F6" s="425" t="s">
        <v>295</v>
      </c>
      <c r="G6" s="425" t="s">
        <v>296</v>
      </c>
      <c r="H6" s="425" t="s">
        <v>297</v>
      </c>
      <c r="I6" s="454" t="s">
        <v>320</v>
      </c>
      <c r="J6" s="425" t="s">
        <v>298</v>
      </c>
      <c r="K6" s="425" t="s">
        <v>299</v>
      </c>
      <c r="L6" s="425" t="s">
        <v>321</v>
      </c>
      <c r="M6" s="425" t="s">
        <v>322</v>
      </c>
      <c r="N6" s="458" t="s">
        <v>300</v>
      </c>
      <c r="O6" s="458" t="s">
        <v>323</v>
      </c>
      <c r="P6" s="428" t="s">
        <v>324</v>
      </c>
    </row>
    <row r="7" spans="1:16" ht="21.75" customHeight="1">
      <c r="A7" s="85" t="s">
        <v>3</v>
      </c>
      <c r="B7" s="429">
        <v>4898.18</v>
      </c>
      <c r="C7" s="429">
        <v>4880.5</v>
      </c>
      <c r="D7" s="429">
        <v>4973.8500000000004</v>
      </c>
      <c r="E7" s="429">
        <v>4979.33</v>
      </c>
      <c r="F7" s="429">
        <v>4938.42</v>
      </c>
      <c r="G7" s="429">
        <v>4897.41</v>
      </c>
      <c r="H7" s="429">
        <v>4864.58</v>
      </c>
      <c r="I7" s="429">
        <v>4880.16</v>
      </c>
      <c r="J7" s="429">
        <v>4881.16</v>
      </c>
      <c r="K7" s="429">
        <v>4882.17</v>
      </c>
      <c r="L7" s="429">
        <v>4888.16</v>
      </c>
      <c r="M7" s="429">
        <v>4908.13</v>
      </c>
      <c r="N7" s="459">
        <v>4896.76</v>
      </c>
      <c r="O7" s="459">
        <v>4888.46</v>
      </c>
      <c r="P7" s="430">
        <v>4888.46</v>
      </c>
    </row>
    <row r="8" spans="1:16" ht="17.25" customHeight="1">
      <c r="A8" s="79" t="str">
        <f>+'COMBUSTIBLES '!A11</f>
        <v>Impuesto Nacional a la Gasolina y al ACPM</v>
      </c>
      <c r="B8" s="433">
        <f>+'COMBUSTIBLES '!B11</f>
        <v>526.26</v>
      </c>
      <c r="C8" s="433">
        <f>+B8</f>
        <v>526.26</v>
      </c>
      <c r="D8" s="433">
        <f>+B8</f>
        <v>526.26</v>
      </c>
      <c r="E8" s="433">
        <f t="shared" ref="E8:O8" si="0">+C8</f>
        <v>526.26</v>
      </c>
      <c r="F8" s="433">
        <f t="shared" si="0"/>
        <v>526.26</v>
      </c>
      <c r="G8" s="433">
        <f t="shared" si="0"/>
        <v>526.26</v>
      </c>
      <c r="H8" s="433">
        <f t="shared" si="0"/>
        <v>526.26</v>
      </c>
      <c r="I8" s="433">
        <f t="shared" si="0"/>
        <v>526.26</v>
      </c>
      <c r="J8" s="433">
        <f t="shared" si="0"/>
        <v>526.26</v>
      </c>
      <c r="K8" s="433">
        <f t="shared" si="0"/>
        <v>526.26</v>
      </c>
      <c r="L8" s="433">
        <f t="shared" si="0"/>
        <v>526.26</v>
      </c>
      <c r="M8" s="433">
        <f t="shared" si="0"/>
        <v>526.26</v>
      </c>
      <c r="N8" s="433">
        <f t="shared" si="0"/>
        <v>526.26</v>
      </c>
      <c r="O8" s="433">
        <f t="shared" si="0"/>
        <v>526.26</v>
      </c>
      <c r="P8" s="434">
        <f>+M8</f>
        <v>526.26</v>
      </c>
    </row>
    <row r="9" spans="1:16" ht="19.5" customHeight="1">
      <c r="A9" s="79" t="s">
        <v>57</v>
      </c>
      <c r="B9" s="433">
        <v>5.56</v>
      </c>
      <c r="C9" s="433">
        <f t="shared" ref="C9:C18" si="1">+B9</f>
        <v>5.56</v>
      </c>
      <c r="D9" s="433">
        <v>5.56</v>
      </c>
      <c r="E9" s="433">
        <v>5.56</v>
      </c>
      <c r="F9" s="433">
        <v>5.56</v>
      </c>
      <c r="G9" s="433">
        <v>5.56</v>
      </c>
      <c r="H9" s="433">
        <v>5.56</v>
      </c>
      <c r="I9" s="433">
        <v>5.56</v>
      </c>
      <c r="J9" s="433">
        <v>5.56</v>
      </c>
      <c r="K9" s="433">
        <v>5.56</v>
      </c>
      <c r="L9" s="433">
        <v>5.56</v>
      </c>
      <c r="M9" s="433">
        <v>5.56</v>
      </c>
      <c r="N9" s="433">
        <v>5.56</v>
      </c>
      <c r="O9" s="433">
        <v>5.56</v>
      </c>
      <c r="P9" s="434">
        <v>5.56</v>
      </c>
    </row>
    <row r="10" spans="1:16" ht="19.5" customHeight="1">
      <c r="A10" s="79" t="s">
        <v>293</v>
      </c>
      <c r="B10" s="433" t="str">
        <f>+'COMBUSTIBLES '!B9</f>
        <v>(*)</v>
      </c>
      <c r="C10" s="433" t="str">
        <f t="shared" si="1"/>
        <v>(*)</v>
      </c>
      <c r="D10" s="433" t="str">
        <f>+C10</f>
        <v>(*)</v>
      </c>
      <c r="E10" s="433" t="str">
        <f t="shared" ref="E10:O10" si="2">+D10</f>
        <v>(*)</v>
      </c>
      <c r="F10" s="433" t="str">
        <f t="shared" si="2"/>
        <v>(*)</v>
      </c>
      <c r="G10" s="433" t="str">
        <f t="shared" si="2"/>
        <v>(*)</v>
      </c>
      <c r="H10" s="433" t="str">
        <f t="shared" si="2"/>
        <v>(*)</v>
      </c>
      <c r="I10" s="433" t="str">
        <f t="shared" si="2"/>
        <v>(*)</v>
      </c>
      <c r="J10" s="433" t="str">
        <f t="shared" si="2"/>
        <v>(*)</v>
      </c>
      <c r="K10" s="433" t="str">
        <f t="shared" si="2"/>
        <v>(*)</v>
      </c>
      <c r="L10" s="433" t="str">
        <f t="shared" si="2"/>
        <v>(*)</v>
      </c>
      <c r="M10" s="433" t="str">
        <f t="shared" si="2"/>
        <v>(*)</v>
      </c>
      <c r="N10" s="433" t="str">
        <f t="shared" si="2"/>
        <v>(*)</v>
      </c>
      <c r="O10" s="433" t="str">
        <f t="shared" si="2"/>
        <v>(*)</v>
      </c>
      <c r="P10" s="434" t="str">
        <f>+O10</f>
        <v>(*)</v>
      </c>
    </row>
    <row r="11" spans="1:16" ht="19.5" customHeight="1">
      <c r="A11" s="79" t="s">
        <v>292</v>
      </c>
      <c r="B11" s="433">
        <f>'COMBUSTIBLES '!B10</f>
        <v>71.510000000000005</v>
      </c>
      <c r="C11" s="433">
        <f t="shared" si="1"/>
        <v>71.510000000000005</v>
      </c>
      <c r="D11" s="433">
        <f>+B11</f>
        <v>71.510000000000005</v>
      </c>
      <c r="E11" s="433">
        <f t="shared" ref="E11:O11" si="3">+C11</f>
        <v>71.510000000000005</v>
      </c>
      <c r="F11" s="433">
        <f t="shared" si="3"/>
        <v>71.510000000000005</v>
      </c>
      <c r="G11" s="433">
        <f t="shared" si="3"/>
        <v>71.510000000000005</v>
      </c>
      <c r="H11" s="433">
        <f t="shared" si="3"/>
        <v>71.510000000000005</v>
      </c>
      <c r="I11" s="433">
        <f t="shared" si="3"/>
        <v>71.510000000000005</v>
      </c>
      <c r="J11" s="433">
        <f t="shared" si="3"/>
        <v>71.510000000000005</v>
      </c>
      <c r="K11" s="433">
        <f t="shared" si="3"/>
        <v>71.510000000000005</v>
      </c>
      <c r="L11" s="433">
        <f t="shared" si="3"/>
        <v>71.510000000000005</v>
      </c>
      <c r="M11" s="433">
        <f t="shared" si="3"/>
        <v>71.510000000000005</v>
      </c>
      <c r="N11" s="433">
        <f t="shared" si="3"/>
        <v>71.510000000000005</v>
      </c>
      <c r="O11" s="433">
        <f t="shared" si="3"/>
        <v>71.510000000000005</v>
      </c>
      <c r="P11" s="434">
        <f>+M11</f>
        <v>71.510000000000005</v>
      </c>
    </row>
    <row r="12" spans="1:16" ht="30">
      <c r="A12" s="79" t="s">
        <v>50</v>
      </c>
      <c r="B12" s="433" t="str">
        <f>+'COMBUSTIBLES '!B14</f>
        <v>(**)</v>
      </c>
      <c r="C12" s="433" t="str">
        <f>+B12</f>
        <v>(**)</v>
      </c>
      <c r="D12" s="433" t="str">
        <f>+C12</f>
        <v>(**)</v>
      </c>
      <c r="E12" s="433" t="str">
        <f t="shared" ref="E12:O12" si="4">+D12</f>
        <v>(**)</v>
      </c>
      <c r="F12" s="433" t="str">
        <f t="shared" si="4"/>
        <v>(**)</v>
      </c>
      <c r="G12" s="433" t="str">
        <f t="shared" si="4"/>
        <v>(**)</v>
      </c>
      <c r="H12" s="433" t="str">
        <f t="shared" si="4"/>
        <v>(**)</v>
      </c>
      <c r="I12" s="433" t="str">
        <f t="shared" si="4"/>
        <v>(**)</v>
      </c>
      <c r="J12" s="433" t="str">
        <f t="shared" si="4"/>
        <v>(**)</v>
      </c>
      <c r="K12" s="433" t="str">
        <f t="shared" si="4"/>
        <v>(**)</v>
      </c>
      <c r="L12" s="433" t="str">
        <f t="shared" si="4"/>
        <v>(**)</v>
      </c>
      <c r="M12" s="433" t="str">
        <f t="shared" si="4"/>
        <v>(**)</v>
      </c>
      <c r="N12" s="433" t="str">
        <f t="shared" si="4"/>
        <v>(**)</v>
      </c>
      <c r="O12" s="433" t="str">
        <f t="shared" si="4"/>
        <v>(**)</v>
      </c>
      <c r="P12" s="434" t="str">
        <f>+O12</f>
        <v>(**)</v>
      </c>
    </row>
    <row r="13" spans="1:16" ht="19.5" customHeight="1">
      <c r="A13" s="79" t="s">
        <v>8</v>
      </c>
      <c r="B13" s="433">
        <f>+ROUND('COMBUSTIBLES '!B16,2)</f>
        <v>1269.69</v>
      </c>
      <c r="C13" s="433">
        <f t="shared" si="1"/>
        <v>1269.69</v>
      </c>
      <c r="D13" s="433">
        <f>+B13</f>
        <v>1269.69</v>
      </c>
      <c r="E13" s="433">
        <f t="shared" ref="E13:O13" si="5">+C13</f>
        <v>1269.69</v>
      </c>
      <c r="F13" s="433">
        <f t="shared" si="5"/>
        <v>1269.69</v>
      </c>
      <c r="G13" s="433">
        <f t="shared" si="5"/>
        <v>1269.69</v>
      </c>
      <c r="H13" s="433">
        <f t="shared" si="5"/>
        <v>1269.69</v>
      </c>
      <c r="I13" s="433">
        <f t="shared" si="5"/>
        <v>1269.69</v>
      </c>
      <c r="J13" s="433">
        <f t="shared" si="5"/>
        <v>1269.69</v>
      </c>
      <c r="K13" s="433">
        <f t="shared" si="5"/>
        <v>1269.69</v>
      </c>
      <c r="L13" s="433">
        <f t="shared" si="5"/>
        <v>1269.69</v>
      </c>
      <c r="M13" s="433">
        <f t="shared" si="5"/>
        <v>1269.69</v>
      </c>
      <c r="N13" s="433">
        <f t="shared" si="5"/>
        <v>1269.69</v>
      </c>
      <c r="O13" s="433">
        <f t="shared" si="5"/>
        <v>1269.69</v>
      </c>
      <c r="P13" s="434">
        <f>+M13</f>
        <v>1269.69</v>
      </c>
    </row>
    <row r="14" spans="1:16" ht="22.5" customHeight="1">
      <c r="A14" s="79" t="s">
        <v>47</v>
      </c>
      <c r="B14" s="433" t="str">
        <f>+'COMBUSTIBLES '!B15</f>
        <v>(***)</v>
      </c>
      <c r="C14" s="433" t="str">
        <f t="shared" si="1"/>
        <v>(***)</v>
      </c>
      <c r="D14" s="433" t="str">
        <f t="shared" ref="D14:D19" si="6">+C14</f>
        <v>(***)</v>
      </c>
      <c r="E14" s="433" t="str">
        <f t="shared" ref="E14:O14" si="7">+D14</f>
        <v>(***)</v>
      </c>
      <c r="F14" s="433" t="str">
        <f t="shared" si="7"/>
        <v>(***)</v>
      </c>
      <c r="G14" s="433" t="str">
        <f t="shared" si="7"/>
        <v>(***)</v>
      </c>
      <c r="H14" s="433" t="str">
        <f t="shared" si="7"/>
        <v>(***)</v>
      </c>
      <c r="I14" s="433" t="str">
        <f t="shared" si="7"/>
        <v>(***)</v>
      </c>
      <c r="J14" s="433" t="str">
        <f t="shared" si="7"/>
        <v>(***)</v>
      </c>
      <c r="K14" s="433" t="str">
        <f t="shared" si="7"/>
        <v>(***)</v>
      </c>
      <c r="L14" s="433" t="str">
        <f t="shared" si="7"/>
        <v>(***)</v>
      </c>
      <c r="M14" s="433" t="str">
        <f t="shared" si="7"/>
        <v>(***)</v>
      </c>
      <c r="N14" s="433" t="str">
        <f t="shared" si="7"/>
        <v>(***)</v>
      </c>
      <c r="O14" s="433" t="str">
        <f t="shared" si="7"/>
        <v>(***)</v>
      </c>
      <c r="P14" s="434" t="str">
        <f t="shared" ref="P14:P19" si="8">+O14</f>
        <v>(***)</v>
      </c>
    </row>
    <row r="15" spans="1:16" ht="30">
      <c r="A15" s="79" t="s">
        <v>63</v>
      </c>
      <c r="B15" s="433" t="str">
        <f>+'COMBUSTIBLES '!B17</f>
        <v>(**)</v>
      </c>
      <c r="C15" s="433" t="str">
        <f>+B15</f>
        <v>(**)</v>
      </c>
      <c r="D15" s="433" t="str">
        <f t="shared" si="6"/>
        <v>(**)</v>
      </c>
      <c r="E15" s="433" t="str">
        <f t="shared" ref="E15:O15" si="9">+D15</f>
        <v>(**)</v>
      </c>
      <c r="F15" s="433" t="str">
        <f t="shared" si="9"/>
        <v>(**)</v>
      </c>
      <c r="G15" s="433" t="str">
        <f t="shared" si="9"/>
        <v>(**)</v>
      </c>
      <c r="H15" s="433" t="str">
        <f t="shared" si="9"/>
        <v>(**)</v>
      </c>
      <c r="I15" s="433" t="str">
        <f t="shared" si="9"/>
        <v>(**)</v>
      </c>
      <c r="J15" s="433" t="str">
        <f t="shared" si="9"/>
        <v>(**)</v>
      </c>
      <c r="K15" s="433" t="str">
        <f t="shared" si="9"/>
        <v>(**)</v>
      </c>
      <c r="L15" s="433" t="str">
        <f t="shared" si="9"/>
        <v>(**)</v>
      </c>
      <c r="M15" s="433" t="str">
        <f t="shared" si="9"/>
        <v>(**)</v>
      </c>
      <c r="N15" s="433" t="str">
        <f t="shared" si="9"/>
        <v>(**)</v>
      </c>
      <c r="O15" s="433" t="str">
        <f t="shared" si="9"/>
        <v>(**)</v>
      </c>
      <c r="P15" s="434" t="str">
        <f t="shared" si="8"/>
        <v>(**)</v>
      </c>
    </row>
    <row r="16" spans="1:16" ht="18.75" customHeight="1">
      <c r="A16" s="79" t="s">
        <v>48</v>
      </c>
      <c r="B16" s="433" t="str">
        <f>+'COMBUSTIBLES '!B18</f>
        <v>(***)</v>
      </c>
      <c r="C16" s="433" t="str">
        <f t="shared" si="1"/>
        <v>(***)</v>
      </c>
      <c r="D16" s="460" t="str">
        <f t="shared" si="6"/>
        <v>(***)</v>
      </c>
      <c r="E16" s="460" t="str">
        <f t="shared" ref="E16:O16" si="10">+D16</f>
        <v>(***)</v>
      </c>
      <c r="F16" s="460" t="str">
        <f t="shared" si="10"/>
        <v>(***)</v>
      </c>
      <c r="G16" s="460" t="str">
        <f t="shared" si="10"/>
        <v>(***)</v>
      </c>
      <c r="H16" s="460" t="str">
        <f t="shared" si="10"/>
        <v>(***)</v>
      </c>
      <c r="I16" s="460" t="str">
        <f t="shared" si="10"/>
        <v>(***)</v>
      </c>
      <c r="J16" s="460" t="str">
        <f t="shared" si="10"/>
        <v>(***)</v>
      </c>
      <c r="K16" s="460" t="str">
        <f t="shared" si="10"/>
        <v>(***)</v>
      </c>
      <c r="L16" s="460" t="str">
        <f t="shared" si="10"/>
        <v>(***)</v>
      </c>
      <c r="M16" s="460" t="str">
        <f t="shared" si="10"/>
        <v>(***)</v>
      </c>
      <c r="N16" s="460" t="str">
        <f t="shared" si="10"/>
        <v>(***)</v>
      </c>
      <c r="O16" s="460" t="str">
        <f t="shared" si="10"/>
        <v>(***)</v>
      </c>
      <c r="P16" s="461" t="str">
        <f t="shared" si="8"/>
        <v>(***)</v>
      </c>
    </row>
    <row r="17" spans="1:16" ht="18.75" customHeight="1">
      <c r="A17" s="79" t="s">
        <v>61</v>
      </c>
      <c r="B17" s="433" t="str">
        <f>+'COMBUSTIBLES '!B19</f>
        <v>(****)</v>
      </c>
      <c r="C17" s="433" t="str">
        <f t="shared" si="1"/>
        <v>(****)</v>
      </c>
      <c r="D17" s="433" t="str">
        <f t="shared" si="6"/>
        <v>(****)</v>
      </c>
      <c r="E17" s="433" t="str">
        <f t="shared" ref="E17:O17" si="11">+D17</f>
        <v>(****)</v>
      </c>
      <c r="F17" s="433" t="str">
        <f t="shared" si="11"/>
        <v>(****)</v>
      </c>
      <c r="G17" s="433" t="str">
        <f t="shared" si="11"/>
        <v>(****)</v>
      </c>
      <c r="H17" s="433" t="str">
        <f t="shared" si="11"/>
        <v>(****)</v>
      </c>
      <c r="I17" s="433" t="str">
        <f t="shared" si="11"/>
        <v>(****)</v>
      </c>
      <c r="J17" s="433" t="str">
        <f t="shared" si="11"/>
        <v>(****)</v>
      </c>
      <c r="K17" s="433" t="str">
        <f t="shared" si="11"/>
        <v>(****)</v>
      </c>
      <c r="L17" s="433" t="str">
        <f t="shared" si="11"/>
        <v>(****)</v>
      </c>
      <c r="M17" s="433" t="str">
        <f t="shared" si="11"/>
        <v>(****)</v>
      </c>
      <c r="N17" s="433" t="str">
        <f t="shared" si="11"/>
        <v>(****)</v>
      </c>
      <c r="O17" s="433" t="str">
        <f t="shared" si="11"/>
        <v>(****)</v>
      </c>
      <c r="P17" s="434" t="str">
        <f t="shared" si="8"/>
        <v>(****)</v>
      </c>
    </row>
    <row r="18" spans="1:16" ht="30">
      <c r="A18" s="79" t="s">
        <v>235</v>
      </c>
      <c r="B18" s="433" t="str">
        <f>+'COMBUSTIBLES '!B20</f>
        <v>(***)</v>
      </c>
      <c r="C18" s="433" t="str">
        <f t="shared" si="1"/>
        <v>(***)</v>
      </c>
      <c r="D18" s="433" t="str">
        <f t="shared" si="6"/>
        <v>(***)</v>
      </c>
      <c r="E18" s="433" t="str">
        <f t="shared" ref="E18:O18" si="12">+D18</f>
        <v>(***)</v>
      </c>
      <c r="F18" s="433" t="str">
        <f t="shared" si="12"/>
        <v>(***)</v>
      </c>
      <c r="G18" s="433" t="str">
        <f t="shared" si="12"/>
        <v>(***)</v>
      </c>
      <c r="H18" s="433" t="str">
        <f t="shared" si="12"/>
        <v>(***)</v>
      </c>
      <c r="I18" s="433" t="str">
        <f t="shared" si="12"/>
        <v>(***)</v>
      </c>
      <c r="J18" s="433" t="str">
        <f t="shared" si="12"/>
        <v>(***)</v>
      </c>
      <c r="K18" s="433" t="str">
        <f t="shared" si="12"/>
        <v>(***)</v>
      </c>
      <c r="L18" s="433" t="str">
        <f t="shared" si="12"/>
        <v>(***)</v>
      </c>
      <c r="M18" s="433" t="str">
        <f t="shared" si="12"/>
        <v>(***)</v>
      </c>
      <c r="N18" s="433" t="str">
        <f t="shared" si="12"/>
        <v>(***)</v>
      </c>
      <c r="O18" s="433" t="str">
        <f t="shared" si="12"/>
        <v>(***)</v>
      </c>
      <c r="P18" s="434" t="str">
        <f t="shared" si="8"/>
        <v>(***)</v>
      </c>
    </row>
    <row r="19" spans="1:16" ht="30.75" thickBot="1">
      <c r="A19" s="82" t="s">
        <v>62</v>
      </c>
      <c r="B19" s="439" t="str">
        <f>+'COMBUSTIBLES '!B21</f>
        <v>(**)</v>
      </c>
      <c r="C19" s="439" t="str">
        <f>+B19</f>
        <v>(**)</v>
      </c>
      <c r="D19" s="439" t="str">
        <f t="shared" si="6"/>
        <v>(**)</v>
      </c>
      <c r="E19" s="439" t="str">
        <f t="shared" ref="E19:O19" si="13">+D19</f>
        <v>(**)</v>
      </c>
      <c r="F19" s="439" t="str">
        <f t="shared" si="13"/>
        <v>(**)</v>
      </c>
      <c r="G19" s="439" t="str">
        <f t="shared" si="13"/>
        <v>(**)</v>
      </c>
      <c r="H19" s="439" t="str">
        <f t="shared" si="13"/>
        <v>(**)</v>
      </c>
      <c r="I19" s="439" t="str">
        <f t="shared" si="13"/>
        <v>(**)</v>
      </c>
      <c r="J19" s="439" t="str">
        <f t="shared" si="13"/>
        <v>(**)</v>
      </c>
      <c r="K19" s="439" t="str">
        <f t="shared" si="13"/>
        <v>(**)</v>
      </c>
      <c r="L19" s="439" t="str">
        <f t="shared" si="13"/>
        <v>(**)</v>
      </c>
      <c r="M19" s="439" t="str">
        <f t="shared" si="13"/>
        <v>(**)</v>
      </c>
      <c r="N19" s="439" t="str">
        <f t="shared" si="13"/>
        <v>(**)</v>
      </c>
      <c r="O19" s="439" t="str">
        <f t="shared" si="13"/>
        <v>(**)</v>
      </c>
      <c r="P19" s="440" t="str">
        <f t="shared" si="8"/>
        <v>(**)</v>
      </c>
    </row>
    <row r="20" spans="1:16" ht="13.5" thickTop="1"/>
    <row r="21" spans="1:16" ht="15">
      <c r="A21" s="719" t="s">
        <v>347</v>
      </c>
      <c r="B21" s="720"/>
      <c r="C21" s="720"/>
      <c r="D21" s="720"/>
      <c r="E21" s="720"/>
      <c r="F21" s="720"/>
      <c r="G21" s="720"/>
      <c r="H21" s="720"/>
      <c r="I21" s="720"/>
      <c r="J21" s="720"/>
      <c r="K21" s="720"/>
      <c r="L21" s="720"/>
      <c r="M21" s="720"/>
      <c r="N21" s="720"/>
      <c r="O21" s="720"/>
      <c r="P21" s="720"/>
    </row>
    <row r="22" spans="1:16" ht="15">
      <c r="A22" s="456"/>
      <c r="B22" s="457"/>
      <c r="C22" s="457"/>
      <c r="D22" s="457"/>
      <c r="E22" s="457"/>
      <c r="F22" s="457"/>
      <c r="G22" s="457"/>
      <c r="H22" s="457"/>
      <c r="I22" s="457"/>
      <c r="J22" s="457"/>
      <c r="K22" s="457"/>
      <c r="L22" s="457"/>
      <c r="M22" s="457"/>
      <c r="N22" s="457"/>
      <c r="O22" s="457"/>
      <c r="P22" s="457"/>
    </row>
    <row r="23" spans="1:16">
      <c r="A23" s="692" t="s">
        <v>227</v>
      </c>
      <c r="B23" s="692"/>
      <c r="C23" s="692"/>
      <c r="D23" s="692"/>
      <c r="E23" s="692"/>
      <c r="F23" s="692"/>
    </row>
    <row r="24" spans="1:16">
      <c r="A24" s="452"/>
      <c r="B24" s="452"/>
      <c r="C24" s="452"/>
      <c r="D24" s="452"/>
      <c r="E24" s="452"/>
      <c r="F24" s="452"/>
    </row>
    <row r="25" spans="1:16">
      <c r="A25" s="692" t="s">
        <v>223</v>
      </c>
      <c r="B25" s="692"/>
      <c r="C25" s="692"/>
      <c r="D25" s="692"/>
      <c r="E25" s="692"/>
      <c r="F25" s="692"/>
    </row>
    <row r="26" spans="1:16" ht="15">
      <c r="A26" s="14"/>
      <c r="B26" s="326"/>
      <c r="C26" s="326"/>
      <c r="D26" s="326"/>
      <c r="E26" s="326"/>
      <c r="F26" s="326"/>
    </row>
    <row r="27" spans="1:16">
      <c r="A27" s="702" t="s">
        <v>224</v>
      </c>
      <c r="B27" s="702"/>
      <c r="C27" s="702"/>
      <c r="D27" s="702"/>
      <c r="E27" s="702"/>
      <c r="F27" s="702"/>
    </row>
    <row r="28" spans="1:16">
      <c r="A28" s="453"/>
      <c r="B28" s="453"/>
      <c r="C28" s="453"/>
      <c r="D28" s="453"/>
      <c r="E28" s="453"/>
      <c r="F28" s="453"/>
    </row>
    <row r="29" spans="1:16">
      <c r="A29" s="692" t="s">
        <v>225</v>
      </c>
      <c r="B29" s="692"/>
      <c r="C29" s="692"/>
      <c r="D29" s="692"/>
      <c r="E29" s="692"/>
      <c r="F29" s="692"/>
    </row>
    <row r="30" spans="1:16" ht="15">
      <c r="A30" s="690"/>
      <c r="B30" s="691"/>
      <c r="C30" s="691"/>
      <c r="D30" s="691"/>
      <c r="E30" s="691"/>
      <c r="F30" s="691"/>
    </row>
    <row r="31" spans="1:16">
      <c r="A31" s="692" t="s">
        <v>308</v>
      </c>
      <c r="B31" s="692"/>
      <c r="C31" s="692"/>
      <c r="D31" s="692"/>
      <c r="E31" s="692"/>
      <c r="F31" s="692"/>
    </row>
    <row r="32" spans="1:16">
      <c r="A32" s="692" t="s">
        <v>315</v>
      </c>
      <c r="B32" s="692"/>
      <c r="C32" s="692"/>
      <c r="D32" s="692"/>
      <c r="E32" s="692"/>
      <c r="F32" s="692"/>
    </row>
    <row r="35" spans="1:5" ht="114.75" customHeight="1">
      <c r="A35" s="703" t="s">
        <v>348</v>
      </c>
      <c r="B35" s="703"/>
      <c r="C35" s="703"/>
      <c r="D35" s="703"/>
      <c r="E35" s="703"/>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AY60"/>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G34" sqref="G34"/>
    </sheetView>
  </sheetViews>
  <sheetFormatPr baseColWidth="10" defaultColWidth="9.85546875" defaultRowHeight="14.25"/>
  <cols>
    <col min="1" max="1" width="55.28515625" style="12" customWidth="1"/>
    <col min="2" max="3" width="22.5703125" style="12" customWidth="1"/>
    <col min="4" max="4" width="26" style="7" customWidth="1"/>
    <col min="5" max="51" width="9.85546875" style="7" customWidth="1"/>
    <col min="52" max="16384" width="9.85546875" style="6"/>
  </cols>
  <sheetData>
    <row r="1" spans="1:51" ht="15">
      <c r="A1" s="13"/>
      <c r="B1" s="3"/>
      <c r="C1" s="3"/>
    </row>
    <row r="2" spans="1:51" s="61" customFormat="1" ht="42.75" customHeight="1">
      <c r="A2" s="721" t="str">
        <f>CONCATENATE("ESTRUCTURA DE PRECIOS DE GASOLINA EXTRA OXIGENADA VIGENTE A PARTIR DE ",'COMBUSTIBLES '!$A$1)</f>
        <v>ESTRUCTURA DE PRECIOS DE GASOLINA EXTRA OXIGENADA VIGENTE A PARTIR DE 1 DE JULIO 2019</v>
      </c>
      <c r="B2" s="722"/>
      <c r="C2" s="722"/>
      <c r="D2" s="722"/>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row>
    <row r="3" spans="1:51" s="61" customFormat="1" ht="22.5" customHeight="1">
      <c r="A3" s="723" t="s">
        <v>0</v>
      </c>
      <c r="B3" s="724"/>
      <c r="C3" s="724"/>
      <c r="D3" s="724"/>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row>
    <row r="4" spans="1:51" ht="36" customHeight="1">
      <c r="A4" s="709" t="s">
        <v>1</v>
      </c>
      <c r="B4" s="708" t="s">
        <v>27</v>
      </c>
      <c r="C4" s="708" t="s">
        <v>56</v>
      </c>
      <c r="D4" s="98" t="s">
        <v>29</v>
      </c>
    </row>
    <row r="5" spans="1:51" ht="21.75" customHeight="1">
      <c r="A5" s="693"/>
      <c r="B5" s="696"/>
      <c r="C5" s="696"/>
      <c r="D5" s="99">
        <v>0.1</v>
      </c>
    </row>
    <row r="6" spans="1:51" ht="35.25" customHeight="1" thickBot="1">
      <c r="A6" s="694"/>
      <c r="B6" s="77" t="str">
        <f>C6</f>
        <v>1 DE JULIO 2019</v>
      </c>
      <c r="C6" s="77" t="str">
        <f>+'COMBUSTIBLES '!C6</f>
        <v>1 DE JULIO 2019</v>
      </c>
      <c r="D6" s="78" t="str">
        <f>C6</f>
        <v>1 DE JULIO 2019</v>
      </c>
    </row>
    <row r="7" spans="1:51" ht="22.5" customHeight="1" thickTop="1">
      <c r="A7" s="76" t="s">
        <v>3</v>
      </c>
      <c r="B7" s="102">
        <f>+'GASOLINA CORRIENTE OXIGENADA'!B7</f>
        <v>7762.48</v>
      </c>
      <c r="C7" s="102">
        <f>'COMBUSTIBLES '!C7</f>
        <v>7000</v>
      </c>
      <c r="D7" s="103">
        <f>+ROUND((C7*(1-D5))+($B$7*D5),2)</f>
        <v>7076.25</v>
      </c>
    </row>
    <row r="8" spans="1:51" ht="22.5" customHeight="1">
      <c r="A8" s="68" t="s">
        <v>26</v>
      </c>
      <c r="B8" s="70"/>
      <c r="C8" s="70">
        <f>+'COMBUSTIBLES '!C8</f>
        <v>7.9001000000000001</v>
      </c>
      <c r="D8" s="75">
        <f>+C8</f>
        <v>7.9001000000000001</v>
      </c>
    </row>
    <row r="9" spans="1:51" ht="22.5" customHeight="1">
      <c r="A9" s="68" t="s">
        <v>238</v>
      </c>
      <c r="B9" s="72"/>
      <c r="C9" s="72" t="s">
        <v>11</v>
      </c>
      <c r="D9" s="80" t="s">
        <v>11</v>
      </c>
    </row>
    <row r="10" spans="1:51" ht="22.5" customHeight="1">
      <c r="A10" s="68" t="s">
        <v>236</v>
      </c>
      <c r="B10" s="72"/>
      <c r="C10" s="72">
        <f>'COMBUSTIBLES '!B10</f>
        <v>71.510000000000005</v>
      </c>
      <c r="D10" s="80">
        <f>+C10</f>
        <v>71.510000000000005</v>
      </c>
    </row>
    <row r="11" spans="1:51" ht="22.5" customHeight="1">
      <c r="A11" s="68" t="str">
        <f>+'COMBUSTIBLES '!A11</f>
        <v>Impuesto Nacional a la Gasolina y al ACPM</v>
      </c>
      <c r="B11" s="70"/>
      <c r="C11" s="70">
        <f>+'COMBUSTIBLES '!C11</f>
        <v>998.82057659999998</v>
      </c>
      <c r="D11" s="75">
        <f>+ROUND(+C11*(1-D5),2)</f>
        <v>898.94</v>
      </c>
    </row>
    <row r="12" spans="1:51" ht="22.5" customHeight="1">
      <c r="A12" s="68" t="str">
        <f>+'COMBUSTIBLES '!A12</f>
        <v>Impuesto sobre las Ventas</v>
      </c>
      <c r="B12" s="70"/>
      <c r="C12" s="476" t="str">
        <f>+'COMBUSTIBLES '!C12</f>
        <v>(3)</v>
      </c>
      <c r="D12" s="497" t="str">
        <f>+C12</f>
        <v>(3)</v>
      </c>
    </row>
    <row r="13" spans="1:51" ht="22.5" customHeight="1">
      <c r="A13" s="68" t="str">
        <f>+'COMBUSTIBLES '!A13</f>
        <v>Impuesto al carbono</v>
      </c>
      <c r="B13" s="70"/>
      <c r="C13" s="70">
        <f>Variables!C46</f>
        <v>148</v>
      </c>
      <c r="D13" s="75">
        <f>+ROUND(+C13*(1-D5),2)</f>
        <v>133.19999999999999</v>
      </c>
    </row>
    <row r="14" spans="1:51" ht="22.5" customHeight="1">
      <c r="A14" s="68" t="s">
        <v>264</v>
      </c>
      <c r="B14" s="72"/>
      <c r="C14" s="72" t="s">
        <v>12</v>
      </c>
      <c r="D14" s="80" t="s">
        <v>12</v>
      </c>
    </row>
    <row r="15" spans="1:51" ht="22.5" customHeight="1">
      <c r="A15" s="68" t="s">
        <v>4</v>
      </c>
      <c r="B15" s="70"/>
      <c r="C15" s="100"/>
      <c r="D15" s="334"/>
    </row>
    <row r="16" spans="1:51" ht="22.5" customHeight="1">
      <c r="A16" s="68" t="s">
        <v>8</v>
      </c>
      <c r="B16" s="70"/>
      <c r="C16" s="70">
        <f>+'COMBUSTIBLES '!C16</f>
        <v>1776.95</v>
      </c>
      <c r="D16" s="75">
        <f>+ROUND(+C16*(1-D5),2)</f>
        <v>1599.26</v>
      </c>
    </row>
    <row r="17" spans="1:4" ht="22.5" customHeight="1">
      <c r="A17" s="68" t="s">
        <v>5</v>
      </c>
      <c r="B17" s="71"/>
      <c r="C17" s="71"/>
      <c r="D17" s="101"/>
    </row>
    <row r="18" spans="1:4" ht="22.5" customHeight="1">
      <c r="A18" s="68" t="s">
        <v>6</v>
      </c>
      <c r="B18" s="70"/>
      <c r="C18" s="100"/>
      <c r="D18" s="334"/>
    </row>
    <row r="19" spans="1:4" ht="22.5" customHeight="1">
      <c r="A19" s="68" t="s">
        <v>7</v>
      </c>
      <c r="B19" s="70"/>
      <c r="C19" s="70"/>
      <c r="D19" s="75"/>
    </row>
    <row r="20" spans="1:4" ht="22.5" customHeight="1">
      <c r="A20" s="68" t="s">
        <v>235</v>
      </c>
      <c r="B20" s="70"/>
      <c r="C20" s="70"/>
      <c r="D20" s="75"/>
    </row>
    <row r="21" spans="1:4" ht="22.5" customHeight="1" thickBot="1">
      <c r="A21" s="73" t="s">
        <v>9</v>
      </c>
      <c r="B21" s="83"/>
      <c r="C21" s="83" t="s">
        <v>12</v>
      </c>
      <c r="D21" s="84" t="s">
        <v>12</v>
      </c>
    </row>
    <row r="22" spans="1:4" ht="12.75" customHeight="1" thickTop="1">
      <c r="A22" s="14"/>
      <c r="B22" s="15"/>
      <c r="C22" s="15"/>
      <c r="D22" s="15"/>
    </row>
    <row r="23" spans="1:4" ht="45" customHeight="1">
      <c r="A23" s="692" t="s">
        <v>222</v>
      </c>
      <c r="B23" s="692"/>
      <c r="C23" s="692"/>
      <c r="D23" s="692"/>
    </row>
    <row r="24" spans="1:4" ht="10.5" customHeight="1">
      <c r="A24" s="325"/>
      <c r="B24" s="325"/>
      <c r="C24" s="325"/>
      <c r="D24" s="466"/>
    </row>
    <row r="25" spans="1:4" ht="31.5" customHeight="1">
      <c r="A25" s="692" t="s">
        <v>237</v>
      </c>
      <c r="B25" s="692"/>
      <c r="C25" s="692"/>
      <c r="D25" s="692"/>
    </row>
    <row r="26" spans="1:4" ht="12.75" customHeight="1">
      <c r="A26" s="325"/>
      <c r="B26" s="325"/>
      <c r="C26" s="325"/>
      <c r="D26" s="466"/>
    </row>
    <row r="27" spans="1:4" ht="34.5" customHeight="1">
      <c r="A27" s="692" t="s">
        <v>308</v>
      </c>
      <c r="B27" s="692"/>
      <c r="C27" s="692"/>
      <c r="D27" s="692"/>
    </row>
    <row r="28" spans="1:4" ht="14.25" customHeight="1">
      <c r="A28" s="692" t="s">
        <v>697</v>
      </c>
      <c r="B28" s="692"/>
      <c r="C28" s="692"/>
      <c r="D28" s="692"/>
    </row>
    <row r="29" spans="1:4" ht="14.25" customHeight="1">
      <c r="A29" s="692"/>
      <c r="B29" s="692"/>
      <c r="C29" s="692"/>
      <c r="D29" s="692"/>
    </row>
    <row r="30" spans="1:4" ht="14.25" customHeight="1">
      <c r="A30" s="692"/>
      <c r="B30" s="692"/>
      <c r="C30" s="692"/>
      <c r="D30" s="692"/>
    </row>
    <row r="31" spans="1:4">
      <c r="A31" s="692"/>
      <c r="B31" s="692"/>
      <c r="C31" s="692"/>
      <c r="D31" s="692"/>
    </row>
    <row r="32" spans="1:4" ht="1.5" customHeight="1">
      <c r="A32" s="692"/>
      <c r="B32" s="692"/>
      <c r="C32" s="692"/>
      <c r="D32" s="692"/>
    </row>
    <row r="33" spans="1:4">
      <c r="A33" s="583"/>
      <c r="B33" s="583"/>
      <c r="C33" s="583"/>
      <c r="D33" s="583"/>
    </row>
    <row r="34" spans="1:4" ht="103.5" customHeight="1">
      <c r="A34" s="703" t="s">
        <v>348</v>
      </c>
      <c r="B34" s="703"/>
      <c r="C34" s="703"/>
      <c r="D34" s="703"/>
    </row>
    <row r="35" spans="1:4">
      <c r="A35" s="3"/>
      <c r="B35" s="3"/>
      <c r="C35" s="3"/>
    </row>
    <row r="36" spans="1:4">
      <c r="A36" s="3"/>
      <c r="B36" s="3"/>
      <c r="C36" s="3"/>
    </row>
    <row r="37" spans="1:4">
      <c r="A37" s="3"/>
      <c r="B37" s="3"/>
      <c r="C37" s="3"/>
    </row>
    <row r="38" spans="1:4">
      <c r="A38" s="3"/>
      <c r="B38" s="3"/>
      <c r="C38" s="3"/>
    </row>
    <row r="39" spans="1:4">
      <c r="A39" s="3"/>
      <c r="B39" s="3"/>
      <c r="C39" s="3"/>
    </row>
    <row r="40" spans="1:4">
      <c r="A40" s="3"/>
      <c r="B40" s="3"/>
      <c r="C40" s="3"/>
    </row>
    <row r="41" spans="1:4">
      <c r="A41" s="3"/>
      <c r="B41" s="3"/>
      <c r="C41" s="3"/>
    </row>
    <row r="42" spans="1:4">
      <c r="A42" s="3"/>
      <c r="B42" s="3"/>
      <c r="C42" s="3"/>
    </row>
    <row r="43" spans="1:4">
      <c r="A43" s="3"/>
      <c r="B43" s="3"/>
      <c r="C43" s="3"/>
    </row>
    <row r="44" spans="1:4">
      <c r="A44" s="3"/>
      <c r="B44" s="3"/>
      <c r="C44" s="3"/>
    </row>
    <row r="45" spans="1:4">
      <c r="A45" s="3"/>
      <c r="B45" s="3"/>
      <c r="C45" s="3"/>
    </row>
    <row r="46" spans="1:4">
      <c r="A46" s="3"/>
      <c r="B46" s="3"/>
      <c r="C46" s="3"/>
    </row>
    <row r="47" spans="1:4">
      <c r="A47" s="3"/>
      <c r="B47" s="3"/>
      <c r="C47" s="3"/>
    </row>
    <row r="48" spans="1:4">
      <c r="A48" s="3"/>
      <c r="B48" s="3"/>
      <c r="C48" s="3"/>
    </row>
    <row r="49" spans="1:3">
      <c r="A49" s="3"/>
      <c r="B49" s="3"/>
      <c r="C49" s="3"/>
    </row>
    <row r="50" spans="1:3">
      <c r="A50" s="3"/>
      <c r="B50" s="3"/>
      <c r="C50" s="3"/>
    </row>
    <row r="51" spans="1:3">
      <c r="A51" s="3"/>
      <c r="B51" s="3"/>
      <c r="C51" s="3"/>
    </row>
    <row r="52" spans="1:3">
      <c r="A52" s="3"/>
      <c r="B52" s="3"/>
      <c r="C52" s="3"/>
    </row>
    <row r="53" spans="1:3">
      <c r="A53" s="3"/>
      <c r="B53" s="3"/>
      <c r="C53" s="3"/>
    </row>
    <row r="54" spans="1:3">
      <c r="A54" s="3"/>
      <c r="B54" s="3"/>
      <c r="C54" s="3"/>
    </row>
    <row r="55" spans="1:3">
      <c r="A55" s="3"/>
      <c r="B55" s="3"/>
      <c r="C55" s="3"/>
    </row>
    <row r="56" spans="1:3">
      <c r="A56" s="3"/>
      <c r="B56" s="3"/>
      <c r="C56" s="3"/>
    </row>
    <row r="57" spans="1:3">
      <c r="A57" s="3"/>
      <c r="B57" s="3"/>
      <c r="C57" s="3"/>
    </row>
    <row r="58" spans="1:3">
      <c r="A58" s="3"/>
      <c r="B58" s="3"/>
      <c r="C58" s="3"/>
    </row>
    <row r="59" spans="1:3">
      <c r="A59" s="3"/>
      <c r="B59" s="3"/>
      <c r="C59" s="3"/>
    </row>
    <row r="60" spans="1:3">
      <c r="A60" s="3"/>
      <c r="B60" s="3"/>
      <c r="C60" s="3"/>
    </row>
  </sheetData>
  <sheetProtection password="C712" sheet="1" objects="1" scenarios="1"/>
  <mergeCells count="10">
    <mergeCell ref="A2:D2"/>
    <mergeCell ref="A3:D3"/>
    <mergeCell ref="A34:D34"/>
    <mergeCell ref="B4:B5"/>
    <mergeCell ref="C4:C5"/>
    <mergeCell ref="A4:A6"/>
    <mergeCell ref="A27:D27"/>
    <mergeCell ref="A28:D32"/>
    <mergeCell ref="A23:D23"/>
    <mergeCell ref="A25:D25"/>
  </mergeCells>
  <phoneticPr fontId="19"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showGridLines="0" zoomScale="71" zoomScaleNormal="71" zoomScaleSheetLayoutView="50" workbookViewId="0">
      <pane xSplit="4" ySplit="7" topLeftCell="E8" activePane="bottomRight" state="frozen"/>
      <selection pane="topRight" activeCell="F1" sqref="F1"/>
      <selection pane="bottomLeft" activeCell="A8" sqref="A8"/>
      <selection pane="bottomRight" activeCell="I25" sqref="I25"/>
    </sheetView>
  </sheetViews>
  <sheetFormatPr baseColWidth="10" defaultColWidth="9.85546875" defaultRowHeight="14.25"/>
  <cols>
    <col min="1" max="1" width="58.7109375" style="16" customWidth="1"/>
    <col min="2" max="2" width="21.42578125" style="7" customWidth="1"/>
    <col min="3" max="3" width="19.7109375" style="7" customWidth="1"/>
    <col min="4" max="4" width="19.7109375" style="7" hidden="1"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7" customFormat="1" ht="15.75" thickBot="1">
      <c r="A1" s="56"/>
    </row>
    <row r="2" spans="1:76" s="52" customFormat="1" ht="42.75" customHeight="1" thickTop="1">
      <c r="A2" s="726" t="str">
        <f>CONCATENATE("ESTRUCTURAS DE PRECIOS PARA LA MEZCLA DE BIOCOMBUSTIBLE PARA USO EN MOTORES DIESEL CON EL ACPM VIGENTES A PARTIR DE ",'COMBUSTIBLES '!$A$1)</f>
        <v>ESTRUCTURAS DE PRECIOS PARA LA MEZCLA DE BIOCOMBUSTIBLE PARA USO EN MOTORES DIESEL CON EL ACPM VIGENTES A PARTIR DE 1 DE JULIO 2019</v>
      </c>
      <c r="B2" s="727"/>
      <c r="C2" s="727"/>
      <c r="D2" s="727"/>
      <c r="E2" s="727"/>
      <c r="F2" s="727"/>
      <c r="G2" s="727"/>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row>
    <row r="3" spans="1:76" s="52" customFormat="1" ht="19.5" customHeight="1">
      <c r="A3" s="728" t="s">
        <v>0</v>
      </c>
      <c r="B3" s="729"/>
      <c r="C3" s="729"/>
      <c r="D3" s="729"/>
      <c r="E3" s="729"/>
      <c r="F3" s="729"/>
      <c r="G3" s="729"/>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row>
    <row r="4" spans="1:76" s="6" customFormat="1" ht="56.25" customHeight="1">
      <c r="A4" s="730" t="s">
        <v>1</v>
      </c>
      <c r="B4" s="88" t="s">
        <v>166</v>
      </c>
      <c r="C4" s="733" t="s">
        <v>65</v>
      </c>
      <c r="D4" s="733" t="s">
        <v>66</v>
      </c>
      <c r="E4" s="89" t="s">
        <v>698</v>
      </c>
      <c r="F4" s="89" t="s">
        <v>279</v>
      </c>
      <c r="G4" s="89" t="s">
        <v>269</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31"/>
      <c r="B5" s="90">
        <v>1</v>
      </c>
      <c r="C5" s="734"/>
      <c r="D5" s="734"/>
      <c r="E5" s="91">
        <v>0.02</v>
      </c>
      <c r="F5" s="91">
        <v>0.04</v>
      </c>
      <c r="G5" s="91">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32"/>
      <c r="B6" s="186" t="str">
        <f>+'COMBUSTIBLES '!C6</f>
        <v>1 DE JULIO 2019</v>
      </c>
      <c r="C6" s="186" t="str">
        <f>+B6</f>
        <v>1 DE JULIO 2019</v>
      </c>
      <c r="D6" s="186" t="str">
        <f>+C6</f>
        <v>1 DE JULIO 2019</v>
      </c>
      <c r="E6" s="187" t="str">
        <f>+B6</f>
        <v>1 DE JULIO 2019</v>
      </c>
      <c r="F6" s="187" t="str">
        <f>+B6</f>
        <v>1 DE JULIO 2019</v>
      </c>
      <c r="G6" s="187" t="str">
        <f>+B6</f>
        <v>1 DE JULIO 2019</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35" customFormat="1" ht="31.5" customHeight="1" thickTop="1">
      <c r="A7" s="132" t="s">
        <v>3</v>
      </c>
      <c r="B7" s="446">
        <v>9833.01</v>
      </c>
      <c r="C7" s="446">
        <f>+'COMBUSTIBLES '!E7</f>
        <v>5864.6</v>
      </c>
      <c r="D7" s="446">
        <f>+C7</f>
        <v>5864.6</v>
      </c>
      <c r="E7" s="133"/>
      <c r="F7" s="133"/>
      <c r="G7" s="133"/>
      <c r="H7" s="141"/>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row>
    <row r="8" spans="1:76" s="135" customFormat="1" ht="31.5" customHeight="1">
      <c r="A8" s="136" t="s">
        <v>64</v>
      </c>
      <c r="B8" s="139"/>
      <c r="C8" s="93"/>
      <c r="D8" s="93"/>
      <c r="E8" s="92">
        <f>+ROUND(C7*(1-E5), 2)</f>
        <v>5747.31</v>
      </c>
      <c r="F8" s="92">
        <f>+ROUND(C7*(1-F5), 2)</f>
        <v>5630.02</v>
      </c>
      <c r="G8" s="92">
        <f>+ROUND(+C7*(1-G5),2)</f>
        <v>5278.14</v>
      </c>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row>
    <row r="9" spans="1:76" s="135" customFormat="1" ht="31.5" customHeight="1">
      <c r="A9" s="136" t="s">
        <v>195</v>
      </c>
      <c r="B9" s="94"/>
      <c r="C9" s="94"/>
      <c r="D9" s="94"/>
      <c r="E9" s="92">
        <f>+ROUND($B$7*E5,2)</f>
        <v>196.66</v>
      </c>
      <c r="F9" s="92">
        <f>+ROUND($B$7*F5,2)</f>
        <v>393.32</v>
      </c>
      <c r="G9" s="92">
        <f>+ROUND($B$7*G5,2)</f>
        <v>983.3</v>
      </c>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row>
    <row r="10" spans="1:76" s="135" customFormat="1" ht="31.5" customHeight="1">
      <c r="A10" s="136" t="s">
        <v>291</v>
      </c>
      <c r="B10" s="94"/>
      <c r="C10" s="94"/>
      <c r="D10" s="94"/>
      <c r="E10" s="92">
        <f>+E9+E8</f>
        <v>5943.97</v>
      </c>
      <c r="F10" s="92">
        <f>+F9+F8</f>
        <v>6023.34</v>
      </c>
      <c r="G10" s="92">
        <f>+G9+G8</f>
        <v>6261.4400000000005</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row>
    <row r="11" spans="1:76" s="135" customFormat="1" ht="31.5" customHeight="1">
      <c r="A11" s="136" t="str">
        <f>+'COMBUSTIBLES '!A11</f>
        <v>Impuesto Nacional a la Gasolina y al ACPM</v>
      </c>
      <c r="B11" s="94"/>
      <c r="C11" s="94">
        <f>+Variables!C31</f>
        <v>503.70629078000002</v>
      </c>
      <c r="D11" s="94">
        <f>+Variables!C30</f>
        <v>503.70629078000002</v>
      </c>
      <c r="E11" s="92">
        <f>+ROUND($C$11*(1-E5),2)</f>
        <v>493.63</v>
      </c>
      <c r="F11" s="92">
        <f>+ROUND($C$11*(1-F5),2)</f>
        <v>483.56</v>
      </c>
      <c r="G11" s="92">
        <f>+ROUND($D$11*(1-G5),2)</f>
        <v>453.34</v>
      </c>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row>
    <row r="12" spans="1:76" s="135" customFormat="1" ht="31.5" customHeight="1">
      <c r="A12" s="136" t="str">
        <f>+'COMBUSTIBLES '!A12</f>
        <v>Impuesto sobre las Ventas</v>
      </c>
      <c r="B12" s="94"/>
      <c r="C12" s="94" t="str">
        <f>+'COMBUSTIBLES '!C12</f>
        <v>(3)</v>
      </c>
      <c r="D12" s="94" t="str">
        <f>+C12</f>
        <v>(3)</v>
      </c>
      <c r="E12" s="92" t="str">
        <f>+D12</f>
        <v>(3)</v>
      </c>
      <c r="F12" s="92" t="str">
        <f>+E12</f>
        <v>(3)</v>
      </c>
      <c r="G12" s="92" t="str">
        <f>+E12</f>
        <v>(3)</v>
      </c>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row>
    <row r="13" spans="1:76" s="135" customFormat="1" ht="31.5" customHeight="1">
      <c r="A13" s="136" t="str">
        <f>+'COMBUSTIBLES '!A13</f>
        <v>Impuesto al carbono</v>
      </c>
      <c r="B13" s="94"/>
      <c r="C13" s="94">
        <f>Variables!C47</f>
        <v>166</v>
      </c>
      <c r="D13" s="94">
        <f>C13</f>
        <v>166</v>
      </c>
      <c r="E13" s="92">
        <f>ROUND(D13*(1-E5),2)</f>
        <v>162.68</v>
      </c>
      <c r="F13" s="92">
        <f>ROUND(D13*(1-F5),2)</f>
        <v>159.36000000000001</v>
      </c>
      <c r="G13" s="92">
        <f>ROUND(D13*(1-G5),2)</f>
        <v>149.4</v>
      </c>
      <c r="H13" s="134" t="s">
        <v>161</v>
      </c>
      <c r="I13" s="567" t="s">
        <v>161</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row>
    <row r="14" spans="1:76" s="135" customFormat="1" ht="31.5" customHeight="1">
      <c r="A14" s="136" t="s">
        <v>57</v>
      </c>
      <c r="B14" s="94"/>
      <c r="C14" s="449">
        <f>'GASOLINA EXTRA OXIGENADA'!C8</f>
        <v>7.9001000000000001</v>
      </c>
      <c r="D14" s="449">
        <f t="shared" ref="D14:F15" si="0">+C14</f>
        <v>7.9001000000000001</v>
      </c>
      <c r="E14" s="92">
        <f t="shared" si="0"/>
        <v>7.9001000000000001</v>
      </c>
      <c r="F14" s="92">
        <f t="shared" si="0"/>
        <v>7.9001000000000001</v>
      </c>
      <c r="G14" s="92">
        <f>+C14</f>
        <v>7.9001000000000001</v>
      </c>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row>
    <row r="15" spans="1:76" s="135" customFormat="1" ht="31.5" customHeight="1">
      <c r="A15" s="136" t="s">
        <v>239</v>
      </c>
      <c r="B15" s="94"/>
      <c r="C15" s="94" t="s">
        <v>11</v>
      </c>
      <c r="D15" s="94" t="str">
        <f t="shared" si="0"/>
        <v>(*)</v>
      </c>
      <c r="E15" s="92" t="str">
        <f t="shared" si="0"/>
        <v>(*)</v>
      </c>
      <c r="F15" s="92" t="str">
        <f t="shared" si="0"/>
        <v>(*)</v>
      </c>
      <c r="G15" s="92" t="str">
        <f>+D15</f>
        <v>(*)</v>
      </c>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row>
    <row r="16" spans="1:76" s="135" customFormat="1" ht="31.5" customHeight="1">
      <c r="A16" s="136" t="s">
        <v>240</v>
      </c>
      <c r="B16" s="94" t="s">
        <v>161</v>
      </c>
      <c r="C16" s="94"/>
      <c r="D16" s="94"/>
      <c r="E16" s="92" t="s">
        <v>12</v>
      </c>
      <c r="F16" s="92" t="str">
        <f>+E16</f>
        <v>(**)</v>
      </c>
      <c r="G16" s="92" t="str">
        <f>+E16</f>
        <v>(**)</v>
      </c>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row>
    <row r="17" spans="1:76" s="135" customFormat="1" ht="31.5" customHeight="1">
      <c r="A17" s="79" t="s">
        <v>228</v>
      </c>
      <c r="B17" s="94"/>
      <c r="C17" s="94">
        <f>'COMBUSTIBLES '!E10</f>
        <v>71.510000000000005</v>
      </c>
      <c r="D17" s="94">
        <f>+C17</f>
        <v>71.510000000000005</v>
      </c>
      <c r="E17" s="92">
        <f>+C17</f>
        <v>71.510000000000005</v>
      </c>
      <c r="F17" s="92">
        <f>+D17</f>
        <v>71.510000000000005</v>
      </c>
      <c r="G17" s="92">
        <f>+E17</f>
        <v>71.510000000000005</v>
      </c>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row>
    <row r="18" spans="1:76" s="135" customFormat="1" ht="31.5" customHeight="1">
      <c r="A18" s="136" t="s">
        <v>50</v>
      </c>
      <c r="B18" s="94"/>
      <c r="C18" s="94"/>
      <c r="D18" s="94"/>
      <c r="E18" s="92"/>
      <c r="F18" s="92"/>
      <c r="G18" s="92"/>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row>
    <row r="19" spans="1:76" s="135" customFormat="1" ht="31.5" customHeight="1">
      <c r="A19" s="136" t="s">
        <v>47</v>
      </c>
      <c r="B19" s="137"/>
      <c r="C19" s="138"/>
      <c r="D19" s="138"/>
      <c r="E19" s="131" t="s">
        <v>161</v>
      </c>
      <c r="F19" s="131"/>
      <c r="G19" s="441" t="s">
        <v>231</v>
      </c>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row>
    <row r="20" spans="1:76" s="135" customFormat="1" ht="31.5" customHeight="1">
      <c r="A20" s="136" t="s">
        <v>63</v>
      </c>
      <c r="B20" s="137"/>
      <c r="C20" s="137"/>
      <c r="D20" s="137"/>
      <c r="E20" s="131" t="s">
        <v>161</v>
      </c>
      <c r="F20" s="131"/>
      <c r="G20" s="131" t="s">
        <v>22</v>
      </c>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row>
    <row r="21" spans="1:76" s="135" customFormat="1" ht="31.5" customHeight="1">
      <c r="A21" s="136" t="s">
        <v>48</v>
      </c>
      <c r="B21" s="137"/>
      <c r="C21" s="137"/>
      <c r="D21" s="137"/>
      <c r="E21" s="131" t="s">
        <v>161</v>
      </c>
      <c r="F21" s="131"/>
      <c r="G21" s="92" t="s">
        <v>231</v>
      </c>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row>
    <row r="22" spans="1:76" s="135" customFormat="1" ht="31.5" customHeight="1">
      <c r="A22" s="136" t="s">
        <v>242</v>
      </c>
      <c r="B22" s="137"/>
      <c r="C22" s="137"/>
      <c r="D22" s="137"/>
      <c r="E22" s="131" t="s">
        <v>161</v>
      </c>
      <c r="F22" s="131"/>
      <c r="G22" s="92" t="s">
        <v>231</v>
      </c>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row>
    <row r="23" spans="1:76" s="142" customFormat="1" ht="31.5" customHeight="1">
      <c r="A23" s="140" t="s">
        <v>8</v>
      </c>
      <c r="B23" s="94"/>
      <c r="C23" s="94"/>
      <c r="D23" s="94"/>
      <c r="E23" s="92"/>
      <c r="F23" s="92"/>
      <c r="G23" s="92">
        <f>'COMBUSTIBLES '!E16</f>
        <v>301.48</v>
      </c>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row>
    <row r="24" spans="1:76" s="63" customFormat="1" ht="31.5" customHeight="1" thickBot="1">
      <c r="A24" s="95" t="s">
        <v>62</v>
      </c>
      <c r="B24" s="96"/>
      <c r="C24" s="96"/>
      <c r="D24" s="96"/>
      <c r="E24" s="97" t="s">
        <v>161</v>
      </c>
      <c r="F24" s="97"/>
      <c r="G24" s="97" t="s">
        <v>22</v>
      </c>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s="6" customFormat="1" ht="9.75" customHeight="1" thickTop="1">
      <c r="A25" s="14"/>
      <c r="B25" s="15"/>
      <c r="C25" s="15"/>
      <c r="D25" s="15"/>
      <c r="E25" s="15"/>
      <c r="F25" s="15"/>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3" customFormat="1" ht="25.5" customHeight="1">
      <c r="A26" s="587" t="s">
        <v>165</v>
      </c>
      <c r="B26" s="587"/>
      <c r="C26" s="587"/>
      <c r="D26" s="587"/>
      <c r="E26" s="588"/>
      <c r="F26" s="588"/>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row>
    <row r="27" spans="1:76" s="63" customFormat="1" ht="7.5" customHeight="1">
      <c r="A27" s="589"/>
      <c r="B27" s="588"/>
      <c r="C27" s="588"/>
      <c r="D27" s="588"/>
      <c r="E27" s="588"/>
      <c r="F27" s="588"/>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row>
    <row r="28" spans="1:76" s="63" customFormat="1" ht="25.5" hidden="1" customHeight="1">
      <c r="A28" s="587" t="s">
        <v>280</v>
      </c>
      <c r="B28" s="587"/>
      <c r="C28" s="587"/>
      <c r="D28" s="587"/>
      <c r="E28" s="588"/>
      <c r="F28" s="588"/>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row>
    <row r="29" spans="1:76" s="63" customFormat="1" ht="9.75" customHeight="1">
      <c r="A29" s="589"/>
      <c r="B29" s="588"/>
      <c r="C29" s="588"/>
      <c r="D29" s="588"/>
      <c r="E29" s="588"/>
      <c r="F29" s="588"/>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row>
    <row r="30" spans="1:76" s="63" customFormat="1" ht="32.25" customHeight="1">
      <c r="A30" s="735" t="s">
        <v>222</v>
      </c>
      <c r="B30" s="735"/>
      <c r="C30" s="735"/>
      <c r="D30" s="735"/>
      <c r="E30" s="735"/>
      <c r="F30" s="735"/>
      <c r="G30" s="735"/>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row>
    <row r="31" spans="1:76" s="63" customFormat="1" ht="6.75" customHeight="1">
      <c r="A31" s="590"/>
      <c r="B31" s="590"/>
      <c r="C31" s="590"/>
      <c r="D31" s="590"/>
      <c r="E31" s="591"/>
      <c r="F31" s="591"/>
      <c r="G31" s="591"/>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row>
    <row r="32" spans="1:76" s="593" customFormat="1" ht="24.75" customHeight="1">
      <c r="A32" s="735" t="s">
        <v>260</v>
      </c>
      <c r="B32" s="735"/>
      <c r="C32" s="735"/>
      <c r="D32" s="735"/>
      <c r="E32" s="735"/>
      <c r="F32" s="735"/>
      <c r="G32" s="735"/>
    </row>
    <row r="33" spans="1:7" s="593" customFormat="1" ht="11.25" customHeight="1">
      <c r="A33" s="594" t="s">
        <v>161</v>
      </c>
      <c r="B33" s="595"/>
      <c r="C33" s="595"/>
      <c r="D33" s="595"/>
      <c r="E33" s="592"/>
      <c r="F33" s="592"/>
      <c r="G33" s="592"/>
    </row>
    <row r="34" spans="1:7" s="593" customFormat="1" ht="32.25" customHeight="1">
      <c r="A34" s="735" t="s">
        <v>241</v>
      </c>
      <c r="B34" s="735"/>
      <c r="C34" s="735"/>
      <c r="D34" s="735"/>
      <c r="E34" s="735"/>
      <c r="F34" s="735"/>
      <c r="G34" s="735"/>
    </row>
    <row r="35" spans="1:7" s="593" customFormat="1" ht="10.5" customHeight="1">
      <c r="A35" s="590"/>
      <c r="B35" s="590"/>
      <c r="C35" s="590"/>
      <c r="D35" s="590"/>
      <c r="E35" s="592"/>
      <c r="F35" s="592"/>
      <c r="G35" s="592"/>
    </row>
    <row r="36" spans="1:7" s="593" customFormat="1" ht="42.75" customHeight="1">
      <c r="A36" s="735" t="s">
        <v>233</v>
      </c>
      <c r="B36" s="735"/>
      <c r="C36" s="735"/>
      <c r="D36" s="735"/>
      <c r="E36" s="735"/>
      <c r="F36" s="735"/>
      <c r="G36" s="735"/>
    </row>
    <row r="37" spans="1:7" s="593" customFormat="1" ht="7.5" customHeight="1">
      <c r="A37" s="594"/>
      <c r="B37" s="595"/>
      <c r="C37" s="595"/>
      <c r="D37" s="595"/>
      <c r="E37" s="592"/>
      <c r="F37" s="592"/>
      <c r="G37" s="592"/>
    </row>
    <row r="38" spans="1:7" s="593" customFormat="1" ht="31.5" customHeight="1">
      <c r="A38" s="735" t="s">
        <v>308</v>
      </c>
      <c r="B38" s="735"/>
      <c r="C38" s="735"/>
      <c r="D38" s="735"/>
      <c r="E38" s="735"/>
      <c r="F38" s="735"/>
      <c r="G38" s="735"/>
    </row>
    <row r="39" spans="1:7" s="57" customFormat="1" ht="14.25" customHeight="1">
      <c r="A39" s="692" t="s">
        <v>697</v>
      </c>
      <c r="B39" s="692"/>
      <c r="C39" s="692"/>
      <c r="D39" s="692"/>
      <c r="E39" s="692"/>
      <c r="F39" s="692"/>
      <c r="G39" s="692"/>
    </row>
    <row r="40" spans="1:7" s="57" customFormat="1">
      <c r="A40" s="692"/>
      <c r="B40" s="692"/>
      <c r="C40" s="692"/>
      <c r="D40" s="692"/>
      <c r="E40" s="692"/>
      <c r="F40" s="692"/>
      <c r="G40" s="692"/>
    </row>
    <row r="41" spans="1:7" s="57" customFormat="1">
      <c r="A41" s="692"/>
      <c r="B41" s="692"/>
      <c r="C41" s="692"/>
      <c r="D41" s="692"/>
      <c r="E41" s="692"/>
      <c r="F41" s="692"/>
      <c r="G41" s="692"/>
    </row>
    <row r="42" spans="1:7" s="57" customFormat="1">
      <c r="A42" s="692"/>
      <c r="B42" s="692"/>
      <c r="C42" s="692"/>
      <c r="D42" s="692"/>
      <c r="E42" s="692"/>
      <c r="F42" s="692"/>
      <c r="G42" s="692"/>
    </row>
    <row r="43" spans="1:7" s="57" customFormat="1">
      <c r="A43" s="585"/>
      <c r="B43" s="585"/>
      <c r="C43" s="585"/>
      <c r="D43" s="585"/>
      <c r="E43" s="585"/>
      <c r="F43" s="585"/>
      <c r="G43" s="87"/>
    </row>
    <row r="44" spans="1:7" s="57" customFormat="1">
      <c r="A44" s="692"/>
      <c r="B44" s="692"/>
      <c r="C44" s="692"/>
      <c r="D44" s="692"/>
      <c r="E44" s="692"/>
      <c r="F44" s="692"/>
      <c r="G44" s="87"/>
    </row>
    <row r="45" spans="1:7" s="57" customFormat="1" ht="93.75" customHeight="1">
      <c r="A45" s="725" t="s">
        <v>348</v>
      </c>
      <c r="B45" s="725"/>
      <c r="C45" s="725"/>
      <c r="D45" s="725"/>
      <c r="E45" s="725"/>
      <c r="F45" s="725"/>
      <c r="G45" s="725"/>
    </row>
  </sheetData>
  <sheetProtection password="C712"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19"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27" t="s">
        <v>325</v>
      </c>
    </row>
    <row r="3" spans="1:17" ht="13.5" thickBot="1">
      <c r="B3" s="463">
        <v>0.98</v>
      </c>
      <c r="C3" s="463">
        <v>0.96</v>
      </c>
    </row>
    <row r="4" spans="1:17" ht="15.75" customHeight="1" thickTop="1">
      <c r="A4" s="736" t="s">
        <v>326</v>
      </c>
      <c r="B4" s="737"/>
      <c r="C4" s="737"/>
      <c r="D4" s="737"/>
      <c r="E4" s="737"/>
      <c r="F4" s="737"/>
      <c r="G4" s="737"/>
      <c r="H4" s="737"/>
      <c r="I4" s="737"/>
      <c r="J4" s="737"/>
      <c r="K4" s="737"/>
      <c r="L4" s="737"/>
      <c r="M4" s="737"/>
      <c r="N4" s="737"/>
      <c r="O4" s="737"/>
      <c r="P4" s="738"/>
    </row>
    <row r="5" spans="1:17" ht="18" customHeight="1">
      <c r="A5" s="739"/>
      <c r="B5" s="740"/>
      <c r="C5" s="740"/>
      <c r="D5" s="740"/>
      <c r="E5" s="740"/>
      <c r="F5" s="740"/>
      <c r="G5" s="740"/>
      <c r="H5" s="740"/>
      <c r="I5" s="740"/>
      <c r="J5" s="740"/>
      <c r="K5" s="740"/>
      <c r="L5" s="740"/>
      <c r="M5" s="740"/>
      <c r="N5" s="740"/>
      <c r="O5" s="740"/>
      <c r="P5" s="741"/>
    </row>
    <row r="6" spans="1:17" ht="66" customHeight="1">
      <c r="A6" s="426" t="s">
        <v>1</v>
      </c>
      <c r="B6" s="455" t="s">
        <v>330</v>
      </c>
      <c r="C6" s="455" t="s">
        <v>331</v>
      </c>
      <c r="D6" s="455" t="s">
        <v>332</v>
      </c>
      <c r="E6" s="455" t="s">
        <v>333</v>
      </c>
      <c r="F6" s="455" t="s">
        <v>334</v>
      </c>
      <c r="G6" s="455" t="s">
        <v>335</v>
      </c>
      <c r="H6" s="455" t="s">
        <v>336</v>
      </c>
      <c r="I6" s="455" t="s">
        <v>337</v>
      </c>
      <c r="J6" s="455" t="s">
        <v>338</v>
      </c>
      <c r="K6" s="455" t="s">
        <v>339</v>
      </c>
      <c r="L6" s="455" t="s">
        <v>340</v>
      </c>
      <c r="M6" s="455" t="s">
        <v>341</v>
      </c>
      <c r="N6" s="458" t="s">
        <v>342</v>
      </c>
      <c r="O6" s="458" t="s">
        <v>343</v>
      </c>
      <c r="P6" s="428" t="s">
        <v>344</v>
      </c>
    </row>
    <row r="7" spans="1:17" ht="21" customHeight="1">
      <c r="A7" s="85" t="s">
        <v>345</v>
      </c>
      <c r="B7" s="429">
        <v>5490.5</v>
      </c>
      <c r="C7" s="429">
        <v>5492.35</v>
      </c>
      <c r="D7" s="429">
        <v>5509.95</v>
      </c>
      <c r="E7" s="429">
        <v>5505.06</v>
      </c>
      <c r="F7" s="429">
        <v>5549.42</v>
      </c>
      <c r="G7" s="429">
        <v>5561.15</v>
      </c>
      <c r="H7" s="429">
        <v>5558.95</v>
      </c>
      <c r="I7" s="429">
        <v>5550.75</v>
      </c>
      <c r="J7" s="429">
        <v>5560.41</v>
      </c>
      <c r="K7" s="429">
        <v>5554.3</v>
      </c>
      <c r="L7" s="429">
        <v>5541.47</v>
      </c>
      <c r="M7" s="429">
        <v>5541.5</v>
      </c>
      <c r="N7" s="429">
        <v>5542.49</v>
      </c>
      <c r="O7" s="429">
        <v>5552.05</v>
      </c>
      <c r="P7" s="430">
        <v>5546.91</v>
      </c>
      <c r="Q7" s="442"/>
    </row>
    <row r="8" spans="1:17" ht="21" customHeight="1">
      <c r="A8" s="85" t="s">
        <v>328</v>
      </c>
      <c r="B8" s="429">
        <f>B7*$B$3</f>
        <v>5380.69</v>
      </c>
      <c r="C8" s="429">
        <f>C7*$B$3</f>
        <v>5382.5030000000006</v>
      </c>
      <c r="D8" s="429">
        <f>D7*$C$3</f>
        <v>5289.5519999999997</v>
      </c>
      <c r="E8" s="429">
        <f>E7*$C$3</f>
        <v>5284.8576000000003</v>
      </c>
      <c r="F8" s="429">
        <f t="shared" ref="F8:O8" si="0">F7*$B$3</f>
        <v>5438.4315999999999</v>
      </c>
      <c r="G8" s="429">
        <f t="shared" si="0"/>
        <v>5449.9269999999997</v>
      </c>
      <c r="H8" s="429">
        <f t="shared" si="0"/>
        <v>5447.7709999999997</v>
      </c>
      <c r="I8" s="429">
        <f t="shared" si="0"/>
        <v>5439.7349999999997</v>
      </c>
      <c r="J8" s="429">
        <f t="shared" si="0"/>
        <v>5449.2017999999998</v>
      </c>
      <c r="K8" s="429">
        <f t="shared" si="0"/>
        <v>5443.2139999999999</v>
      </c>
      <c r="L8" s="429">
        <f t="shared" si="0"/>
        <v>5430.6405999999997</v>
      </c>
      <c r="M8" s="429">
        <f t="shared" si="0"/>
        <v>5430.67</v>
      </c>
      <c r="N8" s="429">
        <f t="shared" si="0"/>
        <v>5431.6401999999998</v>
      </c>
      <c r="O8" s="429">
        <f t="shared" si="0"/>
        <v>5441.009</v>
      </c>
      <c r="P8" s="430">
        <f>P7*$B$3</f>
        <v>5435.9717999999993</v>
      </c>
      <c r="Q8" s="462"/>
    </row>
    <row r="9" spans="1:17" ht="21" customHeight="1">
      <c r="A9" s="85" t="s">
        <v>329</v>
      </c>
      <c r="B9" s="429">
        <f>+BIODIESEL!E9</f>
        <v>196.66</v>
      </c>
      <c r="C9" s="429">
        <f>+B9</f>
        <v>196.66</v>
      </c>
      <c r="D9" s="429">
        <f>+BIODIESEL!F9</f>
        <v>393.32</v>
      </c>
      <c r="E9" s="429">
        <f>+D9</f>
        <v>393.32</v>
      </c>
      <c r="F9" s="429">
        <f>+B9</f>
        <v>196.66</v>
      </c>
      <c r="G9" s="429">
        <f>+B9</f>
        <v>196.66</v>
      </c>
      <c r="H9" s="429">
        <f>+B9</f>
        <v>196.66</v>
      </c>
      <c r="I9" s="429">
        <f>+C9</f>
        <v>196.66</v>
      </c>
      <c r="J9" s="429">
        <f>+B9</f>
        <v>196.66</v>
      </c>
      <c r="K9" s="429">
        <f>+B9</f>
        <v>196.66</v>
      </c>
      <c r="L9" s="429">
        <f>+B9</f>
        <v>196.66</v>
      </c>
      <c r="M9" s="429">
        <f>+C9</f>
        <v>196.66</v>
      </c>
      <c r="N9" s="429">
        <f>+M9</f>
        <v>196.66</v>
      </c>
      <c r="O9" s="429">
        <f>+N9</f>
        <v>196.66</v>
      </c>
      <c r="P9" s="430">
        <f>+B9</f>
        <v>196.66</v>
      </c>
      <c r="Q9" s="443"/>
    </row>
    <row r="10" spans="1:17" ht="21" customHeight="1">
      <c r="A10" s="79" t="s">
        <v>301</v>
      </c>
      <c r="B10" s="431">
        <f>+B8+B9</f>
        <v>5577.3499999999995</v>
      </c>
      <c r="C10" s="431">
        <f t="shared" ref="C10:P10" si="1">+C8+C9</f>
        <v>5579.1630000000005</v>
      </c>
      <c r="D10" s="431">
        <f t="shared" si="1"/>
        <v>5682.8719999999994</v>
      </c>
      <c r="E10" s="431">
        <f t="shared" si="1"/>
        <v>5678.1776</v>
      </c>
      <c r="F10" s="431">
        <f t="shared" si="1"/>
        <v>5635.0915999999997</v>
      </c>
      <c r="G10" s="431">
        <f t="shared" si="1"/>
        <v>5646.5869999999995</v>
      </c>
      <c r="H10" s="431">
        <f t="shared" si="1"/>
        <v>5644.4309999999996</v>
      </c>
      <c r="I10" s="431">
        <f t="shared" si="1"/>
        <v>5636.3949999999995</v>
      </c>
      <c r="J10" s="431">
        <f t="shared" si="1"/>
        <v>5645.8617999999997</v>
      </c>
      <c r="K10" s="431">
        <f t="shared" si="1"/>
        <v>5639.8739999999998</v>
      </c>
      <c r="L10" s="431">
        <f t="shared" si="1"/>
        <v>5627.3005999999996</v>
      </c>
      <c r="M10" s="431">
        <f t="shared" si="1"/>
        <v>5627.33</v>
      </c>
      <c r="N10" s="431">
        <f t="shared" si="1"/>
        <v>5628.3001999999997</v>
      </c>
      <c r="O10" s="431">
        <f t="shared" si="1"/>
        <v>5637.6689999999999</v>
      </c>
      <c r="P10" s="431">
        <f t="shared" si="1"/>
        <v>5632.6317999999992</v>
      </c>
    </row>
    <row r="11" spans="1:17" ht="21" customHeight="1">
      <c r="A11" s="79" t="s">
        <v>302</v>
      </c>
      <c r="B11" s="431">
        <f>+BIODIESEL!E11</f>
        <v>493.63</v>
      </c>
      <c r="C11" s="431">
        <f>+BIODIESEL!F11</f>
        <v>483.56</v>
      </c>
      <c r="D11" s="431">
        <f>+BIODIESEL!F11</f>
        <v>483.56</v>
      </c>
      <c r="E11" s="431">
        <f>+D11</f>
        <v>483.56</v>
      </c>
      <c r="F11" s="431">
        <f>+B11</f>
        <v>493.63</v>
      </c>
      <c r="G11" s="431">
        <f>+B11</f>
        <v>493.63</v>
      </c>
      <c r="H11" s="431">
        <f>+B11</f>
        <v>493.63</v>
      </c>
      <c r="I11" s="431">
        <f>+C11</f>
        <v>483.56</v>
      </c>
      <c r="J11" s="431">
        <f>+B11</f>
        <v>493.63</v>
      </c>
      <c r="K11" s="431">
        <f>+B11</f>
        <v>493.63</v>
      </c>
      <c r="L11" s="431">
        <f>+B11</f>
        <v>493.63</v>
      </c>
      <c r="M11" s="431">
        <f t="shared" ref="M11:O12" si="2">+C11</f>
        <v>483.56</v>
      </c>
      <c r="N11" s="431">
        <f t="shared" si="2"/>
        <v>483.56</v>
      </c>
      <c r="O11" s="431">
        <f t="shared" si="2"/>
        <v>483.56</v>
      </c>
      <c r="P11" s="432">
        <f>+B11</f>
        <v>493.63</v>
      </c>
    </row>
    <row r="12" spans="1:17" ht="21" customHeight="1">
      <c r="A12" s="79" t="s">
        <v>57</v>
      </c>
      <c r="B12" s="433">
        <f>+BIODIESEL!E14</f>
        <v>7.9001000000000001</v>
      </c>
      <c r="C12" s="433">
        <f>+B12</f>
        <v>7.9001000000000001</v>
      </c>
      <c r="D12" s="444">
        <v>5.17</v>
      </c>
      <c r="E12" s="444">
        <f>+D12</f>
        <v>5.17</v>
      </c>
      <c r="F12" s="433">
        <f>+B12</f>
        <v>7.9001000000000001</v>
      </c>
      <c r="G12" s="433">
        <f>+B12</f>
        <v>7.9001000000000001</v>
      </c>
      <c r="H12" s="433">
        <f>+B12</f>
        <v>7.9001000000000001</v>
      </c>
      <c r="I12" s="433">
        <f>+C12</f>
        <v>7.9001000000000001</v>
      </c>
      <c r="J12" s="433">
        <f>+B12</f>
        <v>7.9001000000000001</v>
      </c>
      <c r="K12" s="433">
        <f>+B12</f>
        <v>7.9001000000000001</v>
      </c>
      <c r="L12" s="433">
        <f>+B12</f>
        <v>7.9001000000000001</v>
      </c>
      <c r="M12" s="433">
        <f t="shared" si="2"/>
        <v>7.9001000000000001</v>
      </c>
      <c r="N12" s="433">
        <f>+M12</f>
        <v>7.9001000000000001</v>
      </c>
      <c r="O12" s="433">
        <f>+N12</f>
        <v>7.9001000000000001</v>
      </c>
      <c r="P12" s="434">
        <f>+B12</f>
        <v>7.9001000000000001</v>
      </c>
    </row>
    <row r="13" spans="1:17" ht="21" customHeight="1">
      <c r="A13" s="79" t="s">
        <v>304</v>
      </c>
      <c r="B13" s="433" t="str">
        <f>+BIODIESEL!C15</f>
        <v>(*)</v>
      </c>
      <c r="C13" s="433" t="str">
        <f>+B13</f>
        <v>(*)</v>
      </c>
      <c r="D13" s="433" t="str">
        <f t="shared" ref="D13:O13" si="3">+C13</f>
        <v>(*)</v>
      </c>
      <c r="E13" s="433" t="str">
        <f t="shared" si="3"/>
        <v>(*)</v>
      </c>
      <c r="F13" s="433" t="str">
        <f t="shared" si="3"/>
        <v>(*)</v>
      </c>
      <c r="G13" s="433" t="str">
        <f t="shared" si="3"/>
        <v>(*)</v>
      </c>
      <c r="H13" s="433" t="str">
        <f t="shared" si="3"/>
        <v>(*)</v>
      </c>
      <c r="I13" s="433" t="str">
        <f t="shared" si="3"/>
        <v>(*)</v>
      </c>
      <c r="J13" s="433" t="str">
        <f t="shared" si="3"/>
        <v>(*)</v>
      </c>
      <c r="K13" s="433" t="str">
        <f t="shared" si="3"/>
        <v>(*)</v>
      </c>
      <c r="L13" s="433" t="str">
        <f t="shared" si="3"/>
        <v>(*)</v>
      </c>
      <c r="M13" s="433" t="str">
        <f t="shared" si="3"/>
        <v>(*)</v>
      </c>
      <c r="N13" s="433" t="str">
        <f t="shared" si="3"/>
        <v>(*)</v>
      </c>
      <c r="O13" s="433" t="str">
        <f t="shared" si="3"/>
        <v>(*)</v>
      </c>
      <c r="P13" s="434" t="str">
        <f>+O13</f>
        <v>(*)</v>
      </c>
    </row>
    <row r="14" spans="1:17" ht="21" customHeight="1">
      <c r="A14" s="79" t="s">
        <v>305</v>
      </c>
      <c r="B14" s="433" t="str">
        <f>+BIODIESEL!E16</f>
        <v>(**)</v>
      </c>
      <c r="C14" s="433" t="str">
        <f>+B14</f>
        <v>(**)</v>
      </c>
      <c r="D14" s="433" t="str">
        <f t="shared" ref="D14:O14" si="4">+C14</f>
        <v>(**)</v>
      </c>
      <c r="E14" s="433" t="str">
        <f t="shared" si="4"/>
        <v>(**)</v>
      </c>
      <c r="F14" s="433" t="str">
        <f t="shared" si="4"/>
        <v>(**)</v>
      </c>
      <c r="G14" s="433" t="str">
        <f t="shared" si="4"/>
        <v>(**)</v>
      </c>
      <c r="H14" s="433" t="str">
        <f t="shared" si="4"/>
        <v>(**)</v>
      </c>
      <c r="I14" s="433" t="str">
        <f t="shared" si="4"/>
        <v>(**)</v>
      </c>
      <c r="J14" s="433" t="str">
        <f t="shared" si="4"/>
        <v>(**)</v>
      </c>
      <c r="K14" s="433" t="str">
        <f t="shared" si="4"/>
        <v>(**)</v>
      </c>
      <c r="L14" s="433" t="str">
        <f t="shared" si="4"/>
        <v>(**)</v>
      </c>
      <c r="M14" s="433" t="str">
        <f t="shared" si="4"/>
        <v>(**)</v>
      </c>
      <c r="N14" s="433" t="str">
        <f t="shared" si="4"/>
        <v>(**)</v>
      </c>
      <c r="O14" s="433" t="str">
        <f t="shared" si="4"/>
        <v>(**)</v>
      </c>
      <c r="P14" s="434" t="str">
        <f>+O14</f>
        <v>(**)</v>
      </c>
    </row>
    <row r="15" spans="1:17" ht="21" customHeight="1">
      <c r="A15" s="79" t="s">
        <v>303</v>
      </c>
      <c r="B15" s="433">
        <f>+BIODIESEL!E17</f>
        <v>71.510000000000005</v>
      </c>
      <c r="C15" s="433">
        <f>+BIODIESEL!F17</f>
        <v>71.510000000000005</v>
      </c>
      <c r="D15" s="433">
        <f>+B15</f>
        <v>71.510000000000005</v>
      </c>
      <c r="E15" s="433">
        <f>+D15</f>
        <v>71.510000000000005</v>
      </c>
      <c r="F15" s="433">
        <f>+BIODIESEL!G17</f>
        <v>71.510000000000005</v>
      </c>
      <c r="G15" s="433" t="e">
        <f>+BIODIESEL!#REF!</f>
        <v>#REF!</v>
      </c>
      <c r="H15" s="433">
        <f t="shared" ref="H15:O15" si="5">+B15</f>
        <v>71.510000000000005</v>
      </c>
      <c r="I15" s="433">
        <f t="shared" si="5"/>
        <v>71.510000000000005</v>
      </c>
      <c r="J15" s="433">
        <f t="shared" si="5"/>
        <v>71.510000000000005</v>
      </c>
      <c r="K15" s="433">
        <f t="shared" si="5"/>
        <v>71.510000000000005</v>
      </c>
      <c r="L15" s="433">
        <f t="shared" si="5"/>
        <v>71.510000000000005</v>
      </c>
      <c r="M15" s="433" t="e">
        <f t="shared" si="5"/>
        <v>#REF!</v>
      </c>
      <c r="N15" s="433">
        <f t="shared" si="5"/>
        <v>71.510000000000005</v>
      </c>
      <c r="O15" s="433">
        <f t="shared" si="5"/>
        <v>71.510000000000005</v>
      </c>
      <c r="P15" s="434" t="e">
        <f>+G15</f>
        <v>#REF!</v>
      </c>
    </row>
    <row r="16" spans="1:17" ht="21" customHeight="1">
      <c r="A16" s="79" t="s">
        <v>50</v>
      </c>
      <c r="B16" s="433"/>
      <c r="C16" s="433"/>
      <c r="D16" s="433"/>
      <c r="E16" s="433"/>
      <c r="F16" s="433"/>
      <c r="G16" s="433"/>
      <c r="H16" s="433"/>
      <c r="I16" s="433"/>
      <c r="J16" s="433"/>
      <c r="K16" s="433"/>
      <c r="L16" s="433"/>
      <c r="M16" s="433"/>
      <c r="N16" s="433"/>
      <c r="O16" s="433"/>
      <c r="P16" s="434"/>
    </row>
    <row r="17" spans="1:16" ht="21" customHeight="1">
      <c r="A17" s="79" t="s">
        <v>47</v>
      </c>
      <c r="B17" s="431" t="str">
        <f>+BIODIESEL!G19</f>
        <v>(****)</v>
      </c>
      <c r="C17" s="431" t="str">
        <f>+B17</f>
        <v>(****)</v>
      </c>
      <c r="D17" s="431" t="str">
        <f t="shared" ref="D17:O17" si="6">+C17</f>
        <v>(****)</v>
      </c>
      <c r="E17" s="431" t="str">
        <f t="shared" si="6"/>
        <v>(****)</v>
      </c>
      <c r="F17" s="431" t="str">
        <f t="shared" si="6"/>
        <v>(****)</v>
      </c>
      <c r="G17" s="431" t="str">
        <f t="shared" si="6"/>
        <v>(****)</v>
      </c>
      <c r="H17" s="431" t="str">
        <f t="shared" si="6"/>
        <v>(****)</v>
      </c>
      <c r="I17" s="431" t="str">
        <f t="shared" si="6"/>
        <v>(****)</v>
      </c>
      <c r="J17" s="431" t="str">
        <f t="shared" si="6"/>
        <v>(****)</v>
      </c>
      <c r="K17" s="431" t="str">
        <f t="shared" si="6"/>
        <v>(****)</v>
      </c>
      <c r="L17" s="431" t="str">
        <f t="shared" si="6"/>
        <v>(****)</v>
      </c>
      <c r="M17" s="431" t="str">
        <f t="shared" si="6"/>
        <v>(****)</v>
      </c>
      <c r="N17" s="431" t="str">
        <f t="shared" si="6"/>
        <v>(****)</v>
      </c>
      <c r="O17" s="431" t="str">
        <f t="shared" si="6"/>
        <v>(****)</v>
      </c>
      <c r="P17" s="432" t="str">
        <f>+O17</f>
        <v>(****)</v>
      </c>
    </row>
    <row r="18" spans="1:16" ht="21" customHeight="1">
      <c r="A18" s="79" t="s">
        <v>63</v>
      </c>
      <c r="B18" s="435" t="str">
        <f>+BIODIESEL!G20</f>
        <v>(***)</v>
      </c>
      <c r="C18" s="435" t="str">
        <f>+B18</f>
        <v>(***)</v>
      </c>
      <c r="D18" s="435" t="str">
        <f t="shared" ref="D18:O18" si="7">+C18</f>
        <v>(***)</v>
      </c>
      <c r="E18" s="435" t="str">
        <f t="shared" si="7"/>
        <v>(***)</v>
      </c>
      <c r="F18" s="435" t="str">
        <f t="shared" si="7"/>
        <v>(***)</v>
      </c>
      <c r="G18" s="435" t="str">
        <f t="shared" si="7"/>
        <v>(***)</v>
      </c>
      <c r="H18" s="435" t="str">
        <f t="shared" si="7"/>
        <v>(***)</v>
      </c>
      <c r="I18" s="435" t="str">
        <f t="shared" si="7"/>
        <v>(***)</v>
      </c>
      <c r="J18" s="435" t="str">
        <f t="shared" si="7"/>
        <v>(***)</v>
      </c>
      <c r="K18" s="435" t="str">
        <f t="shared" si="7"/>
        <v>(***)</v>
      </c>
      <c r="L18" s="435" t="str">
        <f t="shared" si="7"/>
        <v>(***)</v>
      </c>
      <c r="M18" s="435" t="str">
        <f t="shared" si="7"/>
        <v>(***)</v>
      </c>
      <c r="N18" s="435" t="str">
        <f t="shared" si="7"/>
        <v>(***)</v>
      </c>
      <c r="O18" s="435" t="str">
        <f t="shared" si="7"/>
        <v>(***)</v>
      </c>
      <c r="P18" s="436" t="str">
        <f>+O18</f>
        <v>(***)</v>
      </c>
    </row>
    <row r="19" spans="1:16" ht="21" customHeight="1">
      <c r="A19" s="79" t="s">
        <v>48</v>
      </c>
      <c r="B19" s="433" t="str">
        <f>+BIODIESEL!G21</f>
        <v>(****)</v>
      </c>
      <c r="C19" s="433" t="str">
        <f>+B19</f>
        <v>(****)</v>
      </c>
      <c r="D19" s="433" t="str">
        <f t="shared" ref="D19:O19" si="8">+C19</f>
        <v>(****)</v>
      </c>
      <c r="E19" s="433" t="str">
        <f t="shared" si="8"/>
        <v>(****)</v>
      </c>
      <c r="F19" s="433" t="str">
        <f t="shared" si="8"/>
        <v>(****)</v>
      </c>
      <c r="G19" s="433" t="str">
        <f t="shared" si="8"/>
        <v>(****)</v>
      </c>
      <c r="H19" s="433" t="str">
        <f t="shared" si="8"/>
        <v>(****)</v>
      </c>
      <c r="I19" s="433" t="str">
        <f t="shared" si="8"/>
        <v>(****)</v>
      </c>
      <c r="J19" s="433" t="str">
        <f t="shared" si="8"/>
        <v>(****)</v>
      </c>
      <c r="K19" s="433" t="str">
        <f t="shared" si="8"/>
        <v>(****)</v>
      </c>
      <c r="L19" s="433" t="str">
        <f t="shared" si="8"/>
        <v>(****)</v>
      </c>
      <c r="M19" s="433" t="str">
        <f t="shared" si="8"/>
        <v>(****)</v>
      </c>
      <c r="N19" s="433" t="str">
        <f t="shared" si="8"/>
        <v>(****)</v>
      </c>
      <c r="O19" s="433" t="str">
        <f t="shared" si="8"/>
        <v>(****)</v>
      </c>
      <c r="P19" s="434" t="str">
        <f>+O19</f>
        <v>(****)</v>
      </c>
    </row>
    <row r="20" spans="1:16" ht="21" customHeight="1">
      <c r="A20" s="79" t="s">
        <v>235</v>
      </c>
      <c r="B20" s="433" t="str">
        <f>+BIODIESEL!G22</f>
        <v>(****)</v>
      </c>
      <c r="C20" s="433" t="str">
        <f>+B20</f>
        <v>(****)</v>
      </c>
      <c r="D20" s="433" t="str">
        <f t="shared" ref="D20:O20" si="9">+C20</f>
        <v>(****)</v>
      </c>
      <c r="E20" s="433" t="str">
        <f t="shared" si="9"/>
        <v>(****)</v>
      </c>
      <c r="F20" s="433" t="str">
        <f t="shared" si="9"/>
        <v>(****)</v>
      </c>
      <c r="G20" s="433" t="str">
        <f t="shared" si="9"/>
        <v>(****)</v>
      </c>
      <c r="H20" s="433" t="str">
        <f t="shared" si="9"/>
        <v>(****)</v>
      </c>
      <c r="I20" s="433" t="str">
        <f t="shared" si="9"/>
        <v>(****)</v>
      </c>
      <c r="J20" s="433" t="str">
        <f t="shared" si="9"/>
        <v>(****)</v>
      </c>
      <c r="K20" s="433" t="str">
        <f t="shared" si="9"/>
        <v>(****)</v>
      </c>
      <c r="L20" s="433" t="str">
        <f t="shared" si="9"/>
        <v>(****)</v>
      </c>
      <c r="M20" s="433" t="str">
        <f t="shared" si="9"/>
        <v>(****)</v>
      </c>
      <c r="N20" s="433" t="str">
        <f t="shared" si="9"/>
        <v>(****)</v>
      </c>
      <c r="O20" s="433" t="str">
        <f t="shared" si="9"/>
        <v>(****)</v>
      </c>
      <c r="P20" s="434" t="str">
        <f>+O20</f>
        <v>(****)</v>
      </c>
    </row>
    <row r="21" spans="1:16" ht="21" customHeight="1">
      <c r="A21" s="79" t="s">
        <v>8</v>
      </c>
      <c r="B21" s="433">
        <f>+BIODIESEL!G23</f>
        <v>301.48</v>
      </c>
      <c r="C21" s="433" t="e">
        <f>+BIODIESEL!#REF!</f>
        <v>#REF!</v>
      </c>
      <c r="D21" s="433">
        <f>+B21</f>
        <v>301.48</v>
      </c>
      <c r="E21" s="433">
        <f>+D21</f>
        <v>301.48</v>
      </c>
      <c r="F21" s="433">
        <f>+B21</f>
        <v>301.48</v>
      </c>
      <c r="G21" s="433">
        <f>+D21</f>
        <v>301.48</v>
      </c>
      <c r="H21" s="433">
        <f>+E21</f>
        <v>301.48</v>
      </c>
      <c r="I21" s="433">
        <f>+F21</f>
        <v>301.48</v>
      </c>
      <c r="J21" s="433">
        <f t="shared" ref="J21:O21" si="10">+F21</f>
        <v>301.48</v>
      </c>
      <c r="K21" s="433">
        <f t="shared" si="10"/>
        <v>301.48</v>
      </c>
      <c r="L21" s="433">
        <f t="shared" si="10"/>
        <v>301.48</v>
      </c>
      <c r="M21" s="433">
        <f t="shared" si="10"/>
        <v>301.48</v>
      </c>
      <c r="N21" s="433">
        <f t="shared" si="10"/>
        <v>301.48</v>
      </c>
      <c r="O21" s="433">
        <f t="shared" si="10"/>
        <v>301.48</v>
      </c>
      <c r="P21" s="434">
        <f>+J21</f>
        <v>301.48</v>
      </c>
    </row>
    <row r="22" spans="1:16" ht="21" customHeight="1" thickBot="1">
      <c r="A22" s="82" t="s">
        <v>62</v>
      </c>
      <c r="B22" s="437" t="str">
        <f>+BIODIESEL!G24</f>
        <v>(***)</v>
      </c>
      <c r="C22" s="437" t="str">
        <f>+B22</f>
        <v>(***)</v>
      </c>
      <c r="D22" s="437" t="str">
        <f t="shared" ref="D22:O22" si="11">+C22</f>
        <v>(***)</v>
      </c>
      <c r="E22" s="437" t="str">
        <f t="shared" si="11"/>
        <v>(***)</v>
      </c>
      <c r="F22" s="437" t="str">
        <f t="shared" si="11"/>
        <v>(***)</v>
      </c>
      <c r="G22" s="437" t="str">
        <f t="shared" si="11"/>
        <v>(***)</v>
      </c>
      <c r="H22" s="437" t="str">
        <f t="shared" si="11"/>
        <v>(***)</v>
      </c>
      <c r="I22" s="437" t="str">
        <f t="shared" si="11"/>
        <v>(***)</v>
      </c>
      <c r="J22" s="437" t="str">
        <f t="shared" si="11"/>
        <v>(***)</v>
      </c>
      <c r="K22" s="437" t="str">
        <f t="shared" si="11"/>
        <v>(***)</v>
      </c>
      <c r="L22" s="437" t="str">
        <f t="shared" si="11"/>
        <v>(***)</v>
      </c>
      <c r="M22" s="437" t="str">
        <f t="shared" si="11"/>
        <v>(***)</v>
      </c>
      <c r="N22" s="437" t="str">
        <f t="shared" si="11"/>
        <v>(***)</v>
      </c>
      <c r="O22" s="437" t="str">
        <f t="shared" si="11"/>
        <v>(***)</v>
      </c>
      <c r="P22" s="438" t="str">
        <f>+O22</f>
        <v>(***)</v>
      </c>
    </row>
    <row r="23" spans="1:16" ht="13.5" thickTop="1"/>
    <row r="24" spans="1:16" ht="33" customHeight="1">
      <c r="A24" s="719" t="s">
        <v>346</v>
      </c>
      <c r="B24" s="720"/>
      <c r="C24" s="720"/>
      <c r="D24" s="720"/>
      <c r="E24" s="720"/>
      <c r="F24" s="720"/>
      <c r="G24" s="720"/>
      <c r="H24" s="720"/>
      <c r="I24" s="720"/>
      <c r="J24" s="720"/>
      <c r="K24" s="720"/>
      <c r="L24" s="720"/>
      <c r="M24" s="720"/>
      <c r="N24" s="720"/>
      <c r="O24" s="720"/>
      <c r="P24" s="720"/>
    </row>
    <row r="25" spans="1:16">
      <c r="A25" s="384" t="s">
        <v>222</v>
      </c>
    </row>
    <row r="26" spans="1:16">
      <c r="A26" s="385"/>
    </row>
    <row r="27" spans="1:16">
      <c r="A27" s="384" t="s">
        <v>260</v>
      </c>
    </row>
    <row r="28" spans="1:16" ht="14.25">
      <c r="A28" s="21" t="s">
        <v>161</v>
      </c>
    </row>
    <row r="29" spans="1:16">
      <c r="A29" s="384" t="s">
        <v>241</v>
      </c>
    </row>
    <row r="30" spans="1:16">
      <c r="A30" s="385"/>
    </row>
    <row r="31" spans="1:16">
      <c r="A31" s="384" t="s">
        <v>233</v>
      </c>
    </row>
    <row r="34" spans="1:5" ht="101.25" customHeight="1">
      <c r="A34" s="703" t="s">
        <v>348</v>
      </c>
      <c r="B34" s="703"/>
      <c r="C34" s="703"/>
      <c r="D34" s="703"/>
      <c r="E34" s="703"/>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2020-03-05T14:58:17Z</dcterms:modified>
</cp:coreProperties>
</file>