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8 21 Agosto/Publicación/Publicacion 14 Agosto 2021/"/>
    </mc:Choice>
  </mc:AlternateContent>
  <xr:revisionPtr revIDLastSave="984" documentId="8_{965459BF-C611-4183-B5E8-4156ED93EA57}" xr6:coauthVersionLast="47" xr6:coauthVersionMax="47" xr10:uidLastSave="{37FDC9D2-FC11-40BE-8E33-5CF7BA0192CD}"/>
  <workbookProtection workbookAlgorithmName="SHA-512" workbookHashValue="4PWC7H8PRVamEoBglxqOiZwmxjbAEF7uYE+UGu2IIidH/Op+Woyj90RPpTrm1R1DgmH/T+7HUufD3rFbxQUbCA==" workbookSaltValue="7UUunLvVe8M4Gp7oadw9yQ==" workbookSpinCount="100000" lockStructure="1"/>
  <bookViews>
    <workbookView xWindow="-118" yWindow="-118" windowWidth="25370" windowHeight="13759" tabRatio="965" firstSheet="8" activeTab="8" xr2:uid="{00000000-000D-0000-FFFF-FFFF00000000}"/>
  </bookViews>
  <sheets>
    <sheet name="RUBROS" sheetId="2" state="hidden" r:id="rId1"/>
    <sheet name="Tma" sheetId="38" state="hidden" r:id="rId2"/>
    <sheet name="SP" sheetId="1" state="hidden" r:id="rId3"/>
    <sheet name="Calculo IP ZDF" sheetId="3" state="hidden" r:id="rId4"/>
    <sheet name="COMBUSTIBLES" sheetId="4" state="hidden" r:id="rId5"/>
    <sheet name="GAS CTE" sheetId="5" state="hidden" r:id="rId6"/>
    <sheet name="GAS EXTRA" sheetId="6" state="hidden" r:id="rId7"/>
    <sheet name="BIODIESEL" sheetId="7" state="hidden" r:id="rId8"/>
    <sheet name="AMAZONAS" sheetId="9" r:id="rId9"/>
    <sheet name="ARAUCA" sheetId="10" r:id="rId10"/>
    <sheet name="BOYACA" sheetId="11" r:id="rId11"/>
    <sheet name="CESAR" sheetId="12" r:id="rId12"/>
    <sheet name="CHOCO" sheetId="15" r:id="rId13"/>
    <sheet name="GUAINIA" sheetId="17" r:id="rId14"/>
    <sheet name="LA GUAJIRA" sheetId="19" r:id="rId15"/>
    <sheet name="NARIÑO" sheetId="20" r:id="rId16"/>
    <sheet name="NORTE SANTANDER" sheetId="21" r:id="rId17"/>
    <sheet name="PUTUMAYO" sheetId="34" r:id="rId18"/>
    <sheet name="VAUPES" sheetId="23" r:id="rId19"/>
    <sheet name="VICHADA" sheetId="28" r:id="rId20"/>
    <sheet name="ELECTROCOMBUSTIBLE" sheetId="24" r:id="rId21"/>
    <sheet name="BI ECP " sheetId="30" state="hidden" r:id="rId22"/>
    <sheet name="BI REFICAR" sheetId="29" state="hidden" r:id="rId23"/>
  </sheets>
  <externalReferences>
    <externalReference r:id="rId24"/>
    <externalReference r:id="rId25"/>
    <externalReference r:id="rId26"/>
    <externalReference r:id="rId27"/>
    <externalReference r:id="rId28"/>
    <externalReference r:id="rId29"/>
    <externalReference r:id="rId30"/>
  </externalReferences>
  <definedNames>
    <definedName name="\A" localSheetId="2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#REF!</definedName>
    <definedName name="\L" localSheetId="2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9">#REF!</definedName>
    <definedName name="\L">#REF!</definedName>
    <definedName name="\P" localSheetId="2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#REF!</definedName>
    <definedName name="_xlnm._FilterDatabase" localSheetId="21" hidden="1">'BI ECP '!$A$1:$V$46</definedName>
    <definedName name="_xlnm._FilterDatabase" localSheetId="22" hidden="1">'BI REFICAR'!$A$1:$Y$22</definedName>
    <definedName name="a" localSheetId="2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18">[1]TARIF2002!#REF!</definedName>
    <definedName name="a" localSheetId="19">[1]TARIF2002!#REF!</definedName>
    <definedName name="a">[1]TARIF2002!#REF!</definedName>
    <definedName name="A_IMPRESIÓN_IM" localSheetId="2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18">#REF!</definedName>
    <definedName name="A_IMPRESIÓN_IM" localSheetId="19">#REF!</definedName>
    <definedName name="A_IMPRESIÓN_IM">#REF!</definedName>
    <definedName name="aa" localSheetId="21">#REF!</definedName>
    <definedName name="aa" localSheetId="17">#REF!</definedName>
    <definedName name="aa" localSheetId="18">#REF!</definedName>
    <definedName name="aa" localSheetId="19">#REF!</definedName>
    <definedName name="aa">#REF!</definedName>
    <definedName name="ADI" localSheetId="21">#REF!</definedName>
    <definedName name="ADI" localSheetId="12">#REF!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18">#REF!</definedName>
    <definedName name="ADI" localSheetId="19">#REF!</definedName>
    <definedName name="ADI">#REF!</definedName>
    <definedName name="B102T5">RUBROS!$B$102</definedName>
    <definedName name="base" localSheetId="21">#REF!</definedName>
    <definedName name="base" localSheetId="12">#REF!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18">#REF!</definedName>
    <definedName name="base" localSheetId="19">#REF!</definedName>
    <definedName name="base">#REF!</definedName>
    <definedName name="base_VaR" localSheetId="21">#REF!</definedName>
    <definedName name="base_VaR" localSheetId="12">#REF!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18">#REF!</definedName>
    <definedName name="base_VaR" localSheetId="19">#REF!</definedName>
    <definedName name="base_VaR">#REF!</definedName>
    <definedName name="cc" localSheetId="21">#REF!</definedName>
    <definedName name="cc" localSheetId="17">#REF!</definedName>
    <definedName name="cc" localSheetId="18">#REF!</definedName>
    <definedName name="cc" localSheetId="19">#REF!</definedName>
    <definedName name="cc">#REF!</definedName>
    <definedName name="CONTADO" localSheetId="21">#REF!</definedName>
    <definedName name="CONTADO" localSheetId="12">#REF!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18">#REF!</definedName>
    <definedName name="CONTADO" localSheetId="19">#REF!</definedName>
    <definedName name="CONTADO">#REF!</definedName>
    <definedName name="CREDITO" localSheetId="21">#REF!</definedName>
    <definedName name="CREDITO" localSheetId="12">#REF!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18">#REF!</definedName>
    <definedName name="CREDITO" localSheetId="19">#REF!</definedName>
    <definedName name="CREDITO">#REF!</definedName>
    <definedName name="DAT" localSheetId="21">#REF!</definedName>
    <definedName name="DAT" localSheetId="12">#REF!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18">#REF!</definedName>
    <definedName name="DAT" localSheetId="19">#REF!</definedName>
    <definedName name="DAT">#REF!</definedName>
    <definedName name="dd" localSheetId="21">#REF!</definedName>
    <definedName name="dd" localSheetId="17">#REF!</definedName>
    <definedName name="dd" localSheetId="18">#REF!</definedName>
    <definedName name="dd" localSheetId="19">#REF!</definedName>
    <definedName name="dd">#REF!</definedName>
    <definedName name="E_03" localSheetId="21">#REF!</definedName>
    <definedName name="E_03" localSheetId="12">#REF!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18">#REF!</definedName>
    <definedName name="E_03" localSheetId="19">#REF!</definedName>
    <definedName name="E_03">#REF!</definedName>
    <definedName name="ee" localSheetId="21">#REF!</definedName>
    <definedName name="ee" localSheetId="17">#REF!</definedName>
    <definedName name="ee" localSheetId="18">#REF!</definedName>
    <definedName name="ee" localSheetId="19">#REF!</definedName>
    <definedName name="ee">#REF!</definedName>
    <definedName name="ERR" localSheetId="2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18">[2]TARIF2002!#REF!</definedName>
    <definedName name="ERR" localSheetId="19">[2]TARIF2002!#REF!</definedName>
    <definedName name="ERR">[2]TARIF2002!#REF!</definedName>
    <definedName name="ERROR" localSheetId="21">#REF!</definedName>
    <definedName name="ERROR" localSheetId="12">#REF!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18">#REF!</definedName>
    <definedName name="ERROR" localSheetId="19">#REF!</definedName>
    <definedName name="ERROR">#REF!</definedName>
    <definedName name="ERROR1" localSheetId="21">#REF!</definedName>
    <definedName name="ERROR1" localSheetId="12">#REF!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18">#REF!</definedName>
    <definedName name="ERROR1" localSheetId="19">#REF!</definedName>
    <definedName name="ERROR1">#REF!</definedName>
    <definedName name="ERROR2" localSheetId="21">#REF!</definedName>
    <definedName name="ERROR2" localSheetId="12">#REF!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18">#REF!</definedName>
    <definedName name="ERROR2" localSheetId="19">#REF!</definedName>
    <definedName name="ERROR2">#REF!</definedName>
    <definedName name="ERROR3" localSheetId="2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18">[2]TARIF2002!#REF!</definedName>
    <definedName name="ERROR3" localSheetId="19">[2]TARIF2002!#REF!</definedName>
    <definedName name="ERROR3">[2]TARIF2002!#REF!</definedName>
    <definedName name="ERROR5" localSheetId="2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18">[2]TARIF2002!#REF!</definedName>
    <definedName name="ERROR5" localSheetId="19">[2]TARIF2002!#REF!</definedName>
    <definedName name="ERROR5">[2]TARIF2002!#REF!</definedName>
    <definedName name="fdffda" localSheetId="21">#REF!</definedName>
    <definedName name="fdffda" localSheetId="17">#REF!</definedName>
    <definedName name="fdffda" localSheetId="18">#REF!</definedName>
    <definedName name="fdffda" localSheetId="19">#REF!</definedName>
    <definedName name="fdffda">#REF!</definedName>
    <definedName name="ff" localSheetId="21">#REF!</definedName>
    <definedName name="ff" localSheetId="17">#REF!</definedName>
    <definedName name="ff" localSheetId="18">#REF!</definedName>
    <definedName name="ff" localSheetId="19">#REF!</definedName>
    <definedName name="ff">#REF!</definedName>
    <definedName name="fff" localSheetId="21">#REF!</definedName>
    <definedName name="fff" localSheetId="17">#REF!</definedName>
    <definedName name="fff" localSheetId="18">#REF!</definedName>
    <definedName name="fff" localSheetId="19">#REF!</definedName>
    <definedName name="fff">#REF!</definedName>
    <definedName name="ffg" localSheetId="21">#REF!</definedName>
    <definedName name="ffg" localSheetId="17">#REF!</definedName>
    <definedName name="ffg" localSheetId="18">#REF!</definedName>
    <definedName name="ffg" localSheetId="19">#REF!</definedName>
    <definedName name="ffg">#REF!</definedName>
    <definedName name="gggg" localSheetId="21">#REF!</definedName>
    <definedName name="gggg" localSheetId="17">#REF!</definedName>
    <definedName name="gggg" localSheetId="18">#REF!</definedName>
    <definedName name="gggg" localSheetId="19">#REF!</definedName>
    <definedName name="gggg">#REF!</definedName>
    <definedName name="ggggg" localSheetId="21">[2]TARIF2002!#REF!</definedName>
    <definedName name="ggggg" localSheetId="17">[2]TARIF2002!#REF!</definedName>
    <definedName name="ggggg" localSheetId="18">[2]TARIF2002!#REF!</definedName>
    <definedName name="ggggg" localSheetId="19">[2]TARIF2002!#REF!</definedName>
    <definedName name="ggggg">[2]TARIF2002!#REF!</definedName>
    <definedName name="GHGDHDH" localSheetId="21">[2]TARIF2002!#REF!</definedName>
    <definedName name="GHGDHDH" localSheetId="17">[2]TARIF2002!#REF!</definedName>
    <definedName name="GHGDHDH" localSheetId="19">[2]TARIF2002!#REF!</definedName>
    <definedName name="GHGDHDH">[2]TARIF2002!#REF!</definedName>
    <definedName name="GHGHDH" localSheetId="21">[2]TARIF2002!#REF!</definedName>
    <definedName name="GHGHDH" localSheetId="17">[2]TARIF2002!#REF!</definedName>
    <definedName name="GHGHDH" localSheetId="19">[2]TARIF2002!#REF!</definedName>
    <definedName name="GHGHDH">[2]TARIF2002!#REF!</definedName>
    <definedName name="GHGHH" localSheetId="21">[2]TARIF2002!#REF!</definedName>
    <definedName name="GHGHH" localSheetId="17">[2]TARIF2002!#REF!</definedName>
    <definedName name="GHGHH" localSheetId="19">[2]TARIF2002!#REF!</definedName>
    <definedName name="GHGHH">[2]TARIF2002!#REF!</definedName>
    <definedName name="GHHDHDFH" localSheetId="21">#REF!</definedName>
    <definedName name="GHHDHDFH" localSheetId="17">#REF!</definedName>
    <definedName name="GHHDHDFH" localSheetId="19">#REF!</definedName>
    <definedName name="GHHDHDFH">#REF!</definedName>
    <definedName name="HDGHH" localSheetId="21">[2]TARIF2002!#REF!</definedName>
    <definedName name="HDGHH" localSheetId="17">[2]TARIF2002!#REF!</definedName>
    <definedName name="HDGHH" localSheetId="19">[2]TARIF2002!#REF!</definedName>
    <definedName name="HDGHH">[2]TARIF2002!#REF!</definedName>
    <definedName name="HFDGHH" localSheetId="21">[2]TARIF2002!#REF!</definedName>
    <definedName name="HFDGHH" localSheetId="17">[2]TARIF2002!#REF!</definedName>
    <definedName name="HFDGHH" localSheetId="19">[2]TARIF2002!#REF!</definedName>
    <definedName name="HFDGHH">[2]TARIF2002!#REF!</definedName>
    <definedName name="HGFHFH" localSheetId="21">#REF!</definedName>
    <definedName name="HGFHFH" localSheetId="17">#REF!</definedName>
    <definedName name="HGFHFH" localSheetId="19">#REF!</definedName>
    <definedName name="HGFHFH">#REF!</definedName>
    <definedName name="HGFHGFHGFH" localSheetId="21">#REF!</definedName>
    <definedName name="HGFHGFHGFH" localSheetId="17">#REF!</definedName>
    <definedName name="HGFHGFHGFH" localSheetId="19">#REF!</definedName>
    <definedName name="HGFHGFHGFH">#REF!</definedName>
    <definedName name="HGFHGH" localSheetId="21">[2]TARIF2002!#REF!</definedName>
    <definedName name="HGFHGH" localSheetId="17">[2]TARIF2002!#REF!</definedName>
    <definedName name="HGFHGH" localSheetId="19">[2]TARIF2002!#REF!</definedName>
    <definedName name="HGFHGH">[2]TARIF2002!#REF!</definedName>
    <definedName name="HGFHH" localSheetId="21">#REF!</definedName>
    <definedName name="HGFHH" localSheetId="17">#REF!</definedName>
    <definedName name="HGFHH" localSheetId="19">#REF!</definedName>
    <definedName name="HGFHH">#REF!</definedName>
    <definedName name="HGFHSHFH" localSheetId="21">#REF!</definedName>
    <definedName name="HGFHSHFH" localSheetId="17">#REF!</definedName>
    <definedName name="HGFHSHFH" localSheetId="19">#REF!</definedName>
    <definedName name="HGFHSHFH">#REF!</definedName>
    <definedName name="HGHDGHDH" localSheetId="21">[2]TARIF2002!#REF!</definedName>
    <definedName name="HGHDGHDH" localSheetId="17">[2]TARIF2002!#REF!</definedName>
    <definedName name="HGHDGHDH" localSheetId="19">[2]TARIF2002!#REF!</definedName>
    <definedName name="HGHDGHDH">[2]TARIF2002!#REF!</definedName>
    <definedName name="HGHGDFH" localSheetId="21">#REF!</definedName>
    <definedName name="HGHGDFH" localSheetId="17">#REF!</definedName>
    <definedName name="HGHGDFH" localSheetId="19">#REF!</definedName>
    <definedName name="HGHGDFH">#REF!</definedName>
    <definedName name="HGHGH" localSheetId="21">[2]TARIF2002!#REF!</definedName>
    <definedName name="HGHGH" localSheetId="17">[2]TARIF2002!#REF!</definedName>
    <definedName name="HGHGH" localSheetId="19">[2]TARIF2002!#REF!</definedName>
    <definedName name="HGHGH">[2]TARIF2002!#REF!</definedName>
    <definedName name="HGHGHH" localSheetId="21">[3]TARIF2002!#REF!</definedName>
    <definedName name="HGHGHH" localSheetId="17">[3]TARIF2002!#REF!</definedName>
    <definedName name="HGHGHH" localSheetId="19">[3]TARIF2002!#REF!</definedName>
    <definedName name="HGHGHH">[3]TARIF2002!#REF!</definedName>
    <definedName name="hhhh" localSheetId="21">[2]TARIF2002!#REF!</definedName>
    <definedName name="hhhh" localSheetId="17">[2]TARIF2002!#REF!</definedName>
    <definedName name="hhhh" localSheetId="18">[2]TARIF2002!#REF!</definedName>
    <definedName name="hhhh" localSheetId="19">[2]TARIF2002!#REF!</definedName>
    <definedName name="hhhh">[2]TARIF2002!#REF!</definedName>
    <definedName name="hkkkk" localSheetId="21">[2]TARIF2002!#REF!</definedName>
    <definedName name="hkkkk" localSheetId="17">[2]TARIF2002!#REF!</definedName>
    <definedName name="hkkkk" localSheetId="18">[2]TARIF2002!#REF!</definedName>
    <definedName name="hkkkk" localSheetId="19">[2]TARIF2002!#REF!</definedName>
    <definedName name="hkkkk">[2]TARIF2002!#REF!</definedName>
    <definedName name="j" localSheetId="2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19">#REF!</definedName>
    <definedName name="j">#REF!</definedName>
    <definedName name="JA" localSheetId="21">#REF!</definedName>
    <definedName name="JA" localSheetId="12">#REF!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 localSheetId="19">#REF!</definedName>
    <definedName name="JA">#REF!</definedName>
    <definedName name="jjj" localSheetId="21">[3]TARIF2002!#REF!</definedName>
    <definedName name="jjj" localSheetId="17">[3]TARIF2002!#REF!</definedName>
    <definedName name="jjj" localSheetId="18">[3]TARIF2002!#REF!</definedName>
    <definedName name="jjj" localSheetId="19">[3]TARIF2002!#REF!</definedName>
    <definedName name="jjj">[3]TARIF2002!#REF!</definedName>
    <definedName name="kkhkhk" localSheetId="21">[2]TARIF2002!#REF!</definedName>
    <definedName name="kkhkhk" localSheetId="17">[2]TARIF2002!#REF!</definedName>
    <definedName name="kkhkhk" localSheetId="18">[2]TARIF2002!#REF!</definedName>
    <definedName name="kkhkhk" localSheetId="19">[2]TARIF2002!#REF!</definedName>
    <definedName name="kkhkhk">[2]TARIF2002!#REF!</definedName>
    <definedName name="MATRIZRICS">'[4]RICS NUEVA HOJA DIARIA'!$A$1:$AB$42</definedName>
    <definedName name="MES" localSheetId="21">#REF!</definedName>
    <definedName name="MES" localSheetId="12">#REF!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18">#REF!</definedName>
    <definedName name="MES" localSheetId="19">#REF!</definedName>
    <definedName name="MES">#REF!</definedName>
    <definedName name="NTE" localSheetId="21">#REF!</definedName>
    <definedName name="NTE" localSheetId="12">#REF!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18">#REF!</definedName>
    <definedName name="NTE" localSheetId="19">#REF!</definedName>
    <definedName name="NTE">#REF!</definedName>
    <definedName name="Q" localSheetId="2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18">[3]TARIF2002!#REF!</definedName>
    <definedName name="Q" localSheetId="19">[3]TARIF2002!#REF!</definedName>
    <definedName name="Q">[3]TARIF2002!#REF!</definedName>
    <definedName name="QE" localSheetId="2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18">[2]TARIF2002!#REF!</definedName>
    <definedName name="QE" localSheetId="19">[2]TARIF2002!#REF!</definedName>
    <definedName name="QE">[2]TARIF2002!#REF!</definedName>
    <definedName name="QE_TE" localSheetId="2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18">[2]TARIF2002!#REF!</definedName>
    <definedName name="QE_TE" localSheetId="19">[2]TARIF2002!#REF!</definedName>
    <definedName name="QE_TE">[2]TARIF2002!#REF!</definedName>
    <definedName name="QI" localSheetId="2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18">[2]TARIF2002!#REF!</definedName>
    <definedName name="QI" localSheetId="19">[2]TARIF2002!#REF!</definedName>
    <definedName name="QI">[2]TARIF2002!#REF!</definedName>
    <definedName name="QI_TI" localSheetId="2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18">[2]TARIF2002!#REF!</definedName>
    <definedName name="QI_TI" localSheetId="19">[2]TARIF2002!#REF!</definedName>
    <definedName name="QI_TI">[2]TARIF2002!#REF!</definedName>
    <definedName name="QN" localSheetId="2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18">[2]TARIF2002!#REF!</definedName>
    <definedName name="QN" localSheetId="19">[2]TARIF2002!#REF!</definedName>
    <definedName name="QN">[2]TARIF2002!#REF!</definedName>
    <definedName name="QN_QI" localSheetId="2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18">[2]TARIF2002!#REF!</definedName>
    <definedName name="QN_QI" localSheetId="19">[2]TARIF2002!#REF!</definedName>
    <definedName name="QN_QI">[2]TARIF2002!#REF!</definedName>
    <definedName name="QNS" localSheetId="2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18">[3]TARIF2002!#REF!</definedName>
    <definedName name="QNS" localSheetId="19">[3]TARIF2002!#REF!</definedName>
    <definedName name="QNS">[3]TARIF2002!#REF!</definedName>
    <definedName name="REG" localSheetId="21">#REF!</definedName>
    <definedName name="REG" localSheetId="12">#REF!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18">#REF!</definedName>
    <definedName name="REG" localSheetId="19">#REF!</definedName>
    <definedName name="REG">#REF!</definedName>
    <definedName name="REGULAR" localSheetId="21">#REF!</definedName>
    <definedName name="REGULAR" localSheetId="12">#REF!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18">#REF!</definedName>
    <definedName name="REGULAR" localSheetId="19">#REF!</definedName>
    <definedName name="REGULAR">#REF!</definedName>
    <definedName name="SOL" localSheetId="21">#REF!</definedName>
    <definedName name="SOL" localSheetId="12">#REF!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18">#REF!</definedName>
    <definedName name="SOL" localSheetId="19">#REF!</definedName>
    <definedName name="SOL">#REF!</definedName>
    <definedName name="TE" localSheetId="2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18">[2]TARIF2002!#REF!</definedName>
    <definedName name="TE" localSheetId="19">[2]TARIF2002!#REF!</definedName>
    <definedName name="TE">[2]TARIF2002!#REF!</definedName>
    <definedName name="TI" localSheetId="2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18">[2]TARIF2002!#REF!</definedName>
    <definedName name="TI" localSheetId="19">[2]TARIF2002!#REF!</definedName>
    <definedName name="TI">[2]TARIF2002!#REF!</definedName>
    <definedName name="TITU" localSheetId="21">#REF!</definedName>
    <definedName name="TITU" localSheetId="12">#REF!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18">#REF!</definedName>
    <definedName name="TITU" localSheetId="19">#REF!</definedName>
    <definedName name="TITU">#REF!</definedName>
    <definedName name="TOT" localSheetId="21">#REF!</definedName>
    <definedName name="TOT" localSheetId="12">#REF!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18">#REF!</definedName>
    <definedName name="TOT" localSheetId="19">#REF!</definedName>
    <definedName name="TOT">#REF!</definedName>
    <definedName name="VAPUES" localSheetId="21">#REF!</definedName>
    <definedName name="VAPUES" localSheetId="17">#REF!</definedName>
    <definedName name="VAPUES" localSheetId="19">#REF!</definedName>
    <definedName name="VAPUES">#REF!</definedName>
    <definedName name="VAUPES2" localSheetId="21">#REF!</definedName>
    <definedName name="VAUPES2" localSheetId="12">#REF!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18">#REF!</definedName>
    <definedName name="VAUPES2" localSheetId="19">#REF!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21" i="2" l="1"/>
  <c r="AA20" i="2"/>
  <c r="AA19" i="2"/>
  <c r="AA18" i="2"/>
  <c r="AA17" i="2"/>
  <c r="AA16" i="2"/>
  <c r="AA15" i="2"/>
  <c r="AA14" i="2"/>
  <c r="AA13" i="2"/>
  <c r="AB57" i="2"/>
  <c r="Y57" i="2"/>
  <c r="AA57" i="2"/>
  <c r="X57" i="2"/>
  <c r="AA56" i="2"/>
  <c r="AA54" i="2"/>
  <c r="AA52" i="2"/>
  <c r="AA50" i="2"/>
  <c r="Z57" i="2"/>
  <c r="W57" i="2"/>
  <c r="Z56" i="2"/>
  <c r="Z54" i="2"/>
  <c r="Z52" i="2"/>
  <c r="Z50" i="2"/>
  <c r="Z21" i="2"/>
  <c r="Z20" i="2"/>
  <c r="Z19" i="2"/>
  <c r="Z17" i="2"/>
  <c r="Z16" i="2"/>
  <c r="Z15" i="2"/>
  <c r="Z14" i="2"/>
  <c r="Z13" i="2"/>
  <c r="G8" i="9"/>
  <c r="G9" i="11"/>
  <c r="H9" i="28"/>
  <c r="H8" i="28"/>
  <c r="H6" i="28"/>
  <c r="H5" i="28"/>
  <c r="H9" i="23"/>
  <c r="H8" i="23"/>
  <c r="H6" i="23"/>
  <c r="H5" i="23"/>
  <c r="H11" i="19"/>
  <c r="H9" i="19"/>
  <c r="H8" i="19"/>
  <c r="H6" i="19"/>
  <c r="H5" i="19"/>
  <c r="H9" i="17"/>
  <c r="H8" i="17"/>
  <c r="H6" i="17"/>
  <c r="H5" i="17"/>
  <c r="I32" i="12"/>
  <c r="J32" i="12"/>
  <c r="I35" i="12"/>
  <c r="J35" i="12"/>
  <c r="I43" i="12"/>
  <c r="J43" i="12" s="1"/>
  <c r="H11" i="10"/>
  <c r="H9" i="10"/>
  <c r="H8" i="10"/>
  <c r="H6" i="10"/>
  <c r="H5" i="10"/>
  <c r="I12" i="7"/>
  <c r="F29" i="3"/>
  <c r="G11" i="12"/>
  <c r="L9" i="12"/>
  <c r="L8" i="12"/>
  <c r="G8" i="12"/>
  <c r="H9" i="11"/>
  <c r="H8" i="11"/>
  <c r="F11" i="11"/>
  <c r="F8" i="11"/>
  <c r="H5" i="11"/>
  <c r="H33" i="12"/>
  <c r="H32" i="12"/>
  <c r="D35" i="12"/>
  <c r="D32" i="12"/>
  <c r="G9" i="21"/>
  <c r="G8" i="21"/>
  <c r="G11" i="21"/>
  <c r="D11" i="21"/>
  <c r="D8" i="21"/>
  <c r="G9" i="28"/>
  <c r="G8" i="28"/>
  <c r="D8" i="28"/>
  <c r="G33" i="28"/>
  <c r="G32" i="28"/>
  <c r="D32" i="28"/>
  <c r="G9" i="23"/>
  <c r="G8" i="23"/>
  <c r="D8" i="23"/>
  <c r="G9" i="19"/>
  <c r="G8" i="19"/>
  <c r="D11" i="19"/>
  <c r="D8" i="19"/>
  <c r="G9" i="17"/>
  <c r="G8" i="17"/>
  <c r="D8" i="17"/>
  <c r="G9" i="10"/>
  <c r="G8" i="10"/>
  <c r="D11" i="10"/>
  <c r="D8" i="10"/>
  <c r="J10" i="7"/>
  <c r="M10" i="7"/>
  <c r="D6" i="7"/>
  <c r="J7" i="7" s="1"/>
  <c r="K7" i="7" s="1"/>
  <c r="N12" i="7"/>
  <c r="M12" i="7"/>
  <c r="K12" i="7"/>
  <c r="J12" i="7"/>
  <c r="M8" i="7"/>
  <c r="N8" i="7" s="1"/>
  <c r="M7" i="7"/>
  <c r="N7" i="7" s="1"/>
  <c r="J8" i="7"/>
  <c r="K8" i="7" s="1"/>
  <c r="I12" i="5"/>
  <c r="J12" i="5" s="1"/>
  <c r="I10" i="5"/>
  <c r="J10" i="5" s="1"/>
  <c r="I8" i="5"/>
  <c r="J8" i="5" s="1"/>
  <c r="G10" i="5"/>
  <c r="H10" i="5" s="1"/>
  <c r="G12" i="5"/>
  <c r="H12" i="5" s="1"/>
  <c r="F14" i="5"/>
  <c r="M9" i="7" l="1"/>
  <c r="N9" i="7" s="1"/>
  <c r="F8" i="5" l="1"/>
  <c r="D11" i="20"/>
  <c r="H9" i="20"/>
  <c r="H8" i="20"/>
  <c r="G9" i="34"/>
  <c r="G8" i="34"/>
  <c r="H9" i="15"/>
  <c r="H8" i="15"/>
  <c r="K11" i="12"/>
  <c r="K9" i="12"/>
  <c r="K8" i="12"/>
  <c r="D11" i="12"/>
  <c r="D11" i="11"/>
  <c r="G8" i="11"/>
  <c r="G9" i="9"/>
  <c r="D13" i="4"/>
  <c r="C13" i="4"/>
  <c r="D11" i="4"/>
  <c r="C11" i="4"/>
  <c r="D10" i="4"/>
  <c r="C10" i="4"/>
  <c r="D8" i="4"/>
  <c r="C8" i="4"/>
  <c r="D7" i="4"/>
  <c r="H48" i="19"/>
  <c r="G48" i="19"/>
  <c r="F48" i="19"/>
  <c r="E48" i="19"/>
  <c r="D48" i="19"/>
  <c r="D47" i="19"/>
  <c r="G47" i="19" s="1"/>
  <c r="C46" i="19"/>
  <c r="H44" i="19"/>
  <c r="G44" i="19"/>
  <c r="F44" i="19"/>
  <c r="E44" i="19"/>
  <c r="D44" i="19"/>
  <c r="H43" i="19"/>
  <c r="G43" i="19"/>
  <c r="F43" i="19"/>
  <c r="E43" i="19"/>
  <c r="D43" i="19"/>
  <c r="H42" i="19"/>
  <c r="H46" i="19" s="1"/>
  <c r="D42" i="19"/>
  <c r="D46" i="19" s="1"/>
  <c r="C39" i="19"/>
  <c r="G39" i="19" s="1"/>
  <c r="H39" i="19" s="1"/>
  <c r="C38" i="19"/>
  <c r="F38" i="19" s="1"/>
  <c r="G37" i="19"/>
  <c r="F37" i="19"/>
  <c r="C37" i="19"/>
  <c r="D37" i="19" s="1"/>
  <c r="G36" i="19"/>
  <c r="F36" i="19"/>
  <c r="E36" i="19"/>
  <c r="D36" i="19"/>
  <c r="H35" i="19"/>
  <c r="F35" i="19"/>
  <c r="E35" i="19"/>
  <c r="D35" i="19"/>
  <c r="C35" i="19"/>
  <c r="G35" i="19" s="1"/>
  <c r="H34" i="19"/>
  <c r="H33" i="19"/>
  <c r="G33" i="19"/>
  <c r="H32" i="19"/>
  <c r="G32" i="19"/>
  <c r="F32" i="19"/>
  <c r="F30" i="19"/>
  <c r="H30" i="19" s="1"/>
  <c r="F29" i="19"/>
  <c r="H29" i="19" s="1"/>
  <c r="C15" i="19"/>
  <c r="C14" i="19"/>
  <c r="C13" i="19"/>
  <c r="E11" i="19"/>
  <c r="C11" i="19"/>
  <c r="M95" i="12"/>
  <c r="L95" i="12"/>
  <c r="K95" i="12"/>
  <c r="J95" i="12"/>
  <c r="I95" i="12"/>
  <c r="H95" i="12"/>
  <c r="G95" i="12"/>
  <c r="E95" i="12"/>
  <c r="D95" i="12"/>
  <c r="G94" i="12"/>
  <c r="D94" i="12"/>
  <c r="J94" i="12" s="1"/>
  <c r="H91" i="12"/>
  <c r="I91" i="12" s="1"/>
  <c r="J91" i="12" s="1"/>
  <c r="E91" i="12"/>
  <c r="G91" i="12" s="1"/>
  <c r="I90" i="12"/>
  <c r="J90" i="12" s="1"/>
  <c r="K90" i="12" s="1"/>
  <c r="L90" i="12" s="1"/>
  <c r="M90" i="12" s="1"/>
  <c r="H90" i="12"/>
  <c r="G90" i="12"/>
  <c r="E90" i="12"/>
  <c r="D90" i="12"/>
  <c r="E89" i="12"/>
  <c r="E93" i="12" s="1"/>
  <c r="D89" i="12"/>
  <c r="M87" i="12"/>
  <c r="C86" i="12"/>
  <c r="G86" i="12" s="1"/>
  <c r="C85" i="12"/>
  <c r="I85" i="12" s="1"/>
  <c r="H84" i="12"/>
  <c r="I84" i="12" s="1"/>
  <c r="G84" i="12"/>
  <c r="J84" i="12" s="1"/>
  <c r="E84" i="12"/>
  <c r="M84" i="12" s="1"/>
  <c r="K84" i="12" s="1"/>
  <c r="D84" i="12"/>
  <c r="L84" i="12" s="1"/>
  <c r="K83" i="12"/>
  <c r="J83" i="12"/>
  <c r="M83" i="12" s="1"/>
  <c r="I83" i="12"/>
  <c r="H83" i="12"/>
  <c r="G83" i="12"/>
  <c r="L83" i="12" s="1"/>
  <c r="E83" i="12"/>
  <c r="D83" i="12"/>
  <c r="C83" i="12"/>
  <c r="M82" i="12"/>
  <c r="L82" i="12"/>
  <c r="K82" i="12"/>
  <c r="C82" i="12"/>
  <c r="M81" i="12"/>
  <c r="L81" i="12"/>
  <c r="K81" i="12"/>
  <c r="C81" i="12"/>
  <c r="L80" i="12"/>
  <c r="K80" i="12"/>
  <c r="J80" i="12"/>
  <c r="M80" i="12" s="1"/>
  <c r="I80" i="12"/>
  <c r="G78" i="12"/>
  <c r="L78" i="12" s="1"/>
  <c r="L77" i="12"/>
  <c r="K59" i="12"/>
  <c r="H59" i="12"/>
  <c r="G59" i="12"/>
  <c r="L59" i="12" s="1"/>
  <c r="E59" i="12"/>
  <c r="D59" i="12"/>
  <c r="C59" i="12"/>
  <c r="L57" i="12"/>
  <c r="K57" i="12"/>
  <c r="C62" i="12"/>
  <c r="G62" i="12" s="1"/>
  <c r="C61" i="12"/>
  <c r="I61" i="12" s="1"/>
  <c r="L56" i="12"/>
  <c r="K56" i="12"/>
  <c r="C44" i="3"/>
  <c r="D44" i="3" s="1"/>
  <c r="E44" i="3"/>
  <c r="B44" i="3"/>
  <c r="C32" i="19" s="1"/>
  <c r="E43" i="3"/>
  <c r="C43" i="3"/>
  <c r="I43" i="3" s="1"/>
  <c r="C42" i="3"/>
  <c r="I42" i="3" s="1"/>
  <c r="E42" i="3"/>
  <c r="B43" i="3"/>
  <c r="G43" i="3" s="1"/>
  <c r="D80" i="12" s="1"/>
  <c r="B42" i="3"/>
  <c r="C56" i="12" s="1"/>
  <c r="M71" i="12"/>
  <c r="L71" i="12"/>
  <c r="K71" i="12"/>
  <c r="J71" i="12"/>
  <c r="I71" i="12"/>
  <c r="H71" i="12"/>
  <c r="G71" i="12"/>
  <c r="E71" i="12"/>
  <c r="D71" i="12"/>
  <c r="G70" i="12"/>
  <c r="D70" i="12"/>
  <c r="J70" i="12" s="1"/>
  <c r="H67" i="12"/>
  <c r="I67" i="12" s="1"/>
  <c r="J67" i="12" s="1"/>
  <c r="E67" i="12"/>
  <c r="G67" i="12" s="1"/>
  <c r="I66" i="12"/>
  <c r="J66" i="12" s="1"/>
  <c r="K66" i="12" s="1"/>
  <c r="L66" i="12" s="1"/>
  <c r="M66" i="12" s="1"/>
  <c r="H66" i="12"/>
  <c r="G66" i="12"/>
  <c r="E66" i="12"/>
  <c r="D66" i="12"/>
  <c r="E65" i="12"/>
  <c r="H65" i="12" s="1"/>
  <c r="D65" i="12"/>
  <c r="M63" i="12"/>
  <c r="H60" i="12"/>
  <c r="I60" i="12" s="1"/>
  <c r="G60" i="12"/>
  <c r="J60" i="12" s="1"/>
  <c r="E60" i="12"/>
  <c r="M60" i="12" s="1"/>
  <c r="K60" i="12" s="1"/>
  <c r="D60" i="12"/>
  <c r="L60" i="12" s="1"/>
  <c r="J59" i="12"/>
  <c r="M59" i="12" s="1"/>
  <c r="I59" i="12"/>
  <c r="M58" i="12"/>
  <c r="C58" i="12"/>
  <c r="M57" i="12"/>
  <c r="C57" i="12"/>
  <c r="J56" i="12"/>
  <c r="M56" i="12" s="1"/>
  <c r="I56" i="12"/>
  <c r="G54" i="12"/>
  <c r="L54" i="12" s="1"/>
  <c r="L53" i="12"/>
  <c r="C41" i="19" l="1"/>
  <c r="C45" i="19" s="1"/>
  <c r="H38" i="19"/>
  <c r="F44" i="3"/>
  <c r="E32" i="19" s="1"/>
  <c r="H89" i="12"/>
  <c r="I89" i="12" s="1"/>
  <c r="J89" i="12" s="1"/>
  <c r="M88" i="12"/>
  <c r="M92" i="12" s="1"/>
  <c r="E85" i="12"/>
  <c r="J85" i="12"/>
  <c r="M85" i="12" s="1"/>
  <c r="H86" i="12"/>
  <c r="G89" i="12"/>
  <c r="K43" i="3"/>
  <c r="G80" i="12" s="1"/>
  <c r="E42" i="19"/>
  <c r="E46" i="19" s="1"/>
  <c r="C80" i="12"/>
  <c r="C88" i="12" s="1"/>
  <c r="C92" i="12" s="1"/>
  <c r="G42" i="3"/>
  <c r="D56" i="12" s="1"/>
  <c r="D43" i="3"/>
  <c r="F43" i="3" s="1"/>
  <c r="E80" i="12" s="1"/>
  <c r="H56" i="12"/>
  <c r="H80" i="12"/>
  <c r="K42" i="3"/>
  <c r="G56" i="12" s="1"/>
  <c r="G44" i="3"/>
  <c r="D32" i="19" s="1"/>
  <c r="H41" i="19"/>
  <c r="H45" i="19" s="1"/>
  <c r="E37" i="19"/>
  <c r="G38" i="19"/>
  <c r="H37" i="19"/>
  <c r="D39" i="19"/>
  <c r="E39" i="19"/>
  <c r="H36" i="19"/>
  <c r="D38" i="19"/>
  <c r="F39" i="19"/>
  <c r="F41" i="19" s="1"/>
  <c r="F45" i="19" s="1"/>
  <c r="E38" i="19"/>
  <c r="C93" i="12"/>
  <c r="D93" i="12"/>
  <c r="G93" i="12"/>
  <c r="M94" i="12"/>
  <c r="K94" i="12"/>
  <c r="I86" i="12"/>
  <c r="I88" i="12" s="1"/>
  <c r="I92" i="12" s="1"/>
  <c r="M89" i="12"/>
  <c r="J86" i="12"/>
  <c r="D85" i="12"/>
  <c r="K86" i="12"/>
  <c r="C91" i="12"/>
  <c r="K91" i="12" s="1"/>
  <c r="M91" i="12" s="1"/>
  <c r="L91" i="12" s="1"/>
  <c r="I94" i="12"/>
  <c r="D91" i="12"/>
  <c r="G85" i="12"/>
  <c r="D86" i="12"/>
  <c r="H85" i="12"/>
  <c r="E86" i="12"/>
  <c r="G65" i="12"/>
  <c r="M64" i="12"/>
  <c r="M68" i="12" s="1"/>
  <c r="M65" i="12"/>
  <c r="K65" i="12" s="1"/>
  <c r="E69" i="12"/>
  <c r="C69" i="12" s="1"/>
  <c r="I62" i="12"/>
  <c r="I64" i="12" s="1"/>
  <c r="I68" i="12" s="1"/>
  <c r="E61" i="12"/>
  <c r="C64" i="12"/>
  <c r="C68" i="12" s="1"/>
  <c r="I44" i="3"/>
  <c r="D42" i="3"/>
  <c r="F42" i="3" s="1"/>
  <c r="E56" i="12" s="1"/>
  <c r="I65" i="12"/>
  <c r="J65" i="12" s="1"/>
  <c r="H69" i="12"/>
  <c r="I69" i="12" s="1"/>
  <c r="J69" i="12" s="1"/>
  <c r="M70" i="12"/>
  <c r="K70" i="12"/>
  <c r="J61" i="12"/>
  <c r="H62" i="12"/>
  <c r="J62" i="12"/>
  <c r="D61" i="12"/>
  <c r="K62" i="12"/>
  <c r="C67" i="12"/>
  <c r="K67" i="12" s="1"/>
  <c r="M67" i="12" s="1"/>
  <c r="L67" i="12" s="1"/>
  <c r="I70" i="12"/>
  <c r="D67" i="12"/>
  <c r="G61" i="12"/>
  <c r="D62" i="12"/>
  <c r="H61" i="12"/>
  <c r="E62" i="12"/>
  <c r="K85" i="12" l="1"/>
  <c r="K88" i="12" s="1"/>
  <c r="K92" i="12" s="1"/>
  <c r="J88" i="12"/>
  <c r="J92" i="12" s="1"/>
  <c r="L85" i="12"/>
  <c r="H93" i="12"/>
  <c r="I93" i="12" s="1"/>
  <c r="J93" i="12" s="1"/>
  <c r="G88" i="12"/>
  <c r="G92" i="12" s="1"/>
  <c r="D88" i="12"/>
  <c r="D92" i="12" s="1"/>
  <c r="G69" i="12"/>
  <c r="D69" i="12"/>
  <c r="H88" i="12"/>
  <c r="H92" i="12" s="1"/>
  <c r="D41" i="19"/>
  <c r="D45" i="19" s="1"/>
  <c r="F42" i="19"/>
  <c r="E41" i="19"/>
  <c r="E45" i="19" s="1"/>
  <c r="E88" i="12"/>
  <c r="E92" i="12" s="1"/>
  <c r="F46" i="19"/>
  <c r="G42" i="19"/>
  <c r="G46" i="19" s="1"/>
  <c r="K89" i="12"/>
  <c r="L89" i="12"/>
  <c r="M93" i="12"/>
  <c r="M86" i="12"/>
  <c r="L86" i="12"/>
  <c r="L65" i="12"/>
  <c r="E64" i="12"/>
  <c r="E68" i="12" s="1"/>
  <c r="M69" i="12"/>
  <c r="L69" i="12" s="1"/>
  <c r="H64" i="12"/>
  <c r="H68" i="12" s="1"/>
  <c r="M62" i="12"/>
  <c r="L62" i="12"/>
  <c r="M61" i="12"/>
  <c r="L61" i="12"/>
  <c r="K61" i="12"/>
  <c r="J64" i="12"/>
  <c r="J68" i="12" s="1"/>
  <c r="H11" i="20"/>
  <c r="L88" i="12" l="1"/>
  <c r="L92" i="12" s="1"/>
  <c r="K69" i="12"/>
  <c r="L93" i="12"/>
  <c r="K93" i="12"/>
  <c r="G8" i="5" l="1"/>
  <c r="H8" i="5" s="1"/>
  <c r="C6" i="5" l="1"/>
  <c r="I7" i="5" s="1"/>
  <c r="G23" i="3"/>
  <c r="W9" i="2"/>
  <c r="G7" i="5" l="1"/>
  <c r="H7" i="5" s="1"/>
  <c r="E9" i="38"/>
  <c r="E11" i="38" s="1"/>
  <c r="E13" i="38" s="1"/>
  <c r="O12" i="38"/>
  <c r="J11" i="38"/>
  <c r="K11" i="38" s="1"/>
  <c r="L11" i="38" s="1"/>
  <c r="M11" i="38" s="1"/>
  <c r="N11" i="38" s="1"/>
  <c r="O11" i="38" s="1"/>
  <c r="P11" i="38" s="1"/>
  <c r="J10" i="38"/>
  <c r="K10" i="38" s="1"/>
  <c r="L10" i="38" s="1"/>
  <c r="M10" i="38" s="1"/>
  <c r="N10" i="38" s="1"/>
  <c r="O10" i="38" s="1"/>
  <c r="P10" i="38" s="1"/>
  <c r="I11" i="38"/>
  <c r="I10" i="38"/>
  <c r="I9" i="38"/>
  <c r="J9" i="38" s="1"/>
  <c r="K9" i="38" s="1"/>
  <c r="L9" i="38" s="1"/>
  <c r="M9" i="38" s="1"/>
  <c r="N9" i="38" s="1"/>
  <c r="O9" i="38" s="1"/>
  <c r="P9" i="38" s="1"/>
  <c r="J7" i="5" l="1"/>
  <c r="I9" i="5"/>
  <c r="J9" i="5" s="1"/>
  <c r="I8" i="20" l="1"/>
  <c r="G9" i="5" l="1"/>
  <c r="H9" i="5" s="1"/>
  <c r="J9" i="7" l="1"/>
  <c r="K9" i="7" s="1"/>
  <c r="B28" i="3"/>
  <c r="H28" i="3" s="1"/>
  <c r="G28" i="3" l="1"/>
  <c r="D8" i="9"/>
  <c r="B1" i="34"/>
  <c r="V12" i="30" l="1"/>
  <c r="V15" i="30" s="1"/>
  <c r="V25" i="30" s="1"/>
  <c r="V28" i="30" s="1"/>
  <c r="V37" i="30" s="1"/>
  <c r="V2" i="30"/>
  <c r="E24" i="34" l="1"/>
  <c r="F24" i="34" s="1"/>
  <c r="G24" i="34" s="1"/>
  <c r="H24" i="34" s="1"/>
  <c r="C24" i="34"/>
  <c r="G23" i="34"/>
  <c r="C23" i="34"/>
  <c r="G22" i="34"/>
  <c r="D22" i="34"/>
  <c r="E22" i="34" s="1"/>
  <c r="F22" i="34" s="1"/>
  <c r="E20" i="34"/>
  <c r="F20" i="34" s="1"/>
  <c r="H20" i="34" s="1"/>
  <c r="C20" i="34"/>
  <c r="G19" i="34"/>
  <c r="C19" i="34"/>
  <c r="G18" i="34"/>
  <c r="F18" i="34"/>
  <c r="E18" i="34"/>
  <c r="D18" i="34"/>
  <c r="H13" i="34"/>
  <c r="F13" i="34"/>
  <c r="C13" i="34"/>
  <c r="G12" i="34"/>
  <c r="C12" i="34"/>
  <c r="C11" i="34"/>
  <c r="H10" i="34"/>
  <c r="G10" i="34"/>
  <c r="C10" i="34"/>
  <c r="H9" i="34"/>
  <c r="C9" i="34"/>
  <c r="F11" i="34" l="1"/>
  <c r="H11" i="34" s="1"/>
  <c r="C11" i="23"/>
  <c r="H8" i="34"/>
  <c r="D11" i="34"/>
  <c r="G11" i="34" s="1"/>
  <c r="E11" i="34"/>
  <c r="G20" i="34"/>
  <c r="B1" i="10"/>
  <c r="U2" i="30" l="1"/>
  <c r="Y41" i="30" l="1"/>
  <c r="L29" i="2" l="1"/>
  <c r="B29" i="10"/>
  <c r="B29" i="11" s="1"/>
  <c r="B104" i="12" s="1"/>
  <c r="B29" i="15" s="1"/>
  <c r="B30" i="17" s="1"/>
  <c r="B78" i="19" s="1"/>
  <c r="B29" i="20" l="1"/>
  <c r="B29" i="21" s="1"/>
  <c r="B53" i="28"/>
  <c r="M5" i="30"/>
  <c r="O46" i="30"/>
  <c r="M44" i="30"/>
  <c r="M45" i="30" s="1"/>
  <c r="M46" i="30" s="1"/>
  <c r="B29" i="34" l="1"/>
  <c r="D11" i="23"/>
  <c r="C12" i="17"/>
  <c r="F11" i="17"/>
  <c r="E11" i="17"/>
  <c r="D11" i="17"/>
  <c r="C10" i="17"/>
  <c r="F11" i="9"/>
  <c r="E11" i="9"/>
  <c r="D11" i="9"/>
  <c r="C11" i="20"/>
  <c r="G11" i="23" l="1"/>
  <c r="E11" i="23"/>
  <c r="F11" i="23"/>
  <c r="H11" i="23"/>
  <c r="C11" i="28"/>
  <c r="H11" i="28" s="1"/>
  <c r="C11" i="15"/>
  <c r="F11" i="28" l="1"/>
  <c r="E11" i="15"/>
  <c r="D11" i="15"/>
  <c r="G11" i="15"/>
  <c r="F11" i="15"/>
  <c r="D11" i="28"/>
  <c r="E11" i="28"/>
  <c r="G11" i="28"/>
  <c r="J8" i="12"/>
  <c r="M8" i="12" s="1"/>
  <c r="J11" i="12"/>
  <c r="M11" i="12" s="1"/>
  <c r="J23" i="12"/>
  <c r="J48" i="12" s="1"/>
  <c r="M32" i="12"/>
  <c r="M35" i="12"/>
  <c r="M9" i="12"/>
  <c r="M10" i="12"/>
  <c r="M23" i="12"/>
  <c r="M48" i="12" s="1"/>
  <c r="M33" i="12"/>
  <c r="H6" i="9" l="1"/>
  <c r="H5" i="9"/>
  <c r="P43" i="30" l="1"/>
  <c r="Y43" i="30" s="1"/>
  <c r="F60" i="19" l="1"/>
  <c r="F57" i="19"/>
  <c r="E55" i="19"/>
  <c r="E54" i="19"/>
  <c r="F11" i="19"/>
  <c r="H6" i="11"/>
  <c r="F6" i="10"/>
  <c r="F5" i="10"/>
  <c r="N30" i="12" l="1"/>
  <c r="H60" i="19"/>
  <c r="H58" i="19"/>
  <c r="H57" i="19"/>
  <c r="L6" i="12" l="1"/>
  <c r="Q30" i="12" s="1"/>
  <c r="F6" i="17"/>
  <c r="I6" i="15"/>
  <c r="L5" i="12"/>
  <c r="Q29" i="12" s="1"/>
  <c r="N29" i="12"/>
  <c r="E60" i="19"/>
  <c r="F6" i="19" l="1"/>
  <c r="I5" i="15"/>
  <c r="F5" i="17"/>
  <c r="E57" i="19"/>
  <c r="H55" i="19" l="1"/>
  <c r="F6" i="20"/>
  <c r="F56" i="19"/>
  <c r="F5" i="19"/>
  <c r="M13" i="29"/>
  <c r="M12" i="29"/>
  <c r="I8" i="12"/>
  <c r="F6" i="21" l="1"/>
  <c r="I6" i="20"/>
  <c r="F5" i="20"/>
  <c r="F54" i="19"/>
  <c r="H54" i="19" s="1"/>
  <c r="F6" i="34" l="1"/>
  <c r="H6" i="34" s="1"/>
  <c r="H6" i="21"/>
  <c r="F5" i="21"/>
  <c r="I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F5" i="34" l="1"/>
  <c r="H5" i="34" s="1"/>
  <c r="M11" i="29"/>
  <c r="M21" i="29" s="1"/>
  <c r="M22" i="29" s="1"/>
  <c r="U12" i="30"/>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F5" i="28"/>
  <c r="H36" i="28"/>
  <c r="F36" i="28"/>
  <c r="F34" i="28"/>
  <c r="F33" i="28"/>
  <c r="E36" i="28"/>
  <c r="E34" i="28"/>
  <c r="E33" i="28"/>
  <c r="D36" i="28"/>
  <c r="D34" i="28"/>
  <c r="D33" i="28"/>
  <c r="E47" i="28"/>
  <c r="F47" i="28" s="1"/>
  <c r="G47" i="28" s="1"/>
  <c r="H47" i="28" s="1"/>
  <c r="C47" i="28"/>
  <c r="G46" i="28"/>
  <c r="C46" i="28"/>
  <c r="G45" i="28"/>
  <c r="D45" i="28"/>
  <c r="E45" i="28" s="1"/>
  <c r="F45" i="28" s="1"/>
  <c r="E43" i="28"/>
  <c r="F43" i="28" s="1"/>
  <c r="H43" i="28" s="1"/>
  <c r="C43" i="28"/>
  <c r="G42" i="28"/>
  <c r="C42" i="28"/>
  <c r="G41" i="28"/>
  <c r="F41" i="28"/>
  <c r="E41" i="28"/>
  <c r="D41" i="28"/>
  <c r="H32" i="28"/>
  <c r="E23" i="28"/>
  <c r="F23" i="28" s="1"/>
  <c r="G23" i="28" s="1"/>
  <c r="H23" i="28" s="1"/>
  <c r="C23" i="28"/>
  <c r="G22" i="28"/>
  <c r="C22" i="28"/>
  <c r="G21" i="28"/>
  <c r="D21" i="28"/>
  <c r="E21" i="28" s="1"/>
  <c r="F21" i="28" s="1"/>
  <c r="E19" i="28"/>
  <c r="F19" i="28" s="1"/>
  <c r="H19" i="28" s="1"/>
  <c r="C19" i="28"/>
  <c r="G18" i="28"/>
  <c r="C18" i="28"/>
  <c r="G17" i="28"/>
  <c r="F17" i="28"/>
  <c r="E17" i="28"/>
  <c r="D17" i="28"/>
  <c r="F39" i="28"/>
  <c r="G12" i="28"/>
  <c r="G36" i="28" s="1"/>
  <c r="C12" i="28"/>
  <c r="C36" i="28" s="1"/>
  <c r="H35" i="28"/>
  <c r="G35" i="28"/>
  <c r="F35" i="28"/>
  <c r="E35" i="28"/>
  <c r="D35" i="28"/>
  <c r="C35" i="28"/>
  <c r="H10" i="28"/>
  <c r="H34" i="28" s="1"/>
  <c r="G10" i="28"/>
  <c r="G34" i="28" s="1"/>
  <c r="C10" i="28"/>
  <c r="C34" i="28" s="1"/>
  <c r="H33" i="28"/>
  <c r="C9" i="28"/>
  <c r="C33" i="28" s="1"/>
  <c r="B1" i="28"/>
  <c r="U25" i="30" l="1"/>
  <c r="U26" i="30" s="1"/>
  <c r="U27" i="30" s="1"/>
  <c r="F29" i="28"/>
  <c r="H29" i="28" s="1"/>
  <c r="C39" i="28"/>
  <c r="G43" i="28"/>
  <c r="G39" i="28"/>
  <c r="D39" i="28"/>
  <c r="G19" i="28"/>
  <c r="E39" i="28"/>
  <c r="U28" i="30" l="1"/>
  <c r="U29" i="30" s="1"/>
  <c r="U30" i="30" s="1"/>
  <c r="U31" i="30" s="1"/>
  <c r="U32" i="30" s="1"/>
  <c r="U33" i="30" s="1"/>
  <c r="U34" i="30" s="1"/>
  <c r="U35" i="30" s="1"/>
  <c r="U36" i="30" s="1"/>
  <c r="H39" i="28"/>
  <c r="U37" i="30" l="1"/>
  <c r="U38" i="30" s="1"/>
  <c r="U39" i="30" s="1"/>
  <c r="U40" i="30" s="1"/>
  <c r="U41" i="30" s="1"/>
  <c r="U42" i="30" s="1"/>
  <c r="U43" i="30" s="1"/>
  <c r="U44" i="30" s="1"/>
  <c r="U45" i="30" s="1"/>
  <c r="U46" i="30" s="1"/>
  <c r="E57" i="20"/>
  <c r="D57" i="20"/>
  <c r="F57" i="20" s="1"/>
  <c r="F56" i="20"/>
  <c r="D56" i="20"/>
  <c r="E56" i="20" s="1"/>
  <c r="C35" i="12" l="1"/>
  <c r="F50" i="20" l="1"/>
  <c r="E50" i="20"/>
  <c r="I8" i="15"/>
  <c r="H10" i="9"/>
  <c r="H12" i="9"/>
  <c r="G12" i="9"/>
  <c r="F12" i="9"/>
  <c r="E12" i="9"/>
  <c r="D12" i="9"/>
  <c r="B10" i="24"/>
  <c r="B11" i="24"/>
  <c r="B8" i="24"/>
  <c r="C8" i="24"/>
  <c r="C10" i="24"/>
  <c r="C11" i="24"/>
  <c r="D11"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G12" i="23"/>
  <c r="C12" i="23"/>
  <c r="H10" i="23"/>
  <c r="G10" i="23"/>
  <c r="C10" i="23"/>
  <c r="C9" i="23"/>
  <c r="B1" i="23"/>
  <c r="H11" i="21"/>
  <c r="E24" i="21"/>
  <c r="F24" i="21" s="1"/>
  <c r="G24" i="21" s="1"/>
  <c r="H24" i="21" s="1"/>
  <c r="C24" i="21"/>
  <c r="G23" i="21"/>
  <c r="C23" i="21"/>
  <c r="G22" i="21"/>
  <c r="D22" i="21"/>
  <c r="E22" i="21" s="1"/>
  <c r="F22" i="21" s="1"/>
  <c r="E20" i="21"/>
  <c r="F20" i="21" s="1"/>
  <c r="H20" i="21" s="1"/>
  <c r="C20" i="21"/>
  <c r="G19" i="21"/>
  <c r="C19" i="21"/>
  <c r="G18" i="21"/>
  <c r="F18" i="21"/>
  <c r="E18" i="21"/>
  <c r="D18" i="21"/>
  <c r="G12" i="21"/>
  <c r="C12" i="21"/>
  <c r="F11" i="21"/>
  <c r="E11" i="21"/>
  <c r="C11" i="21"/>
  <c r="H10" i="21"/>
  <c r="G10" i="21"/>
  <c r="C10" i="21"/>
  <c r="H9" i="21"/>
  <c r="C9" i="21"/>
  <c r="H8" i="21"/>
  <c r="B1" i="21"/>
  <c r="G19" i="23" l="1"/>
  <c r="G20" i="21"/>
  <c r="D50" i="20"/>
  <c r="C50" i="20"/>
  <c r="B43" i="20"/>
  <c r="C58" i="20" l="1"/>
  <c r="D58" i="20"/>
  <c r="I24" i="20" l="1"/>
  <c r="H24" i="20"/>
  <c r="G24" i="20"/>
  <c r="F24" i="20"/>
  <c r="E24" i="20"/>
  <c r="D24" i="20"/>
  <c r="F23" i="20"/>
  <c r="D23" i="20"/>
  <c r="H23" i="20" s="1"/>
  <c r="G20" i="20"/>
  <c r="E20" i="20"/>
  <c r="G19" i="20"/>
  <c r="H19" i="20" s="1"/>
  <c r="I19" i="20" s="1"/>
  <c r="F19" i="20"/>
  <c r="E19" i="20"/>
  <c r="D19" i="20"/>
  <c r="E18" i="20"/>
  <c r="E22" i="20" s="1"/>
  <c r="D18" i="20"/>
  <c r="G12" i="20"/>
  <c r="H12" i="20" s="1"/>
  <c r="F12" i="20"/>
  <c r="E12" i="20"/>
  <c r="D12" i="20"/>
  <c r="I12" i="20" s="1"/>
  <c r="G11" i="20"/>
  <c r="F11" i="20"/>
  <c r="I11" i="20" s="1"/>
  <c r="E11" i="20"/>
  <c r="I10" i="20"/>
  <c r="H10" i="20"/>
  <c r="C10" i="20"/>
  <c r="I9" i="20"/>
  <c r="C9" i="20"/>
  <c r="B1" i="20"/>
  <c r="G68" i="19"/>
  <c r="H68" i="19" s="1"/>
  <c r="C60" i="19"/>
  <c r="G58" i="19"/>
  <c r="D57" i="19"/>
  <c r="G57" i="19" s="1"/>
  <c r="C57" i="19"/>
  <c r="C22" i="19"/>
  <c r="H20" i="19"/>
  <c r="F20" i="19"/>
  <c r="E20" i="19"/>
  <c r="D20" i="19"/>
  <c r="H19" i="19"/>
  <c r="G19" i="19"/>
  <c r="H18" i="19"/>
  <c r="H22" i="19" s="1"/>
  <c r="G12" i="19"/>
  <c r="G11" i="19"/>
  <c r="C73" i="19"/>
  <c r="H72" i="19"/>
  <c r="F72" i="19"/>
  <c r="C72" i="19"/>
  <c r="C71" i="19"/>
  <c r="H71" i="19" s="1"/>
  <c r="F68" i="19"/>
  <c r="E68" i="19"/>
  <c r="D68" i="19"/>
  <c r="D67" i="19"/>
  <c r="E67" i="19" s="1"/>
  <c r="C61" i="19"/>
  <c r="F61" i="19" s="1"/>
  <c r="D60" i="19"/>
  <c r="G60" i="19" s="1"/>
  <c r="H24" i="19"/>
  <c r="H73" i="19" s="1"/>
  <c r="G24" i="19"/>
  <c r="G73" i="19" s="1"/>
  <c r="F24" i="19"/>
  <c r="F73" i="19" s="1"/>
  <c r="E24" i="19"/>
  <c r="E73" i="19" s="1"/>
  <c r="D24" i="19"/>
  <c r="D73" i="19" s="1"/>
  <c r="E72" i="19"/>
  <c r="D23" i="19"/>
  <c r="G23" i="19" s="1"/>
  <c r="F19" i="19"/>
  <c r="E19" i="19"/>
  <c r="D19" i="19"/>
  <c r="D18" i="19"/>
  <c r="D22" i="19" s="1"/>
  <c r="F12" i="19"/>
  <c r="E12" i="19"/>
  <c r="D12" i="19"/>
  <c r="H12" i="19" s="1"/>
  <c r="H10" i="19"/>
  <c r="G10" i="19"/>
  <c r="B1" i="19"/>
  <c r="E25" i="17"/>
  <c r="F25" i="17" s="1"/>
  <c r="G25" i="17" s="1"/>
  <c r="H25" i="17" s="1"/>
  <c r="C25" i="17"/>
  <c r="G24" i="17"/>
  <c r="C24" i="17"/>
  <c r="G23" i="17"/>
  <c r="D23" i="17"/>
  <c r="E23" i="17" s="1"/>
  <c r="F23" i="17" s="1"/>
  <c r="E21" i="17"/>
  <c r="F21" i="17" s="1"/>
  <c r="H21" i="17" s="1"/>
  <c r="C21" i="17"/>
  <c r="G20" i="17"/>
  <c r="C20" i="17"/>
  <c r="G19" i="17"/>
  <c r="F19" i="17"/>
  <c r="E19" i="17"/>
  <c r="D19" i="17"/>
  <c r="F13" i="17"/>
  <c r="H13" i="17" s="1"/>
  <c r="C13" i="17"/>
  <c r="G12" i="17"/>
  <c r="H11" i="17"/>
  <c r="G11" i="17"/>
  <c r="H10" i="17"/>
  <c r="G10" i="17"/>
  <c r="C9" i="17"/>
  <c r="B1" i="17"/>
  <c r="H18" i="15"/>
  <c r="G59" i="19" l="1"/>
  <c r="G34" i="19"/>
  <c r="G41" i="19" s="1"/>
  <c r="G45" i="19" s="1"/>
  <c r="E18" i="19"/>
  <c r="F18" i="19" s="1"/>
  <c r="D71" i="19"/>
  <c r="D22" i="20"/>
  <c r="C22" i="20"/>
  <c r="D20" i="20"/>
  <c r="C20" i="20"/>
  <c r="F22" i="20"/>
  <c r="G18" i="20"/>
  <c r="H18" i="20" s="1"/>
  <c r="I18" i="20" s="1"/>
  <c r="F18" i="20"/>
  <c r="F20" i="20"/>
  <c r="G67" i="19"/>
  <c r="H67" i="19" s="1"/>
  <c r="F67" i="19"/>
  <c r="F22" i="19"/>
  <c r="G18" i="19"/>
  <c r="G22" i="19" s="1"/>
  <c r="G61" i="19"/>
  <c r="E71" i="19"/>
  <c r="G71" i="19"/>
  <c r="E22" i="19"/>
  <c r="D61" i="19"/>
  <c r="H61" i="19" s="1"/>
  <c r="E61" i="19"/>
  <c r="G72" i="19"/>
  <c r="H59" i="19"/>
  <c r="F71" i="19"/>
  <c r="D72" i="19"/>
  <c r="G21" i="17"/>
  <c r="H12" i="15"/>
  <c r="I23" i="15"/>
  <c r="H23" i="15"/>
  <c r="G23" i="15"/>
  <c r="F23" i="15"/>
  <c r="E23" i="15"/>
  <c r="D23" i="15"/>
  <c r="F22" i="15"/>
  <c r="D22" i="15"/>
  <c r="H22" i="15" s="1"/>
  <c r="G19" i="15"/>
  <c r="E19" i="15"/>
  <c r="D19" i="15" s="1"/>
  <c r="G18" i="15"/>
  <c r="I18" i="15" s="1"/>
  <c r="F18" i="15"/>
  <c r="E18" i="15"/>
  <c r="D18" i="15"/>
  <c r="E17" i="15"/>
  <c r="G17" i="15" s="1"/>
  <c r="I17" i="15" s="1"/>
  <c r="D17" i="15"/>
  <c r="G12" i="15"/>
  <c r="F12" i="15"/>
  <c r="E12" i="15"/>
  <c r="D12" i="15"/>
  <c r="I12" i="15" s="1"/>
  <c r="I11" i="15"/>
  <c r="H11" i="15"/>
  <c r="C10" i="15"/>
  <c r="I9" i="15"/>
  <c r="C9" i="15"/>
  <c r="B1" i="15"/>
  <c r="C48" i="12"/>
  <c r="L23" i="12"/>
  <c r="Q48" i="12" s="1"/>
  <c r="K23" i="12"/>
  <c r="H48" i="12" s="1"/>
  <c r="I23" i="12"/>
  <c r="I48" i="12" s="1"/>
  <c r="H23" i="12"/>
  <c r="G48" i="12" s="1"/>
  <c r="G23" i="12"/>
  <c r="N48" i="12" s="1"/>
  <c r="E23" i="12"/>
  <c r="F48" i="12" s="1"/>
  <c r="D23" i="12"/>
  <c r="D48" i="12" s="1"/>
  <c r="Q47" i="12"/>
  <c r="G47" i="12"/>
  <c r="F47" i="12"/>
  <c r="C47" i="12"/>
  <c r="D22" i="12"/>
  <c r="E17" i="12"/>
  <c r="M17" i="12" s="1"/>
  <c r="M21" i="12" s="1"/>
  <c r="D17" i="12"/>
  <c r="F42" i="12"/>
  <c r="M42" i="12" s="1"/>
  <c r="M46" i="12" s="1"/>
  <c r="D42" i="12"/>
  <c r="C46" i="12"/>
  <c r="J46" i="12" s="1"/>
  <c r="G43" i="12"/>
  <c r="N43" i="12"/>
  <c r="F43" i="12"/>
  <c r="D43" i="12"/>
  <c r="I18" i="12"/>
  <c r="H18" i="12"/>
  <c r="G18" i="12"/>
  <c r="E18" i="12"/>
  <c r="D18" i="12"/>
  <c r="C36" i="12"/>
  <c r="G36" i="12" s="1"/>
  <c r="I36" i="12" s="1"/>
  <c r="H12" i="12"/>
  <c r="G12" i="12"/>
  <c r="J12" i="12" s="1"/>
  <c r="E12" i="12"/>
  <c r="M12" i="12" s="1"/>
  <c r="D12" i="12"/>
  <c r="G35" i="12"/>
  <c r="N35" i="12"/>
  <c r="Q35" i="12" s="1"/>
  <c r="F35" i="12"/>
  <c r="H35" i="12"/>
  <c r="Q33" i="12"/>
  <c r="Q32" i="12"/>
  <c r="C34" i="12"/>
  <c r="C33" i="12"/>
  <c r="B1" i="12"/>
  <c r="I11" i="12"/>
  <c r="H11" i="12"/>
  <c r="L11" i="12"/>
  <c r="E11" i="12"/>
  <c r="C11" i="12"/>
  <c r="B1" i="11"/>
  <c r="G22" i="12"/>
  <c r="N47" i="12" s="1"/>
  <c r="H19" i="12"/>
  <c r="E19" i="12"/>
  <c r="D19" i="12" s="1"/>
  <c r="L58" i="12"/>
  <c r="L64" i="12" s="1"/>
  <c r="L68" i="12" s="1"/>
  <c r="K58" i="12"/>
  <c r="K64" i="12" s="1"/>
  <c r="K68" i="12" s="1"/>
  <c r="C10" i="12"/>
  <c r="C9" i="12"/>
  <c r="H11" i="11"/>
  <c r="E11" i="11"/>
  <c r="G11" i="11"/>
  <c r="C11" i="11"/>
  <c r="E24" i="11"/>
  <c r="F24" i="11" s="1"/>
  <c r="G24" i="11" s="1"/>
  <c r="H24" i="11" s="1"/>
  <c r="C24" i="11"/>
  <c r="G23" i="11"/>
  <c r="C23" i="11"/>
  <c r="G22" i="11"/>
  <c r="D22" i="11"/>
  <c r="E22" i="11" s="1"/>
  <c r="F22" i="11" s="1"/>
  <c r="E20" i="11"/>
  <c r="F20" i="11" s="1"/>
  <c r="H20" i="11" s="1"/>
  <c r="C20" i="11"/>
  <c r="G19" i="11"/>
  <c r="C19" i="11"/>
  <c r="G18" i="11"/>
  <c r="F18" i="11"/>
  <c r="E18" i="11"/>
  <c r="D18" i="11"/>
  <c r="F13" i="11"/>
  <c r="H13" i="11" s="1"/>
  <c r="C13" i="11"/>
  <c r="G12" i="11"/>
  <c r="C12" i="11"/>
  <c r="H10" i="11"/>
  <c r="G10" i="11"/>
  <c r="C10" i="11"/>
  <c r="C9" i="11"/>
  <c r="F11" i="10"/>
  <c r="E11" i="10"/>
  <c r="C11" i="10"/>
  <c r="D47" i="12" l="1"/>
  <c r="J22" i="12"/>
  <c r="J47" i="12" s="1"/>
  <c r="M40" i="12"/>
  <c r="K12" i="12"/>
  <c r="J18" i="12"/>
  <c r="K18" i="12" s="1"/>
  <c r="L18" i="12" s="1"/>
  <c r="M18" i="12" s="1"/>
  <c r="M15" i="12"/>
  <c r="H43" i="12"/>
  <c r="Q43" i="12" s="1"/>
  <c r="M43" i="12" s="1"/>
  <c r="I22" i="12"/>
  <c r="I47" i="12" s="1"/>
  <c r="F58" i="20"/>
  <c r="E58" i="20"/>
  <c r="G22" i="20"/>
  <c r="H22" i="20" s="1"/>
  <c r="I22" i="20" s="1"/>
  <c r="H20" i="20"/>
  <c r="I20" i="20" s="1"/>
  <c r="C69" i="19"/>
  <c r="G20" i="19"/>
  <c r="H17" i="15"/>
  <c r="F17" i="15"/>
  <c r="E21" i="15"/>
  <c r="D21" i="15" s="1"/>
  <c r="G21" i="15"/>
  <c r="H21" i="15" s="1"/>
  <c r="F19" i="15"/>
  <c r="C19" i="15"/>
  <c r="D36" i="12"/>
  <c r="F36" i="12"/>
  <c r="N36" i="12"/>
  <c r="J36" i="12" s="1"/>
  <c r="N42" i="12"/>
  <c r="G42" i="12"/>
  <c r="F46" i="12"/>
  <c r="C19" i="12"/>
  <c r="H34" i="12"/>
  <c r="M34" i="12" s="1"/>
  <c r="Q42" i="12"/>
  <c r="H42" i="12"/>
  <c r="K17" i="12"/>
  <c r="G19" i="12"/>
  <c r="G17" i="12"/>
  <c r="I19" i="12"/>
  <c r="J19" i="12" s="1"/>
  <c r="I12" i="12"/>
  <c r="E21" i="12"/>
  <c r="H17" i="12"/>
  <c r="G20" i="11"/>
  <c r="G46" i="12" l="1"/>
  <c r="I46" i="12" s="1"/>
  <c r="I42" i="12"/>
  <c r="J42" i="12" s="1"/>
  <c r="C21" i="15"/>
  <c r="I21" i="15" s="1"/>
  <c r="M22" i="12"/>
  <c r="M47" i="12" s="1"/>
  <c r="M36" i="12"/>
  <c r="H36" i="12" s="1"/>
  <c r="H69" i="19"/>
  <c r="E69" i="19"/>
  <c r="D69" i="19"/>
  <c r="F69" i="19"/>
  <c r="G69" i="19"/>
  <c r="F21" i="15"/>
  <c r="H19" i="15"/>
  <c r="I19" i="15" s="1"/>
  <c r="K22" i="12"/>
  <c r="H47" i="12" s="1"/>
  <c r="K19" i="12"/>
  <c r="C44" i="12"/>
  <c r="J44" i="12" s="1"/>
  <c r="L21" i="12"/>
  <c r="L17" i="12"/>
  <c r="D46" i="12"/>
  <c r="N46" i="12"/>
  <c r="Q34" i="12"/>
  <c r="Q46" i="12"/>
  <c r="H46" i="12"/>
  <c r="H21" i="12"/>
  <c r="I21" i="12" s="1"/>
  <c r="J21" i="12" s="1"/>
  <c r="I17" i="12"/>
  <c r="J17" i="12" s="1"/>
  <c r="G21" i="12"/>
  <c r="D21" i="12"/>
  <c r="C21" i="12"/>
  <c r="M19" i="12" l="1"/>
  <c r="L19" i="12" s="1"/>
  <c r="K21" i="12"/>
  <c r="G44" i="12"/>
  <c r="I44" i="12" s="1"/>
  <c r="F44" i="12"/>
  <c r="N44" i="12" s="1"/>
  <c r="H44" i="12"/>
  <c r="D44" i="12"/>
  <c r="Q36" i="12"/>
  <c r="L12" i="12"/>
  <c r="M44" i="12" l="1"/>
  <c r="Q44" i="12" s="1"/>
  <c r="H11" i="9"/>
  <c r="G11" i="9"/>
  <c r="E24" i="10" l="1"/>
  <c r="F24" i="10" s="1"/>
  <c r="G24" i="10" s="1"/>
  <c r="H24" i="10" s="1"/>
  <c r="E20" i="10"/>
  <c r="F20" i="10" s="1"/>
  <c r="G23" i="10"/>
  <c r="D23" i="9"/>
  <c r="D22" i="10"/>
  <c r="E22" i="10" s="1"/>
  <c r="F22" i="10" s="1"/>
  <c r="F18" i="10"/>
  <c r="E18" i="10"/>
  <c r="D18" i="10"/>
  <c r="G12" i="10"/>
  <c r="G11" i="10"/>
  <c r="H10" i="10"/>
  <c r="G10" i="10"/>
  <c r="C24" i="10"/>
  <c r="C23" i="10"/>
  <c r="G22" i="10"/>
  <c r="C20" i="10"/>
  <c r="G19" i="10"/>
  <c r="C19" i="10"/>
  <c r="G18" i="10"/>
  <c r="C12" i="10"/>
  <c r="C10" i="10"/>
  <c r="C9" i="10"/>
  <c r="H9" i="9"/>
  <c r="H8" i="9"/>
  <c r="C41" i="3" l="1"/>
  <c r="C36" i="3"/>
  <c r="E30" i="3"/>
  <c r="E34" i="3"/>
  <c r="E38" i="3"/>
  <c r="E28" i="3"/>
  <c r="E29" i="3"/>
  <c r="E41" i="3"/>
  <c r="E31" i="3"/>
  <c r="E35" i="3"/>
  <c r="P20" i="29" s="1"/>
  <c r="E39" i="3"/>
  <c r="E37" i="3"/>
  <c r="E32" i="3"/>
  <c r="E36" i="3"/>
  <c r="E40" i="3"/>
  <c r="E33" i="3"/>
  <c r="B41" i="3"/>
  <c r="G41" i="3" s="1"/>
  <c r="B29" i="3"/>
  <c r="G29" i="3" s="1"/>
  <c r="B36" i="3"/>
  <c r="B38" i="3"/>
  <c r="H38" i="3" s="1"/>
  <c r="C29" i="3"/>
  <c r="I29" i="3" s="1"/>
  <c r="C38" i="3"/>
  <c r="C32" i="3"/>
  <c r="C30" i="3"/>
  <c r="C39" i="3"/>
  <c r="C34" i="3"/>
  <c r="H20" i="10"/>
  <c r="G20" i="10"/>
  <c r="C28" i="3"/>
  <c r="B39" i="3"/>
  <c r="G39" i="3" s="1"/>
  <c r="B34" i="3"/>
  <c r="G34" i="3" s="1"/>
  <c r="B32" i="3"/>
  <c r="B30" i="3"/>
  <c r="H30" i="3" s="1"/>
  <c r="C40" i="3"/>
  <c r="I40" i="3" s="1"/>
  <c r="C37" i="3"/>
  <c r="C35" i="3"/>
  <c r="C33" i="3"/>
  <c r="C31" i="3"/>
  <c r="B40" i="3"/>
  <c r="H40" i="3" s="1"/>
  <c r="B37" i="3"/>
  <c r="G37" i="3" s="1"/>
  <c r="B35" i="3"/>
  <c r="B33" i="3"/>
  <c r="B31" i="3"/>
  <c r="H36" i="3" l="1"/>
  <c r="D8" i="20" s="1"/>
  <c r="H33" i="3"/>
  <c r="D8" i="15" s="1"/>
  <c r="H31" i="3"/>
  <c r="D8" i="12" s="1"/>
  <c r="G40" i="3"/>
  <c r="G38" i="3"/>
  <c r="D8" i="34"/>
  <c r="G30" i="3"/>
  <c r="D8" i="11"/>
  <c r="G35" i="3"/>
  <c r="C8" i="19"/>
  <c r="D28" i="3"/>
  <c r="F28" i="3" s="1"/>
  <c r="I28" i="3"/>
  <c r="I37" i="3"/>
  <c r="F8" i="21" s="1"/>
  <c r="D37" i="3"/>
  <c r="I38" i="3"/>
  <c r="D38" i="3"/>
  <c r="P12" i="30" s="1"/>
  <c r="Y12" i="30" s="1"/>
  <c r="I34" i="3"/>
  <c r="D34" i="3"/>
  <c r="G36" i="3"/>
  <c r="M36" i="3"/>
  <c r="I39" i="3"/>
  <c r="F8" i="23" s="1"/>
  <c r="D39" i="3"/>
  <c r="D36" i="3"/>
  <c r="I33" i="3"/>
  <c r="F8" i="15" s="1"/>
  <c r="D33" i="3"/>
  <c r="I32" i="3"/>
  <c r="N32" i="12" s="1"/>
  <c r="D32" i="3"/>
  <c r="I35" i="3"/>
  <c r="F8" i="19" s="1"/>
  <c r="D35" i="3"/>
  <c r="P15" i="29" s="1"/>
  <c r="I31" i="3"/>
  <c r="K31" i="3"/>
  <c r="D31" i="3"/>
  <c r="I30" i="3"/>
  <c r="K30" i="3"/>
  <c r="I41" i="3"/>
  <c r="F32" i="28" s="1"/>
  <c r="D41" i="3"/>
  <c r="G31" i="3"/>
  <c r="G33" i="3"/>
  <c r="G32" i="3"/>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I36" i="3"/>
  <c r="P42" i="30"/>
  <c r="Y42" i="30" s="1"/>
  <c r="P22" i="29"/>
  <c r="P28" i="30"/>
  <c r="Y28" i="30" s="1"/>
  <c r="P20" i="30"/>
  <c r="Y20" i="30" s="1"/>
  <c r="P19" i="29"/>
  <c r="P22" i="30"/>
  <c r="Y22" i="30" s="1"/>
  <c r="P21" i="29"/>
  <c r="P19" i="30"/>
  <c r="Y19" i="30" s="1"/>
  <c r="P18" i="29"/>
  <c r="P18" i="30"/>
  <c r="Y18" i="30" s="1"/>
  <c r="P17" i="29"/>
  <c r="D30" i="3"/>
  <c r="F30" i="3" s="1"/>
  <c r="D40" i="3"/>
  <c r="F8" i="28"/>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F8" i="10"/>
  <c r="D29" i="3"/>
  <c r="C8" i="28"/>
  <c r="C32" i="28"/>
  <c r="G32" i="12"/>
  <c r="K48" i="1"/>
  <c r="C8" i="15"/>
  <c r="H8" i="12"/>
  <c r="C8" i="17"/>
  <c r="G8" i="15"/>
  <c r="C8" i="9"/>
  <c r="C8" i="20"/>
  <c r="C8" i="21"/>
  <c r="C8" i="11"/>
  <c r="C8" i="23"/>
  <c r="G8" i="20"/>
  <c r="C8" i="12"/>
  <c r="C32" i="12"/>
  <c r="D64" i="12" l="1"/>
  <c r="D68" i="12" s="1"/>
  <c r="G64" i="12"/>
  <c r="G68" i="12" s="1"/>
  <c r="F8" i="34"/>
  <c r="F8" i="9"/>
  <c r="F8" i="20"/>
  <c r="P2" i="30"/>
  <c r="Y2" i="30" s="1"/>
  <c r="P11" i="30"/>
  <c r="Y11" i="30" s="1"/>
  <c r="P13" i="30"/>
  <c r="Y13" i="30" s="1"/>
  <c r="P4" i="30"/>
  <c r="Y4" i="30" s="1"/>
  <c r="F33" i="3"/>
  <c r="E8" i="15" s="1"/>
  <c r="P3" i="30"/>
  <c r="Y3" i="30" s="1"/>
  <c r="P14" i="30"/>
  <c r="Y14" i="30" s="1"/>
  <c r="F41" i="3"/>
  <c r="E32" i="28" s="1"/>
  <c r="P44" i="30"/>
  <c r="Y44" i="30" s="1"/>
  <c r="F39" i="3"/>
  <c r="E8" i="23" s="1"/>
  <c r="F37" i="3"/>
  <c r="E8" i="21" s="1"/>
  <c r="E8" i="11"/>
  <c r="F38" i="3"/>
  <c r="P5" i="30"/>
  <c r="Y5" i="30" s="1"/>
  <c r="P12" i="29"/>
  <c r="P7" i="30"/>
  <c r="Y7" i="30" s="1"/>
  <c r="P14" i="29"/>
  <c r="P8" i="30"/>
  <c r="Y8" i="30" s="1"/>
  <c r="F34" i="3"/>
  <c r="E8" i="17" s="1"/>
  <c r="F40" i="3"/>
  <c r="E8" i="28" s="1"/>
  <c r="P6" i="30"/>
  <c r="Y6" i="30" s="1"/>
  <c r="P13" i="29"/>
  <c r="P9" i="30"/>
  <c r="P16" i="29"/>
  <c r="F31" i="3"/>
  <c r="E8" i="12" s="1"/>
  <c r="F36" i="3"/>
  <c r="F32" i="3"/>
  <c r="F35" i="3"/>
  <c r="E8" i="19" s="1"/>
  <c r="F8" i="17"/>
  <c r="E24" i="9"/>
  <c r="F24" i="9" s="1"/>
  <c r="F23" i="9"/>
  <c r="E20" i="9"/>
  <c r="F20" i="9" s="1"/>
  <c r="E19" i="9"/>
  <c r="F19" i="9" s="1"/>
  <c r="E18" i="9"/>
  <c r="C18" i="9" s="1"/>
  <c r="E17" i="9"/>
  <c r="C20" i="9" l="1"/>
  <c r="E8" i="34"/>
  <c r="E8" i="9"/>
  <c r="P10" i="30"/>
  <c r="Y10" i="30" s="1"/>
  <c r="Y9" i="30"/>
  <c r="E8" i="20"/>
  <c r="F32" i="12"/>
  <c r="E8" i="10"/>
  <c r="D20" i="9"/>
  <c r="G20" i="9"/>
  <c r="H20" i="9"/>
  <c r="H19" i="9"/>
  <c r="G19" i="9"/>
  <c r="D19" i="9"/>
  <c r="G24" i="9"/>
  <c r="D24" i="9"/>
  <c r="H24" i="9"/>
  <c r="F17" i="9"/>
  <c r="C17" i="9"/>
  <c r="E22" i="9"/>
  <c r="G23" i="9"/>
  <c r="C24" i="9"/>
  <c r="F18" i="9"/>
  <c r="B5" i="7"/>
  <c r="G5" i="7" s="1"/>
  <c r="A1" i="6"/>
  <c r="E5" i="7" l="1"/>
  <c r="H18" i="9"/>
  <c r="H22" i="9" s="1"/>
  <c r="G18" i="9"/>
  <c r="G22" i="9" s="1"/>
  <c r="H17" i="9"/>
  <c r="G17" i="9"/>
  <c r="D18" i="9"/>
  <c r="D17" i="9"/>
  <c r="F22" i="9"/>
  <c r="D22" i="9" s="1"/>
  <c r="C22" i="9"/>
  <c r="F5" i="7"/>
  <c r="C5" i="7"/>
  <c r="D5" i="7" l="1"/>
  <c r="H5" i="7"/>
  <c r="A2" i="4"/>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C14" i="21"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C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G14" i="10" s="1"/>
  <c r="H14" i="10" s="1"/>
  <c r="E50" i="2"/>
  <c r="H50" i="2" s="1"/>
  <c r="K50" i="2" s="1"/>
  <c r="N50" i="2" s="1"/>
  <c r="Q50" i="2" s="1"/>
  <c r="T50" i="2" s="1"/>
  <c r="W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C14" i="12" s="1"/>
  <c r="T41" i="2"/>
  <c r="Y41" i="2" s="1"/>
  <c r="AD41" i="2" s="1"/>
  <c r="AI41" i="2" s="1"/>
  <c r="AN41" i="2" s="1"/>
  <c r="AS41" i="2" s="1"/>
  <c r="R41" i="2"/>
  <c r="W41" i="2" s="1"/>
  <c r="AB41" i="2" s="1"/>
  <c r="AG41" i="2" s="1"/>
  <c r="AL41" i="2" s="1"/>
  <c r="AQ41" i="2" s="1"/>
  <c r="O41" i="2"/>
  <c r="N41" i="2"/>
  <c r="S41" i="2" s="1"/>
  <c r="X41" i="2" s="1"/>
  <c r="AC41" i="2" s="1"/>
  <c r="AH41" i="2" s="1"/>
  <c r="AM41" i="2" s="1"/>
  <c r="AR41" i="2" s="1"/>
  <c r="M41" i="2"/>
  <c r="L41" i="2"/>
  <c r="Q41" i="2" s="1"/>
  <c r="V41" i="2" s="1"/>
  <c r="K41" i="2"/>
  <c r="P41" i="2" s="1"/>
  <c r="U41" i="2" s="1"/>
  <c r="Z41" i="2" s="1"/>
  <c r="AE41" i="2" s="1"/>
  <c r="AJ41" i="2" s="1"/>
  <c r="AO41" i="2" s="1"/>
  <c r="AT41" i="2" s="1"/>
  <c r="T40" i="2"/>
  <c r="Y40" i="2" s="1"/>
  <c r="AD40" i="2" s="1"/>
  <c r="AI40" i="2" s="1"/>
  <c r="AN40" i="2" s="1"/>
  <c r="AS40" i="2" s="1"/>
  <c r="AT45" i="2" s="1"/>
  <c r="O40" i="2"/>
  <c r="N40" i="2"/>
  <c r="S40" i="2" s="1"/>
  <c r="X40" i="2" s="1"/>
  <c r="M40" i="2"/>
  <c r="R40" i="2" s="1"/>
  <c r="W40" i="2" s="1"/>
  <c r="AB40" i="2" s="1"/>
  <c r="AG40" i="2" s="1"/>
  <c r="AL40" i="2" s="1"/>
  <c r="AQ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C14" i="9" s="1"/>
  <c r="K39" i="2"/>
  <c r="P39" i="2" s="1"/>
  <c r="U39" i="2" s="1"/>
  <c r="U43" i="2" s="1"/>
  <c r="Z43" i="2" s="1"/>
  <c r="AE43" i="2" s="1"/>
  <c r="AJ43" i="2" s="1"/>
  <c r="AO43" i="2" s="1"/>
  <c r="AT43" i="2" s="1"/>
  <c r="Q31" i="2"/>
  <c r="V31" i="2" s="1"/>
  <c r="AA31" i="2" s="1"/>
  <c r="AF31" i="2" s="1"/>
  <c r="AK31" i="2" s="1"/>
  <c r="AP31" i="2" s="1"/>
  <c r="C14" i="28"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C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C13" i="28" s="1"/>
  <c r="G20" i="2"/>
  <c r="J20" i="2" s="1"/>
  <c r="M20" i="2" s="1"/>
  <c r="P20" i="2" s="1"/>
  <c r="S20" i="2" s="1"/>
  <c r="V20" i="2" s="1"/>
  <c r="Y20" i="2" s="1"/>
  <c r="F20" i="2"/>
  <c r="I20" i="2" s="1"/>
  <c r="L20" i="2" s="1"/>
  <c r="O20" i="2" s="1"/>
  <c r="R20" i="2" s="1"/>
  <c r="U20" i="2" s="1"/>
  <c r="X20" i="2" s="1"/>
  <c r="G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4" i="17" s="1"/>
  <c r="G16" i="2"/>
  <c r="J16" i="2" s="1"/>
  <c r="M16" i="2" s="1"/>
  <c r="P16" i="2" s="1"/>
  <c r="S16" i="2" s="1"/>
  <c r="V16" i="2" s="1"/>
  <c r="Y16" i="2" s="1"/>
  <c r="F16" i="2"/>
  <c r="E16" i="2"/>
  <c r="H16" i="2" s="1"/>
  <c r="K16" i="2" s="1"/>
  <c r="N16" i="2" s="1"/>
  <c r="Q16" i="2" s="1"/>
  <c r="T16" i="2" s="1"/>
  <c r="W16" i="2" s="1"/>
  <c r="C14" i="17" s="1"/>
  <c r="G15" i="2"/>
  <c r="J15" i="2" s="1"/>
  <c r="M15" i="2" s="1"/>
  <c r="P15" i="2" s="1"/>
  <c r="S15" i="2" s="1"/>
  <c r="V15" i="2" s="1"/>
  <c r="Y15" i="2" s="1"/>
  <c r="F15" i="2"/>
  <c r="I15" i="2" s="1"/>
  <c r="L15" i="2" s="1"/>
  <c r="O15" i="2" s="1"/>
  <c r="R15" i="2" s="1"/>
  <c r="U15" i="2" s="1"/>
  <c r="X15" i="2" s="1"/>
  <c r="E15" i="2"/>
  <c r="H15" i="2" s="1"/>
  <c r="K15" i="2" s="1"/>
  <c r="N15" i="2" s="1"/>
  <c r="Q15" i="2" s="1"/>
  <c r="T15" i="2" s="1"/>
  <c r="W15" i="2" s="1"/>
  <c r="C14" i="11" s="1"/>
  <c r="D14" i="11" s="1"/>
  <c r="E14" i="11"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C13" i="10" s="1"/>
  <c r="Q13" i="2"/>
  <c r="T13" i="2" s="1"/>
  <c r="W13" i="2" s="1"/>
  <c r="G13" i="2"/>
  <c r="J13" i="2" s="1"/>
  <c r="M13" i="2" s="1"/>
  <c r="F13" i="2"/>
  <c r="I13" i="2" s="1"/>
  <c r="L13" i="2" s="1"/>
  <c r="E13" i="2"/>
  <c r="H13" i="2" s="1"/>
  <c r="K13" i="2" s="1"/>
  <c r="N13" i="2" s="1"/>
  <c r="C13" i="23" l="1"/>
  <c r="C14" i="34"/>
  <c r="H14" i="17"/>
  <c r="C39" i="12"/>
  <c r="G14" i="12"/>
  <c r="H14" i="12"/>
  <c r="D14" i="12"/>
  <c r="K14" i="12"/>
  <c r="I14" i="12"/>
  <c r="E14" i="12"/>
  <c r="J14" i="12"/>
  <c r="D14" i="17"/>
  <c r="F14" i="17"/>
  <c r="E14" i="17"/>
  <c r="C18" i="17"/>
  <c r="C22" i="17" s="1"/>
  <c r="H13" i="20"/>
  <c r="G14" i="11"/>
  <c r="H14" i="11" s="1"/>
  <c r="G13" i="10"/>
  <c r="C37" i="28"/>
  <c r="C40" i="28" s="1"/>
  <c r="C44" i="28" s="1"/>
  <c r="D13" i="28"/>
  <c r="C16" i="28"/>
  <c r="C20" i="28" s="1"/>
  <c r="H13" i="19"/>
  <c r="C62" i="19"/>
  <c r="F13" i="19"/>
  <c r="E13" i="19"/>
  <c r="G13" i="19"/>
  <c r="D13" i="19"/>
  <c r="C17" i="19"/>
  <c r="C21" i="19" s="1"/>
  <c r="D13" i="10"/>
  <c r="C13" i="20"/>
  <c r="AF40" i="2"/>
  <c r="AK40" i="2" s="1"/>
  <c r="AP40" i="2" s="1"/>
  <c r="AA40" i="2"/>
  <c r="C37" i="12"/>
  <c r="C14" i="10"/>
  <c r="H14" i="9"/>
  <c r="F14" i="9"/>
  <c r="G14" i="9"/>
  <c r="E14" i="9"/>
  <c r="D14" i="9"/>
  <c r="AC40" i="2"/>
  <c r="AH40" i="2" s="1"/>
  <c r="AM40" i="2" s="1"/>
  <c r="AR40" i="2" s="1"/>
  <c r="AU40" i="2" s="1"/>
  <c r="C64" i="19"/>
  <c r="E15" i="19"/>
  <c r="D15" i="19"/>
  <c r="G15" i="19"/>
  <c r="H15" i="19" s="1"/>
  <c r="F15" i="19"/>
  <c r="F14" i="21"/>
  <c r="E14" i="21"/>
  <c r="G14" i="21"/>
  <c r="H14" i="21" s="1"/>
  <c r="D14" i="21"/>
  <c r="E14" i="28"/>
  <c r="E38" i="28" s="1"/>
  <c r="C38" i="28"/>
  <c r="G14" i="28"/>
  <c r="G38" i="28" s="1"/>
  <c r="F14" i="28"/>
  <c r="F38" i="28" s="1"/>
  <c r="D14" i="28"/>
  <c r="D38" i="28" s="1"/>
  <c r="H14" i="28"/>
  <c r="H38" i="28" s="1"/>
  <c r="AF29" i="2"/>
  <c r="AK29" i="2" s="1"/>
  <c r="AP29" i="2" s="1"/>
  <c r="C15" i="11" s="1"/>
  <c r="D15" i="11" s="1"/>
  <c r="D17" i="11" s="1"/>
  <c r="D21" i="11" s="1"/>
  <c r="AA29" i="2"/>
  <c r="F15" i="17"/>
  <c r="E15" i="17"/>
  <c r="D15" i="17"/>
  <c r="G15" i="17"/>
  <c r="H15" i="17"/>
  <c r="C14" i="20"/>
  <c r="AA41" i="2"/>
  <c r="AF41" i="2" s="1"/>
  <c r="AK41" i="2" s="1"/>
  <c r="AP41" i="2" s="1"/>
  <c r="G37" i="28"/>
  <c r="G40" i="28" s="1"/>
  <c r="G44" i="28" s="1"/>
  <c r="H13" i="28"/>
  <c r="H16" i="17"/>
  <c r="G16" i="17"/>
  <c r="E16" i="17"/>
  <c r="F16" i="17"/>
  <c r="D16" i="17"/>
  <c r="C13" i="15"/>
  <c r="C13" i="12"/>
  <c r="C13" i="9"/>
  <c r="D14" i="19"/>
  <c r="F14" i="19"/>
  <c r="E14" i="19"/>
  <c r="H14" i="19"/>
  <c r="G14" i="19"/>
  <c r="C63" i="19"/>
  <c r="C17" i="11"/>
  <c r="C21" i="11" s="1"/>
  <c r="T32" i="2"/>
  <c r="Y32" i="2" s="1"/>
  <c r="AD32" i="2" s="1"/>
  <c r="AI32" i="2" s="1"/>
  <c r="AN32" i="2" s="1"/>
  <c r="Y28" i="2"/>
  <c r="AD28" i="2" s="1"/>
  <c r="AI28" i="2" s="1"/>
  <c r="AN28" i="2" s="1"/>
  <c r="K21" i="2"/>
  <c r="N21" i="2" s="1"/>
  <c r="Q21" i="2" s="1"/>
  <c r="T21" i="2" s="1"/>
  <c r="W21" i="2" s="1"/>
  <c r="V28" i="2"/>
  <c r="AA28" i="2" s="1"/>
  <c r="AF28" i="2" s="1"/>
  <c r="AK28" i="2" s="1"/>
  <c r="AP28" i="2" s="1"/>
  <c r="C15" i="10" s="1"/>
  <c r="Q32" i="2"/>
  <c r="V32" i="2" s="1"/>
  <c r="AA32" i="2" s="1"/>
  <c r="AF32" i="2" s="1"/>
  <c r="AK32" i="2" s="1"/>
  <c r="AP32" i="2" s="1"/>
  <c r="C15" i="21"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G13" i="9"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C14" i="15" s="1"/>
  <c r="Z39" i="2"/>
  <c r="AE39" i="2" s="1"/>
  <c r="AJ39" i="2" s="1"/>
  <c r="AO39" i="2" s="1"/>
  <c r="AT39" i="2" s="1"/>
  <c r="I39" i="12" l="1"/>
  <c r="J39" i="12"/>
  <c r="I37" i="12"/>
  <c r="J37" i="12"/>
  <c r="G18" i="17"/>
  <c r="G22" i="17" s="1"/>
  <c r="D17" i="19"/>
  <c r="D21" i="19" s="1"/>
  <c r="C14" i="23"/>
  <c r="C15" i="34"/>
  <c r="E13" i="10"/>
  <c r="G64" i="19"/>
  <c r="H64" i="19" s="1"/>
  <c r="F64" i="19"/>
  <c r="D64" i="19"/>
  <c r="E64" i="19"/>
  <c r="D14" i="10"/>
  <c r="D17" i="10" s="1"/>
  <c r="D21" i="10" s="1"/>
  <c r="E14" i="10"/>
  <c r="F14" i="10"/>
  <c r="E13" i="28"/>
  <c r="D37" i="28"/>
  <c r="D40" i="28" s="1"/>
  <c r="D44" i="28" s="1"/>
  <c r="D16" i="28"/>
  <c r="D20" i="28" s="1"/>
  <c r="E18" i="17"/>
  <c r="E22" i="17" s="1"/>
  <c r="H13" i="9"/>
  <c r="H16" i="9" s="1"/>
  <c r="H21" i="9" s="1"/>
  <c r="G16" i="9"/>
  <c r="G21" i="9" s="1"/>
  <c r="F15" i="11"/>
  <c r="F17" i="11" s="1"/>
  <c r="F21" i="11" s="1"/>
  <c r="I14" i="20"/>
  <c r="D14" i="20"/>
  <c r="E14" i="20" s="1"/>
  <c r="F14" i="20" s="1"/>
  <c r="G14" i="20" s="1"/>
  <c r="H14" i="20"/>
  <c r="G17" i="19"/>
  <c r="G21" i="19" s="1"/>
  <c r="H13" i="10"/>
  <c r="D18" i="17"/>
  <c r="D22" i="17" s="1"/>
  <c r="D39" i="12"/>
  <c r="G39" i="12"/>
  <c r="F39" i="12"/>
  <c r="N39" i="12"/>
  <c r="H39" i="12"/>
  <c r="F37" i="12"/>
  <c r="N37" i="12"/>
  <c r="D37" i="12"/>
  <c r="G37" i="12"/>
  <c r="F18" i="17"/>
  <c r="F22" i="17" s="1"/>
  <c r="C15" i="20"/>
  <c r="E17" i="19"/>
  <c r="E21" i="19" s="1"/>
  <c r="E15" i="11"/>
  <c r="E17" i="11" s="1"/>
  <c r="E21" i="11" s="1"/>
  <c r="E14" i="15"/>
  <c r="F14" i="15"/>
  <c r="H14" i="15"/>
  <c r="I14" i="15" s="1"/>
  <c r="G14" i="15"/>
  <c r="D14" i="15"/>
  <c r="E15" i="21"/>
  <c r="H15" i="21"/>
  <c r="F15" i="21"/>
  <c r="G15" i="21"/>
  <c r="D15" i="21"/>
  <c r="G15" i="11"/>
  <c r="F13" i="9"/>
  <c r="F16" i="9" s="1"/>
  <c r="F21" i="9" s="1"/>
  <c r="E13" i="9"/>
  <c r="E16" i="9" s="1"/>
  <c r="E21" i="9" s="1"/>
  <c r="D13" i="9"/>
  <c r="D16" i="9" s="1"/>
  <c r="D21" i="9" s="1"/>
  <c r="C16" i="9"/>
  <c r="C21" i="9" s="1"/>
  <c r="G16" i="28"/>
  <c r="G20" i="28" s="1"/>
  <c r="F17" i="19"/>
  <c r="F21" i="19" s="1"/>
  <c r="H18" i="17"/>
  <c r="H22" i="17" s="1"/>
  <c r="F15" i="10"/>
  <c r="E15" i="10"/>
  <c r="G15" i="10"/>
  <c r="H15" i="10" s="1"/>
  <c r="H17" i="10" s="1"/>
  <c r="H21" i="10" s="1"/>
  <c r="D15" i="10"/>
  <c r="J13" i="12"/>
  <c r="I13" i="12"/>
  <c r="I16" i="12" s="1"/>
  <c r="I20" i="12" s="1"/>
  <c r="H13" i="12"/>
  <c r="H16" i="12" s="1"/>
  <c r="H20" i="12" s="1"/>
  <c r="G13" i="12"/>
  <c r="D13" i="12"/>
  <c r="D16" i="12" s="1"/>
  <c r="D20" i="12" s="1"/>
  <c r="E13" i="12"/>
  <c r="E16" i="12" s="1"/>
  <c r="E20" i="12" s="1"/>
  <c r="C16" i="12"/>
  <c r="C20" i="12" s="1"/>
  <c r="H37" i="28"/>
  <c r="H40" i="28" s="1"/>
  <c r="H44" i="28" s="1"/>
  <c r="H16" i="28"/>
  <c r="H20" i="28" s="1"/>
  <c r="H17" i="19"/>
  <c r="H21" i="19" s="1"/>
  <c r="D13" i="20"/>
  <c r="G13" i="20"/>
  <c r="E13" i="20"/>
  <c r="F13" i="20"/>
  <c r="C17" i="20"/>
  <c r="C21" i="20" s="1"/>
  <c r="E62" i="19"/>
  <c r="D62" i="19"/>
  <c r="F62" i="19"/>
  <c r="G62" i="19"/>
  <c r="H62" i="19" s="1"/>
  <c r="C66" i="19"/>
  <c r="C70" i="19" s="1"/>
  <c r="G14" i="34"/>
  <c r="F14" i="34"/>
  <c r="E14" i="34"/>
  <c r="D14" i="34"/>
  <c r="C17" i="34"/>
  <c r="C21" i="34" s="1"/>
  <c r="C13" i="21"/>
  <c r="C38" i="12"/>
  <c r="G63" i="19"/>
  <c r="H63" i="19"/>
  <c r="E63" i="19"/>
  <c r="F63" i="19"/>
  <c r="D63" i="19"/>
  <c r="H13" i="15"/>
  <c r="H16" i="15" s="1"/>
  <c r="H20" i="15" s="1"/>
  <c r="D13" i="15"/>
  <c r="D16" i="15" s="1"/>
  <c r="D20" i="15" s="1"/>
  <c r="I13" i="15"/>
  <c r="G13" i="15"/>
  <c r="F13" i="15"/>
  <c r="F16" i="15" s="1"/>
  <c r="F20" i="15" s="1"/>
  <c r="E13" i="15"/>
  <c r="C16" i="15"/>
  <c r="C20" i="15" s="1"/>
  <c r="C17" i="10"/>
  <c r="C21" i="10" s="1"/>
  <c r="I13" i="20"/>
  <c r="M14" i="12"/>
  <c r="L14" i="12"/>
  <c r="D13" i="23"/>
  <c r="G13" i="23"/>
  <c r="H15" i="11"/>
  <c r="H17" i="11" s="1"/>
  <c r="H21" i="11" s="1"/>
  <c r="G17" i="11"/>
  <c r="G21" i="11" s="1"/>
  <c r="I16" i="15" l="1"/>
  <c r="I20" i="15" s="1"/>
  <c r="G16" i="12"/>
  <c r="G20" i="12" s="1"/>
  <c r="C41" i="12"/>
  <c r="C45" i="12" s="1"/>
  <c r="I38" i="12"/>
  <c r="I41" i="12" s="1"/>
  <c r="I45" i="12" s="1"/>
  <c r="J38" i="12"/>
  <c r="J41" i="12" s="1"/>
  <c r="J45" i="12" s="1"/>
  <c r="D66" i="19"/>
  <c r="D70" i="19" s="1"/>
  <c r="G17" i="10"/>
  <c r="G21" i="10" s="1"/>
  <c r="F14" i="23"/>
  <c r="E14" i="23"/>
  <c r="H14" i="23"/>
  <c r="G14" i="23"/>
  <c r="D14" i="23"/>
  <c r="C16" i="23"/>
  <c r="C20" i="23" s="1"/>
  <c r="F66" i="19"/>
  <c r="F70" i="19" s="1"/>
  <c r="M13" i="12"/>
  <c r="M16" i="12" s="1"/>
  <c r="M20" i="12" s="1"/>
  <c r="K13" i="12"/>
  <c r="K16" i="12" s="1"/>
  <c r="K20" i="12" s="1"/>
  <c r="J16" i="12"/>
  <c r="J20" i="12" s="1"/>
  <c r="L13" i="12"/>
  <c r="L16" i="12" s="1"/>
  <c r="L20" i="12" s="1"/>
  <c r="D13" i="21"/>
  <c r="G13" i="21"/>
  <c r="C17" i="21"/>
  <c r="C21" i="21" s="1"/>
  <c r="G17" i="20"/>
  <c r="G21" i="20" s="1"/>
  <c r="H13" i="23"/>
  <c r="H16" i="23" s="1"/>
  <c r="H20" i="23" s="1"/>
  <c r="G16" i="23"/>
  <c r="G20" i="23" s="1"/>
  <c r="E16" i="15"/>
  <c r="E20" i="15" s="1"/>
  <c r="E66" i="19"/>
  <c r="E70" i="19" s="1"/>
  <c r="F17" i="34"/>
  <c r="F21" i="34" s="1"/>
  <c r="E13" i="23"/>
  <c r="D16" i="23"/>
  <c r="D20" i="23" s="1"/>
  <c r="H66" i="19"/>
  <c r="H70" i="19" s="1"/>
  <c r="F13" i="28"/>
  <c r="E37" i="28"/>
  <c r="E40" i="28" s="1"/>
  <c r="E44" i="28" s="1"/>
  <c r="E16" i="28"/>
  <c r="E20" i="28" s="1"/>
  <c r="G66" i="19"/>
  <c r="G70" i="19" s="1"/>
  <c r="F17" i="20"/>
  <c r="F21" i="20" s="1"/>
  <c r="D15" i="20"/>
  <c r="D17" i="20" s="1"/>
  <c r="D21" i="20" s="1"/>
  <c r="H15" i="20"/>
  <c r="G15" i="20"/>
  <c r="F15" i="20"/>
  <c r="E15" i="20"/>
  <c r="F13" i="10"/>
  <c r="F17" i="10" s="1"/>
  <c r="F21" i="10" s="1"/>
  <c r="E17" i="10"/>
  <c r="E21" i="10" s="1"/>
  <c r="H37" i="12"/>
  <c r="M39" i="12"/>
  <c r="Q39" i="12"/>
  <c r="H14" i="34"/>
  <c r="G16" i="15"/>
  <c r="G20" i="15" s="1"/>
  <c r="G38" i="12"/>
  <c r="G41" i="12" s="1"/>
  <c r="G45" i="12" s="1"/>
  <c r="N38" i="12"/>
  <c r="N41" i="12" s="1"/>
  <c r="N45" i="12" s="1"/>
  <c r="D38" i="12"/>
  <c r="D41" i="12" s="1"/>
  <c r="D45" i="12" s="1"/>
  <c r="F38" i="12"/>
  <c r="F41" i="12" s="1"/>
  <c r="F45" i="12" s="1"/>
  <c r="E17" i="20"/>
  <c r="E21" i="20" s="1"/>
  <c r="E15" i="34"/>
  <c r="E17" i="34" s="1"/>
  <c r="E21" i="34" s="1"/>
  <c r="D15" i="34"/>
  <c r="D17" i="34" s="1"/>
  <c r="D21" i="34" s="1"/>
  <c r="H15" i="34"/>
  <c r="G15" i="34"/>
  <c r="G17" i="34" s="1"/>
  <c r="G21" i="34" s="1"/>
  <c r="F15" i="34"/>
  <c r="Q37" i="12" l="1"/>
  <c r="M38" i="12"/>
  <c r="H38" i="12"/>
  <c r="H41" i="12" s="1"/>
  <c r="H45" i="12" s="1"/>
  <c r="Q38" i="12"/>
  <c r="H13" i="21"/>
  <c r="H17" i="21" s="1"/>
  <c r="H21" i="21" s="1"/>
  <c r="G17" i="21"/>
  <c r="G21" i="21" s="1"/>
  <c r="F13" i="23"/>
  <c r="F16" i="23" s="1"/>
  <c r="F20" i="23" s="1"/>
  <c r="E16" i="23"/>
  <c r="E20" i="23" s="1"/>
  <c r="F37" i="28"/>
  <c r="F40" i="28" s="1"/>
  <c r="F44" i="28" s="1"/>
  <c r="F16" i="28"/>
  <c r="F20" i="28" s="1"/>
  <c r="E13" i="21"/>
  <c r="D17" i="21"/>
  <c r="D21" i="21" s="1"/>
  <c r="H17" i="34"/>
  <c r="H21" i="34" s="1"/>
  <c r="I15" i="20"/>
  <c r="I17" i="20" s="1"/>
  <c r="I21" i="20" s="1"/>
  <c r="H17" i="20"/>
  <c r="H21" i="20" s="1"/>
  <c r="F13" i="21" l="1"/>
  <c r="F17" i="21" s="1"/>
  <c r="F21" i="21" s="1"/>
  <c r="E17" i="21"/>
  <c r="E21" i="21" s="1"/>
  <c r="M37" i="12"/>
  <c r="M41" i="12" s="1"/>
  <c r="M45" i="12" s="1"/>
  <c r="Q41" i="12"/>
  <c r="Q45"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H27" authorId="0" shapeId="0" xr:uid="{FB377686-6C33-4982-8F8A-4158F3D40C0A}">
      <text>
        <r>
          <rPr>
            <b/>
            <sz val="9"/>
            <color indexed="81"/>
            <rFont val="Tahoma"/>
            <family val="2"/>
          </rPr>
          <t>Resolucion 40216</t>
        </r>
        <r>
          <rPr>
            <sz val="9"/>
            <color indexed="81"/>
            <rFont val="Tahoma"/>
            <family val="2"/>
          </rPr>
          <t xml:space="preserve">
Julio 7%
Agosto  8%
Septiembre  10</t>
        </r>
      </text>
    </comment>
  </commentList>
</comments>
</file>

<file path=xl/sharedStrings.xml><?xml version="1.0" encoding="utf-8"?>
<sst xmlns="http://schemas.openxmlformats.org/spreadsheetml/2006/main" count="3168" uniqueCount="529">
  <si>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</si>
  <si>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</si>
  <si>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</si>
  <si>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</si>
  <si>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</si>
  <si>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</si>
  <si>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</si>
  <si>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</si>
  <si>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</si>
  <si>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</si>
  <si>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</si>
  <si>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</si>
  <si>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</si>
  <si>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</si>
  <si>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</si>
  <si>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</si>
  <si>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</si>
  <si>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</si>
  <si>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</si>
  <si>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</si>
  <si>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</si>
  <si>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</si>
  <si>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</si>
  <si>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</si>
  <si>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</si>
  <si>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</si>
  <si>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</si>
  <si>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</si>
  <si>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</si>
  <si>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</si>
  <si>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</si>
  <si>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</si>
  <si>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</si>
  <si>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</si>
  <si>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</si>
  <si>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</si>
  <si>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</si>
  <si>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</si>
  <si>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</si>
  <si>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</si>
  <si>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</si>
  <si>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</si>
  <si>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</si>
  <si>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</si>
  <si>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</si>
  <si>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</si>
  <si>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</si>
  <si>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</si>
  <si>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</si>
  <si>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</si>
  <si>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</si>
  <si>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</si>
  <si>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</si>
  <si>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</si>
  <si>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</si>
  <si>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</si>
  <si>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</si>
  <si>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</si>
  <si>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</si>
  <si>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</si>
  <si>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</si>
  <si>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</si>
  <si>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</si>
  <si>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</si>
  <si>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</si>
  <si>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</si>
  <si>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</si>
  <si>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</si>
  <si>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</si>
  <si>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</si>
  <si>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</si>
  <si>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</si>
  <si>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</si>
  <si>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</si>
  <si>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</si>
  <si>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</si>
  <si>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</si>
  <si>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</si>
  <si>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</si>
  <si>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</si>
  <si>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</si>
  <si>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</si>
  <si>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</si>
  <si>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</si>
  <si>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</si>
  <si>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</si>
  <si>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</si>
  <si>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</si>
  <si>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</si>
  <si>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</si>
  <si>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</si>
  <si>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</si>
  <si>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</si>
  <si>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</si>
  <si>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</si>
  <si>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</si>
  <si>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</si>
  <si>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</si>
  <si>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</si>
  <si>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</si>
  <si>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</si>
  <si>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</si>
  <si>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</si>
  <si>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</si>
  <si>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</si>
  <si>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</si>
  <si>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</si>
  <si>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</si>
  <si>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</si>
  <si>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</si>
  <si>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</si>
  <si>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</si>
  <si>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</si>
  <si>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</si>
  <si>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</si>
  <si>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</si>
  <si>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</si>
  <si>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</si>
  <si>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</si>
  <si>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</si>
  <si>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</si>
  <si>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</si>
  <si>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</si>
  <si>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</si>
  <si>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</si>
  <si>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</si>
  <si>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</si>
  <si>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t>Ecopetrol</t>
  </si>
  <si>
    <t>Reficar</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</si>
  <si>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</si>
  <si>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</si>
  <si>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</si>
  <si>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</si>
  <si>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</si>
  <si>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</si>
  <si>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</si>
  <si>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</si>
  <si>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</si>
  <si>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</si>
  <si>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</si>
  <si>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</si>
  <si>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</si>
  <si>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</si>
  <si>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</si>
  <si>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</si>
  <si>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</si>
  <si>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</si>
  <si>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</si>
  <si>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</si>
  <si>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</si>
  <si>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</si>
  <si>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</si>
  <si>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</si>
  <si>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</si>
  <si>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</si>
  <si>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</si>
  <si>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</si>
  <si>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</si>
  <si>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</si>
  <si>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</si>
  <si>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</si>
  <si>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</si>
  <si>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</si>
  <si>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</si>
  <si>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</si>
  <si>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</si>
  <si>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</si>
  <si>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</si>
  <si>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</si>
  <si>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</si>
  <si>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</si>
  <si>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</si>
  <si>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</si>
  <si>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</si>
  <si>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</si>
  <si>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</si>
  <si>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</si>
  <si>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</si>
  <si>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</si>
  <si>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</si>
  <si>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</si>
  <si>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</si>
  <si>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</si>
  <si>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</si>
  <si>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</si>
  <si>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</si>
  <si>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</si>
  <si>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</si>
  <si>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</si>
  <si>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</si>
  <si>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</si>
  <si>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</si>
  <si>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</si>
  <si>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</si>
  <si>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</si>
  <si>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</si>
  <si>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</si>
  <si>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</si>
  <si>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</si>
  <si>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</si>
  <si>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</si>
  <si>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</si>
  <si>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</si>
  <si>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</si>
  <si>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</si>
  <si>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</si>
  <si>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</si>
  <si>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</si>
  <si>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</si>
  <si>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</si>
  <si>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</si>
  <si>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</si>
  <si>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</si>
  <si>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</si>
  <si>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</si>
  <si>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</si>
  <si>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</si>
  <si>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</si>
  <si>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</si>
  <si>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</si>
  <si>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</si>
  <si>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</si>
  <si>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</si>
  <si>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</si>
  <si>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</si>
  <si>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</si>
  <si>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</si>
  <si>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</si>
  <si>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</si>
  <si>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</si>
  <si>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</si>
  <si>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</si>
  <si>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</si>
  <si>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</si>
  <si>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</si>
  <si>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</si>
  <si>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</si>
  <si>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</si>
  <si>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</si>
  <si>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</si>
  <si>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</si>
  <si>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</si>
  <si>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</si>
  <si>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</si>
  <si>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</si>
  <si>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</si>
  <si>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</si>
  <si>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</si>
  <si>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</si>
  <si>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</si>
  <si>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</si>
  <si>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</si>
  <si>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</si>
  <si>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</si>
  <si>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</si>
  <si>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</si>
  <si>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</si>
  <si>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</si>
  <si>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</si>
  <si>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</si>
  <si>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</si>
  <si>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</si>
  <si>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</si>
  <si>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</si>
  <si>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</si>
  <si>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</si>
  <si>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</si>
  <si>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</si>
  <si>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</si>
  <si>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</si>
  <si>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</si>
  <si>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</si>
  <si>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</si>
  <si>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</si>
  <si>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</si>
  <si>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</si>
  <si>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</si>
  <si>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</si>
  <si>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</si>
  <si>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</si>
  <si>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</si>
  <si>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</si>
  <si>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</si>
  <si>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</si>
  <si>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</si>
  <si>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</si>
  <si>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</si>
  <si>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</si>
  <si>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</si>
  <si>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</si>
  <si>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</si>
  <si>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</si>
  <si>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</si>
  <si>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</si>
  <si>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</si>
  <si>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</si>
  <si>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</si>
  <si>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</si>
  <si>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</si>
  <si>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</si>
  <si>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</si>
  <si>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</si>
  <si>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</si>
  <si>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</si>
  <si>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</si>
  <si>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</si>
  <si>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</si>
  <si>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</si>
  <si>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</si>
  <si>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</si>
  <si>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</si>
  <si>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</si>
  <si>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</si>
  <si>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</si>
  <si>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</si>
  <si>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</si>
  <si>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</si>
  <si>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</si>
  <si>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</si>
  <si>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</si>
  <si>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</si>
  <si>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</si>
  <si>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</si>
  <si>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</si>
  <si>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</si>
  <si>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</si>
  <si>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</si>
  <si>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</si>
  <si>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</si>
  <si>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</si>
  <si>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</si>
  <si>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</si>
  <si>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</si>
  <si>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</si>
  <si>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</si>
  <si>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</si>
  <si>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</si>
  <si>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</si>
  <si>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</si>
  <si>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</si>
  <si>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</si>
  <si>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</si>
  <si>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</si>
  <si>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</si>
  <si>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</si>
  <si>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</si>
  <si>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</si>
  <si>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</si>
  <si>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</si>
  <si>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</si>
  <si>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</si>
  <si>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</si>
  <si>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</si>
  <si>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</si>
  <si>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</si>
  <si>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</si>
  <si>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</si>
  <si>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</si>
  <si>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</si>
  <si>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</si>
  <si>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</si>
  <si>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</si>
  <si>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</si>
  <si>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</si>
  <si>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</si>
  <si>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</si>
  <si>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</si>
  <si>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</si>
  <si>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</si>
  <si>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</si>
  <si>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</si>
  <si>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</si>
  <si>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</si>
  <si>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</si>
  <si>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</si>
  <si>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</si>
  <si>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</si>
  <si>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</si>
  <si>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</si>
  <si>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</si>
  <si>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</si>
  <si>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</si>
  <si>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</si>
  <si>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</si>
  <si>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</si>
  <si>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</si>
  <si>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</si>
  <si>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</si>
  <si>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</si>
  <si>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</si>
  <si>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</si>
  <si>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</si>
  <si>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</si>
  <si>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</si>
  <si>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</si>
  <si>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</si>
  <si>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</si>
  <si>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</si>
  <si>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</si>
  <si>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</si>
  <si>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</si>
  <si>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</si>
  <si>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</si>
  <si>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</si>
  <si>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</si>
  <si>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</si>
  <si>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</si>
  <si>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</si>
  <si>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</si>
  <si>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</si>
  <si>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</si>
  <si>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</si>
  <si>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</si>
  <si>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</si>
  <si>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</si>
  <si>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</si>
  <si>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</si>
  <si>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</si>
  <si>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</si>
  <si>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</si>
  <si>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</si>
  <si>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</si>
  <si>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</si>
  <si>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</si>
  <si>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</si>
  <si>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</si>
  <si>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</si>
  <si>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</si>
  <si>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</si>
  <si>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</si>
  <si>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</si>
  <si>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</si>
  <si>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</si>
  <si>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</si>
  <si>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</si>
  <si>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</si>
  <si>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</si>
  <si>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</si>
  <si>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</si>
  <si>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</si>
  <si>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</si>
  <si>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</si>
  <si>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OJO!!!!</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</si>
  <si>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</si>
  <si>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</si>
  <si>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</si>
  <si>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</si>
  <si>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</si>
  <si>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</si>
  <si>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</si>
  <si>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</si>
  <si>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ESTRUCTURAS DE PRECIOS PARA LA MEZCLA DE BIOCOMBUSTIBLE PARA USO EN MOTORES DIESEL CON EL ACPM VIGENTES A PARTIR DE 10 DE NOVIEMBRE 2020</t>
  </si>
  <si>
    <t>OJO</t>
  </si>
  <si>
    <t>16 DE DICIEMBRE 2020</t>
  </si>
  <si>
    <t xml:space="preserve">Punto medio meta inflación Banrep </t>
  </si>
  <si>
    <t>Punto medio meta inflación Banrep 2021</t>
  </si>
  <si>
    <t>OK actualizada</t>
  </si>
  <si>
    <t>Se ajusta el 1 Feb 21</t>
  </si>
  <si>
    <t>Pdte</t>
  </si>
  <si>
    <t>Se actualiza el 1 feb 20</t>
  </si>
  <si>
    <t>OK ACTUALIZADO</t>
  </si>
  <si>
    <t>Punto medio meta inflación Banrep 2020</t>
  </si>
  <si>
    <t>Tarifa de transporte terrestre</t>
  </si>
  <si>
    <t>REVISAR SI CONTINUA</t>
  </si>
  <si>
    <t>Cambio con Resolución 40100 del 31 Marzo de 2021</t>
  </si>
  <si>
    <t>B12 ZDF</t>
  </si>
  <si>
    <t>OCTUBRE</t>
  </si>
  <si>
    <t>B10 A B12</t>
  </si>
  <si>
    <t>B2- ABRIL</t>
  </si>
  <si>
    <t>Biodiesel B12</t>
  </si>
  <si>
    <t>GAS CORRIENTE OXIGENADA E0</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</si>
  <si>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</si>
  <si>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</si>
  <si>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</si>
  <si>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</si>
  <si>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</si>
  <si>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</si>
  <si>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</si>
  <si>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</si>
  <si>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</si>
  <si>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</si>
  <si>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</si>
  <si>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</si>
  <si>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</si>
  <si>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t>Z62: IP NARIÑO</t>
  </si>
  <si>
    <t>Z01: Nacional</t>
  </si>
  <si>
    <t>Z05: Dev Imp Carbono</t>
  </si>
  <si>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</si>
  <si>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</si>
  <si>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</si>
  <si>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</si>
  <si>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</si>
  <si>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</si>
  <si>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</si>
  <si>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</si>
  <si>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</si>
  <si>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</si>
  <si>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</si>
  <si>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</si>
  <si>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</si>
  <si>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</si>
  <si>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</si>
  <si>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</si>
  <si>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</si>
  <si>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</si>
  <si>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</si>
  <si>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N/A</t>
  </si>
  <si>
    <r>
      <t>GAS CORRIENTE OXIGENADA</t>
    </r>
    <r>
      <rPr>
        <b/>
        <sz val="11"/>
        <color theme="1"/>
        <rFont val="Calibri"/>
        <family val="2"/>
        <scheme val="minor"/>
      </rPr>
      <t xml:space="preserve"> E4</t>
    </r>
  </si>
  <si>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</si>
  <si>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</si>
  <si>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</si>
  <si>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r>
      <t xml:space="preserve">ORIGEN: Refinería de Cartagena y Barrancabermeja
 PLANTA DE ABASTO: Plantas autorizadas por el plan de abastecimiento ubicadas en Cartagena y Barranquilla </t>
    </r>
    <r>
      <rPr>
        <b/>
        <vertAlign val="superscript"/>
        <sz val="10"/>
        <color theme="0"/>
        <rFont val="Calibri"/>
        <family val="2"/>
      </rPr>
      <t xml:space="preserve"> (municipios de Acandí, Unguía y Riosucio)                         
Planta de Abasto Buenaventura ( muricipio de Jurado)</t>
    </r>
  </si>
  <si>
    <t xml:space="preserve">De acuerdo con lo establecido en la Resolución 40111 de MME </t>
  </si>
  <si>
    <t>ORIGEN: Refinería de Cartagena
PLANTA DE ABASTO:Ayatawocoop  y Discowacoop- ubicadas en el municipio de Maicao; abastecidas desde Galapa  y Baranoa</t>
  </si>
  <si>
    <t>14.07.2021</t>
  </si>
  <si>
    <t>25.08.2021</t>
  </si>
  <si>
    <t>CHOCO</t>
  </si>
  <si>
    <t>GUAJIRA</t>
  </si>
  <si>
    <t>CDF CESAR RIO DE ORO</t>
  </si>
  <si>
    <t>ELECTROCOMBUSTIBLE (EC0)</t>
  </si>
  <si>
    <t>ELECTROCOMBUSTIBLE (EC2)</t>
  </si>
  <si>
    <t>DE ACUERDO CON LA RESOLUCIÓN 40216 EN AGOSTO DEBE SER EL 8%</t>
  </si>
  <si>
    <t>CHEQUEO B8</t>
  </si>
  <si>
    <t>CHEQUEO B10</t>
  </si>
  <si>
    <t>CHEQUEO B12</t>
  </si>
  <si>
    <t>B10 A B12 resolución 40111</t>
  </si>
  <si>
    <t>Vigencia: 14 de Agosto de 2021; 00:00 horas</t>
  </si>
  <si>
    <r>
      <t>GAS CORRIENTE OXIGENADA</t>
    </r>
    <r>
      <rPr>
        <b/>
        <sz val="12"/>
        <color theme="1"/>
        <rFont val="Calibri"/>
        <family val="2"/>
        <scheme val="minor"/>
      </rPr>
      <t xml:space="preserve"> </t>
    </r>
    <r>
      <rPr>
        <b/>
        <sz val="16"/>
        <color rgb="FFFF0000"/>
        <rFont val="Calibri"/>
        <family val="2"/>
        <scheme val="minor"/>
      </rPr>
      <t>E8</t>
    </r>
  </si>
  <si>
    <t>RESOLUCION VIGENTE 40264 VIGENTE A PARTIR DEL 14 AGOSTO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</si>
</sst>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0"/>
    <numFmt numFmtId="177" formatCode="0.00000"/>
    <numFmt numFmtId="178" formatCode="_-* #,##0.000_-;\-* #,##0.000_-;_-* &quot;-&quot;_-;_-@_-"/>
    <numFmt numFmtId="179" formatCode="&quot;Oxigenada&quot;\ 0\%"/>
  </numFmts>
  <fonts count="87"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2"/>
      <color theme="1"/>
      <name val="Calibri"/>
      <family val="2"/>
      <scheme val="minor"/>
    </font>
    <font>
      <b/>
      <sz val="16"/>
      <color rgb="FFFF0000"/>
      <name val="Calibri"/>
      <family val="2"/>
      <scheme val="minor"/>
    </font>
    <font>
      <sz val="11"/>
      <color theme="0" tint="-0.14999847407452621"/>
      <name val="Calibri"/>
      <family val="2"/>
      <scheme val="minor"/>
    </font>
  </fonts>
  <fills count="31">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style="thin">
        <color indexed="64"/>
      </left>
      <right style="thin">
        <color indexed="64"/>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3" fillId="0" borderId="0"/>
  </cellStyleXfs>
  <cellXfs count="758">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3"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48" fillId="25" borderId="68" xfId="3" quotePrefix="1" applyNumberFormat="1" applyFont="1" applyFill="1" applyBorder="1" applyAlignment="1" applyProtection="1">
      <alignment horizontal="center" vertical="center" wrapText="1"/>
      <protection hidden="1"/>
    </xf>
    <xf numFmtId="9" fontId="48"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49" fillId="0" borderId="0" xfId="0" applyFont="1" applyFill="1" applyBorder="1" applyAlignment="1" applyProtection="1">
      <alignment horizontal="left" vertical="center" wrapText="1"/>
      <protection hidden="1"/>
    </xf>
    <xf numFmtId="43" fontId="49"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50" fillId="0" borderId="0" xfId="0" applyFont="1" applyAlignment="1" applyProtection="1">
      <alignment horizontal="centerContinuous" vertical="center"/>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0" fillId="0" borderId="0" xfId="0" quotePrefix="1" applyFont="1" applyAlignment="1" applyProtection="1">
      <alignment horizontal="left" vertical="center"/>
      <protection hidden="1"/>
    </xf>
    <xf numFmtId="4" fontId="50" fillId="0" borderId="0" xfId="10" applyNumberFormat="1" applyFont="1" applyFill="1" applyBorder="1" applyAlignment="1" applyProtection="1">
      <alignment horizontal="center" vertical="center"/>
      <protection hidden="1"/>
    </xf>
    <xf numFmtId="0" fontId="54" fillId="0" borderId="0" xfId="2" applyFont="1" applyFill="1" applyBorder="1" applyAlignment="1" applyProtection="1">
      <alignment vertical="center"/>
      <protection hidden="1"/>
    </xf>
    <xf numFmtId="0" fontId="54" fillId="0" borderId="0" xfId="2" applyFont="1" applyFill="1" applyBorder="1" applyAlignment="1" applyProtection="1">
      <alignment vertical="center" wrapText="1"/>
      <protection hidden="1"/>
    </xf>
    <xf numFmtId="0" fontId="55" fillId="0" borderId="0" xfId="0" applyFont="1" applyFill="1" applyAlignment="1" applyProtection="1">
      <alignment vertical="center"/>
      <protection hidden="1"/>
    </xf>
    <xf numFmtId="4" fontId="56" fillId="0" borderId="0" xfId="10" applyNumberFormat="1" applyFont="1" applyFill="1" applyBorder="1" applyAlignment="1" applyProtection="1">
      <alignment horizontal="center"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vertical="center"/>
      <protection hidden="1"/>
    </xf>
    <xf numFmtId="0" fontId="57" fillId="0" borderId="0" xfId="0" applyFont="1" applyAlignment="1" applyProtection="1">
      <alignment horizontal="left" vertical="center"/>
      <protection hidden="1"/>
    </xf>
    <xf numFmtId="0" fontId="57" fillId="0" borderId="0" xfId="0" applyFont="1" applyAlignment="1" applyProtection="1">
      <alignment vertical="center"/>
      <protection hidden="1"/>
    </xf>
    <xf numFmtId="0" fontId="58" fillId="0" borderId="0" xfId="2" applyFont="1" applyFill="1" applyBorder="1" applyAlignment="1" applyProtection="1">
      <alignment vertical="center"/>
      <protection hidden="1"/>
    </xf>
    <xf numFmtId="2" fontId="50" fillId="0" borderId="30" xfId="0" applyNumberFormat="1" applyFont="1" applyFill="1" applyBorder="1" applyAlignment="1" applyProtection="1">
      <alignment vertical="center"/>
      <protection hidden="1"/>
    </xf>
    <xf numFmtId="2" fontId="50" fillId="0" borderId="24" xfId="0" applyNumberFormat="1" applyFont="1" applyFill="1" applyBorder="1" applyAlignment="1" applyProtection="1">
      <alignment horizontal="center" vertical="center"/>
      <protection hidden="1"/>
    </xf>
    <xf numFmtId="4" fontId="50" fillId="0" borderId="24" xfId="0" applyNumberFormat="1" applyFont="1" applyFill="1" applyBorder="1" applyAlignment="1" applyProtection="1">
      <alignment horizontal="center" vertical="center"/>
      <protection hidden="1"/>
    </xf>
    <xf numFmtId="4" fontId="50" fillId="0" borderId="25" xfId="0" applyNumberFormat="1" applyFont="1" applyFill="1" applyBorder="1" applyAlignment="1" applyProtection="1">
      <alignment horizontal="center" vertical="center"/>
      <protection hidden="1"/>
    </xf>
    <xf numFmtId="4" fontId="50" fillId="0" borderId="24" xfId="0" quotePrefix="1" applyNumberFormat="1" applyFont="1" applyFill="1" applyBorder="1" applyAlignment="1" applyProtection="1">
      <alignment horizontal="center" vertical="center"/>
      <protection hidden="1"/>
    </xf>
    <xf numFmtId="4"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horizontal="left" vertical="center"/>
      <protection hidden="1"/>
    </xf>
    <xf numFmtId="3" fontId="50" fillId="0" borderId="24" xfId="0" quotePrefix="1" applyNumberFormat="1" applyFont="1" applyFill="1" applyBorder="1" applyAlignment="1" applyProtection="1">
      <alignment horizontal="center" vertical="center"/>
      <protection hidden="1"/>
    </xf>
    <xf numFmtId="3"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vertical="center"/>
      <protection hidden="1"/>
    </xf>
    <xf numFmtId="2" fontId="50" fillId="0" borderId="31" xfId="0" applyNumberFormat="1" applyFont="1" applyBorder="1" applyAlignment="1" applyProtection="1">
      <alignment horizontal="left" vertical="center"/>
      <protection hidden="1"/>
    </xf>
    <xf numFmtId="3" fontId="50" fillId="0" borderId="27" xfId="0" quotePrefix="1" applyNumberFormat="1" applyFont="1" applyFill="1" applyBorder="1" applyAlignment="1" applyProtection="1">
      <alignment horizontal="center" vertical="center"/>
      <protection hidden="1"/>
    </xf>
    <xf numFmtId="3" fontId="50"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59"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0" fillId="0" borderId="0" xfId="0" applyFont="1"/>
    <xf numFmtId="0" fontId="61"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2" fillId="0" borderId="0" xfId="0" applyFont="1"/>
    <xf numFmtId="10" fontId="63" fillId="8" borderId="1" xfId="0" applyNumberFormat="1" applyFont="1" applyFill="1" applyBorder="1" applyAlignment="1">
      <alignment horizontal="center"/>
    </xf>
    <xf numFmtId="0" fontId="63" fillId="8" borderId="1" xfId="0" applyFont="1" applyFill="1" applyBorder="1" applyAlignment="1">
      <alignment horizontal="center"/>
    </xf>
    <xf numFmtId="0" fontId="64"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6" fillId="5" borderId="1" xfId="1" applyNumberFormat="1" applyFont="1" applyFill="1" applyBorder="1" applyAlignment="1">
      <alignment horizontal="center" vertical="center" wrapText="1"/>
    </xf>
    <xf numFmtId="0" fontId="67" fillId="0" borderId="0" xfId="0" applyFont="1" applyFill="1" applyBorder="1"/>
    <xf numFmtId="0" fontId="67" fillId="0" borderId="0" xfId="0" applyNumberFormat="1" applyFont="1" applyFill="1" applyBorder="1"/>
    <xf numFmtId="4" fontId="67" fillId="0" borderId="0" xfId="0" applyNumberFormat="1" applyFont="1" applyFill="1" applyBorder="1"/>
    <xf numFmtId="171" fontId="67" fillId="0" borderId="0" xfId="0" applyNumberFormat="1" applyFont="1" applyFill="1" applyBorder="1"/>
    <xf numFmtId="171" fontId="67" fillId="3" borderId="0" xfId="0" applyNumberFormat="1" applyFont="1" applyFill="1" applyBorder="1"/>
    <xf numFmtId="0" fontId="68" fillId="3" borderId="0" xfId="0" applyNumberFormat="1" applyFont="1" applyFill="1"/>
    <xf numFmtId="43" fontId="67" fillId="0" borderId="0" xfId="0" applyNumberFormat="1" applyFont="1" applyFill="1" applyBorder="1"/>
    <xf numFmtId="164" fontId="0" fillId="0" borderId="1" xfId="1" applyNumberFormat="1" applyFont="1" applyFill="1" applyBorder="1"/>
    <xf numFmtId="0" fontId="65" fillId="0" borderId="1" xfId="0" applyFont="1" applyBorder="1"/>
    <xf numFmtId="164" fontId="0" fillId="5" borderId="1" xfId="1" applyNumberFormat="1" applyFont="1" applyFill="1" applyBorder="1"/>
    <xf numFmtId="164" fontId="66"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5" fillId="0" borderId="1" xfId="0" applyFont="1" applyBorder="1" applyAlignment="1">
      <alignment horizontal="right"/>
    </xf>
    <xf numFmtId="0" fontId="67" fillId="8" borderId="0" xfId="0" applyFont="1" applyFill="1" applyBorder="1"/>
    <xf numFmtId="43" fontId="67" fillId="8" borderId="0" xfId="0" applyNumberFormat="1" applyFont="1" applyFill="1" applyBorder="1"/>
    <xf numFmtId="0" fontId="68" fillId="8" borderId="0" xfId="0" applyNumberFormat="1" applyFont="1" applyFill="1" applyAlignment="1">
      <alignment horizontal="center"/>
    </xf>
    <xf numFmtId="0" fontId="67" fillId="8" borderId="0" xfId="0" applyNumberFormat="1" applyFont="1" applyFill="1" applyBorder="1"/>
    <xf numFmtId="171" fontId="67" fillId="8" borderId="0" xfId="0" applyNumberFormat="1" applyFont="1" applyFill="1" applyBorder="1"/>
    <xf numFmtId="0" fontId="68" fillId="8" borderId="0" xfId="0" applyNumberFormat="1" applyFont="1" applyFill="1"/>
    <xf numFmtId="4" fontId="67" fillId="8" borderId="0" xfId="0" applyNumberFormat="1" applyFont="1" applyFill="1" applyBorder="1"/>
    <xf numFmtId="43" fontId="0" fillId="0" borderId="1" xfId="0" applyNumberFormat="1" applyBorder="1" applyAlignment="1">
      <alignment horizontal="center"/>
    </xf>
    <xf numFmtId="164" fontId="66"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67" fillId="3" borderId="0" xfId="0" applyFont="1" applyFill="1" applyBorder="1"/>
    <xf numFmtId="4" fontId="69"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68"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0" fillId="19" borderId="0" xfId="0" applyFont="1" applyFill="1" applyBorder="1"/>
    <xf numFmtId="0" fontId="71"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3" fillId="19" borderId="1" xfId="1" applyNumberFormat="1" applyFont="1" applyFill="1" applyBorder="1"/>
    <xf numFmtId="43" fontId="69" fillId="0" borderId="0" xfId="0" applyNumberFormat="1" applyFont="1" applyFill="1" applyBorder="1"/>
    <xf numFmtId="0" fontId="69" fillId="0" borderId="0" xfId="0" applyFont="1" applyFill="1" applyBorder="1"/>
    <xf numFmtId="0" fontId="74" fillId="3" borderId="0" xfId="0" applyNumberFormat="1" applyFont="1" applyFill="1"/>
    <xf numFmtId="0" fontId="69" fillId="0" borderId="0" xfId="0" applyNumberFormat="1" applyFont="1" applyFill="1" applyBorder="1"/>
    <xf numFmtId="171" fontId="69" fillId="3" borderId="0" xfId="0" applyNumberFormat="1" applyFont="1" applyFill="1" applyBorder="1"/>
    <xf numFmtId="0" fontId="73" fillId="0" borderId="1" xfId="0" applyFont="1" applyBorder="1"/>
    <xf numFmtId="2" fontId="73" fillId="0" borderId="1" xfId="0" applyNumberFormat="1" applyFont="1" applyBorder="1"/>
    <xf numFmtId="43" fontId="67" fillId="3" borderId="0" xfId="0" applyNumberFormat="1" applyFont="1" applyFill="1" applyBorder="1"/>
    <xf numFmtId="0" fontId="67" fillId="3" borderId="0" xfId="0" applyNumberFormat="1" applyFont="1" applyFill="1" applyBorder="1"/>
    <xf numFmtId="4" fontId="67"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5"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69" fillId="3" borderId="0" xfId="0" applyNumberFormat="1" applyFont="1" applyFill="1" applyBorder="1"/>
    <xf numFmtId="0" fontId="0" fillId="3" borderId="0" xfId="0" applyFill="1"/>
    <xf numFmtId="0" fontId="33" fillId="3" borderId="0" xfId="0" applyFont="1" applyFill="1"/>
    <xf numFmtId="0" fontId="76" fillId="14" borderId="44" xfId="0" applyFont="1" applyFill="1" applyBorder="1" applyAlignment="1" applyProtection="1">
      <alignment horizontal="center" vertical="center" wrapText="1"/>
      <protection hidden="1"/>
    </xf>
    <xf numFmtId="9" fontId="77" fillId="14" borderId="44" xfId="0" quotePrefix="1" applyNumberFormat="1" applyFont="1" applyFill="1" applyBorder="1" applyAlignment="1" applyProtection="1">
      <alignment horizontal="center" vertical="center" wrapText="1"/>
      <protection hidden="1"/>
    </xf>
    <xf numFmtId="15" fontId="77" fillId="14" borderId="49" xfId="0" quotePrefix="1" applyNumberFormat="1" applyFont="1" applyFill="1" applyBorder="1" applyAlignment="1" applyProtection="1">
      <alignment horizontal="center" vertical="center" wrapText="1"/>
      <protection hidden="1"/>
    </xf>
    <xf numFmtId="167" fontId="76" fillId="15" borderId="47" xfId="4" applyNumberFormat="1" applyFont="1" applyFill="1" applyBorder="1" applyAlignment="1" applyProtection="1">
      <alignment horizontal="center" vertical="center" wrapText="1"/>
      <protection hidden="1"/>
    </xf>
    <xf numFmtId="43" fontId="76" fillId="15" borderId="44" xfId="4" applyFont="1" applyFill="1" applyBorder="1" applyAlignment="1" applyProtection="1">
      <alignment horizontal="center" vertical="center" wrapText="1"/>
      <protection hidden="1"/>
    </xf>
    <xf numFmtId="43" fontId="76" fillId="23" borderId="44" xfId="4" applyFont="1" applyFill="1" applyBorder="1" applyAlignment="1" applyProtection="1">
      <alignment horizontal="center" vertical="center" wrapText="1"/>
      <protection hidden="1"/>
    </xf>
    <xf numFmtId="43" fontId="76" fillId="8" borderId="44" xfId="4" applyFont="1" applyFill="1" applyBorder="1" applyAlignment="1" applyProtection="1">
      <alignment horizontal="center" vertical="center" wrapText="1"/>
      <protection hidden="1"/>
    </xf>
    <xf numFmtId="43" fontId="76" fillId="3" borderId="44" xfId="4" applyFont="1" applyFill="1" applyBorder="1" applyAlignment="1" applyProtection="1">
      <alignment horizontal="center" vertical="center" wrapText="1"/>
      <protection hidden="1"/>
    </xf>
    <xf numFmtId="167" fontId="76" fillId="15" borderId="44" xfId="4" applyNumberFormat="1" applyFont="1" applyFill="1" applyBorder="1" applyAlignment="1" applyProtection="1">
      <alignment horizontal="center" vertical="center" wrapText="1"/>
      <protection hidden="1"/>
    </xf>
    <xf numFmtId="43" fontId="76" fillId="15" borderId="49" xfId="4" applyFont="1" applyFill="1" applyBorder="1" applyAlignment="1" applyProtection="1">
      <alignment horizontal="center" vertical="center" wrapText="1"/>
      <protection hidden="1"/>
    </xf>
    <xf numFmtId="0" fontId="33" fillId="28" borderId="0" xfId="0" applyFont="1" applyFill="1"/>
    <xf numFmtId="0" fontId="78" fillId="19" borderId="0" xfId="0" applyFont="1" applyFill="1" applyBorder="1"/>
    <xf numFmtId="0" fontId="67" fillId="7" borderId="0" xfId="0" applyFont="1" applyFill="1" applyBorder="1"/>
    <xf numFmtId="172" fontId="51"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9" borderId="1" xfId="0" applyFill="1" applyBorder="1" applyAlignment="1">
      <alignment horizontal="center" vertical="center" wrapText="1"/>
    </xf>
    <xf numFmtId="2" fontId="0" fillId="29" borderId="1" xfId="0" applyNumberFormat="1" applyFill="1" applyBorder="1"/>
    <xf numFmtId="0" fontId="0" fillId="29" borderId="0" xfId="0" applyFill="1"/>
    <xf numFmtId="9" fontId="0" fillId="29" borderId="0" xfId="0" applyNumberFormat="1" applyFill="1" applyAlignment="1">
      <alignment horizontal="center"/>
    </xf>
    <xf numFmtId="2" fontId="59" fillId="0" borderId="1" xfId="0" applyNumberFormat="1" applyFont="1" applyFill="1" applyBorder="1"/>
    <xf numFmtId="10" fontId="0" fillId="29" borderId="1" xfId="0" applyNumberFormat="1" applyFill="1" applyBorder="1"/>
    <xf numFmtId="0" fontId="73" fillId="0" borderId="0" xfId="0" applyFont="1"/>
    <xf numFmtId="2" fontId="33" fillId="0" borderId="0" xfId="0" applyNumberFormat="1" applyFont="1"/>
    <xf numFmtId="0" fontId="0" fillId="29"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9"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0" fontId="0" fillId="29" borderId="1" xfId="0" applyFill="1" applyBorder="1"/>
    <xf numFmtId="2" fontId="0" fillId="28" borderId="11" xfId="0" applyNumberFormat="1" applyFill="1" applyBorder="1"/>
    <xf numFmtId="43" fontId="18" fillId="30" borderId="24" xfId="4" applyNumberFormat="1" applyFont="1" applyFill="1" applyBorder="1" applyAlignment="1" applyProtection="1">
      <alignment vertical="center" wrapText="1"/>
      <protection hidden="1"/>
    </xf>
    <xf numFmtId="43" fontId="18" fillId="30" borderId="24" xfId="4" applyFont="1" applyFill="1" applyBorder="1" applyAlignment="1" applyProtection="1">
      <alignment vertical="center" wrapText="1"/>
      <protection hidden="1"/>
    </xf>
    <xf numFmtId="0" fontId="0" fillId="13" borderId="0" xfId="0" applyFill="1"/>
    <xf numFmtId="0" fontId="79" fillId="0" borderId="0" xfId="0" applyFont="1" applyBorder="1" applyAlignment="1" applyProtection="1">
      <alignment vertical="center"/>
      <protection hidden="1"/>
    </xf>
    <xf numFmtId="0" fontId="65" fillId="0" borderId="0" xfId="0" applyFont="1"/>
    <xf numFmtId="2"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64" fontId="0" fillId="24" borderId="1" xfId="1" applyNumberFormat="1" applyFont="1" applyFill="1" applyBorder="1"/>
    <xf numFmtId="0" fontId="0" fillId="22" borderId="0" xfId="0" applyFill="1"/>
    <xf numFmtId="43" fontId="0" fillId="3" borderId="0" xfId="0" applyNumberFormat="1" applyFill="1"/>
    <xf numFmtId="43" fontId="18" fillId="15" borderId="44" xfId="4" applyNumberFormat="1" applyFont="1" applyFill="1" applyBorder="1" applyAlignment="1" applyProtection="1">
      <alignment horizontal="center" vertical="center" wrapText="1"/>
      <protection hidden="1"/>
    </xf>
    <xf numFmtId="164" fontId="0" fillId="28" borderId="1" xfId="1" applyNumberFormat="1" applyFont="1" applyFill="1" applyBorder="1" applyAlignment="1">
      <alignment horizontal="center" vertical="center"/>
    </xf>
    <xf numFmtId="0" fontId="38" fillId="16" borderId="14" xfId="3" applyFont="1" applyFill="1" applyBorder="1" applyAlignment="1" applyProtection="1">
      <alignment vertical="center" wrapText="1"/>
      <protection hidden="1"/>
    </xf>
    <xf numFmtId="0" fontId="38" fillId="16" borderId="33" xfId="3" applyFont="1" applyFill="1" applyBorder="1" applyAlignment="1" applyProtection="1">
      <alignment vertical="center" wrapText="1"/>
      <protection hidden="1"/>
    </xf>
    <xf numFmtId="0" fontId="38" fillId="21" borderId="14" xfId="3" applyFont="1" applyFill="1" applyBorder="1" applyAlignment="1" applyProtection="1">
      <alignment vertical="center" wrapText="1"/>
      <protection hidden="1"/>
    </xf>
    <xf numFmtId="0" fontId="38" fillId="21" borderId="15" xfId="3" applyFont="1" applyFill="1" applyBorder="1" applyAlignment="1" applyProtection="1">
      <alignment vertical="center" wrapText="1"/>
      <protection hidden="1"/>
    </xf>
    <xf numFmtId="0" fontId="38" fillId="21" borderId="33" xfId="3" applyFont="1" applyFill="1" applyBorder="1" applyAlignment="1" applyProtection="1">
      <alignment vertical="center" wrapText="1"/>
      <protection hidden="1"/>
    </xf>
    <xf numFmtId="0" fontId="38" fillId="21" borderId="56" xfId="3" applyFont="1" applyFill="1" applyBorder="1" applyAlignment="1" applyProtection="1">
      <alignment vertical="center" wrapText="1"/>
      <protection hidden="1"/>
    </xf>
    <xf numFmtId="0" fontId="0" fillId="5" borderId="93" xfId="0" applyFill="1" applyBorder="1" applyAlignment="1">
      <alignment vertical="center"/>
    </xf>
    <xf numFmtId="0" fontId="0" fillId="3" borderId="93" xfId="0" applyFill="1" applyBorder="1" applyAlignment="1">
      <alignment horizontal="center" vertical="center" wrapText="1"/>
    </xf>
    <xf numFmtId="0" fontId="0" fillId="0" borderId="94" xfId="0" applyBorder="1" applyAlignment="1">
      <alignment horizontal="left" vertical="center"/>
    </xf>
    <xf numFmtId="0" fontId="0" fillId="0" borderId="93" xfId="0" applyBorder="1" applyAlignment="1">
      <alignment horizontal="center" vertical="center"/>
    </xf>
    <xf numFmtId="174" fontId="0" fillId="29" borderId="1" xfId="0" applyNumberFormat="1" applyFill="1" applyBorder="1"/>
    <xf numFmtId="175" fontId="0" fillId="29" borderId="1" xfId="0" applyNumberFormat="1" applyFill="1" applyBorder="1"/>
    <xf numFmtId="175" fontId="0" fillId="0" borderId="0" xfId="0" applyNumberFormat="1"/>
    <xf numFmtId="177" fontId="0" fillId="0" borderId="0" xfId="0" applyNumberFormat="1"/>
    <xf numFmtId="2" fontId="0" fillId="29" borderId="98" xfId="0" applyNumberFormat="1" applyFill="1" applyBorder="1"/>
    <xf numFmtId="174" fontId="73" fillId="3" borderId="1" xfId="0" applyNumberFormat="1" applyFont="1" applyFill="1" applyBorder="1"/>
    <xf numFmtId="2" fontId="73" fillId="3" borderId="1" xfId="0" applyNumberFormat="1" applyFont="1" applyFill="1" applyBorder="1"/>
    <xf numFmtId="0" fontId="80" fillId="0" borderId="0" xfId="0" applyFont="1"/>
    <xf numFmtId="9" fontId="80" fillId="0" borderId="0" xfId="0" applyNumberFormat="1" applyFont="1"/>
    <xf numFmtId="0" fontId="80" fillId="0" borderId="0" xfId="0" applyFont="1" applyAlignment="1">
      <alignment horizontal="center"/>
    </xf>
    <xf numFmtId="176" fontId="80" fillId="0" borderId="0" xfId="0" applyNumberFormat="1" applyFont="1"/>
    <xf numFmtId="0" fontId="81" fillId="0" borderId="94" xfId="0" applyFont="1" applyBorder="1" applyAlignment="1">
      <alignment horizontal="left" vertical="center"/>
    </xf>
    <xf numFmtId="0" fontId="0" fillId="28" borderId="93" xfId="0" applyFill="1" applyBorder="1" applyAlignment="1">
      <alignment vertical="center" wrapText="1"/>
    </xf>
    <xf numFmtId="0" fontId="39" fillId="0" borderId="0" xfId="3" applyFont="1" applyFill="1" applyBorder="1" applyAlignment="1" applyProtection="1">
      <alignment horizontal="justify" vertical="center" wrapText="1"/>
      <protection hidden="1"/>
    </xf>
    <xf numFmtId="175" fontId="0" fillId="7" borderId="88" xfId="0" applyNumberFormat="1" applyFill="1" applyBorder="1"/>
    <xf numFmtId="174" fontId="0" fillId="0" borderId="0" xfId="0" applyNumberFormat="1"/>
    <xf numFmtId="171" fontId="69" fillId="29" borderId="1" xfId="0" applyNumberFormat="1" applyFont="1" applyFill="1" applyBorder="1"/>
    <xf numFmtId="43" fontId="18" fillId="29" borderId="24" xfId="4" applyFont="1" applyFill="1" applyBorder="1" applyAlignment="1" applyProtection="1">
      <alignment horizontal="center" vertical="center" wrapText="1"/>
      <protection hidden="1"/>
    </xf>
    <xf numFmtId="43" fontId="18" fillId="29" borderId="23" xfId="4" applyFont="1" applyFill="1" applyBorder="1" applyAlignment="1" applyProtection="1">
      <alignment horizontal="right" vertical="center" wrapText="1"/>
      <protection hidden="1"/>
    </xf>
    <xf numFmtId="43" fontId="30" fillId="29" borderId="47" xfId="4" applyFont="1" applyFill="1" applyBorder="1" applyAlignment="1" applyProtection="1">
      <alignment horizontal="center" vertical="center" wrapText="1"/>
      <protection hidden="1"/>
    </xf>
    <xf numFmtId="43" fontId="18" fillId="29" borderId="47" xfId="4" applyFont="1" applyFill="1" applyBorder="1" applyAlignment="1" applyProtection="1">
      <alignment horizontal="center" vertical="center" wrapText="1"/>
      <protection hidden="1"/>
    </xf>
    <xf numFmtId="43" fontId="30" fillId="29" borderId="44" xfId="4" applyFont="1" applyFill="1" applyBorder="1" applyAlignment="1" applyProtection="1">
      <alignment horizontal="center" vertical="center" wrapText="1"/>
      <protection hidden="1"/>
    </xf>
    <xf numFmtId="43" fontId="41" fillId="29" borderId="44" xfId="4" applyFont="1" applyFill="1" applyBorder="1" applyAlignment="1" applyProtection="1">
      <alignment horizontal="center" vertical="center" wrapText="1"/>
      <protection hidden="1"/>
    </xf>
    <xf numFmtId="43" fontId="18" fillId="29" borderId="44" xfId="4" applyNumberFormat="1" applyFont="1" applyFill="1" applyBorder="1" applyAlignment="1" applyProtection="1">
      <alignment horizontal="center" vertical="center" wrapText="1"/>
      <protection hidden="1"/>
    </xf>
    <xf numFmtId="2" fontId="35" fillId="0" borderId="0" xfId="3" quotePrefix="1" applyNumberFormat="1" applyFont="1" applyFill="1" applyBorder="1" applyAlignment="1" applyProtection="1">
      <alignment vertical="center" wrapText="1"/>
      <protection hidden="1"/>
    </xf>
    <xf numFmtId="43" fontId="35" fillId="13" borderId="24" xfId="8" applyNumberFormat="1" applyFont="1" applyFill="1" applyBorder="1" applyAlignment="1" applyProtection="1">
      <alignment horizontal="center" vertical="center" wrapText="1"/>
      <protection hidden="1"/>
    </xf>
    <xf numFmtId="178" fontId="0" fillId="24" borderId="1" xfId="1" applyNumberFormat="1" applyFont="1" applyFill="1" applyBorder="1"/>
    <xf numFmtId="10"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0" fillId="29" borderId="1" xfId="0" applyNumberFormat="1" applyFill="1" applyBorder="1"/>
    <xf numFmtId="43" fontId="18" fillId="29" borderId="25" xfId="4" applyFont="1" applyFill="1" applyBorder="1" applyAlignment="1" applyProtection="1">
      <alignment horizontal="center" vertical="center" wrapText="1"/>
      <protection hidden="1"/>
    </xf>
    <xf numFmtId="2" fontId="20" fillId="0" borderId="24" xfId="0" applyNumberFormat="1" applyFont="1" applyBorder="1" applyAlignment="1" applyProtection="1">
      <alignment horizontal="right" vertical="center" wrapText="1"/>
      <protection hidden="1"/>
    </xf>
    <xf numFmtId="10" fontId="8" fillId="0" borderId="1" xfId="0" applyNumberFormat="1" applyFont="1" applyFill="1" applyBorder="1"/>
    <xf numFmtId="0" fontId="13" fillId="12" borderId="35" xfId="0"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164" fontId="0" fillId="0" borderId="1" xfId="1" applyNumberFormat="1" applyFont="1" applyFill="1" applyBorder="1" applyAlignment="1">
      <alignment horizontal="center"/>
    </xf>
    <xf numFmtId="164" fontId="73" fillId="20" borderId="1" xfId="1" applyNumberFormat="1" applyFont="1" applyFill="1" applyBorder="1"/>
    <xf numFmtId="0" fontId="86" fillId="0" borderId="1" xfId="0" applyFont="1" applyFill="1" applyBorder="1"/>
    <xf numFmtId="164" fontId="86" fillId="0" borderId="1" xfId="1" applyNumberFormat="1" applyFont="1" applyFill="1" applyBorder="1"/>
    <xf numFmtId="43" fontId="86" fillId="0" borderId="0" xfId="0" applyNumberFormat="1" applyFont="1" applyFill="1" applyBorder="1" applyAlignment="1">
      <alignment horizontal="center"/>
    </xf>
    <xf numFmtId="43" fontId="86" fillId="0" borderId="0" xfId="0" applyNumberFormat="1" applyFont="1" applyFill="1"/>
    <xf numFmtId="0" fontId="86" fillId="0" borderId="0" xfId="0" applyFont="1" applyFill="1"/>
    <xf numFmtId="171" fontId="67" fillId="19" borderId="0" xfId="0" applyNumberFormat="1" applyFont="1" applyFill="1" applyBorder="1"/>
    <xf numFmtId="0" fontId="67" fillId="19" borderId="0" xfId="0" applyFont="1" applyFill="1" applyBorder="1"/>
    <xf numFmtId="43" fontId="67" fillId="19" borderId="0" xfId="0" applyNumberFormat="1" applyFont="1" applyFill="1" applyBorder="1"/>
    <xf numFmtId="0" fontId="67" fillId="22" borderId="0" xfId="0" applyFont="1" applyFill="1" applyBorder="1"/>
    <xf numFmtId="43" fontId="67" fillId="22" borderId="0" xfId="0" applyNumberFormat="1" applyFont="1" applyFill="1" applyBorder="1"/>
    <xf numFmtId="171" fontId="67" fillId="22" borderId="0" xfId="0" applyNumberFormat="1" applyFont="1" applyFill="1" applyBorder="1"/>
    <xf numFmtId="43" fontId="67" fillId="26" borderId="0" xfId="0" applyNumberFormat="1" applyFont="1" applyFill="1" applyBorder="1"/>
    <xf numFmtId="0" fontId="67" fillId="26" borderId="0" xfId="0" applyFont="1" applyFill="1" applyBorder="1"/>
    <xf numFmtId="0" fontId="67" fillId="15" borderId="0" xfId="0" applyFont="1" applyFill="1" applyBorder="1"/>
    <xf numFmtId="43" fontId="67" fillId="15" borderId="0" xfId="0" applyNumberFormat="1" applyFont="1" applyFill="1" applyBorder="1"/>
    <xf numFmtId="171" fontId="67" fillId="15" borderId="0" xfId="0" applyNumberFormat="1" applyFont="1" applyFill="1" applyBorder="1"/>
    <xf numFmtId="0" fontId="35" fillId="3" borderId="0" xfId="3" quotePrefix="1" applyFont="1" applyFill="1" applyBorder="1" applyAlignment="1" applyProtection="1">
      <alignment vertical="center" wrapText="1"/>
      <protection hidden="1"/>
    </xf>
    <xf numFmtId="0" fontId="59" fillId="0" borderId="0" xfId="0" applyFont="1"/>
    <xf numFmtId="165" fontId="15" fillId="3" borderId="0" xfId="0" applyNumberFormat="1" applyFont="1" applyFill="1" applyBorder="1" applyAlignment="1" applyProtection="1">
      <alignment vertical="center"/>
      <protection hidden="1"/>
    </xf>
    <xf numFmtId="43" fontId="15" fillId="3" borderId="0" xfId="0" applyNumberFormat="1" applyFont="1" applyFill="1" applyBorder="1" applyAlignment="1" applyProtection="1">
      <alignment vertical="center"/>
      <protection hidden="1"/>
    </xf>
    <xf numFmtId="0" fontId="15" fillId="28" borderId="0" xfId="0" applyFont="1" applyFill="1" applyBorder="1" applyAlignment="1" applyProtection="1">
      <alignment vertical="center"/>
      <protection hidden="1"/>
    </xf>
    <xf numFmtId="0" fontId="0" fillId="28" borderId="0" xfId="0" applyFill="1"/>
    <xf numFmtId="43" fontId="0" fillId="28" borderId="0" xfId="0" applyNumberFormat="1" applyFill="1"/>
    <xf numFmtId="167" fontId="15" fillId="0" borderId="0" xfId="0" applyNumberFormat="1" applyFont="1" applyBorder="1" applyAlignment="1" applyProtection="1">
      <alignment vertical="center"/>
      <protection hidden="1"/>
    </xf>
    <xf numFmtId="2" fontId="0" fillId="3" borderId="0" xfId="0" applyNumberFormat="1" applyFill="1"/>
    <xf numFmtId="43" fontId="15" fillId="19" borderId="0" xfId="0" applyNumberFormat="1" applyFont="1" applyFill="1" applyBorder="1" applyAlignment="1" applyProtection="1">
      <alignment vertical="center"/>
      <protection hidden="1"/>
    </xf>
    <xf numFmtId="43" fontId="0" fillId="19" borderId="0" xfId="0" applyNumberFormat="1" applyFill="1"/>
    <xf numFmtId="0" fontId="0" fillId="19" borderId="0" xfId="0" applyFill="1"/>
    <xf numFmtId="9" fontId="0" fillId="28" borderId="0" xfId="0" applyNumberFormat="1" applyFill="1" applyAlignment="1">
      <alignment horizontal="center" vertical="center"/>
    </xf>
    <xf numFmtId="9" fontId="33" fillId="3" borderId="0" xfId="0" applyNumberFormat="1" applyFont="1" applyFill="1"/>
    <xf numFmtId="2" fontId="33" fillId="3" borderId="0" xfId="0" applyNumberFormat="1" applyFont="1" applyFill="1"/>
    <xf numFmtId="43" fontId="33" fillId="3" borderId="0" xfId="0" applyNumberFormat="1" applyFont="1" applyFill="1"/>
    <xf numFmtId="0" fontId="33" fillId="19" borderId="0" xfId="0" applyFont="1" applyFill="1"/>
    <xf numFmtId="9" fontId="33" fillId="19" borderId="0" xfId="0" applyNumberFormat="1" applyFont="1" applyFill="1"/>
    <xf numFmtId="2" fontId="33" fillId="19" borderId="0" xfId="0" applyNumberFormat="1" applyFont="1" applyFill="1"/>
    <xf numFmtId="43" fontId="33" fillId="19" borderId="0" xfId="0" applyNumberFormat="1" applyFont="1" applyFill="1"/>
    <xf numFmtId="43" fontId="33" fillId="28" borderId="0" xfId="0" applyNumberFormat="1" applyFont="1" applyFill="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24" xfId="3" applyFont="1" applyFill="1" applyBorder="1" applyAlignment="1" applyProtection="1">
      <alignment horizontal="center" vertical="center" wrapText="1"/>
      <protection hidden="1"/>
    </xf>
    <xf numFmtId="169" fontId="36" fillId="12" borderId="24" xfId="3" quotePrefix="1" applyNumberFormat="1" applyFont="1" applyFill="1" applyBorder="1" applyAlignment="1" applyProtection="1">
      <alignment horizontal="center" vertical="center" wrapText="1"/>
      <protection hidden="1"/>
    </xf>
    <xf numFmtId="164" fontId="66" fillId="19" borderId="1" xfId="1" applyNumberFormat="1" applyFont="1" applyFill="1" applyBorder="1" applyAlignment="1">
      <alignment horizontal="center" vertical="center" wrapText="1"/>
    </xf>
    <xf numFmtId="9" fontId="18" fillId="12" borderId="23" xfId="5" quotePrefix="1" applyFont="1" applyFill="1" applyBorder="1" applyAlignment="1" applyProtection="1">
      <alignment horizontal="center" vertical="center" wrapText="1"/>
      <protection hidden="1"/>
    </xf>
    <xf numFmtId="179" fontId="36" fillId="12" borderId="24" xfId="3" quotePrefix="1" applyNumberFormat="1" applyFont="1" applyFill="1" applyBorder="1" applyAlignment="1" applyProtection="1">
      <alignment horizontal="center" vertical="center" wrapText="1"/>
      <protection hidden="1"/>
    </xf>
    <xf numFmtId="0" fontId="0" fillId="0" borderId="1"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11" xfId="0" applyBorder="1" applyAlignment="1">
      <alignment horizontal="center"/>
    </xf>
    <xf numFmtId="0" fontId="0" fillId="0" borderId="1" xfId="0" applyBorder="1" applyAlignment="1">
      <alignment horizontal="center" vertical="center" wrapText="1"/>
    </xf>
    <xf numFmtId="0" fontId="0" fillId="3" borderId="1" xfId="0" applyFill="1"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29" borderId="11" xfId="0" applyFill="1" applyBorder="1" applyAlignment="1">
      <alignment horizontal="center"/>
    </xf>
    <xf numFmtId="0" fontId="0" fillId="29" borderId="1" xfId="0" applyFill="1" applyBorder="1" applyAlignment="1">
      <alignment horizontal="center"/>
    </xf>
    <xf numFmtId="0" fontId="0" fillId="29" borderId="1" xfId="0" applyFill="1" applyBorder="1" applyAlignment="1">
      <alignment horizontal="center" vertical="center" wrapText="1"/>
    </xf>
    <xf numFmtId="0" fontId="0" fillId="29" borderId="2" xfId="0" applyFill="1" applyBorder="1" applyAlignment="1">
      <alignment horizontal="center"/>
    </xf>
    <xf numFmtId="0" fontId="0" fillId="29" borderId="10" xfId="0" applyFill="1" applyBorder="1" applyAlignment="1">
      <alignment horizontal="center"/>
    </xf>
    <xf numFmtId="0" fontId="0" fillId="29" borderId="2" xfId="0" applyFill="1" applyBorder="1" applyAlignment="1">
      <alignment horizontal="center" vertical="center" wrapText="1"/>
    </xf>
    <xf numFmtId="0" fontId="0" fillId="29" borderId="11" xfId="0" applyFill="1" applyBorder="1" applyAlignment="1">
      <alignment horizontal="center" vertical="center" wrapText="1"/>
    </xf>
    <xf numFmtId="0" fontId="0" fillId="29" borderId="9" xfId="0" applyFill="1" applyBorder="1" applyAlignment="1">
      <alignment horizontal="center" vertical="center" wrapText="1"/>
    </xf>
    <xf numFmtId="0" fontId="0" fillId="29" borderId="12" xfId="0" applyFill="1" applyBorder="1" applyAlignment="1">
      <alignment horizontal="center" vertical="center" wrapText="1"/>
    </xf>
    <xf numFmtId="0" fontId="0" fillId="0" borderId="95"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27" fillId="0" borderId="0" xfId="3" applyFont="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2"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64" xfId="3" applyFont="1" applyFill="1" applyBorder="1" applyAlignment="1" applyProtection="1">
      <alignment horizontal="center" vertical="center" wrapText="1"/>
      <protection hidden="1"/>
    </xf>
    <xf numFmtId="0" fontId="36" fillId="12" borderId="56" xfId="3" applyFont="1" applyFill="1" applyBorder="1" applyAlignment="1" applyProtection="1">
      <alignment horizontal="center" vertical="center" wrapText="1"/>
      <protection hidden="1"/>
    </xf>
    <xf numFmtId="0" fontId="45"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16" borderId="15" xfId="3" applyFont="1" applyFill="1" applyBorder="1" applyAlignment="1" applyProtection="1">
      <alignment horizontal="center" vertical="center" wrapText="1"/>
      <protection hidden="1"/>
    </xf>
    <xf numFmtId="0" fontId="38" fillId="16" borderId="56"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83" fillId="0" borderId="0" xfId="3" applyFont="1" applyFill="1" applyBorder="1" applyAlignment="1" applyProtection="1">
      <alignment horizontal="left" vertical="center"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0"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5"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9</xdr:col>
      <xdr:colOff>633985</xdr:colOff>
      <xdr:row>0</xdr:row>
      <xdr:rowOff>0</xdr:rowOff>
    </xdr:from>
    <xdr:to>
      <xdr:col>13</xdr:col>
      <xdr:colOff>47625</xdr:colOff>
      <xdr:row>6</xdr:row>
      <xdr:rowOff>176515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377935" y="0"/>
          <a:ext cx="2690240" cy="1319515"/>
        </a:xfrm>
        <a:prstGeom prst="rect">
          <a:avLst/>
        </a:prstGeom>
      </xdr:spPr>
    </xdr:pic>
    <xdr:clientData/>
  </xdr:twoCellAnchor>
  <xdr:twoCellAnchor editAs="oneCell">
    <xdr:from>
      <xdr:col>3</xdr:col>
      <xdr:colOff>648257</xdr:colOff>
      <xdr:row>37</xdr:row>
      <xdr:rowOff>220597</xdr:rowOff>
    </xdr:from>
    <xdr:to>
      <xdr:col>8</xdr:col>
      <xdr:colOff>504825</xdr:colOff>
      <xdr:row>42</xdr:row>
      <xdr:rowOff>7161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020107" y="8240647"/>
          <a:ext cx="4342843" cy="1310564"/>
        </a:xfrm>
        <a:prstGeom prst="rect">
          <a:avLst/>
        </a:prstGeom>
      </xdr:spPr>
    </xdr:pic>
    <xdr:clientData/>
  </xdr:twoCellAnchor>
  <xdr:twoCellAnchor>
    <xdr:from>
      <xdr:col>4</xdr:col>
      <xdr:colOff>295275</xdr:colOff>
      <xdr:row>48</xdr:row>
      <xdr:rowOff>38099</xdr:rowOff>
    </xdr:from>
    <xdr:to>
      <xdr:col>8</xdr:col>
      <xdr:colOff>182173</xdr:colOff>
      <xdr:row>55</xdr:row>
      <xdr:rowOff>114460</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5136216" y="10903323"/>
          <a:ext cx="3847669" cy="1445516"/>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876300</xdr:colOff>
      <xdr:row>90</xdr:row>
      <xdr:rowOff>183834</xdr:rowOff>
    </xdr:from>
    <xdr:to>
      <xdr:col>5</xdr:col>
      <xdr:colOff>201247</xdr:colOff>
      <xdr:row>101</xdr:row>
      <xdr:rowOff>67207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76300" y="20033934"/>
          <a:ext cx="4535122" cy="1978873"/>
        </a:xfrm>
        <a:prstGeom prst="rect">
          <a:avLst/>
        </a:prstGeom>
      </xdr:spPr>
    </xdr:pic>
    <xdr:clientData/>
  </xdr:twoCellAnchor>
  <xdr:twoCellAnchor editAs="oneCell">
    <xdr:from>
      <xdr:col>47</xdr:col>
      <xdr:colOff>152400</xdr:colOff>
      <xdr:row>34</xdr:row>
      <xdr:rowOff>161925</xdr:rowOff>
    </xdr:from>
    <xdr:to>
      <xdr:col>49</xdr:col>
      <xdr:colOff>324087</xdr:colOff>
      <xdr:row>43</xdr:row>
      <xdr:rowOff>47955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38909625" y="7419975"/>
          <a:ext cx="1695687" cy="2362530"/>
        </a:xfrm>
        <a:prstGeom prst="rect">
          <a:avLst/>
        </a:prstGeom>
      </xdr:spPr>
    </xdr:pic>
    <xdr:clientData/>
  </xdr:twoCellAnchor>
  <xdr:twoCellAnchor editAs="oneCell">
    <xdr:from>
      <xdr:col>48</xdr:col>
      <xdr:colOff>619125</xdr:colOff>
      <xdr:row>34</xdr:row>
      <xdr:rowOff>161925</xdr:rowOff>
    </xdr:from>
    <xdr:to>
      <xdr:col>54</xdr:col>
      <xdr:colOff>324447</xdr:colOff>
      <xdr:row>43</xdr:row>
      <xdr:rowOff>57481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7"/>
        <a:stretch>
          <a:fillRect/>
        </a:stretch>
      </xdr:blipFill>
      <xdr:spPr>
        <a:xfrm>
          <a:off x="40138350" y="7419975"/>
          <a:ext cx="4277322" cy="23720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45554</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679174</xdr:colOff>
      <xdr:row>16</xdr:row>
      <xdr:rowOff>115957</xdr:rowOff>
    </xdr:from>
    <xdr:to>
      <xdr:col>7</xdr:col>
      <xdr:colOff>155523</xdr:colOff>
      <xdr:row>25</xdr:row>
      <xdr:rowOff>182881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79174" y="5276022"/>
          <a:ext cx="7535327" cy="1781424"/>
        </a:xfrm>
        <a:prstGeom prst="rect">
          <a:avLst/>
        </a:prstGeom>
      </xdr:spPr>
    </xdr:pic>
    <xdr:clientData/>
  </xdr:twoCellAnchor>
  <xdr:twoCellAnchor editAs="oneCell">
    <xdr:from>
      <xdr:col>0</xdr:col>
      <xdr:colOff>372717</xdr:colOff>
      <xdr:row>27</xdr:row>
      <xdr:rowOff>140804</xdr:rowOff>
    </xdr:from>
    <xdr:to>
      <xdr:col>8</xdr:col>
      <xdr:colOff>201646</xdr:colOff>
      <xdr:row>35</xdr:row>
      <xdr:rowOff>55280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72717" y="7396369"/>
          <a:ext cx="8649907" cy="1438476"/>
        </a:xfrm>
        <a:prstGeom prst="rect">
          <a:avLst/>
        </a:prstGeom>
      </xdr:spPr>
    </xdr:pic>
    <xdr:clientData/>
  </xdr:twoCellAnchor>
  <xdr:twoCellAnchor editAs="oneCell">
    <xdr:from>
      <xdr:col>0</xdr:col>
      <xdr:colOff>298174</xdr:colOff>
      <xdr:row>35</xdr:row>
      <xdr:rowOff>165652</xdr:rowOff>
    </xdr:from>
    <xdr:to>
      <xdr:col>8</xdr:col>
      <xdr:colOff>584367</xdr:colOff>
      <xdr:row>44</xdr:row>
      <xdr:rowOff>175418</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98174" y="8945217"/>
          <a:ext cx="9107171" cy="1724266"/>
        </a:xfrm>
        <a:prstGeom prst="rect">
          <a:avLst/>
        </a:prstGeom>
      </xdr:spPr>
    </xdr:pic>
    <xdr:clientData/>
  </xdr:twoCellAnchor>
  <xdr:twoCellAnchor editAs="oneCell">
    <xdr:from>
      <xdr:col>0</xdr:col>
      <xdr:colOff>438978</xdr:colOff>
      <xdr:row>46</xdr:row>
      <xdr:rowOff>132522</xdr:rowOff>
    </xdr:from>
    <xdr:to>
      <xdr:col>9</xdr:col>
      <xdr:colOff>144171</xdr:colOff>
      <xdr:row>58</xdr:row>
      <xdr:rowOff>113788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438978" y="11007587"/>
          <a:ext cx="9288171" cy="2267266"/>
        </a:xfrm>
        <a:prstGeom prst="rect">
          <a:avLst/>
        </a:prstGeom>
      </xdr:spPr>
    </xdr:pic>
    <xdr:clientData/>
  </xdr:twoCellAnchor>
  <xdr:twoCellAnchor editAs="oneCell">
    <xdr:from>
      <xdr:col>3</xdr:col>
      <xdr:colOff>24848</xdr:colOff>
      <xdr:row>62</xdr:row>
      <xdr:rowOff>163070</xdr:rowOff>
    </xdr:from>
    <xdr:to>
      <xdr:col>10</xdr:col>
      <xdr:colOff>462536</xdr:colOff>
      <xdr:row>64</xdr:row>
      <xdr:rowOff>157846</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3627783" y="14086135"/>
          <a:ext cx="7179731" cy="375776"/>
        </a:xfrm>
        <a:prstGeom prst="rect">
          <a:avLst/>
        </a:prstGeom>
      </xdr:spPr>
    </xdr:pic>
    <xdr:clientData/>
  </xdr:twoCellAnchor>
  <xdr:twoCellAnchor editAs="oneCell">
    <xdr:from>
      <xdr:col>3</xdr:col>
      <xdr:colOff>44577</xdr:colOff>
      <xdr:row>68</xdr:row>
      <xdr:rowOff>1504</xdr:rowOff>
    </xdr:from>
    <xdr:to>
      <xdr:col>10</xdr:col>
      <xdr:colOff>568339</xdr:colOff>
      <xdr:row>70</xdr:row>
      <xdr:rowOff>30487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4106971" y="13381381"/>
          <a:ext cx="8157014" cy="404863"/>
        </a:xfrm>
        <a:prstGeom prst="rect">
          <a:avLst/>
        </a:prstGeom>
      </xdr:spPr>
    </xdr:pic>
    <xdr:clientData/>
  </xdr:twoCellAnchor>
  <xdr:twoCellAnchor editAs="oneCell">
    <xdr:from>
      <xdr:col>3</xdr:col>
      <xdr:colOff>0</xdr:colOff>
      <xdr:row>60</xdr:row>
      <xdr:rowOff>1</xdr:rowOff>
    </xdr:from>
    <xdr:to>
      <xdr:col>9</xdr:col>
      <xdr:colOff>405848</xdr:colOff>
      <xdr:row>61</xdr:row>
      <xdr:rowOff>190385</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3602935" y="13542066"/>
          <a:ext cx="6385891" cy="380884"/>
        </a:xfrm>
        <a:prstGeom prst="rect">
          <a:avLst/>
        </a:prstGeom>
      </xdr:spPr>
    </xdr:pic>
    <xdr:clientData/>
  </xdr:twoCellAnchor>
  <xdr:twoCellAnchor editAs="oneCell">
    <xdr:from>
      <xdr:col>3</xdr:col>
      <xdr:colOff>49696</xdr:colOff>
      <xdr:row>65</xdr:row>
      <xdr:rowOff>41414</xdr:rowOff>
    </xdr:from>
    <xdr:to>
      <xdr:col>10</xdr:col>
      <xdr:colOff>364435</xdr:colOff>
      <xdr:row>67</xdr:row>
      <xdr:rowOff>145717</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652631" y="14535979"/>
          <a:ext cx="7056782" cy="485303"/>
        </a:xfrm>
        <a:prstGeom prst="rect">
          <a:avLst/>
        </a:prstGeom>
      </xdr:spPr>
    </xdr:pic>
    <xdr:clientData/>
  </xdr:twoCellAnchor>
  <xdr:twoCellAnchor editAs="oneCell">
    <xdr:from>
      <xdr:col>3</xdr:col>
      <xdr:colOff>65658</xdr:colOff>
      <xdr:row>71</xdr:row>
      <xdr:rowOff>26769</xdr:rowOff>
    </xdr:from>
    <xdr:to>
      <xdr:col>10</xdr:col>
      <xdr:colOff>787672</xdr:colOff>
      <xdr:row>74</xdr:row>
      <xdr:rowOff>136671</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4128052" y="13970466"/>
          <a:ext cx="8355266" cy="673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711011</xdr:colOff>
      <xdr:row>26</xdr:row>
      <xdr:rowOff>71178</xdr:rowOff>
    </xdr:from>
    <xdr:to>
      <xdr:col>17</xdr:col>
      <xdr:colOff>371439</xdr:colOff>
      <xdr:row>33</xdr:row>
      <xdr:rowOff>153755</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066468" y="4460961"/>
          <a:ext cx="1946428" cy="2081678"/>
        </a:xfrm>
        <a:prstGeom prst="rect">
          <a:avLst/>
        </a:prstGeom>
      </xdr:spPr>
    </xdr:pic>
    <xdr:clientData/>
  </xdr:twoCellAnchor>
  <xdr:twoCellAnchor editAs="oneCell">
    <xdr:from>
      <xdr:col>18</xdr:col>
      <xdr:colOff>39689</xdr:colOff>
      <xdr:row>26</xdr:row>
      <xdr:rowOff>21483</xdr:rowOff>
    </xdr:from>
    <xdr:to>
      <xdr:col>20</xdr:col>
      <xdr:colOff>138908</xdr:colOff>
      <xdr:row>33</xdr:row>
      <xdr:rowOff>157984</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14443146" y="4411266"/>
          <a:ext cx="1623218" cy="2135602"/>
        </a:xfrm>
        <a:prstGeom prst="rect">
          <a:avLst/>
        </a:prstGeom>
      </xdr:spPr>
    </xdr:pic>
    <xdr:clientData/>
  </xdr:twoCellAnchor>
  <xdr:twoCellAnchor editAs="oneCell">
    <xdr:from>
      <xdr:col>14</xdr:col>
      <xdr:colOff>697032</xdr:colOff>
      <xdr:row>34</xdr:row>
      <xdr:rowOff>120265</xdr:rowOff>
    </xdr:from>
    <xdr:to>
      <xdr:col>16</xdr:col>
      <xdr:colOff>597327</xdr:colOff>
      <xdr:row>36</xdr:row>
      <xdr:rowOff>70782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14</xdr:col>
      <xdr:colOff>736893</xdr:colOff>
      <xdr:row>36</xdr:row>
      <xdr:rowOff>105602</xdr:rowOff>
    </xdr:from>
    <xdr:to>
      <xdr:col>15</xdr:col>
      <xdr:colOff>736999</xdr:colOff>
      <xdr:row>43</xdr:row>
      <xdr:rowOff>36772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4</xdr:col>
      <xdr:colOff>83127</xdr:colOff>
      <xdr:row>50</xdr:row>
      <xdr:rowOff>2546</xdr:rowOff>
    </xdr:from>
    <xdr:to>
      <xdr:col>9</xdr:col>
      <xdr:colOff>372495</xdr:colOff>
      <xdr:row>68</xdr:row>
      <xdr:rowOff>125007</xdr:rowOff>
    </xdr:to>
    <xdr:pic>
      <xdr:nvPicPr>
        <xdr:cNvPr id="8" name="Imagen 7">
          <a:extLst>
            <a:ext uri="{FF2B5EF4-FFF2-40B4-BE49-F238E27FC236}">
              <a16:creationId xmlns:a16="http://schemas.microsoft.com/office/drawing/2014/main" id="{90F30618-C612-42C3-B48E-244E1D9CEFC5}"/>
            </a:ext>
          </a:extLst>
        </xdr:cNvPr>
        <xdr:cNvPicPr>
          <a:picLocks noChangeAspect="1"/>
        </xdr:cNvPicPr>
      </xdr:nvPicPr>
      <xdr:blipFill>
        <a:blip xmlns:r="http://schemas.openxmlformats.org/officeDocument/2006/relationships" r:embed="rId5"/>
        <a:stretch>
          <a:fillRect/>
        </a:stretch>
      </xdr:blipFill>
      <xdr:spPr>
        <a:xfrm>
          <a:off x="4779818" y="10252139"/>
          <a:ext cx="5376757" cy="3563930"/>
        </a:xfrm>
        <a:prstGeom prst="rect">
          <a:avLst/>
        </a:prstGeom>
      </xdr:spPr>
    </xdr:pic>
    <xdr:clientData/>
  </xdr:twoCellAnchor>
  <xdr:twoCellAnchor editAs="oneCell">
    <xdr:from>
      <xdr:col>5</xdr:col>
      <xdr:colOff>93531</xdr:colOff>
      <xdr:row>5</xdr:row>
      <xdr:rowOff>149629</xdr:rowOff>
    </xdr:from>
    <xdr:to>
      <xdr:col>8</xdr:col>
      <xdr:colOff>408289</xdr:colOff>
      <xdr:row>17</xdr:row>
      <xdr:rowOff>73938</xdr:rowOff>
    </xdr:to>
    <xdr:pic>
      <xdr:nvPicPr>
        <xdr:cNvPr id="6" name="Imagen 5">
          <a:extLst>
            <a:ext uri="{FF2B5EF4-FFF2-40B4-BE49-F238E27FC236}">
              <a16:creationId xmlns:a16="http://schemas.microsoft.com/office/drawing/2014/main" id="{1F406874-B17D-4249-9A26-31764CF0AF5F}"/>
            </a:ext>
          </a:extLst>
        </xdr:cNvPr>
        <xdr:cNvPicPr>
          <a:picLocks noChangeAspect="1"/>
        </xdr:cNvPicPr>
      </xdr:nvPicPr>
      <xdr:blipFill>
        <a:blip xmlns:r="http://schemas.openxmlformats.org/officeDocument/2006/relationships" r:embed="rId6"/>
        <a:stretch>
          <a:fillRect/>
        </a:stretch>
      </xdr:blipFill>
      <xdr:spPr>
        <a:xfrm>
          <a:off x="5638120" y="1105593"/>
          <a:ext cx="3706351" cy="22186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915272</xdr:colOff>
      <xdr:row>2</xdr:row>
      <xdr:rowOff>136915</xdr:rowOff>
    </xdr:from>
    <xdr:to>
      <xdr:col>11</xdr:col>
      <xdr:colOff>900499</xdr:colOff>
      <xdr:row>16</xdr:row>
      <xdr:rowOff>23314</xdr:rowOff>
    </xdr:to>
    <xdr:pic>
      <xdr:nvPicPr>
        <xdr:cNvPr id="2" name="Imagen 1">
          <a:extLst>
            <a:ext uri="{FF2B5EF4-FFF2-40B4-BE49-F238E27FC236}">
              <a16:creationId xmlns:a16="http://schemas.microsoft.com/office/drawing/2014/main" id="{59C6A3D9-830D-458F-A214-9030F5A507DB}"/>
            </a:ext>
          </a:extLst>
        </xdr:cNvPr>
        <xdr:cNvPicPr>
          <a:picLocks noChangeAspect="1"/>
        </xdr:cNvPicPr>
      </xdr:nvPicPr>
      <xdr:blipFill>
        <a:blip xmlns:r="http://schemas.openxmlformats.org/officeDocument/2006/relationships" r:embed="rId1"/>
        <a:stretch>
          <a:fillRect/>
        </a:stretch>
      </xdr:blipFill>
      <xdr:spPr>
        <a:xfrm>
          <a:off x="13697313" y="782374"/>
          <a:ext cx="5843254" cy="3700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647195</xdr:colOff>
      <xdr:row>65</xdr:row>
      <xdr:rowOff>57108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27</xdr:col>
      <xdr:colOff>750060</xdr:colOff>
      <xdr:row>22</xdr:row>
      <xdr:rowOff>124676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PRECIOS%2029%20de%20Junio%202021.xlsx?29D8C8B7" TargetMode="External"/><Relationship Id="rId1" Type="http://schemas.openxmlformats.org/officeDocument/2006/relationships/externalLinkPath" Target="file:///\\29D8C8B7\PRECIOS%2029%20de%20Junio%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Variables"/>
      <sheetName val="Resoluciones, leyes"/>
      <sheetName val="TARIFAS DE TRANSPORTE"/>
      <sheetName val="COMBUSTIBLES "/>
      <sheetName val="COMBUSTIBLES  CAUCA"/>
      <sheetName val="GASOLINA CORRIENTE OXIGENADA"/>
      <sheetName val="GASOLINA EXTRA OXIGENADA"/>
      <sheetName val="BIODIESEL"/>
      <sheetName val="SAN-ANDRES + GENERACION"/>
      <sheetName val="DIESEL MARINO"/>
      <sheetName val="GCINI"/>
    </sheetNames>
    <sheetDataSet>
      <sheetData sheetId="0"/>
      <sheetData sheetId="1">
        <row r="23">
          <cell r="C23">
            <v>1053.47</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row r="12">
          <cell r="C12" t="str">
            <v>(3)</v>
          </cell>
          <cell r="D12" t="str">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U90"/>
  <sheetViews>
    <sheetView topLeftCell="O37" zoomScale="85" zoomScaleNormal="85" workbookViewId="0">
      <selection activeCell="AA21" sqref="AA21"/>
    </sheetView>
  </sheetViews>
  <sheetFormatPr baseColWidth="10" defaultRowHeight="15.05" x14ac:dyDescent="0.3"/>
  <cols>
    <col min="1" max="1" width="23.77734375" customWidth="1"/>
    <col min="2" max="2" width="13.77734375" customWidth="1"/>
    <col min="3" max="3" width="13.109375" customWidth="1"/>
    <col min="4" max="4" width="14.109375" customWidth="1"/>
    <col min="5" max="7" width="13.33203125" customWidth="1"/>
    <col min="8" max="8" width="12.88671875" customWidth="1"/>
    <col min="9" max="9" width="13.21875" customWidth="1"/>
    <col min="10" max="10" width="11.33203125" customWidth="1"/>
    <col min="11" max="13" width="12.6640625" customWidth="1"/>
    <col min="14" max="22" width="11.33203125" customWidth="1"/>
    <col min="23" max="23" width="13.21875" customWidth="1"/>
    <col min="24" max="24" width="15.6640625" customWidth="1"/>
    <col min="25" max="25" width="11.33203125" customWidth="1"/>
    <col min="26" max="26" width="14.21875" customWidth="1"/>
    <col min="27" max="27" width="15" customWidth="1"/>
    <col min="28" max="31" width="11.33203125" customWidth="1"/>
  </cols>
  <sheetData>
    <row r="1" spans="1:28" x14ac:dyDescent="0.3">
      <c r="A1" s="19" t="s">
        <v>74</v>
      </c>
    </row>
    <row r="2" spans="1:28" x14ac:dyDescent="0.3">
      <c r="A2" s="20" t="s">
        <v>75</v>
      </c>
      <c r="B2" s="20"/>
      <c r="C2" s="20"/>
      <c r="D2" s="20"/>
    </row>
    <row r="4" spans="1:28" x14ac:dyDescent="0.3">
      <c r="B4" s="21">
        <v>2014</v>
      </c>
      <c r="C4" s="21">
        <v>2015</v>
      </c>
      <c r="D4" s="21">
        <v>2016</v>
      </c>
      <c r="E4" s="21">
        <v>2017</v>
      </c>
      <c r="F4" s="21">
        <v>2018</v>
      </c>
      <c r="G4" s="21">
        <v>2019</v>
      </c>
      <c r="H4" s="22">
        <v>2020</v>
      </c>
      <c r="I4" s="503">
        <v>2021</v>
      </c>
    </row>
    <row r="5" spans="1:28" x14ac:dyDescent="0.3">
      <c r="A5" s="22" t="s">
        <v>76</v>
      </c>
      <c r="B5" s="23">
        <v>1.9400000000000001E-2</v>
      </c>
      <c r="C5" s="23">
        <v>3.6600000000000001E-2</v>
      </c>
      <c r="D5" s="24">
        <v>6.7699999999999996E-2</v>
      </c>
      <c r="E5" s="24">
        <v>5.7500000000000002E-2</v>
      </c>
      <c r="F5" s="24">
        <v>4.0899999999999999E-2</v>
      </c>
      <c r="G5" s="24">
        <v>3.1800000000000002E-2</v>
      </c>
      <c r="H5" s="24">
        <v>3.7999999999999999E-2</v>
      </c>
      <c r="I5" s="477">
        <v>1.61E-2</v>
      </c>
    </row>
    <row r="6" spans="1:28" x14ac:dyDescent="0.3">
      <c r="A6" s="25" t="s">
        <v>77</v>
      </c>
      <c r="B6" s="26"/>
      <c r="C6" s="27"/>
      <c r="D6" s="24">
        <v>7.9299999999999995E-2</v>
      </c>
      <c r="E6" s="28"/>
      <c r="F6" s="28"/>
    </row>
    <row r="7" spans="1:28" x14ac:dyDescent="0.3">
      <c r="A7" s="28" t="s">
        <v>78</v>
      </c>
    </row>
    <row r="9" spans="1:28" x14ac:dyDescent="0.3">
      <c r="A9" s="19" t="s">
        <v>79</v>
      </c>
      <c r="H9" t="s">
        <v>491</v>
      </c>
      <c r="W9" s="543">
        <f>21.91*1.0161</f>
        <v>22.262751000000002</v>
      </c>
    </row>
    <row r="10" spans="1:28" ht="15.55" thickBot="1" x14ac:dyDescent="0.35"/>
    <row r="11" spans="1:28" x14ac:dyDescent="0.3">
      <c r="B11" s="613">
        <v>2013</v>
      </c>
      <c r="C11" s="613"/>
      <c r="D11" s="613"/>
      <c r="E11" s="613">
        <v>2014</v>
      </c>
      <c r="F11" s="613"/>
      <c r="G11" s="613"/>
      <c r="H11" s="613">
        <v>2015</v>
      </c>
      <c r="I11" s="613"/>
      <c r="J11" s="613"/>
      <c r="K11" s="613">
        <v>2016</v>
      </c>
      <c r="L11" s="613"/>
      <c r="M11" s="613"/>
      <c r="N11" s="613">
        <v>2017</v>
      </c>
      <c r="O11" s="613"/>
      <c r="P11" s="615"/>
      <c r="Q11" s="616">
        <v>2018</v>
      </c>
      <c r="R11" s="617"/>
      <c r="S11" s="618"/>
      <c r="T11" s="619">
        <v>2019</v>
      </c>
      <c r="U11" s="613"/>
      <c r="V11" s="615"/>
      <c r="W11" s="616">
        <v>2020</v>
      </c>
      <c r="X11" s="617"/>
      <c r="Y11" s="618"/>
      <c r="Z11" s="627">
        <v>2021</v>
      </c>
      <c r="AA11" s="628"/>
      <c r="AB11" s="628"/>
    </row>
    <row r="12" spans="1:28" s="30" customFormat="1" ht="30.15" x14ac:dyDescent="0.3">
      <c r="A12" s="29" t="s">
        <v>80</v>
      </c>
      <c r="B12" s="29" t="s">
        <v>81</v>
      </c>
      <c r="C12" s="29" t="s">
        <v>82</v>
      </c>
      <c r="D12" s="29" t="s">
        <v>83</v>
      </c>
      <c r="E12" s="29" t="s">
        <v>81</v>
      </c>
      <c r="F12" s="29" t="s">
        <v>82</v>
      </c>
      <c r="G12" s="29" t="s">
        <v>83</v>
      </c>
      <c r="H12" s="29" t="s">
        <v>81</v>
      </c>
      <c r="I12" s="29" t="s">
        <v>82</v>
      </c>
      <c r="J12" s="29" t="s">
        <v>83</v>
      </c>
      <c r="K12" s="29" t="s">
        <v>81</v>
      </c>
      <c r="L12" s="29" t="s">
        <v>82</v>
      </c>
      <c r="M12" s="29" t="s">
        <v>83</v>
      </c>
      <c r="N12" s="29" t="s">
        <v>81</v>
      </c>
      <c r="O12" s="29" t="s">
        <v>82</v>
      </c>
      <c r="P12" s="482" t="s">
        <v>83</v>
      </c>
      <c r="Q12" s="489" t="s">
        <v>81</v>
      </c>
      <c r="R12" s="481" t="s">
        <v>82</v>
      </c>
      <c r="S12" s="490" t="s">
        <v>83</v>
      </c>
      <c r="T12" s="483" t="s">
        <v>81</v>
      </c>
      <c r="U12" s="29" t="s">
        <v>82</v>
      </c>
      <c r="V12" s="482" t="s">
        <v>83</v>
      </c>
      <c r="W12" s="489" t="s">
        <v>81</v>
      </c>
      <c r="X12" s="481" t="s">
        <v>82</v>
      </c>
      <c r="Y12" s="490" t="s">
        <v>83</v>
      </c>
      <c r="Z12" s="480" t="s">
        <v>81</v>
      </c>
      <c r="AA12" s="472" t="s">
        <v>82</v>
      </c>
      <c r="AB12" s="472" t="s">
        <v>83</v>
      </c>
    </row>
    <row r="13" spans="1:28" x14ac:dyDescent="0.3">
      <c r="A13" s="22" t="s">
        <v>84</v>
      </c>
      <c r="B13" s="22">
        <v>16.47</v>
      </c>
      <c r="C13" s="22">
        <v>16.47</v>
      </c>
      <c r="D13" s="22">
        <v>0</v>
      </c>
      <c r="E13" s="31">
        <f>B13*(1+$B$5)</f>
        <v>16.789518000000001</v>
      </c>
      <c r="F13" s="31">
        <f t="shared" ref="F13:G20" si="0">C13*(1+$B$5)</f>
        <v>16.789518000000001</v>
      </c>
      <c r="G13" s="31">
        <f t="shared" si="0"/>
        <v>0</v>
      </c>
      <c r="H13" s="31">
        <f>E13*(1+$C$5)</f>
        <v>17.404014358800001</v>
      </c>
      <c r="I13" s="31">
        <f>F13*(1+$C$5)</f>
        <v>17.404014358800001</v>
      </c>
      <c r="J13" s="31">
        <f>G13*(1+$C$5)</f>
        <v>0</v>
      </c>
      <c r="K13" s="31">
        <f>H13*(1+$D$5)</f>
        <v>18.582266130890762</v>
      </c>
      <c r="L13" s="31">
        <f>I13*(1+$D$5)</f>
        <v>18.582266130890762</v>
      </c>
      <c r="M13" s="31">
        <f>J13*(1+$D$5)</f>
        <v>0</v>
      </c>
      <c r="N13" s="32">
        <f>K13*(1+$E$5)</f>
        <v>19.650746433416984</v>
      </c>
      <c r="O13" s="32">
        <f t="shared" ref="O13:P21" si="1">L13*(1+$E$5)</f>
        <v>19.650746433416984</v>
      </c>
      <c r="P13" s="496">
        <f t="shared" si="1"/>
        <v>0</v>
      </c>
      <c r="Q13" s="498">
        <f>N13*(1+$F$5)</f>
        <v>20.454461962543736</v>
      </c>
      <c r="R13" s="33">
        <f>O13*(1+$F$5)</f>
        <v>20.454461962543736</v>
      </c>
      <c r="S13" s="499">
        <f>P13*(1+$F$5)</f>
        <v>0</v>
      </c>
      <c r="T13" s="497">
        <f t="shared" ref="T13:V21" si="2">Q13*(1+$G$5)</f>
        <v>21.104913852952627</v>
      </c>
      <c r="U13" s="34">
        <f t="shared" si="2"/>
        <v>21.104913852952627</v>
      </c>
      <c r="V13" s="487">
        <f t="shared" si="2"/>
        <v>0</v>
      </c>
      <c r="W13" s="542">
        <f t="shared" ref="W13:W21" si="3">T13*(1+$H$5)</f>
        <v>21.906900579364827</v>
      </c>
      <c r="X13" s="34">
        <f t="shared" ref="X13:X21" si="4">U13*(1+$H$5)</f>
        <v>21.906900579364827</v>
      </c>
      <c r="Y13" s="492">
        <f t="shared" ref="Y13:Y21" si="5">V13*(1+$G$5)</f>
        <v>0</v>
      </c>
      <c r="Z13" s="488">
        <f>W13*(1+$I$5)-0.01</f>
        <v>22.249601678692599</v>
      </c>
      <c r="AA13" s="473">
        <f>X13*(1+$I$5)-0.01</f>
        <v>22.249601678692599</v>
      </c>
      <c r="AB13" s="471"/>
    </row>
    <row r="14" spans="1:28" x14ac:dyDescent="0.3">
      <c r="A14" s="22" t="s">
        <v>85</v>
      </c>
      <c r="B14" s="22">
        <v>7.62</v>
      </c>
      <c r="C14" s="22">
        <v>16.47</v>
      </c>
      <c r="D14" s="22">
        <v>0</v>
      </c>
      <c r="E14" s="31">
        <f t="shared" ref="E14:E20" si="6">B14*(1+$B$5)</f>
        <v>7.7678280000000006</v>
      </c>
      <c r="F14" s="31">
        <f t="shared" si="0"/>
        <v>16.789518000000001</v>
      </c>
      <c r="G14" s="31">
        <f t="shared" si="0"/>
        <v>0</v>
      </c>
      <c r="H14" s="31">
        <f t="shared" ref="H14:J20" si="7">E14*(1+$C$5)</f>
        <v>8.0521305048000009</v>
      </c>
      <c r="I14" s="31">
        <f t="shared" si="7"/>
        <v>17.404014358800001</v>
      </c>
      <c r="J14" s="31">
        <f t="shared" si="7"/>
        <v>0</v>
      </c>
      <c r="K14" s="31">
        <f t="shared" ref="K14:M20" si="8">H14*(1+$D$5)</f>
        <v>8.5972597399749624</v>
      </c>
      <c r="L14" s="31">
        <f t="shared" si="8"/>
        <v>18.582266130890762</v>
      </c>
      <c r="M14" s="31">
        <f t="shared" si="8"/>
        <v>0</v>
      </c>
      <c r="N14" s="32">
        <f t="shared" ref="N14:N21" si="9">K14*(1+$E$5)</f>
        <v>9.0916021750235245</v>
      </c>
      <c r="O14" s="32">
        <f t="shared" si="1"/>
        <v>19.650746433416984</v>
      </c>
      <c r="P14" s="496">
        <f t="shared" si="1"/>
        <v>0</v>
      </c>
      <c r="Q14" s="498">
        <f t="shared" ref="Q14:S21" si="10">N14*(1+$F$5)</f>
        <v>9.4634487039819852</v>
      </c>
      <c r="R14" s="33">
        <f t="shared" si="10"/>
        <v>20.454461962543736</v>
      </c>
      <c r="S14" s="499">
        <f t="shared" si="10"/>
        <v>0</v>
      </c>
      <c r="T14" s="497">
        <f t="shared" si="2"/>
        <v>9.7643863727686124</v>
      </c>
      <c r="U14" s="34">
        <f t="shared" si="2"/>
        <v>21.104913852952627</v>
      </c>
      <c r="V14" s="487">
        <f t="shared" si="2"/>
        <v>0</v>
      </c>
      <c r="W14" s="491">
        <f t="shared" si="3"/>
        <v>10.13543305493382</v>
      </c>
      <c r="X14" s="34">
        <f t="shared" si="4"/>
        <v>21.906900579364827</v>
      </c>
      <c r="Y14" s="492">
        <f t="shared" si="5"/>
        <v>0</v>
      </c>
      <c r="Z14" s="504">
        <f>W14*(1+$I$5)-0.01</f>
        <v>10.288613527118255</v>
      </c>
      <c r="AA14" s="473">
        <f>X14*(1+$I$5)-0.01</f>
        <v>22.249601678692599</v>
      </c>
      <c r="AB14" s="471"/>
    </row>
    <row r="15" spans="1:28" x14ac:dyDescent="0.3">
      <c r="A15" s="22" t="s">
        <v>86</v>
      </c>
      <c r="B15" s="22">
        <v>16.47</v>
      </c>
      <c r="C15" s="22">
        <v>16.47</v>
      </c>
      <c r="D15" s="22">
        <v>0</v>
      </c>
      <c r="E15" s="31">
        <f t="shared" si="6"/>
        <v>16.789518000000001</v>
      </c>
      <c r="F15" s="31">
        <f t="shared" si="0"/>
        <v>16.789518000000001</v>
      </c>
      <c r="G15" s="31">
        <f t="shared" si="0"/>
        <v>0</v>
      </c>
      <c r="H15" s="31">
        <f t="shared" si="7"/>
        <v>17.404014358800001</v>
      </c>
      <c r="I15" s="31">
        <f t="shared" si="7"/>
        <v>17.404014358800001</v>
      </c>
      <c r="J15" s="31">
        <f t="shared" si="7"/>
        <v>0</v>
      </c>
      <c r="K15" s="31">
        <f t="shared" si="8"/>
        <v>18.582266130890762</v>
      </c>
      <c r="L15" s="31">
        <f t="shared" si="8"/>
        <v>18.582266130890762</v>
      </c>
      <c r="M15" s="31">
        <f t="shared" si="8"/>
        <v>0</v>
      </c>
      <c r="N15" s="32">
        <f t="shared" si="9"/>
        <v>19.650746433416984</v>
      </c>
      <c r="O15" s="32">
        <f t="shared" si="1"/>
        <v>19.650746433416984</v>
      </c>
      <c r="P15" s="496">
        <f t="shared" si="1"/>
        <v>0</v>
      </c>
      <c r="Q15" s="498">
        <f t="shared" si="10"/>
        <v>20.454461962543736</v>
      </c>
      <c r="R15" s="33">
        <f t="shared" si="10"/>
        <v>20.454461962543736</v>
      </c>
      <c r="S15" s="499">
        <f t="shared" si="10"/>
        <v>0</v>
      </c>
      <c r="T15" s="497">
        <f t="shared" si="2"/>
        <v>21.104913852952627</v>
      </c>
      <c r="U15" s="34">
        <f t="shared" si="2"/>
        <v>21.104913852952627</v>
      </c>
      <c r="V15" s="487">
        <f t="shared" si="2"/>
        <v>0</v>
      </c>
      <c r="W15" s="491">
        <f t="shared" si="3"/>
        <v>21.906900579364827</v>
      </c>
      <c r="X15" s="34">
        <f t="shared" si="4"/>
        <v>21.906900579364827</v>
      </c>
      <c r="Y15" s="492">
        <f t="shared" si="5"/>
        <v>0</v>
      </c>
      <c r="Z15" s="488">
        <f>W15*(1+$I$5)-0.01</f>
        <v>22.249601678692599</v>
      </c>
      <c r="AA15" s="473">
        <f>X15*(1+$I$5)-0.01</f>
        <v>22.249601678692599</v>
      </c>
      <c r="AB15" s="471"/>
    </row>
    <row r="16" spans="1:28" x14ac:dyDescent="0.3">
      <c r="A16" s="22" t="s">
        <v>87</v>
      </c>
      <c r="B16" s="22">
        <v>7.62</v>
      </c>
      <c r="C16" s="22">
        <v>16.47</v>
      </c>
      <c r="D16" s="22">
        <v>0</v>
      </c>
      <c r="E16" s="31">
        <f t="shared" si="6"/>
        <v>7.7678280000000006</v>
      </c>
      <c r="F16" s="31">
        <f t="shared" si="0"/>
        <v>16.789518000000001</v>
      </c>
      <c r="G16" s="31">
        <f t="shared" si="0"/>
        <v>0</v>
      </c>
      <c r="H16" s="31">
        <f t="shared" si="7"/>
        <v>8.0521305048000009</v>
      </c>
      <c r="I16" s="31">
        <f t="shared" si="7"/>
        <v>17.404014358800001</v>
      </c>
      <c r="J16" s="31">
        <f t="shared" si="7"/>
        <v>0</v>
      </c>
      <c r="K16" s="31">
        <f t="shared" si="8"/>
        <v>8.5972597399749624</v>
      </c>
      <c r="L16" s="31">
        <f t="shared" si="8"/>
        <v>18.582266130890762</v>
      </c>
      <c r="M16" s="31">
        <f t="shared" si="8"/>
        <v>0</v>
      </c>
      <c r="N16" s="32">
        <f t="shared" si="9"/>
        <v>9.0916021750235245</v>
      </c>
      <c r="O16" s="32">
        <f t="shared" si="1"/>
        <v>19.650746433416984</v>
      </c>
      <c r="P16" s="496">
        <f t="shared" si="1"/>
        <v>0</v>
      </c>
      <c r="Q16" s="498">
        <f t="shared" si="10"/>
        <v>9.4634487039819852</v>
      </c>
      <c r="R16" s="33">
        <f t="shared" si="10"/>
        <v>20.454461962543736</v>
      </c>
      <c r="S16" s="499">
        <f t="shared" si="10"/>
        <v>0</v>
      </c>
      <c r="T16" s="497">
        <f t="shared" si="2"/>
        <v>9.7643863727686124</v>
      </c>
      <c r="U16" s="34">
        <f t="shared" si="2"/>
        <v>21.104913852952627</v>
      </c>
      <c r="V16" s="487">
        <f t="shared" si="2"/>
        <v>0</v>
      </c>
      <c r="W16" s="491">
        <f t="shared" si="3"/>
        <v>10.13543305493382</v>
      </c>
      <c r="X16" s="34">
        <f t="shared" si="4"/>
        <v>21.906900579364827</v>
      </c>
      <c r="Y16" s="492">
        <f t="shared" si="5"/>
        <v>0</v>
      </c>
      <c r="Z16" s="504">
        <f>W16*(1+$I$5)-0.01</f>
        <v>10.288613527118255</v>
      </c>
      <c r="AA16" s="473">
        <f>X16*(1+$I$5)-0.01</f>
        <v>22.249601678692599</v>
      </c>
      <c r="AB16" s="471"/>
    </row>
    <row r="17" spans="1:46" x14ac:dyDescent="0.3">
      <c r="A17" s="22" t="s">
        <v>88</v>
      </c>
      <c r="B17" s="22">
        <v>16.47</v>
      </c>
      <c r="C17" s="22">
        <v>16.47</v>
      </c>
      <c r="D17" s="22">
        <v>16.47</v>
      </c>
      <c r="E17" s="31">
        <f t="shared" si="6"/>
        <v>16.789518000000001</v>
      </c>
      <c r="F17" s="31">
        <f t="shared" si="0"/>
        <v>16.789518000000001</v>
      </c>
      <c r="G17" s="31">
        <f t="shared" si="0"/>
        <v>16.789518000000001</v>
      </c>
      <c r="H17" s="31">
        <f t="shared" si="7"/>
        <v>17.404014358800001</v>
      </c>
      <c r="I17" s="31">
        <f t="shared" si="7"/>
        <v>17.404014358800001</v>
      </c>
      <c r="J17" s="31">
        <f t="shared" si="7"/>
        <v>17.404014358800001</v>
      </c>
      <c r="K17" s="31">
        <f t="shared" si="8"/>
        <v>18.582266130890762</v>
      </c>
      <c r="L17" s="31">
        <f t="shared" si="8"/>
        <v>18.582266130890762</v>
      </c>
      <c r="M17" s="31">
        <f t="shared" si="8"/>
        <v>18.582266130890762</v>
      </c>
      <c r="N17" s="32">
        <f t="shared" si="9"/>
        <v>19.650746433416984</v>
      </c>
      <c r="O17" s="32">
        <f t="shared" si="1"/>
        <v>19.650746433416984</v>
      </c>
      <c r="P17" s="496">
        <f t="shared" si="1"/>
        <v>19.650746433416984</v>
      </c>
      <c r="Q17" s="498">
        <f t="shared" si="10"/>
        <v>20.454461962543736</v>
      </c>
      <c r="R17" s="33">
        <f t="shared" si="10"/>
        <v>20.454461962543736</v>
      </c>
      <c r="S17" s="499">
        <f t="shared" si="10"/>
        <v>20.454461962543736</v>
      </c>
      <c r="T17" s="497">
        <f t="shared" si="2"/>
        <v>21.104913852952627</v>
      </c>
      <c r="U17" s="34">
        <f t="shared" si="2"/>
        <v>21.104913852952627</v>
      </c>
      <c r="V17" s="487">
        <f t="shared" si="2"/>
        <v>21.104913852952627</v>
      </c>
      <c r="W17" s="491">
        <f t="shared" si="3"/>
        <v>21.906900579364827</v>
      </c>
      <c r="X17" s="34">
        <f t="shared" si="4"/>
        <v>21.906900579364827</v>
      </c>
      <c r="Y17" s="492">
        <f t="shared" si="5"/>
        <v>21.776050113476522</v>
      </c>
      <c r="Z17" s="488">
        <f>W17*(1+$I$5)-0.01</f>
        <v>22.249601678692599</v>
      </c>
      <c r="AA17" s="473">
        <f>X17*(1+$I$5)-0.01</f>
        <v>22.249601678692599</v>
      </c>
      <c r="AB17" s="471"/>
    </row>
    <row r="18" spans="1:46" x14ac:dyDescent="0.3">
      <c r="A18" s="22" t="s">
        <v>89</v>
      </c>
      <c r="B18" s="22">
        <v>11.21</v>
      </c>
      <c r="C18" s="22">
        <v>16.47</v>
      </c>
      <c r="D18" s="22">
        <v>0</v>
      </c>
      <c r="E18" s="31">
        <f t="shared" si="6"/>
        <v>11.427474000000002</v>
      </c>
      <c r="F18" s="31">
        <f t="shared" si="0"/>
        <v>16.789518000000001</v>
      </c>
      <c r="G18" s="31">
        <f t="shared" si="0"/>
        <v>0</v>
      </c>
      <c r="H18" s="31">
        <f t="shared" si="7"/>
        <v>11.845719548400002</v>
      </c>
      <c r="I18" s="31">
        <f t="shared" si="7"/>
        <v>17.404014358800001</v>
      </c>
      <c r="J18" s="31">
        <f t="shared" si="7"/>
        <v>0</v>
      </c>
      <c r="K18" s="31">
        <f t="shared" si="8"/>
        <v>12.647674761826684</v>
      </c>
      <c r="L18" s="31">
        <f t="shared" si="8"/>
        <v>18.582266130890762</v>
      </c>
      <c r="M18" s="31">
        <f t="shared" si="8"/>
        <v>0</v>
      </c>
      <c r="N18" s="32">
        <f t="shared" si="9"/>
        <v>13.374916060631719</v>
      </c>
      <c r="O18" s="32">
        <f t="shared" si="1"/>
        <v>19.650746433416984</v>
      </c>
      <c r="P18" s="496">
        <f t="shared" si="1"/>
        <v>0</v>
      </c>
      <c r="Q18" s="498">
        <f t="shared" si="10"/>
        <v>13.921950127511556</v>
      </c>
      <c r="R18" s="33">
        <f t="shared" si="10"/>
        <v>20.454461962543736</v>
      </c>
      <c r="S18" s="499">
        <f t="shared" si="10"/>
        <v>0</v>
      </c>
      <c r="T18" s="497">
        <f t="shared" si="2"/>
        <v>14.364668141566424</v>
      </c>
      <c r="U18" s="34">
        <f t="shared" si="2"/>
        <v>21.104913852952627</v>
      </c>
      <c r="V18" s="487">
        <f t="shared" si="2"/>
        <v>0</v>
      </c>
      <c r="W18" s="491">
        <f t="shared" si="3"/>
        <v>14.910525530945948</v>
      </c>
      <c r="X18" s="34">
        <f t="shared" si="4"/>
        <v>21.906900579364827</v>
      </c>
      <c r="Y18" s="492">
        <f t="shared" si="5"/>
        <v>0</v>
      </c>
      <c r="Z18" s="504">
        <f t="shared" ref="Z18" si="11">W18*(1+$I$5)</f>
        <v>15.150584991994178</v>
      </c>
      <c r="AA18" s="473">
        <f>X18*(1+$I$5)-0.01</f>
        <v>22.249601678692599</v>
      </c>
      <c r="AB18" s="471"/>
    </row>
    <row r="19" spans="1:46" x14ac:dyDescent="0.3">
      <c r="A19" s="22" t="s">
        <v>90</v>
      </c>
      <c r="B19" s="22">
        <v>16.47</v>
      </c>
      <c r="C19" s="22">
        <v>16.47</v>
      </c>
      <c r="D19" s="22">
        <v>0</v>
      </c>
      <c r="E19" s="31">
        <f t="shared" si="6"/>
        <v>16.789518000000001</v>
      </c>
      <c r="F19" s="31">
        <f t="shared" si="0"/>
        <v>16.789518000000001</v>
      </c>
      <c r="G19" s="31">
        <f t="shared" si="0"/>
        <v>0</v>
      </c>
      <c r="H19" s="31">
        <f t="shared" si="7"/>
        <v>17.404014358800001</v>
      </c>
      <c r="I19" s="31">
        <f t="shared" si="7"/>
        <v>17.404014358800001</v>
      </c>
      <c r="J19" s="31">
        <f t="shared" si="7"/>
        <v>0</v>
      </c>
      <c r="K19" s="31">
        <f t="shared" si="8"/>
        <v>18.582266130890762</v>
      </c>
      <c r="L19" s="31">
        <f t="shared" si="8"/>
        <v>18.582266130890762</v>
      </c>
      <c r="M19" s="31">
        <f t="shared" si="8"/>
        <v>0</v>
      </c>
      <c r="N19" s="32">
        <f t="shared" si="9"/>
        <v>19.650746433416984</v>
      </c>
      <c r="O19" s="32">
        <f t="shared" si="1"/>
        <v>19.650746433416984</v>
      </c>
      <c r="P19" s="496">
        <f t="shared" si="1"/>
        <v>0</v>
      </c>
      <c r="Q19" s="498">
        <f t="shared" si="10"/>
        <v>20.454461962543736</v>
      </c>
      <c r="R19" s="33">
        <f t="shared" si="10"/>
        <v>20.454461962543736</v>
      </c>
      <c r="S19" s="499">
        <f t="shared" si="10"/>
        <v>0</v>
      </c>
      <c r="T19" s="497">
        <f t="shared" si="2"/>
        <v>21.104913852952627</v>
      </c>
      <c r="U19" s="34">
        <f t="shared" si="2"/>
        <v>21.104913852952627</v>
      </c>
      <c r="V19" s="487">
        <f t="shared" si="2"/>
        <v>0</v>
      </c>
      <c r="W19" s="491">
        <f t="shared" si="3"/>
        <v>21.906900579364827</v>
      </c>
      <c r="X19" s="34">
        <f t="shared" si="4"/>
        <v>21.906900579364827</v>
      </c>
      <c r="Y19" s="492">
        <f t="shared" si="5"/>
        <v>0</v>
      </c>
      <c r="Z19" s="488">
        <f>W19*(1+$I$5)-0.01</f>
        <v>22.249601678692599</v>
      </c>
      <c r="AA19" s="473">
        <f>X19*(1+$I$5)-0.01</f>
        <v>22.249601678692599</v>
      </c>
      <c r="AB19" s="471"/>
    </row>
    <row r="20" spans="1:46" x14ac:dyDescent="0.3">
      <c r="A20" s="22" t="s">
        <v>91</v>
      </c>
      <c r="B20" s="22">
        <v>7.62</v>
      </c>
      <c r="C20" s="22">
        <v>16.47</v>
      </c>
      <c r="D20" s="22">
        <v>0</v>
      </c>
      <c r="E20" s="31">
        <f t="shared" si="6"/>
        <v>7.7678280000000006</v>
      </c>
      <c r="F20" s="31">
        <f t="shared" si="0"/>
        <v>16.789518000000001</v>
      </c>
      <c r="G20" s="31">
        <f t="shared" si="0"/>
        <v>0</v>
      </c>
      <c r="H20" s="31">
        <f t="shared" si="7"/>
        <v>8.0521305048000009</v>
      </c>
      <c r="I20" s="31">
        <f t="shared" si="7"/>
        <v>17.404014358800001</v>
      </c>
      <c r="J20" s="31">
        <f t="shared" si="7"/>
        <v>0</v>
      </c>
      <c r="K20" s="31">
        <f t="shared" si="8"/>
        <v>8.5972597399749624</v>
      </c>
      <c r="L20" s="31">
        <f t="shared" si="8"/>
        <v>18.582266130890762</v>
      </c>
      <c r="M20" s="31">
        <f t="shared" si="8"/>
        <v>0</v>
      </c>
      <c r="N20" s="32">
        <f t="shared" si="9"/>
        <v>9.0916021750235245</v>
      </c>
      <c r="O20" s="32">
        <f t="shared" si="1"/>
        <v>19.650746433416984</v>
      </c>
      <c r="P20" s="496">
        <f t="shared" si="1"/>
        <v>0</v>
      </c>
      <c r="Q20" s="498">
        <f t="shared" si="10"/>
        <v>9.4634487039819852</v>
      </c>
      <c r="R20" s="33">
        <f t="shared" si="10"/>
        <v>20.454461962543736</v>
      </c>
      <c r="S20" s="499">
        <f t="shared" si="10"/>
        <v>0</v>
      </c>
      <c r="T20" s="497">
        <f t="shared" si="2"/>
        <v>9.7643863727686124</v>
      </c>
      <c r="U20" s="34">
        <f t="shared" si="2"/>
        <v>21.104913852952627</v>
      </c>
      <c r="V20" s="487">
        <f t="shared" si="2"/>
        <v>0</v>
      </c>
      <c r="W20" s="491">
        <f t="shared" si="3"/>
        <v>10.13543305493382</v>
      </c>
      <c r="X20" s="34">
        <f t="shared" si="4"/>
        <v>21.906900579364827</v>
      </c>
      <c r="Y20" s="492">
        <f t="shared" si="5"/>
        <v>0</v>
      </c>
      <c r="Z20" s="504">
        <f>W20*(1+$I$5)-0.01</f>
        <v>10.288613527118255</v>
      </c>
      <c r="AA20" s="473">
        <f>X20*(1+$I$5)-0.01</f>
        <v>22.249601678692599</v>
      </c>
      <c r="AB20" s="471"/>
    </row>
    <row r="21" spans="1:46" ht="15.55" thickBot="1" x14ac:dyDescent="0.35">
      <c r="A21" s="22" t="s">
        <v>92</v>
      </c>
      <c r="B21" s="22"/>
      <c r="C21" s="22"/>
      <c r="D21" s="22"/>
      <c r="E21" s="31"/>
      <c r="F21" s="31"/>
      <c r="G21" s="31"/>
      <c r="H21" s="31"/>
      <c r="I21" s="31"/>
      <c r="J21" s="31"/>
      <c r="K21" s="31">
        <f>K13</f>
        <v>18.582266130890762</v>
      </c>
      <c r="L21" s="31">
        <f>L13</f>
        <v>18.582266130890762</v>
      </c>
      <c r="M21" s="31">
        <f>M13</f>
        <v>0</v>
      </c>
      <c r="N21" s="32">
        <f t="shared" si="9"/>
        <v>19.650746433416984</v>
      </c>
      <c r="O21" s="32">
        <f t="shared" si="1"/>
        <v>19.650746433416984</v>
      </c>
      <c r="P21" s="496">
        <f t="shared" si="1"/>
        <v>0</v>
      </c>
      <c r="Q21" s="500">
        <f t="shared" si="10"/>
        <v>20.454461962543736</v>
      </c>
      <c r="R21" s="501">
        <f t="shared" si="10"/>
        <v>20.454461962543736</v>
      </c>
      <c r="S21" s="502">
        <f t="shared" si="10"/>
        <v>0</v>
      </c>
      <c r="T21" s="497">
        <f t="shared" si="2"/>
        <v>21.104913852952627</v>
      </c>
      <c r="U21" s="34">
        <f t="shared" si="2"/>
        <v>21.104913852952627</v>
      </c>
      <c r="V21" s="487">
        <f t="shared" si="2"/>
        <v>0</v>
      </c>
      <c r="W21" s="493">
        <f t="shared" si="3"/>
        <v>21.906900579364827</v>
      </c>
      <c r="X21" s="494">
        <f t="shared" si="4"/>
        <v>21.906900579364827</v>
      </c>
      <c r="Y21" s="495">
        <f t="shared" si="5"/>
        <v>0</v>
      </c>
      <c r="Z21" s="488">
        <f>W21*(1+$I$5)-0.01</f>
        <v>22.249601678692599</v>
      </c>
      <c r="AA21" s="473">
        <f>X21*(1+$I$5)-0.01</f>
        <v>22.249601678692599</v>
      </c>
      <c r="AB21" s="471"/>
    </row>
    <row r="23" spans="1:46" x14ac:dyDescent="0.3">
      <c r="A23" s="19" t="s">
        <v>93</v>
      </c>
    </row>
    <row r="24" spans="1:46" x14ac:dyDescent="0.3">
      <c r="L24" t="s">
        <v>94</v>
      </c>
      <c r="P24" s="35">
        <v>0.03</v>
      </c>
      <c r="Q24" t="s">
        <v>95</v>
      </c>
      <c r="U24" s="35">
        <v>0.03</v>
      </c>
      <c r="V24" t="s">
        <v>95</v>
      </c>
      <c r="Z24" s="35">
        <v>0.03</v>
      </c>
      <c r="AA24" t="s">
        <v>96</v>
      </c>
      <c r="AE24" s="35">
        <v>0.03</v>
      </c>
      <c r="AF24" t="s">
        <v>96</v>
      </c>
      <c r="AJ24" s="35">
        <v>0.03</v>
      </c>
      <c r="AK24" t="s">
        <v>454</v>
      </c>
      <c r="AO24" s="35">
        <v>0.03</v>
      </c>
      <c r="AP24" s="474" t="s">
        <v>455</v>
      </c>
      <c r="AQ24" s="474"/>
      <c r="AR24" s="474"/>
      <c r="AS24" s="474"/>
      <c r="AT24" s="475">
        <v>0.03</v>
      </c>
    </row>
    <row r="25" spans="1:46" x14ac:dyDescent="0.3">
      <c r="A25" s="620" t="s">
        <v>80</v>
      </c>
      <c r="B25" s="613" t="s">
        <v>492</v>
      </c>
      <c r="C25" s="613"/>
      <c r="D25" s="613"/>
      <c r="E25" s="613"/>
      <c r="F25" s="613"/>
      <c r="G25" s="613">
        <v>2014</v>
      </c>
      <c r="H25" s="613"/>
      <c r="I25" s="613"/>
      <c r="J25" s="613"/>
      <c r="K25" s="613"/>
      <c r="L25" s="615">
        <v>2015</v>
      </c>
      <c r="M25" s="624"/>
      <c r="N25" s="624"/>
      <c r="O25" s="624"/>
      <c r="P25" s="619"/>
      <c r="Q25" s="615">
        <v>2016</v>
      </c>
      <c r="R25" s="624"/>
      <c r="S25" s="624"/>
      <c r="T25" s="624"/>
      <c r="U25" s="619"/>
      <c r="V25" s="615">
        <v>2017</v>
      </c>
      <c r="W25" s="624"/>
      <c r="X25" s="624"/>
      <c r="Y25" s="624"/>
      <c r="Z25" s="619"/>
      <c r="AA25" s="615">
        <v>2018</v>
      </c>
      <c r="AB25" s="624"/>
      <c r="AC25" s="624"/>
      <c r="AD25" s="624"/>
      <c r="AE25" s="619"/>
      <c r="AF25" s="615">
        <v>2019</v>
      </c>
      <c r="AG25" s="624"/>
      <c r="AH25" s="624"/>
      <c r="AI25" s="624"/>
      <c r="AJ25" s="619"/>
      <c r="AK25" s="615">
        <v>2020</v>
      </c>
      <c r="AL25" s="624"/>
      <c r="AM25" s="624"/>
      <c r="AN25" s="624"/>
      <c r="AO25" s="619"/>
      <c r="AP25" s="630">
        <v>2021</v>
      </c>
      <c r="AQ25" s="631"/>
      <c r="AR25" s="631"/>
      <c r="AS25" s="631"/>
      <c r="AT25" s="627"/>
    </row>
    <row r="26" spans="1:46" ht="29.95" customHeight="1" x14ac:dyDescent="0.3">
      <c r="A26" s="620"/>
      <c r="B26" s="620" t="s">
        <v>81</v>
      </c>
      <c r="C26" s="620"/>
      <c r="D26" s="620" t="s">
        <v>82</v>
      </c>
      <c r="E26" s="620"/>
      <c r="F26" s="620" t="s">
        <v>83</v>
      </c>
      <c r="G26" s="620" t="s">
        <v>81</v>
      </c>
      <c r="H26" s="620"/>
      <c r="I26" s="620" t="s">
        <v>82</v>
      </c>
      <c r="J26" s="620"/>
      <c r="K26" s="620" t="s">
        <v>83</v>
      </c>
      <c r="L26" s="622" t="s">
        <v>81</v>
      </c>
      <c r="M26" s="623"/>
      <c r="N26" s="622" t="s">
        <v>82</v>
      </c>
      <c r="O26" s="623"/>
      <c r="P26" s="625" t="s">
        <v>83</v>
      </c>
      <c r="Q26" s="622" t="s">
        <v>81</v>
      </c>
      <c r="R26" s="623"/>
      <c r="S26" s="622" t="s">
        <v>82</v>
      </c>
      <c r="T26" s="623"/>
      <c r="U26" s="625" t="s">
        <v>83</v>
      </c>
      <c r="V26" s="622" t="s">
        <v>81</v>
      </c>
      <c r="W26" s="623"/>
      <c r="X26" s="622" t="s">
        <v>82</v>
      </c>
      <c r="Y26" s="623"/>
      <c r="Z26" s="625" t="s">
        <v>83</v>
      </c>
      <c r="AA26" s="622" t="s">
        <v>81</v>
      </c>
      <c r="AB26" s="623"/>
      <c r="AC26" s="622" t="s">
        <v>82</v>
      </c>
      <c r="AD26" s="623"/>
      <c r="AE26" s="625" t="s">
        <v>83</v>
      </c>
      <c r="AF26" s="622" t="s">
        <v>81</v>
      </c>
      <c r="AG26" s="623"/>
      <c r="AH26" s="622" t="s">
        <v>82</v>
      </c>
      <c r="AI26" s="623"/>
      <c r="AJ26" s="625" t="s">
        <v>83</v>
      </c>
      <c r="AK26" s="622" t="s">
        <v>81</v>
      </c>
      <c r="AL26" s="623"/>
      <c r="AM26" s="622" t="s">
        <v>82</v>
      </c>
      <c r="AN26" s="623"/>
      <c r="AO26" s="625" t="s">
        <v>83</v>
      </c>
      <c r="AP26" s="632" t="s">
        <v>81</v>
      </c>
      <c r="AQ26" s="633"/>
      <c r="AR26" s="632" t="s">
        <v>82</v>
      </c>
      <c r="AS26" s="633"/>
      <c r="AT26" s="634" t="s">
        <v>83</v>
      </c>
    </row>
    <row r="27" spans="1:46" ht="30.15" x14ac:dyDescent="0.3">
      <c r="A27" s="620"/>
      <c r="B27" s="29" t="s">
        <v>97</v>
      </c>
      <c r="C27" s="29" t="s">
        <v>98</v>
      </c>
      <c r="D27" s="29" t="s">
        <v>97</v>
      </c>
      <c r="E27" s="29" t="s">
        <v>98</v>
      </c>
      <c r="F27" s="620"/>
      <c r="G27" s="29" t="s">
        <v>97</v>
      </c>
      <c r="H27" s="29" t="s">
        <v>98</v>
      </c>
      <c r="I27" s="29" t="s">
        <v>97</v>
      </c>
      <c r="J27" s="29" t="s">
        <v>98</v>
      </c>
      <c r="K27" s="620"/>
      <c r="L27" s="29" t="s">
        <v>97</v>
      </c>
      <c r="M27" s="29" t="s">
        <v>98</v>
      </c>
      <c r="N27" s="29" t="s">
        <v>97</v>
      </c>
      <c r="O27" s="29" t="s">
        <v>98</v>
      </c>
      <c r="P27" s="626"/>
      <c r="Q27" s="29" t="s">
        <v>97</v>
      </c>
      <c r="R27" s="29" t="s">
        <v>98</v>
      </c>
      <c r="S27" s="29" t="s">
        <v>97</v>
      </c>
      <c r="T27" s="29" t="s">
        <v>98</v>
      </c>
      <c r="U27" s="626"/>
      <c r="V27" s="29" t="s">
        <v>97</v>
      </c>
      <c r="W27" s="29" t="s">
        <v>98</v>
      </c>
      <c r="X27" s="29" t="s">
        <v>97</v>
      </c>
      <c r="Y27" s="29" t="s">
        <v>98</v>
      </c>
      <c r="Z27" s="626"/>
      <c r="AA27" s="29" t="s">
        <v>97</v>
      </c>
      <c r="AB27" s="29" t="s">
        <v>98</v>
      </c>
      <c r="AC27" s="29" t="s">
        <v>97</v>
      </c>
      <c r="AD27" s="29" t="s">
        <v>98</v>
      </c>
      <c r="AE27" s="626"/>
      <c r="AF27" s="29" t="s">
        <v>97</v>
      </c>
      <c r="AG27" s="29" t="s">
        <v>98</v>
      </c>
      <c r="AH27" s="29" t="s">
        <v>97</v>
      </c>
      <c r="AI27" s="29" t="s">
        <v>98</v>
      </c>
      <c r="AJ27" s="626"/>
      <c r="AK27" s="425" t="s">
        <v>97</v>
      </c>
      <c r="AL27" s="425" t="s">
        <v>98</v>
      </c>
      <c r="AM27" s="425" t="s">
        <v>97</v>
      </c>
      <c r="AN27" s="425" t="s">
        <v>98</v>
      </c>
      <c r="AO27" s="626"/>
      <c r="AP27" s="472" t="s">
        <v>97</v>
      </c>
      <c r="AQ27" s="472" t="s">
        <v>98</v>
      </c>
      <c r="AR27" s="472" t="s">
        <v>97</v>
      </c>
      <c r="AS27" s="472" t="s">
        <v>98</v>
      </c>
      <c r="AT27" s="635"/>
    </row>
    <row r="28" spans="1:46" x14ac:dyDescent="0.3">
      <c r="A28" s="22" t="s">
        <v>85</v>
      </c>
      <c r="B28" s="22">
        <v>9.06</v>
      </c>
      <c r="C28" s="22">
        <v>8.6300000000000008</v>
      </c>
      <c r="D28" s="22">
        <v>9.06</v>
      </c>
      <c r="E28" s="22">
        <v>8.6300000000000008</v>
      </c>
      <c r="F28" s="22">
        <v>0</v>
      </c>
      <c r="G28" s="31">
        <v>10.52</v>
      </c>
      <c r="H28" s="31">
        <v>10.52</v>
      </c>
      <c r="I28" s="31">
        <v>10.52</v>
      </c>
      <c r="J28" s="31">
        <v>10.52</v>
      </c>
      <c r="K28" s="31">
        <f>F28*(1+$B$5)</f>
        <v>0</v>
      </c>
      <c r="L28" s="31">
        <f>G28*(1+$P$24)</f>
        <v>10.835599999999999</v>
      </c>
      <c r="M28" s="31">
        <f t="shared" ref="M28:P31" si="12">H28*(1+$P$24)</f>
        <v>10.835599999999999</v>
      </c>
      <c r="N28" s="31">
        <f t="shared" si="12"/>
        <v>10.835599999999999</v>
      </c>
      <c r="O28" s="31">
        <f t="shared" si="12"/>
        <v>10.835599999999999</v>
      </c>
      <c r="P28" s="31">
        <f t="shared" si="12"/>
        <v>0</v>
      </c>
      <c r="Q28" s="32">
        <f>L28*(1+U24)</f>
        <v>11.160667999999999</v>
      </c>
      <c r="R28" s="32">
        <f t="shared" ref="R28:U31" si="13">M28*(1+$U$24)</f>
        <v>11.160667999999999</v>
      </c>
      <c r="S28" s="32">
        <f t="shared" si="13"/>
        <v>11.160667999999999</v>
      </c>
      <c r="T28" s="32">
        <f t="shared" si="13"/>
        <v>11.160667999999999</v>
      </c>
      <c r="U28" s="32">
        <f t="shared" si="13"/>
        <v>0</v>
      </c>
      <c r="V28" s="31">
        <f t="shared" ref="V28:Z32" si="14">Q28*(1+$Z$24)</f>
        <v>11.49548804</v>
      </c>
      <c r="W28" s="31">
        <f t="shared" si="14"/>
        <v>11.49548804</v>
      </c>
      <c r="X28" s="31">
        <f t="shared" si="14"/>
        <v>11.49548804</v>
      </c>
      <c r="Y28" s="31">
        <f t="shared" si="14"/>
        <v>11.49548804</v>
      </c>
      <c r="Z28" s="31">
        <f t="shared" si="14"/>
        <v>0</v>
      </c>
      <c r="AA28" s="33">
        <f>V28*(1+$AE$24)</f>
        <v>11.840352681200001</v>
      </c>
      <c r="AB28" s="33">
        <f>W28*(1+$AE$24)</f>
        <v>11.840352681200001</v>
      </c>
      <c r="AC28" s="33">
        <f>X28*(1+$AE$24)</f>
        <v>11.840352681200001</v>
      </c>
      <c r="AD28" s="33">
        <f>Y28*(1+$AE$24)</f>
        <v>11.840352681200001</v>
      </c>
      <c r="AE28" s="33">
        <f>Z28*(1+$AE$24)</f>
        <v>0</v>
      </c>
      <c r="AF28" s="36">
        <f t="shared" ref="AF28:AI32" si="15">AA28*(1+$AJ$24)</f>
        <v>12.195563261636002</v>
      </c>
      <c r="AG28" s="36">
        <f t="shared" si="15"/>
        <v>12.195563261636002</v>
      </c>
      <c r="AH28" s="36">
        <f t="shared" si="15"/>
        <v>12.195563261636002</v>
      </c>
      <c r="AI28" s="36">
        <f t="shared" si="15"/>
        <v>12.195563261636002</v>
      </c>
      <c r="AJ28" s="357">
        <v>0</v>
      </c>
      <c r="AK28" s="36">
        <f>AF28*(1+$AJ$24)</f>
        <v>12.561430159485083</v>
      </c>
      <c r="AL28" s="36">
        <f t="shared" ref="AL28:AL32" si="16">AG28*(1+$AJ$24)</f>
        <v>12.561430159485083</v>
      </c>
      <c r="AM28" s="36">
        <f t="shared" ref="AM28:AM32" si="17">AH28*(1+$AJ$24)</f>
        <v>12.561430159485083</v>
      </c>
      <c r="AN28" s="36">
        <f t="shared" ref="AN28:AN32" si="18">AI28*(1+$AJ$24)</f>
        <v>12.561430159485083</v>
      </c>
      <c r="AO28" s="357">
        <v>0</v>
      </c>
      <c r="AP28" s="473">
        <f t="shared" ref="AP28:AP32" si="19">AK28*(1+$AT$24)</f>
        <v>12.938273064269636</v>
      </c>
      <c r="AQ28" s="471"/>
      <c r="AR28" s="471"/>
      <c r="AS28" s="471"/>
      <c r="AT28" s="476">
        <v>0</v>
      </c>
    </row>
    <row r="29" spans="1:46" x14ac:dyDescent="0.3">
      <c r="A29" s="22" t="s">
        <v>86</v>
      </c>
      <c r="B29" s="22">
        <v>5.56</v>
      </c>
      <c r="C29" s="22">
        <v>5.13</v>
      </c>
      <c r="D29" s="22">
        <v>5.56</v>
      </c>
      <c r="E29" s="22">
        <v>5.13</v>
      </c>
      <c r="F29" s="22">
        <v>0</v>
      </c>
      <c r="G29" s="31">
        <v>10.52</v>
      </c>
      <c r="H29" s="31">
        <v>10.52</v>
      </c>
      <c r="I29" s="31">
        <v>10.52</v>
      </c>
      <c r="J29" s="31">
        <v>10.52</v>
      </c>
      <c r="K29" s="31">
        <f>F29*(1+$B$5)</f>
        <v>0</v>
      </c>
      <c r="L29" s="31">
        <f>G29*(1+$P$24)</f>
        <v>10.835599999999999</v>
      </c>
      <c r="M29" s="31">
        <f t="shared" si="12"/>
        <v>10.835599999999999</v>
      </c>
      <c r="N29" s="31">
        <f t="shared" si="12"/>
        <v>10.835599999999999</v>
      </c>
      <c r="O29" s="31">
        <f t="shared" si="12"/>
        <v>10.835599999999999</v>
      </c>
      <c r="P29" s="31">
        <f t="shared" si="12"/>
        <v>0</v>
      </c>
      <c r="Q29" s="32">
        <f>L29*(1+$U$24)</f>
        <v>11.160667999999999</v>
      </c>
      <c r="R29" s="32">
        <f t="shared" si="13"/>
        <v>11.160667999999999</v>
      </c>
      <c r="S29" s="32">
        <f t="shared" si="13"/>
        <v>11.160667999999999</v>
      </c>
      <c r="T29" s="32">
        <f t="shared" si="13"/>
        <v>11.160667999999999</v>
      </c>
      <c r="U29" s="32">
        <f t="shared" si="13"/>
        <v>0</v>
      </c>
      <c r="V29" s="31">
        <f t="shared" si="14"/>
        <v>11.49548804</v>
      </c>
      <c r="W29" s="31">
        <f t="shared" si="14"/>
        <v>11.49548804</v>
      </c>
      <c r="X29" s="31">
        <f t="shared" si="14"/>
        <v>11.49548804</v>
      </c>
      <c r="Y29" s="31">
        <f t="shared" si="14"/>
        <v>11.49548804</v>
      </c>
      <c r="Z29" s="31">
        <f t="shared" si="14"/>
        <v>0</v>
      </c>
      <c r="AA29" s="33">
        <f>V29*(1+$AE$24)</f>
        <v>11.840352681200001</v>
      </c>
      <c r="AB29" s="33">
        <f>W29*(1+$AE$24)-0.01</f>
        <v>11.830352681200001</v>
      </c>
      <c r="AC29" s="33">
        <f>X29*(1+$AE$24)-0.01</f>
        <v>11.830352681200001</v>
      </c>
      <c r="AD29" s="33">
        <f>Y29*(1+$AE$24)-0.01</f>
        <v>11.830352681200001</v>
      </c>
      <c r="AE29" s="33">
        <f>Z29*(1+$AE$24)</f>
        <v>0</v>
      </c>
      <c r="AF29" s="36">
        <f t="shared" si="15"/>
        <v>12.195563261636002</v>
      </c>
      <c r="AG29" s="36">
        <f t="shared" si="15"/>
        <v>12.185263261636001</v>
      </c>
      <c r="AH29" s="36">
        <f t="shared" si="15"/>
        <v>12.185263261636001</v>
      </c>
      <c r="AI29" s="36">
        <f t="shared" si="15"/>
        <v>12.185263261636001</v>
      </c>
      <c r="AJ29" s="357">
        <v>0</v>
      </c>
      <c r="AK29" s="36">
        <f t="shared" ref="AK29:AK32" si="20">AF29*(1+$AJ$24)</f>
        <v>12.561430159485083</v>
      </c>
      <c r="AL29" s="36">
        <f t="shared" si="16"/>
        <v>12.550821159485082</v>
      </c>
      <c r="AM29" s="36">
        <f t="shared" si="17"/>
        <v>12.550821159485082</v>
      </c>
      <c r="AN29" s="36">
        <f t="shared" si="18"/>
        <v>12.550821159485082</v>
      </c>
      <c r="AO29" s="357">
        <v>0</v>
      </c>
      <c r="AP29" s="473">
        <f t="shared" si="19"/>
        <v>12.938273064269636</v>
      </c>
      <c r="AQ29" s="471"/>
      <c r="AR29" s="471"/>
      <c r="AS29" s="471"/>
      <c r="AT29" s="476">
        <v>0</v>
      </c>
    </row>
    <row r="30" spans="1:46" x14ac:dyDescent="0.3">
      <c r="A30" s="22" t="s">
        <v>87</v>
      </c>
      <c r="B30" s="22">
        <v>9.06</v>
      </c>
      <c r="C30" s="22">
        <v>8.6300000000000008</v>
      </c>
      <c r="D30" s="22">
        <v>9.06</v>
      </c>
      <c r="E30" s="22">
        <v>8.6300000000000008</v>
      </c>
      <c r="F30" s="22">
        <v>0</v>
      </c>
      <c r="G30" s="31">
        <v>10.52</v>
      </c>
      <c r="H30" s="31">
        <v>10.52</v>
      </c>
      <c r="I30" s="31">
        <v>10.52</v>
      </c>
      <c r="J30" s="31">
        <v>10.52</v>
      </c>
      <c r="K30" s="31">
        <f>F30*(1+$B$5)</f>
        <v>0</v>
      </c>
      <c r="L30" s="31">
        <f>G30*(1+$P$24)</f>
        <v>10.835599999999999</v>
      </c>
      <c r="M30" s="31">
        <f t="shared" si="12"/>
        <v>10.835599999999999</v>
      </c>
      <c r="N30" s="31">
        <f t="shared" si="12"/>
        <v>10.835599999999999</v>
      </c>
      <c r="O30" s="31">
        <f t="shared" si="12"/>
        <v>10.835599999999999</v>
      </c>
      <c r="P30" s="31">
        <f t="shared" si="12"/>
        <v>0</v>
      </c>
      <c r="Q30" s="32">
        <f>L30*(1+$U$24)</f>
        <v>11.160667999999999</v>
      </c>
      <c r="R30" s="32">
        <f t="shared" si="13"/>
        <v>11.160667999999999</v>
      </c>
      <c r="S30" s="32">
        <f t="shared" si="13"/>
        <v>11.160667999999999</v>
      </c>
      <c r="T30" s="32">
        <f t="shared" si="13"/>
        <v>11.160667999999999</v>
      </c>
      <c r="U30" s="32">
        <f t="shared" si="13"/>
        <v>0</v>
      </c>
      <c r="V30" s="31">
        <f>Q30*(1+$Z$24)</f>
        <v>11.49548804</v>
      </c>
      <c r="W30" s="31">
        <f t="shared" si="14"/>
        <v>11.49548804</v>
      </c>
      <c r="X30" s="31">
        <f t="shared" si="14"/>
        <v>11.49548804</v>
      </c>
      <c r="Y30" s="31">
        <f t="shared" si="14"/>
        <v>11.49548804</v>
      </c>
      <c r="Z30" s="31">
        <f t="shared" si="14"/>
        <v>0</v>
      </c>
      <c r="AA30" s="33">
        <f t="shared" ref="AA30:AD32" si="21">V30*(1+$AE$24)</f>
        <v>11.840352681200001</v>
      </c>
      <c r="AB30" s="33">
        <f t="shared" si="21"/>
        <v>11.840352681200001</v>
      </c>
      <c r="AC30" s="33">
        <f t="shared" si="21"/>
        <v>11.840352681200001</v>
      </c>
      <c r="AD30" s="33">
        <f t="shared" si="21"/>
        <v>11.840352681200001</v>
      </c>
      <c r="AE30" s="33">
        <f>Z30*(1+$AE$24)</f>
        <v>0</v>
      </c>
      <c r="AF30" s="36">
        <f t="shared" si="15"/>
        <v>12.195563261636002</v>
      </c>
      <c r="AG30" s="36">
        <f t="shared" si="15"/>
        <v>12.195563261636002</v>
      </c>
      <c r="AH30" s="36">
        <f t="shared" si="15"/>
        <v>12.195563261636002</v>
      </c>
      <c r="AI30" s="36">
        <f t="shared" si="15"/>
        <v>12.195563261636002</v>
      </c>
      <c r="AJ30" s="357">
        <v>0</v>
      </c>
      <c r="AK30" s="36">
        <f t="shared" si="20"/>
        <v>12.561430159485083</v>
      </c>
      <c r="AL30" s="36">
        <f t="shared" si="16"/>
        <v>12.561430159485083</v>
      </c>
      <c r="AM30" s="36">
        <f t="shared" si="17"/>
        <v>12.561430159485083</v>
      </c>
      <c r="AN30" s="36">
        <f t="shared" si="18"/>
        <v>12.561430159485083</v>
      </c>
      <c r="AO30" s="357">
        <v>0</v>
      </c>
      <c r="AP30" s="473">
        <f t="shared" si="19"/>
        <v>12.938273064269636</v>
      </c>
      <c r="AQ30" s="471"/>
      <c r="AR30" s="471"/>
      <c r="AS30" s="471"/>
      <c r="AT30" s="476">
        <v>0</v>
      </c>
    </row>
    <row r="31" spans="1:46" x14ac:dyDescent="0.3">
      <c r="A31" s="22" t="s">
        <v>91</v>
      </c>
      <c r="B31" s="22">
        <v>9.06</v>
      </c>
      <c r="C31" s="22">
        <v>8.6300000000000008</v>
      </c>
      <c r="D31" s="22">
        <v>9.06</v>
      </c>
      <c r="E31" s="22">
        <v>8.6300000000000008</v>
      </c>
      <c r="F31" s="22">
        <v>0</v>
      </c>
      <c r="G31" s="31">
        <v>10.52</v>
      </c>
      <c r="H31" s="31">
        <v>10.52</v>
      </c>
      <c r="I31" s="31">
        <v>10.52</v>
      </c>
      <c r="J31" s="31">
        <v>10.52</v>
      </c>
      <c r="K31" s="31">
        <f>F31*(1+$B$5)</f>
        <v>0</v>
      </c>
      <c r="L31" s="31">
        <f>G31*(1+$P$24)</f>
        <v>10.835599999999999</v>
      </c>
      <c r="M31" s="31">
        <f t="shared" si="12"/>
        <v>10.835599999999999</v>
      </c>
      <c r="N31" s="31">
        <f t="shared" si="12"/>
        <v>10.835599999999999</v>
      </c>
      <c r="O31" s="31">
        <f t="shared" si="12"/>
        <v>10.835599999999999</v>
      </c>
      <c r="P31" s="31">
        <f t="shared" si="12"/>
        <v>0</v>
      </c>
      <c r="Q31" s="32">
        <f>L31*(1+$U$24)</f>
        <v>11.160667999999999</v>
      </c>
      <c r="R31" s="32">
        <f t="shared" si="13"/>
        <v>11.160667999999999</v>
      </c>
      <c r="S31" s="32">
        <f t="shared" si="13"/>
        <v>11.160667999999999</v>
      </c>
      <c r="T31" s="32">
        <f t="shared" si="13"/>
        <v>11.160667999999999</v>
      </c>
      <c r="U31" s="32">
        <f t="shared" si="13"/>
        <v>0</v>
      </c>
      <c r="V31" s="31">
        <f>Q31*(1+$Z$24)</f>
        <v>11.49548804</v>
      </c>
      <c r="W31" s="31">
        <f t="shared" si="14"/>
        <v>11.49548804</v>
      </c>
      <c r="X31" s="31">
        <f t="shared" si="14"/>
        <v>11.49548804</v>
      </c>
      <c r="Y31" s="31">
        <f t="shared" si="14"/>
        <v>11.49548804</v>
      </c>
      <c r="Z31" s="31">
        <f t="shared" si="14"/>
        <v>0</v>
      </c>
      <c r="AA31" s="33">
        <f t="shared" si="21"/>
        <v>11.840352681200001</v>
      </c>
      <c r="AB31" s="33">
        <f t="shared" si="21"/>
        <v>11.840352681200001</v>
      </c>
      <c r="AC31" s="33">
        <f t="shared" si="21"/>
        <v>11.840352681200001</v>
      </c>
      <c r="AD31" s="33">
        <f t="shared" si="21"/>
        <v>11.840352681200001</v>
      </c>
      <c r="AE31" s="33">
        <f>Z31*(1+$AE$24)</f>
        <v>0</v>
      </c>
      <c r="AF31" s="36">
        <f t="shared" si="15"/>
        <v>12.195563261636002</v>
      </c>
      <c r="AG31" s="36">
        <f t="shared" si="15"/>
        <v>12.195563261636002</v>
      </c>
      <c r="AH31" s="36">
        <f t="shared" si="15"/>
        <v>12.195563261636002</v>
      </c>
      <c r="AI31" s="36">
        <f t="shared" si="15"/>
        <v>12.195563261636002</v>
      </c>
      <c r="AJ31" s="357">
        <v>0</v>
      </c>
      <c r="AK31" s="36">
        <f t="shared" si="20"/>
        <v>12.561430159485083</v>
      </c>
      <c r="AL31" s="36">
        <f t="shared" si="16"/>
        <v>12.561430159485083</v>
      </c>
      <c r="AM31" s="36">
        <f t="shared" si="17"/>
        <v>12.561430159485083</v>
      </c>
      <c r="AN31" s="36">
        <f t="shared" si="18"/>
        <v>12.561430159485083</v>
      </c>
      <c r="AO31" s="357">
        <v>0</v>
      </c>
      <c r="AP31" s="473">
        <f t="shared" si="19"/>
        <v>12.938273064269636</v>
      </c>
      <c r="AQ31" s="471"/>
      <c r="AR31" s="471"/>
      <c r="AS31" s="471"/>
      <c r="AT31" s="476">
        <v>0</v>
      </c>
    </row>
    <row r="32" spans="1:46" x14ac:dyDescent="0.3">
      <c r="A32" s="22" t="s">
        <v>92</v>
      </c>
      <c r="B32" s="37"/>
      <c r="C32" s="37"/>
      <c r="D32" s="37"/>
      <c r="E32" s="37"/>
      <c r="F32" s="37"/>
      <c r="G32" s="31"/>
      <c r="H32" s="31"/>
      <c r="I32" s="31"/>
      <c r="J32" s="31"/>
      <c r="K32" s="31"/>
      <c r="L32" s="31"/>
      <c r="M32" s="31"/>
      <c r="N32" s="31"/>
      <c r="O32" s="31"/>
      <c r="P32" s="31"/>
      <c r="Q32" s="32">
        <f>Q28</f>
        <v>11.160667999999999</v>
      </c>
      <c r="R32" s="32">
        <f>R28</f>
        <v>11.160667999999999</v>
      </c>
      <c r="S32" s="32">
        <f>S28</f>
        <v>11.160667999999999</v>
      </c>
      <c r="T32" s="32">
        <f>T28</f>
        <v>11.160667999999999</v>
      </c>
      <c r="U32" s="32">
        <f>U28</f>
        <v>0</v>
      </c>
      <c r="V32" s="31">
        <f>Q32*(1+$Z$24)</f>
        <v>11.49548804</v>
      </c>
      <c r="W32" s="31">
        <f t="shared" si="14"/>
        <v>11.49548804</v>
      </c>
      <c r="X32" s="31">
        <f t="shared" si="14"/>
        <v>11.49548804</v>
      </c>
      <c r="Y32" s="31">
        <f t="shared" si="14"/>
        <v>11.49548804</v>
      </c>
      <c r="Z32" s="31">
        <f t="shared" si="14"/>
        <v>0</v>
      </c>
      <c r="AA32" s="33">
        <f t="shared" si="21"/>
        <v>11.840352681200001</v>
      </c>
      <c r="AB32" s="33">
        <f t="shared" si="21"/>
        <v>11.840352681200001</v>
      </c>
      <c r="AC32" s="33">
        <f t="shared" si="21"/>
        <v>11.840352681200001</v>
      </c>
      <c r="AD32" s="33">
        <f t="shared" si="21"/>
        <v>11.840352681200001</v>
      </c>
      <c r="AE32" s="33">
        <f>Z32*(1+$AE$24)</f>
        <v>0</v>
      </c>
      <c r="AF32" s="36">
        <f t="shared" si="15"/>
        <v>12.195563261636002</v>
      </c>
      <c r="AG32" s="36">
        <f t="shared" si="15"/>
        <v>12.195563261636002</v>
      </c>
      <c r="AH32" s="36">
        <f t="shared" si="15"/>
        <v>12.195563261636002</v>
      </c>
      <c r="AI32" s="36">
        <f t="shared" si="15"/>
        <v>12.195563261636002</v>
      </c>
      <c r="AJ32" s="357">
        <v>0</v>
      </c>
      <c r="AK32" s="36">
        <f t="shared" si="20"/>
        <v>12.561430159485083</v>
      </c>
      <c r="AL32" s="36">
        <f t="shared" si="16"/>
        <v>12.561430159485083</v>
      </c>
      <c r="AM32" s="36">
        <f t="shared" si="17"/>
        <v>12.561430159485083</v>
      </c>
      <c r="AN32" s="36">
        <f t="shared" si="18"/>
        <v>12.561430159485083</v>
      </c>
      <c r="AO32" s="357">
        <v>0</v>
      </c>
      <c r="AP32" s="473">
        <f t="shared" si="19"/>
        <v>12.938273064269636</v>
      </c>
      <c r="AQ32" s="471"/>
      <c r="AR32" s="471"/>
      <c r="AS32" s="471"/>
      <c r="AT32" s="476">
        <v>0</v>
      </c>
    </row>
    <row r="34" spans="1:47" x14ac:dyDescent="0.3">
      <c r="A34" s="19" t="s">
        <v>99</v>
      </c>
    </row>
    <row r="35" spans="1:47" x14ac:dyDescent="0.3">
      <c r="L35" t="s">
        <v>94</v>
      </c>
      <c r="P35" s="35">
        <v>0.03</v>
      </c>
      <c r="Q35" t="s">
        <v>95</v>
      </c>
      <c r="U35" s="35">
        <v>0.03</v>
      </c>
      <c r="V35" t="s">
        <v>95</v>
      </c>
      <c r="Z35" s="35">
        <v>0.03</v>
      </c>
      <c r="AA35" t="s">
        <v>95</v>
      </c>
      <c r="AE35" s="35">
        <v>0.03</v>
      </c>
      <c r="AF35" t="s">
        <v>95</v>
      </c>
      <c r="AJ35" s="35">
        <v>0.03</v>
      </c>
      <c r="AK35" t="s">
        <v>461</v>
      </c>
      <c r="AO35" s="35">
        <v>0.03</v>
      </c>
      <c r="AP35" s="474" t="s">
        <v>455</v>
      </c>
      <c r="AQ35" s="474"/>
      <c r="AR35" s="474"/>
      <c r="AS35" s="474"/>
      <c r="AT35" s="475">
        <v>0.03</v>
      </c>
    </row>
    <row r="36" spans="1:47" x14ac:dyDescent="0.3">
      <c r="A36" s="620" t="s">
        <v>80</v>
      </c>
      <c r="B36" s="613">
        <v>2013</v>
      </c>
      <c r="C36" s="613"/>
      <c r="D36" s="613"/>
      <c r="E36" s="613"/>
      <c r="F36" s="613"/>
      <c r="G36" s="621">
        <v>2014</v>
      </c>
      <c r="H36" s="621"/>
      <c r="I36" s="621"/>
      <c r="J36" s="621"/>
      <c r="K36" s="621"/>
      <c r="L36" s="613">
        <v>2015</v>
      </c>
      <c r="M36" s="613"/>
      <c r="N36" s="613"/>
      <c r="O36" s="613"/>
      <c r="P36" s="613"/>
      <c r="Q36" s="613">
        <v>2016</v>
      </c>
      <c r="R36" s="613"/>
      <c r="S36" s="613"/>
      <c r="T36" s="613"/>
      <c r="U36" s="613"/>
      <c r="V36" s="613">
        <v>2017</v>
      </c>
      <c r="W36" s="613"/>
      <c r="X36" s="613"/>
      <c r="Y36" s="613"/>
      <c r="Z36" s="613"/>
      <c r="AA36" s="613">
        <v>2018</v>
      </c>
      <c r="AB36" s="613"/>
      <c r="AC36" s="613"/>
      <c r="AD36" s="613"/>
      <c r="AE36" s="613"/>
      <c r="AF36" s="613">
        <v>2019</v>
      </c>
      <c r="AG36" s="613"/>
      <c r="AH36" s="613"/>
      <c r="AI36" s="613"/>
      <c r="AJ36" s="613"/>
      <c r="AK36" s="613">
        <v>2020</v>
      </c>
      <c r="AL36" s="613"/>
      <c r="AM36" s="613"/>
      <c r="AN36" s="613"/>
      <c r="AO36" s="613"/>
      <c r="AP36" s="628">
        <v>2021</v>
      </c>
      <c r="AQ36" s="628"/>
      <c r="AR36" s="628"/>
      <c r="AS36" s="628"/>
      <c r="AT36" s="628"/>
    </row>
    <row r="37" spans="1:47" ht="29.95" customHeight="1" x14ac:dyDescent="0.3">
      <c r="A37" s="620"/>
      <c r="B37" s="620" t="s">
        <v>81</v>
      </c>
      <c r="C37" s="620"/>
      <c r="D37" s="620" t="s">
        <v>82</v>
      </c>
      <c r="E37" s="620"/>
      <c r="F37" s="620" t="s">
        <v>83</v>
      </c>
      <c r="G37" s="620" t="s">
        <v>81</v>
      </c>
      <c r="H37" s="620"/>
      <c r="I37" s="620" t="s">
        <v>82</v>
      </c>
      <c r="J37" s="620"/>
      <c r="K37" s="620" t="s">
        <v>83</v>
      </c>
      <c r="L37" s="620" t="s">
        <v>81</v>
      </c>
      <c r="M37" s="620"/>
      <c r="N37" s="620" t="s">
        <v>82</v>
      </c>
      <c r="O37" s="620"/>
      <c r="P37" s="620" t="s">
        <v>83</v>
      </c>
      <c r="Q37" s="620" t="s">
        <v>81</v>
      </c>
      <c r="R37" s="620"/>
      <c r="S37" s="620" t="s">
        <v>82</v>
      </c>
      <c r="T37" s="620"/>
      <c r="U37" s="620" t="s">
        <v>83</v>
      </c>
      <c r="V37" s="620" t="s">
        <v>81</v>
      </c>
      <c r="W37" s="620"/>
      <c r="X37" s="620" t="s">
        <v>82</v>
      </c>
      <c r="Y37" s="620"/>
      <c r="Z37" s="620" t="s">
        <v>83</v>
      </c>
      <c r="AA37" s="620" t="s">
        <v>81</v>
      </c>
      <c r="AB37" s="620"/>
      <c r="AC37" s="620" t="s">
        <v>82</v>
      </c>
      <c r="AD37" s="620"/>
      <c r="AE37" s="620" t="s">
        <v>83</v>
      </c>
      <c r="AF37" s="620" t="s">
        <v>81</v>
      </c>
      <c r="AG37" s="620"/>
      <c r="AH37" s="620" t="s">
        <v>82</v>
      </c>
      <c r="AI37" s="620"/>
      <c r="AJ37" s="620" t="s">
        <v>83</v>
      </c>
      <c r="AK37" s="620" t="s">
        <v>81</v>
      </c>
      <c r="AL37" s="620"/>
      <c r="AM37" s="620" t="s">
        <v>82</v>
      </c>
      <c r="AN37" s="620"/>
      <c r="AO37" s="620" t="s">
        <v>83</v>
      </c>
      <c r="AP37" s="629" t="s">
        <v>81</v>
      </c>
      <c r="AQ37" s="629"/>
      <c r="AR37" s="629" t="s">
        <v>82</v>
      </c>
      <c r="AS37" s="629"/>
      <c r="AT37" s="629" t="s">
        <v>83</v>
      </c>
    </row>
    <row r="38" spans="1:47" ht="60.25" x14ac:dyDescent="0.3">
      <c r="A38" s="620"/>
      <c r="B38" s="29" t="s">
        <v>100</v>
      </c>
      <c r="C38" s="29" t="s">
        <v>101</v>
      </c>
      <c r="D38" s="29" t="s">
        <v>100</v>
      </c>
      <c r="E38" s="29" t="s">
        <v>101</v>
      </c>
      <c r="F38" s="620"/>
      <c r="G38" s="29" t="s">
        <v>100</v>
      </c>
      <c r="H38" s="29" t="s">
        <v>101</v>
      </c>
      <c r="I38" s="29" t="s">
        <v>100</v>
      </c>
      <c r="J38" s="29" t="s">
        <v>101</v>
      </c>
      <c r="K38" s="620"/>
      <c r="L38" s="29" t="s">
        <v>100</v>
      </c>
      <c r="M38" s="29" t="s">
        <v>101</v>
      </c>
      <c r="N38" s="29" t="s">
        <v>100</v>
      </c>
      <c r="O38" s="29" t="s">
        <v>101</v>
      </c>
      <c r="P38" s="620"/>
      <c r="Q38" s="29" t="s">
        <v>100</v>
      </c>
      <c r="R38" s="29" t="s">
        <v>101</v>
      </c>
      <c r="S38" s="29" t="s">
        <v>100</v>
      </c>
      <c r="T38" s="29" t="s">
        <v>101</v>
      </c>
      <c r="U38" s="620"/>
      <c r="V38" s="29" t="s">
        <v>100</v>
      </c>
      <c r="W38" s="29" t="s">
        <v>101</v>
      </c>
      <c r="X38" s="29" t="s">
        <v>100</v>
      </c>
      <c r="Y38" s="29" t="s">
        <v>101</v>
      </c>
      <c r="Z38" s="620"/>
      <c r="AA38" s="29" t="s">
        <v>100</v>
      </c>
      <c r="AB38" s="29" t="s">
        <v>101</v>
      </c>
      <c r="AC38" s="29" t="s">
        <v>100</v>
      </c>
      <c r="AD38" s="29" t="s">
        <v>101</v>
      </c>
      <c r="AE38" s="620"/>
      <c r="AF38" s="29" t="s">
        <v>100</v>
      </c>
      <c r="AG38" s="29" t="s">
        <v>101</v>
      </c>
      <c r="AH38" s="29" t="s">
        <v>100</v>
      </c>
      <c r="AI38" s="29" t="s">
        <v>101</v>
      </c>
      <c r="AJ38" s="620"/>
      <c r="AK38" s="425" t="s">
        <v>100</v>
      </c>
      <c r="AL38" s="425" t="s">
        <v>101</v>
      </c>
      <c r="AM38" s="425" t="s">
        <v>100</v>
      </c>
      <c r="AN38" s="425" t="s">
        <v>101</v>
      </c>
      <c r="AO38" s="620"/>
      <c r="AP38" s="472" t="s">
        <v>100</v>
      </c>
      <c r="AQ38" s="472" t="s">
        <v>101</v>
      </c>
      <c r="AR38" s="472" t="s">
        <v>100</v>
      </c>
      <c r="AS38" s="472" t="s">
        <v>101</v>
      </c>
      <c r="AT38" s="629"/>
    </row>
    <row r="39" spans="1:47" x14ac:dyDescent="0.3">
      <c r="A39" s="22" t="s">
        <v>84</v>
      </c>
      <c r="B39" s="37">
        <v>9.65</v>
      </c>
      <c r="C39" s="37">
        <v>8.7899999999999991</v>
      </c>
      <c r="D39" s="37">
        <v>9.65</v>
      </c>
      <c r="E39" s="37">
        <v>8.7899999999999991</v>
      </c>
      <c r="F39" s="37">
        <v>0</v>
      </c>
      <c r="G39" s="31">
        <v>10.52</v>
      </c>
      <c r="H39" s="31">
        <v>10.52</v>
      </c>
      <c r="I39" s="31">
        <v>10.52</v>
      </c>
      <c r="J39" s="31">
        <v>10.52</v>
      </c>
      <c r="K39" s="31">
        <f>F39*(1+$B$5)</f>
        <v>0</v>
      </c>
      <c r="L39" s="31">
        <f>G39*(1+$P$35)</f>
        <v>10.835599999999999</v>
      </c>
      <c r="M39" s="31">
        <f t="shared" ref="M39:P42" si="22">H39*(1+$P$35)</f>
        <v>10.835599999999999</v>
      </c>
      <c r="N39" s="31">
        <f t="shared" si="22"/>
        <v>10.835599999999999</v>
      </c>
      <c r="O39" s="31">
        <f t="shared" si="22"/>
        <v>10.835599999999999</v>
      </c>
      <c r="P39" s="31">
        <f t="shared" si="22"/>
        <v>0</v>
      </c>
      <c r="Q39" s="32">
        <f>L39*(1+U35)</f>
        <v>11.160667999999999</v>
      </c>
      <c r="R39" s="32">
        <f t="shared" ref="R39:U42" si="23">M39*(1+$U$35)</f>
        <v>11.160667999999999</v>
      </c>
      <c r="S39" s="32">
        <f t="shared" si="23"/>
        <v>11.160667999999999</v>
      </c>
      <c r="T39" s="32">
        <f t="shared" si="23"/>
        <v>11.160667999999999</v>
      </c>
      <c r="U39" s="32">
        <f t="shared" si="23"/>
        <v>0</v>
      </c>
      <c r="V39" s="31">
        <f t="shared" ref="V39:Z43" si="24">Q39*(1+$Z$35)</f>
        <v>11.49548804</v>
      </c>
      <c r="W39" s="31">
        <f t="shared" si="24"/>
        <v>11.49548804</v>
      </c>
      <c r="X39" s="31">
        <f t="shared" si="24"/>
        <v>11.49548804</v>
      </c>
      <c r="Y39" s="31">
        <f t="shared" si="24"/>
        <v>11.49548804</v>
      </c>
      <c r="Z39" s="31">
        <f t="shared" si="24"/>
        <v>0</v>
      </c>
      <c r="AA39" s="33">
        <f>V39*(1+$AE$35)</f>
        <v>11.840352681200001</v>
      </c>
      <c r="AB39" s="33">
        <f>W39*(1+$AE$35)</f>
        <v>11.840352681200001</v>
      </c>
      <c r="AC39" s="33">
        <f>X39*(1+$AE$35)</f>
        <v>11.840352681200001</v>
      </c>
      <c r="AD39" s="33">
        <f>Y39*(1+$AE$35)</f>
        <v>11.840352681200001</v>
      </c>
      <c r="AE39" s="33">
        <f>Z39*(1+$AE$35)</f>
        <v>0</v>
      </c>
      <c r="AF39" s="36">
        <f t="shared" ref="AF39:AO39" si="25">AA39*(1+$AJ$35)</f>
        <v>12.195563261636002</v>
      </c>
      <c r="AG39" s="36">
        <f t="shared" si="25"/>
        <v>12.195563261636002</v>
      </c>
      <c r="AH39" s="36">
        <f t="shared" si="25"/>
        <v>12.195563261636002</v>
      </c>
      <c r="AI39" s="36">
        <f t="shared" si="25"/>
        <v>12.195563261636002</v>
      </c>
      <c r="AJ39" s="36">
        <f t="shared" si="25"/>
        <v>0</v>
      </c>
      <c r="AK39" s="36">
        <f>AF39*(1+$AJ$35)</f>
        <v>12.561430159485083</v>
      </c>
      <c r="AL39" s="36">
        <f t="shared" si="25"/>
        <v>12.561430159485083</v>
      </c>
      <c r="AM39" s="36">
        <f t="shared" si="25"/>
        <v>12.561430159485083</v>
      </c>
      <c r="AN39" s="36">
        <f t="shared" si="25"/>
        <v>12.561430159485083</v>
      </c>
      <c r="AO39" s="36">
        <f t="shared" si="25"/>
        <v>0</v>
      </c>
      <c r="AP39" s="529">
        <f t="shared" ref="AP39:AT43" si="26">AK39*(1+$AT$35)</f>
        <v>12.938273064269636</v>
      </c>
      <c r="AQ39" s="473">
        <f t="shared" si="26"/>
        <v>12.938273064269636</v>
      </c>
      <c r="AR39" s="473">
        <f t="shared" si="26"/>
        <v>12.938273064269636</v>
      </c>
      <c r="AS39" s="528">
        <f t="shared" si="26"/>
        <v>12.938273064269636</v>
      </c>
      <c r="AT39" s="473">
        <f t="shared" si="26"/>
        <v>0</v>
      </c>
    </row>
    <row r="40" spans="1:47" x14ac:dyDescent="0.3">
      <c r="A40" s="22" t="s">
        <v>89</v>
      </c>
      <c r="B40" s="37">
        <v>6.15</v>
      </c>
      <c r="C40" s="37">
        <v>5.29</v>
      </c>
      <c r="D40" s="37">
        <v>6.15</v>
      </c>
      <c r="E40" s="37">
        <v>5.29</v>
      </c>
      <c r="F40" s="37">
        <v>0</v>
      </c>
      <c r="G40" s="31">
        <v>10.52</v>
      </c>
      <c r="H40" s="31">
        <v>6.82</v>
      </c>
      <c r="I40" s="31">
        <v>6.82</v>
      </c>
      <c r="J40" s="31">
        <v>6.82</v>
      </c>
      <c r="K40" s="31">
        <f>F40*(1+$B$5)</f>
        <v>0</v>
      </c>
      <c r="L40" s="31">
        <f>G40*(1+$P$35)</f>
        <v>10.835599999999999</v>
      </c>
      <c r="M40" s="31">
        <f t="shared" si="22"/>
        <v>7.0246000000000004</v>
      </c>
      <c r="N40" s="31">
        <f t="shared" si="22"/>
        <v>7.0246000000000004</v>
      </c>
      <c r="O40" s="31">
        <f t="shared" si="22"/>
        <v>7.0246000000000004</v>
      </c>
      <c r="P40" s="31">
        <f t="shared" si="22"/>
        <v>0</v>
      </c>
      <c r="Q40" s="32">
        <f>L40*(1+$U$35)</f>
        <v>11.160667999999999</v>
      </c>
      <c r="R40" s="32">
        <f t="shared" si="23"/>
        <v>7.2353380000000005</v>
      </c>
      <c r="S40" s="32">
        <f t="shared" si="23"/>
        <v>7.2353380000000005</v>
      </c>
      <c r="T40" s="32">
        <f t="shared" si="23"/>
        <v>7.2353380000000005</v>
      </c>
      <c r="U40" s="32">
        <f t="shared" si="23"/>
        <v>0</v>
      </c>
      <c r="V40" s="31">
        <f t="shared" si="24"/>
        <v>11.49548804</v>
      </c>
      <c r="W40" s="31">
        <f t="shared" si="24"/>
        <v>7.4523981400000006</v>
      </c>
      <c r="X40" s="31">
        <f t="shared" si="24"/>
        <v>7.4523981400000006</v>
      </c>
      <c r="Y40" s="31">
        <f t="shared" si="24"/>
        <v>7.4523981400000006</v>
      </c>
      <c r="Z40" s="31">
        <f t="shared" si="24"/>
        <v>0</v>
      </c>
      <c r="AA40" s="33">
        <f>V40*(1+$AE$35)</f>
        <v>11.840352681200001</v>
      </c>
      <c r="AB40" s="533">
        <f>W40*(1+$AE$35)-0.01</f>
        <v>7.6659700842000014</v>
      </c>
      <c r="AC40" s="534">
        <f>X40*(1+$AE$35)-0.01</f>
        <v>7.6659700842000014</v>
      </c>
      <c r="AD40" s="33">
        <f t="shared" ref="AB40:AD41" si="27">Y40*(1+$AE$35)-0.01</f>
        <v>7.6659700842000014</v>
      </c>
      <c r="AE40" s="33">
        <f>Z40*(1+$AE$35)</f>
        <v>0</v>
      </c>
      <c r="AF40" s="36">
        <f t="shared" ref="AF40:AJ43" si="28">AA40*(1+$AJ$35)</f>
        <v>12.195563261636002</v>
      </c>
      <c r="AG40" s="36">
        <f t="shared" si="28"/>
        <v>7.8959491867260017</v>
      </c>
      <c r="AH40" s="36">
        <f t="shared" si="28"/>
        <v>7.8959491867260017</v>
      </c>
      <c r="AI40" s="36">
        <f t="shared" si="28"/>
        <v>7.8959491867260017</v>
      </c>
      <c r="AJ40" s="36">
        <f t="shared" si="28"/>
        <v>0</v>
      </c>
      <c r="AK40" s="36">
        <f>AF40*(1+$AJ$35)</f>
        <v>12.561430159485083</v>
      </c>
      <c r="AL40" s="36">
        <f t="shared" ref="AL40:AL43" si="29">AG40*(1+$AJ$35)</f>
        <v>8.1328276623277826</v>
      </c>
      <c r="AM40" s="36">
        <f t="shared" ref="AM40:AM43" si="30">AH40*(1+$AJ$35)</f>
        <v>8.1328276623277826</v>
      </c>
      <c r="AN40" s="36">
        <f t="shared" ref="AN40:AN43" si="31">AI40*(1+$AJ$35)</f>
        <v>8.1328276623277826</v>
      </c>
      <c r="AO40" s="36">
        <f t="shared" ref="AO40:AO43" si="32">AJ40*(1+$AJ$35)</f>
        <v>0</v>
      </c>
      <c r="AP40" s="473">
        <f>AK40*(1+$AT$35)</f>
        <v>12.938273064269636</v>
      </c>
      <c r="AQ40" s="529">
        <f t="shared" si="26"/>
        <v>8.376812492197617</v>
      </c>
      <c r="AR40" s="473">
        <f t="shared" si="26"/>
        <v>8.376812492197617</v>
      </c>
      <c r="AS40" s="528">
        <f t="shared" si="26"/>
        <v>8.376812492197617</v>
      </c>
      <c r="AT40" s="473">
        <f t="shared" si="26"/>
        <v>0</v>
      </c>
      <c r="AU40" s="532">
        <f>+AR40*1.03</f>
        <v>8.6281168669635466</v>
      </c>
    </row>
    <row r="41" spans="1:47" x14ac:dyDescent="0.3">
      <c r="A41" s="22" t="s">
        <v>90</v>
      </c>
      <c r="B41" s="37">
        <v>6.15</v>
      </c>
      <c r="C41" s="37">
        <v>5.29</v>
      </c>
      <c r="D41" s="37">
        <v>6.15</v>
      </c>
      <c r="E41" s="37">
        <v>5.29</v>
      </c>
      <c r="F41" s="37">
        <v>0</v>
      </c>
      <c r="G41" s="31">
        <v>10.52</v>
      </c>
      <c r="H41" s="31">
        <v>6.82</v>
      </c>
      <c r="I41" s="31">
        <v>6.82</v>
      </c>
      <c r="J41" s="31">
        <v>6.82</v>
      </c>
      <c r="K41" s="31">
        <f>F41*(1+$B$5)</f>
        <v>0</v>
      </c>
      <c r="L41" s="31">
        <f>G41*(1+$P$35)</f>
        <v>10.835599999999999</v>
      </c>
      <c r="M41" s="31">
        <f t="shared" si="22"/>
        <v>7.0246000000000004</v>
      </c>
      <c r="N41" s="31">
        <f t="shared" si="22"/>
        <v>7.0246000000000004</v>
      </c>
      <c r="O41" s="31">
        <f t="shared" si="22"/>
        <v>7.0246000000000004</v>
      </c>
      <c r="P41" s="31">
        <f t="shared" si="22"/>
        <v>0</v>
      </c>
      <c r="Q41" s="32">
        <f>L41*(1+$U$35)</f>
        <v>11.160667999999999</v>
      </c>
      <c r="R41" s="32">
        <f t="shared" si="23"/>
        <v>7.2353380000000005</v>
      </c>
      <c r="S41" s="32">
        <f t="shared" si="23"/>
        <v>7.2353380000000005</v>
      </c>
      <c r="T41" s="32">
        <f t="shared" si="23"/>
        <v>7.2353380000000005</v>
      </c>
      <c r="U41" s="32">
        <f t="shared" si="23"/>
        <v>0</v>
      </c>
      <c r="V41" s="31">
        <f t="shared" si="24"/>
        <v>11.49548804</v>
      </c>
      <c r="W41" s="31">
        <f t="shared" si="24"/>
        <v>7.4523981400000006</v>
      </c>
      <c r="X41" s="31">
        <f t="shared" si="24"/>
        <v>7.4523981400000006</v>
      </c>
      <c r="Y41" s="31">
        <f t="shared" si="24"/>
        <v>7.4523981400000006</v>
      </c>
      <c r="Z41" s="31">
        <f t="shared" si="24"/>
        <v>0</v>
      </c>
      <c r="AA41" s="33">
        <f>V41*(1+$AE$35)</f>
        <v>11.840352681200001</v>
      </c>
      <c r="AB41" s="534">
        <f t="shared" si="27"/>
        <v>7.6659700842000014</v>
      </c>
      <c r="AC41" s="534">
        <f t="shared" si="27"/>
        <v>7.6659700842000014</v>
      </c>
      <c r="AD41" s="33">
        <f t="shared" si="27"/>
        <v>7.6659700842000014</v>
      </c>
      <c r="AE41" s="33">
        <f>Z41*(1+$AE$35)</f>
        <v>0</v>
      </c>
      <c r="AF41" s="36">
        <f t="shared" si="28"/>
        <v>12.195563261636002</v>
      </c>
      <c r="AG41" s="36">
        <f t="shared" si="28"/>
        <v>7.8959491867260017</v>
      </c>
      <c r="AH41" s="36">
        <f t="shared" si="28"/>
        <v>7.8959491867260017</v>
      </c>
      <c r="AI41" s="36">
        <f t="shared" si="28"/>
        <v>7.8959491867260017</v>
      </c>
      <c r="AJ41" s="36">
        <f t="shared" si="28"/>
        <v>0</v>
      </c>
      <c r="AK41" s="36">
        <f t="shared" ref="AK41:AK43" si="33">AF41*(1+$AJ$35)</f>
        <v>12.561430159485083</v>
      </c>
      <c r="AL41" s="36">
        <f t="shared" si="29"/>
        <v>8.1328276623277826</v>
      </c>
      <c r="AM41" s="36">
        <f t="shared" si="30"/>
        <v>8.1328276623277826</v>
      </c>
      <c r="AN41" s="36">
        <f t="shared" si="31"/>
        <v>8.1328276623277826</v>
      </c>
      <c r="AO41" s="36">
        <f t="shared" si="32"/>
        <v>0</v>
      </c>
      <c r="AP41" s="473">
        <f t="shared" si="26"/>
        <v>12.938273064269636</v>
      </c>
      <c r="AQ41" s="473">
        <f t="shared" si="26"/>
        <v>8.376812492197617</v>
      </c>
      <c r="AR41" s="473">
        <f t="shared" si="26"/>
        <v>8.376812492197617</v>
      </c>
      <c r="AS41" s="473">
        <f t="shared" si="26"/>
        <v>8.376812492197617</v>
      </c>
      <c r="AT41" s="473">
        <f t="shared" si="26"/>
        <v>0</v>
      </c>
    </row>
    <row r="42" spans="1:47" x14ac:dyDescent="0.3">
      <c r="A42" s="438" t="s">
        <v>440</v>
      </c>
      <c r="B42" s="37">
        <v>9.15</v>
      </c>
      <c r="C42" s="37">
        <v>8.2899999999999991</v>
      </c>
      <c r="D42" s="37">
        <v>9.15</v>
      </c>
      <c r="E42" s="37">
        <v>8.2899999999999991</v>
      </c>
      <c r="F42" s="439">
        <v>3.7</v>
      </c>
      <c r="G42" s="31">
        <v>10.52</v>
      </c>
      <c r="H42" s="31">
        <v>10.52</v>
      </c>
      <c r="I42" s="31">
        <v>10.52</v>
      </c>
      <c r="J42" s="31">
        <v>10.52</v>
      </c>
      <c r="K42" s="31">
        <v>3.7</v>
      </c>
      <c r="L42" s="31">
        <f>G42*(1+$P$35)</f>
        <v>10.835599999999999</v>
      </c>
      <c r="M42" s="31">
        <f t="shared" si="22"/>
        <v>10.835599999999999</v>
      </c>
      <c r="N42" s="31">
        <f t="shared" si="22"/>
        <v>10.835599999999999</v>
      </c>
      <c r="O42" s="31">
        <f t="shared" si="22"/>
        <v>10.835599999999999</v>
      </c>
      <c r="P42" s="31">
        <f t="shared" si="22"/>
        <v>3.8110000000000004</v>
      </c>
      <c r="Q42" s="32">
        <f>L42*(1+$U$35)</f>
        <v>11.160667999999999</v>
      </c>
      <c r="R42" s="32">
        <f t="shared" si="23"/>
        <v>11.160667999999999</v>
      </c>
      <c r="S42" s="32">
        <f t="shared" si="23"/>
        <v>11.160667999999999</v>
      </c>
      <c r="T42" s="32">
        <f t="shared" si="23"/>
        <v>11.160667999999999</v>
      </c>
      <c r="U42" s="32">
        <f t="shared" si="23"/>
        <v>3.9253300000000007</v>
      </c>
      <c r="V42" s="31">
        <f t="shared" si="24"/>
        <v>11.49548804</v>
      </c>
      <c r="W42" s="31">
        <f t="shared" si="24"/>
        <v>11.49548804</v>
      </c>
      <c r="X42" s="31">
        <f t="shared" si="24"/>
        <v>11.49548804</v>
      </c>
      <c r="Y42" s="31">
        <f t="shared" si="24"/>
        <v>11.49548804</v>
      </c>
      <c r="Z42" s="31">
        <f>U42*(1+$Z$35)</f>
        <v>4.0430899000000009</v>
      </c>
      <c r="AA42" s="33">
        <f t="shared" ref="AA42:AD43" si="34">V42*(1+$AE$35)</f>
        <v>11.840352681200001</v>
      </c>
      <c r="AB42" s="33">
        <f t="shared" si="34"/>
        <v>11.840352681200001</v>
      </c>
      <c r="AC42" s="33">
        <f t="shared" si="34"/>
        <v>11.840352681200001</v>
      </c>
      <c r="AD42" s="33">
        <f t="shared" si="34"/>
        <v>11.840352681200001</v>
      </c>
      <c r="AE42" s="33">
        <f>Z42*(1+$AE$35)</f>
        <v>4.1643825970000012</v>
      </c>
      <c r="AF42" s="36">
        <f t="shared" si="28"/>
        <v>12.195563261636002</v>
      </c>
      <c r="AG42" s="36">
        <f t="shared" si="28"/>
        <v>12.195563261636002</v>
      </c>
      <c r="AH42" s="36">
        <f t="shared" si="28"/>
        <v>12.195563261636002</v>
      </c>
      <c r="AI42" s="36">
        <f t="shared" si="28"/>
        <v>12.195563261636002</v>
      </c>
      <c r="AJ42" s="36">
        <f t="shared" si="28"/>
        <v>4.2893140749100018</v>
      </c>
      <c r="AK42" s="36">
        <f t="shared" si="33"/>
        <v>12.561430159485083</v>
      </c>
      <c r="AL42" s="36">
        <f t="shared" si="29"/>
        <v>12.561430159485083</v>
      </c>
      <c r="AM42" s="36">
        <f t="shared" si="30"/>
        <v>12.561430159485083</v>
      </c>
      <c r="AN42" s="36">
        <f t="shared" si="31"/>
        <v>12.561430159485083</v>
      </c>
      <c r="AO42" s="36">
        <f>AJ42*(1+$AJ$35)</f>
        <v>4.4179934971573021</v>
      </c>
      <c r="AP42" s="473">
        <f t="shared" si="26"/>
        <v>12.938273064269636</v>
      </c>
      <c r="AQ42" s="473">
        <f t="shared" si="26"/>
        <v>12.938273064269636</v>
      </c>
      <c r="AR42" s="473">
        <f t="shared" si="26"/>
        <v>12.938273064269636</v>
      </c>
      <c r="AS42" s="473">
        <f t="shared" si="26"/>
        <v>12.938273064269636</v>
      </c>
      <c r="AT42" s="529">
        <f t="shared" si="26"/>
        <v>4.5505333020720213</v>
      </c>
    </row>
    <row r="43" spans="1:47" x14ac:dyDescent="0.3">
      <c r="A43" s="22" t="s">
        <v>92</v>
      </c>
      <c r="B43" s="37"/>
      <c r="C43" s="37"/>
      <c r="D43" s="37"/>
      <c r="E43" s="37"/>
      <c r="F43" s="37"/>
      <c r="G43" s="31"/>
      <c r="H43" s="31"/>
      <c r="I43" s="31"/>
      <c r="J43" s="31"/>
      <c r="K43" s="31"/>
      <c r="L43" s="31"/>
      <c r="M43" s="31"/>
      <c r="N43" s="31"/>
      <c r="O43" s="31"/>
      <c r="P43" s="31"/>
      <c r="Q43" s="32">
        <f>Q39</f>
        <v>11.160667999999999</v>
      </c>
      <c r="R43" s="32">
        <f>R39</f>
        <v>11.160667999999999</v>
      </c>
      <c r="S43" s="32">
        <f>S39</f>
        <v>11.160667999999999</v>
      </c>
      <c r="T43" s="32">
        <f>T39</f>
        <v>11.160667999999999</v>
      </c>
      <c r="U43" s="32">
        <f>U39</f>
        <v>0</v>
      </c>
      <c r="V43" s="31">
        <f t="shared" si="24"/>
        <v>11.49548804</v>
      </c>
      <c r="W43" s="31">
        <f t="shared" si="24"/>
        <v>11.49548804</v>
      </c>
      <c r="X43" s="31">
        <f t="shared" si="24"/>
        <v>11.49548804</v>
      </c>
      <c r="Y43" s="31">
        <f t="shared" si="24"/>
        <v>11.49548804</v>
      </c>
      <c r="Z43" s="31">
        <f>U43*(1+$Z$35)</f>
        <v>0</v>
      </c>
      <c r="AA43" s="33">
        <f t="shared" si="34"/>
        <v>11.840352681200001</v>
      </c>
      <c r="AB43" s="33">
        <f t="shared" si="34"/>
        <v>11.840352681200001</v>
      </c>
      <c r="AC43" s="33">
        <f t="shared" si="34"/>
        <v>11.840352681200001</v>
      </c>
      <c r="AD43" s="33">
        <f t="shared" si="34"/>
        <v>11.840352681200001</v>
      </c>
      <c r="AE43" s="33">
        <f>Z43*(1+$AE$35)</f>
        <v>0</v>
      </c>
      <c r="AF43" s="36">
        <f t="shared" si="28"/>
        <v>12.195563261636002</v>
      </c>
      <c r="AG43" s="36">
        <f t="shared" si="28"/>
        <v>12.195563261636002</v>
      </c>
      <c r="AH43" s="36">
        <f t="shared" si="28"/>
        <v>12.195563261636002</v>
      </c>
      <c r="AI43" s="36">
        <f t="shared" si="28"/>
        <v>12.195563261636002</v>
      </c>
      <c r="AJ43" s="36">
        <f t="shared" si="28"/>
        <v>0</v>
      </c>
      <c r="AK43" s="36">
        <f t="shared" si="33"/>
        <v>12.561430159485083</v>
      </c>
      <c r="AL43" s="36">
        <f t="shared" si="29"/>
        <v>12.561430159485083</v>
      </c>
      <c r="AM43" s="36">
        <f t="shared" si="30"/>
        <v>12.561430159485083</v>
      </c>
      <c r="AN43" s="36">
        <f t="shared" si="31"/>
        <v>12.561430159485083</v>
      </c>
      <c r="AO43" s="36">
        <f t="shared" si="32"/>
        <v>0</v>
      </c>
      <c r="AP43" s="473">
        <f t="shared" si="26"/>
        <v>12.938273064269636</v>
      </c>
      <c r="AQ43" s="473">
        <f t="shared" si="26"/>
        <v>12.938273064269636</v>
      </c>
      <c r="AR43" s="473">
        <f t="shared" si="26"/>
        <v>12.938273064269636</v>
      </c>
      <c r="AS43" s="473">
        <f t="shared" si="26"/>
        <v>12.938273064269636</v>
      </c>
      <c r="AT43" s="473">
        <f t="shared" si="26"/>
        <v>0</v>
      </c>
    </row>
    <row r="45" spans="1:47" x14ac:dyDescent="0.3">
      <c r="A45" s="19" t="s">
        <v>493</v>
      </c>
      <c r="AQ45" s="510"/>
      <c r="AT45" s="510">
        <f>+AS40+AT42</f>
        <v>12.927345794269637</v>
      </c>
    </row>
    <row r="46" spans="1:47" ht="15.75" thickBot="1" x14ac:dyDescent="0.35">
      <c r="Z46" s="478"/>
      <c r="AH46" s="531"/>
      <c r="AI46" s="510"/>
      <c r="AJ46" s="510"/>
      <c r="AK46" s="530"/>
    </row>
    <row r="47" spans="1:47" x14ac:dyDescent="0.3">
      <c r="A47" s="614" t="s">
        <v>80</v>
      </c>
      <c r="B47" s="613">
        <v>2013</v>
      </c>
      <c r="C47" s="613"/>
      <c r="D47" s="613"/>
      <c r="E47" s="613">
        <v>2014</v>
      </c>
      <c r="F47" s="613"/>
      <c r="G47" s="613"/>
      <c r="H47" s="613">
        <v>2015</v>
      </c>
      <c r="I47" s="613"/>
      <c r="J47" s="613"/>
      <c r="K47" s="613">
        <v>2016</v>
      </c>
      <c r="L47" s="613"/>
      <c r="M47" s="613"/>
      <c r="N47" s="613">
        <v>2017</v>
      </c>
      <c r="O47" s="613"/>
      <c r="P47" s="615"/>
      <c r="Q47" s="616">
        <v>2018</v>
      </c>
      <c r="R47" s="617"/>
      <c r="S47" s="618"/>
      <c r="T47" s="619">
        <v>2019</v>
      </c>
      <c r="U47" s="613"/>
      <c r="V47" s="615"/>
      <c r="W47" s="616">
        <v>2020</v>
      </c>
      <c r="X47" s="617"/>
      <c r="Y47" s="618"/>
      <c r="Z47" s="619">
        <v>2021</v>
      </c>
      <c r="AA47" s="613"/>
      <c r="AB47" s="613"/>
    </row>
    <row r="48" spans="1:47" ht="30.15" x14ac:dyDescent="0.3">
      <c r="A48" s="614"/>
      <c r="B48" s="29" t="s">
        <v>81</v>
      </c>
      <c r="C48" s="29" t="s">
        <v>82</v>
      </c>
      <c r="D48" s="29" t="s">
        <v>83</v>
      </c>
      <c r="E48" s="29" t="s">
        <v>81</v>
      </c>
      <c r="F48" s="29" t="s">
        <v>82</v>
      </c>
      <c r="G48" s="29" t="s">
        <v>83</v>
      </c>
      <c r="H48" s="29" t="s">
        <v>81</v>
      </c>
      <c r="I48" s="29" t="s">
        <v>82</v>
      </c>
      <c r="J48" s="29" t="s">
        <v>83</v>
      </c>
      <c r="K48" s="29" t="s">
        <v>81</v>
      </c>
      <c r="L48" s="29" t="s">
        <v>82</v>
      </c>
      <c r="M48" s="29" t="s">
        <v>83</v>
      </c>
      <c r="N48" s="29" t="s">
        <v>81</v>
      </c>
      <c r="O48" s="29" t="s">
        <v>82</v>
      </c>
      <c r="P48" s="485" t="s">
        <v>83</v>
      </c>
      <c r="Q48" s="489" t="s">
        <v>81</v>
      </c>
      <c r="R48" s="484" t="s">
        <v>82</v>
      </c>
      <c r="S48" s="490" t="s">
        <v>83</v>
      </c>
      <c r="T48" s="486" t="s">
        <v>81</v>
      </c>
      <c r="U48" s="29" t="s">
        <v>82</v>
      </c>
      <c r="V48" s="485" t="s">
        <v>83</v>
      </c>
      <c r="W48" s="489" t="s">
        <v>81</v>
      </c>
      <c r="X48" s="484" t="s">
        <v>82</v>
      </c>
      <c r="Y48" s="490" t="s">
        <v>83</v>
      </c>
      <c r="Z48" s="486" t="s">
        <v>81</v>
      </c>
      <c r="AA48" s="470" t="s">
        <v>82</v>
      </c>
      <c r="AB48" s="470" t="s">
        <v>83</v>
      </c>
    </row>
    <row r="49" spans="1:28" x14ac:dyDescent="0.3">
      <c r="A49" s="22" t="s">
        <v>84</v>
      </c>
      <c r="B49" s="37">
        <v>0</v>
      </c>
      <c r="C49" s="37">
        <v>0</v>
      </c>
      <c r="D49" s="37">
        <v>0</v>
      </c>
      <c r="E49" s="31">
        <f>B49*(1+$B$5)</f>
        <v>0</v>
      </c>
      <c r="F49" s="31">
        <f t="shared" ref="F49:G56" si="35">C49*(1+$B$5)</f>
        <v>0</v>
      </c>
      <c r="G49" s="31">
        <f t="shared" si="35"/>
        <v>0</v>
      </c>
      <c r="H49" s="31">
        <f>E49*(1+$C$5)</f>
        <v>0</v>
      </c>
      <c r="I49" s="31">
        <f>F49*(1+$C$5)</f>
        <v>0</v>
      </c>
      <c r="J49" s="31">
        <f>G49*(1+$C$5)</f>
        <v>0</v>
      </c>
      <c r="K49" s="31">
        <f>H49*(1+$D$5)</f>
        <v>0</v>
      </c>
      <c r="L49" s="31">
        <f t="shared" ref="L49:L55" si="36">I49*(1+$D$5)</f>
        <v>0</v>
      </c>
      <c r="M49" s="31">
        <f>J49*(1+$D$5)</f>
        <v>0</v>
      </c>
      <c r="N49" s="32">
        <f t="shared" ref="N49:P57" si="37">K49*(1+$E$5)</f>
        <v>0</v>
      </c>
      <c r="O49" s="32">
        <f t="shared" si="37"/>
        <v>0</v>
      </c>
      <c r="P49" s="496">
        <f t="shared" si="37"/>
        <v>0</v>
      </c>
      <c r="Q49" s="498">
        <f t="shared" ref="Q49:S57" si="38">N49*(1+$F$5)</f>
        <v>0</v>
      </c>
      <c r="R49" s="33">
        <f t="shared" si="38"/>
        <v>0</v>
      </c>
      <c r="S49" s="499">
        <f t="shared" si="38"/>
        <v>0</v>
      </c>
      <c r="T49" s="497">
        <f t="shared" ref="T49:V56" si="39">Q49*(1+$G$5)</f>
        <v>0</v>
      </c>
      <c r="U49" s="34">
        <f t="shared" si="39"/>
        <v>0</v>
      </c>
      <c r="V49" s="487">
        <f t="shared" si="39"/>
        <v>0</v>
      </c>
      <c r="W49" s="491">
        <f t="shared" ref="W49:Y56" si="40">T49*(1+$H$5)</f>
        <v>0</v>
      </c>
      <c r="X49" s="34">
        <f t="shared" si="40"/>
        <v>0</v>
      </c>
      <c r="Y49" s="492">
        <f t="shared" si="40"/>
        <v>0</v>
      </c>
      <c r="Z49" s="488">
        <f t="shared" ref="Z49:AB56" si="41">W49*(1+$I$5)</f>
        <v>0</v>
      </c>
      <c r="AA49" s="473">
        <f t="shared" si="41"/>
        <v>0</v>
      </c>
      <c r="AB49" s="473">
        <f t="shared" si="41"/>
        <v>0</v>
      </c>
    </row>
    <row r="50" spans="1:28" x14ac:dyDescent="0.3">
      <c r="A50" s="22" t="s">
        <v>85</v>
      </c>
      <c r="B50" s="37">
        <v>78.87</v>
      </c>
      <c r="C50" s="37">
        <v>78.87</v>
      </c>
      <c r="D50" s="37">
        <v>0</v>
      </c>
      <c r="E50" s="31">
        <f t="shared" ref="E50:E56" si="42">B50*(1+$B$5)</f>
        <v>80.400078000000008</v>
      </c>
      <c r="F50" s="31">
        <f t="shared" si="35"/>
        <v>80.400078000000008</v>
      </c>
      <c r="G50" s="31">
        <f t="shared" si="35"/>
        <v>0</v>
      </c>
      <c r="H50" s="31">
        <f t="shared" ref="H50:J56" si="43">E50*(1+$C$5)</f>
        <v>83.342720854800007</v>
      </c>
      <c r="I50" s="31">
        <f t="shared" si="43"/>
        <v>83.342720854800007</v>
      </c>
      <c r="J50" s="31">
        <f t="shared" si="43"/>
        <v>0</v>
      </c>
      <c r="K50" s="31">
        <f>H50*(1+$D$5)-0.01</f>
        <v>88.975023056669968</v>
      </c>
      <c r="L50" s="31">
        <f>I50*(1+$D$5)-0.01</f>
        <v>88.975023056669968</v>
      </c>
      <c r="M50" s="31">
        <f t="shared" ref="M50:M56" si="44">J50*(1+$D$5)</f>
        <v>0</v>
      </c>
      <c r="N50" s="32">
        <f t="shared" si="37"/>
        <v>94.091086882428499</v>
      </c>
      <c r="O50" s="32">
        <f t="shared" si="37"/>
        <v>94.091086882428499</v>
      </c>
      <c r="P50" s="496">
        <f t="shared" si="37"/>
        <v>0</v>
      </c>
      <c r="Q50" s="498">
        <f t="shared" si="38"/>
        <v>97.939412335919812</v>
      </c>
      <c r="R50" s="33">
        <f t="shared" si="38"/>
        <v>97.939412335919812</v>
      </c>
      <c r="S50" s="499">
        <f t="shared" si="38"/>
        <v>0</v>
      </c>
      <c r="T50" s="497">
        <f>Q50*(1+$G$5)</f>
        <v>101.05388564820207</v>
      </c>
      <c r="U50" s="34">
        <f t="shared" si="39"/>
        <v>101.05388564820207</v>
      </c>
      <c r="V50" s="487">
        <f t="shared" si="39"/>
        <v>0</v>
      </c>
      <c r="W50" s="491">
        <f>T50*(1+$H$5)</f>
        <v>104.89393330283374</v>
      </c>
      <c r="X50" s="34">
        <f t="shared" si="40"/>
        <v>104.89393330283374</v>
      </c>
      <c r="Y50" s="492">
        <f t="shared" si="40"/>
        <v>0</v>
      </c>
      <c r="Z50" s="488">
        <f>W50*(1+$I$5)+0.01</f>
        <v>106.59272562900938</v>
      </c>
      <c r="AA50" s="473">
        <f>X50*(1+$I$5)+0.01</f>
        <v>106.59272562900938</v>
      </c>
      <c r="AB50" s="473">
        <f t="shared" si="41"/>
        <v>0</v>
      </c>
    </row>
    <row r="51" spans="1:28" x14ac:dyDescent="0.3">
      <c r="A51" s="22" t="s">
        <v>86</v>
      </c>
      <c r="B51" s="37">
        <v>0</v>
      </c>
      <c r="C51" s="37">
        <v>0</v>
      </c>
      <c r="D51" s="37">
        <v>0</v>
      </c>
      <c r="E51" s="31">
        <f t="shared" si="42"/>
        <v>0</v>
      </c>
      <c r="F51" s="31">
        <f t="shared" si="35"/>
        <v>0</v>
      </c>
      <c r="G51" s="31">
        <f t="shared" si="35"/>
        <v>0</v>
      </c>
      <c r="H51" s="31">
        <f t="shared" si="43"/>
        <v>0</v>
      </c>
      <c r="I51" s="31">
        <f t="shared" si="43"/>
        <v>0</v>
      </c>
      <c r="J51" s="31">
        <f t="shared" si="43"/>
        <v>0</v>
      </c>
      <c r="K51" s="31">
        <f>H51*(1+$D$5)</f>
        <v>0</v>
      </c>
      <c r="L51" s="31">
        <f t="shared" si="36"/>
        <v>0</v>
      </c>
      <c r="M51" s="31">
        <f t="shared" si="44"/>
        <v>0</v>
      </c>
      <c r="N51" s="32">
        <f t="shared" si="37"/>
        <v>0</v>
      </c>
      <c r="O51" s="32">
        <f t="shared" si="37"/>
        <v>0</v>
      </c>
      <c r="P51" s="496">
        <f t="shared" si="37"/>
        <v>0</v>
      </c>
      <c r="Q51" s="498">
        <f t="shared" si="38"/>
        <v>0</v>
      </c>
      <c r="R51" s="33">
        <f t="shared" si="38"/>
        <v>0</v>
      </c>
      <c r="S51" s="499">
        <f t="shared" si="38"/>
        <v>0</v>
      </c>
      <c r="T51" s="497">
        <f t="shared" si="39"/>
        <v>0</v>
      </c>
      <c r="U51" s="34">
        <f t="shared" si="39"/>
        <v>0</v>
      </c>
      <c r="V51" s="487">
        <f t="shared" si="39"/>
        <v>0</v>
      </c>
      <c r="W51" s="491">
        <f t="shared" si="40"/>
        <v>0</v>
      </c>
      <c r="X51" s="34">
        <f t="shared" si="40"/>
        <v>0</v>
      </c>
      <c r="Y51" s="492">
        <f t="shared" si="40"/>
        <v>0</v>
      </c>
      <c r="Z51" s="488">
        <f t="shared" si="41"/>
        <v>0</v>
      </c>
      <c r="AA51" s="473">
        <f t="shared" si="41"/>
        <v>0</v>
      </c>
      <c r="AB51" s="473">
        <f t="shared" si="41"/>
        <v>0</v>
      </c>
    </row>
    <row r="52" spans="1:28" x14ac:dyDescent="0.3">
      <c r="A52" s="22" t="s">
        <v>87</v>
      </c>
      <c r="B52" s="37">
        <v>78.87</v>
      </c>
      <c r="C52" s="37">
        <v>78.87</v>
      </c>
      <c r="D52" s="37">
        <v>0</v>
      </c>
      <c r="E52" s="31">
        <f t="shared" si="42"/>
        <v>80.400078000000008</v>
      </c>
      <c r="F52" s="31">
        <f t="shared" si="35"/>
        <v>80.400078000000008</v>
      </c>
      <c r="G52" s="31">
        <f t="shared" si="35"/>
        <v>0</v>
      </c>
      <c r="H52" s="31">
        <f t="shared" si="43"/>
        <v>83.342720854800007</v>
      </c>
      <c r="I52" s="31">
        <f t="shared" si="43"/>
        <v>83.342720854800007</v>
      </c>
      <c r="J52" s="31">
        <f t="shared" si="43"/>
        <v>0</v>
      </c>
      <c r="K52" s="31">
        <f>H52*(1+$D$5)-0.01</f>
        <v>88.975023056669968</v>
      </c>
      <c r="L52" s="31">
        <f>I52*(1+$D$5)-0.01</f>
        <v>88.975023056669968</v>
      </c>
      <c r="M52" s="31">
        <f t="shared" si="44"/>
        <v>0</v>
      </c>
      <c r="N52" s="32">
        <f t="shared" si="37"/>
        <v>94.091086882428499</v>
      </c>
      <c r="O52" s="32">
        <f t="shared" si="37"/>
        <v>94.091086882428499</v>
      </c>
      <c r="P52" s="496">
        <f t="shared" si="37"/>
        <v>0</v>
      </c>
      <c r="Q52" s="498">
        <f t="shared" si="38"/>
        <v>97.939412335919812</v>
      </c>
      <c r="R52" s="33">
        <f t="shared" si="38"/>
        <v>97.939412335919812</v>
      </c>
      <c r="S52" s="499">
        <f t="shared" si="38"/>
        <v>0</v>
      </c>
      <c r="T52" s="497">
        <f>Q52*(1+$G$5)</f>
        <v>101.05388564820207</v>
      </c>
      <c r="U52" s="34">
        <f t="shared" si="39"/>
        <v>101.05388564820207</v>
      </c>
      <c r="V52" s="487">
        <f t="shared" si="39"/>
        <v>0</v>
      </c>
      <c r="W52" s="491">
        <f t="shared" si="40"/>
        <v>104.89393330283374</v>
      </c>
      <c r="X52" s="34">
        <f t="shared" si="40"/>
        <v>104.89393330283374</v>
      </c>
      <c r="Y52" s="492">
        <f t="shared" si="40"/>
        <v>0</v>
      </c>
      <c r="Z52" s="488">
        <f>W52*(1+$I$5)+0.01</f>
        <v>106.59272562900938</v>
      </c>
      <c r="AA52" s="473">
        <f>X52*(1+$I$5)+0.01</f>
        <v>106.59272562900938</v>
      </c>
      <c r="AB52" s="473">
        <f t="shared" si="41"/>
        <v>0</v>
      </c>
    </row>
    <row r="53" spans="1:28" x14ac:dyDescent="0.3">
      <c r="A53" s="22" t="s">
        <v>88</v>
      </c>
      <c r="B53" s="37">
        <v>58.03</v>
      </c>
      <c r="C53" s="37">
        <v>58.03</v>
      </c>
      <c r="D53" s="37">
        <v>58.03</v>
      </c>
      <c r="E53" s="31">
        <f t="shared" si="42"/>
        <v>59.155782000000009</v>
      </c>
      <c r="F53" s="31">
        <f t="shared" si="35"/>
        <v>59.155782000000009</v>
      </c>
      <c r="G53" s="31">
        <f t="shared" si="35"/>
        <v>59.155782000000009</v>
      </c>
      <c r="H53" s="31">
        <f t="shared" si="43"/>
        <v>61.320883621200011</v>
      </c>
      <c r="I53" s="31">
        <f t="shared" si="43"/>
        <v>61.320883621200011</v>
      </c>
      <c r="J53" s="31">
        <f t="shared" si="43"/>
        <v>61.320883621200011</v>
      </c>
      <c r="K53" s="31">
        <f>H53*(1+$D$5)</f>
        <v>65.472307442355259</v>
      </c>
      <c r="L53" s="31">
        <f t="shared" si="36"/>
        <v>65.472307442355259</v>
      </c>
      <c r="M53" s="31">
        <f t="shared" si="44"/>
        <v>65.472307442355259</v>
      </c>
      <c r="N53" s="32">
        <f t="shared" si="37"/>
        <v>69.236965120290691</v>
      </c>
      <c r="O53" s="32">
        <f t="shared" si="37"/>
        <v>69.236965120290691</v>
      </c>
      <c r="P53" s="496">
        <f t="shared" si="37"/>
        <v>69.236965120290691</v>
      </c>
      <c r="Q53" s="498">
        <f t="shared" si="38"/>
        <v>72.068756993710579</v>
      </c>
      <c r="R53" s="33">
        <f t="shared" si="38"/>
        <v>72.068756993710579</v>
      </c>
      <c r="S53" s="499">
        <f t="shared" si="38"/>
        <v>72.068756993710579</v>
      </c>
      <c r="T53" s="497">
        <f t="shared" si="39"/>
        <v>74.360543466110585</v>
      </c>
      <c r="U53" s="34">
        <f t="shared" si="39"/>
        <v>74.360543466110585</v>
      </c>
      <c r="V53" s="487">
        <f t="shared" si="39"/>
        <v>74.360543466110585</v>
      </c>
      <c r="W53" s="491">
        <f t="shared" si="40"/>
        <v>77.186244117822795</v>
      </c>
      <c r="X53" s="34">
        <f t="shared" si="40"/>
        <v>77.186244117822795</v>
      </c>
      <c r="Y53" s="492">
        <f t="shared" si="40"/>
        <v>77.186244117822795</v>
      </c>
      <c r="Z53" s="488">
        <f t="shared" si="41"/>
        <v>78.428942648119744</v>
      </c>
      <c r="AA53" s="473">
        <f t="shared" si="41"/>
        <v>78.428942648119744</v>
      </c>
      <c r="AB53" s="473">
        <f t="shared" si="41"/>
        <v>78.428942648119744</v>
      </c>
    </row>
    <row r="54" spans="1:28" x14ac:dyDescent="0.3">
      <c r="A54" s="22" t="s">
        <v>89</v>
      </c>
      <c r="B54" s="37">
        <v>78.87</v>
      </c>
      <c r="C54" s="37">
        <v>78.87</v>
      </c>
      <c r="D54" s="37">
        <v>0</v>
      </c>
      <c r="E54" s="31">
        <f t="shared" si="42"/>
        <v>80.400078000000008</v>
      </c>
      <c r="F54" s="31">
        <f t="shared" si="35"/>
        <v>80.400078000000008</v>
      </c>
      <c r="G54" s="31">
        <f t="shared" si="35"/>
        <v>0</v>
      </c>
      <c r="H54" s="31">
        <f t="shared" si="43"/>
        <v>83.342720854800007</v>
      </c>
      <c r="I54" s="31">
        <f t="shared" si="43"/>
        <v>83.342720854800007</v>
      </c>
      <c r="J54" s="31">
        <f t="shared" si="43"/>
        <v>0</v>
      </c>
      <c r="K54" s="31">
        <f>H54*(1+$D$5)-0.01</f>
        <v>88.975023056669968</v>
      </c>
      <c r="L54" s="31">
        <f>I54*(1+$D$5)-0.01</f>
        <v>88.975023056669968</v>
      </c>
      <c r="M54" s="31">
        <f t="shared" si="44"/>
        <v>0</v>
      </c>
      <c r="N54" s="32">
        <f t="shared" si="37"/>
        <v>94.091086882428499</v>
      </c>
      <c r="O54" s="32">
        <f t="shared" si="37"/>
        <v>94.091086882428499</v>
      </c>
      <c r="P54" s="496">
        <f t="shared" si="37"/>
        <v>0</v>
      </c>
      <c r="Q54" s="498">
        <f t="shared" si="38"/>
        <v>97.939412335919812</v>
      </c>
      <c r="R54" s="33">
        <f t="shared" si="38"/>
        <v>97.939412335919812</v>
      </c>
      <c r="S54" s="499">
        <f t="shared" si="38"/>
        <v>0</v>
      </c>
      <c r="T54" s="497">
        <f t="shared" si="39"/>
        <v>101.05388564820207</v>
      </c>
      <c r="U54" s="34">
        <f t="shared" si="39"/>
        <v>101.05388564820207</v>
      </c>
      <c r="V54" s="487">
        <f t="shared" si="39"/>
        <v>0</v>
      </c>
      <c r="W54" s="491">
        <f t="shared" si="40"/>
        <v>104.89393330283374</v>
      </c>
      <c r="X54" s="34">
        <f t="shared" si="40"/>
        <v>104.89393330283374</v>
      </c>
      <c r="Y54" s="492">
        <f t="shared" si="40"/>
        <v>0</v>
      </c>
      <c r="Z54" s="488">
        <f>W54*(1+$I$5)+0.01</f>
        <v>106.59272562900938</v>
      </c>
      <c r="AA54" s="473">
        <f>X54*(1+$I$5)+0.01</f>
        <v>106.59272562900938</v>
      </c>
      <c r="AB54" s="473">
        <f t="shared" si="41"/>
        <v>0</v>
      </c>
    </row>
    <row r="55" spans="1:28" x14ac:dyDescent="0.3">
      <c r="A55" s="22" t="s">
        <v>90</v>
      </c>
      <c r="B55" s="37">
        <v>0</v>
      </c>
      <c r="C55" s="37">
        <v>0</v>
      </c>
      <c r="D55" s="37">
        <v>0</v>
      </c>
      <c r="E55" s="31">
        <f t="shared" si="42"/>
        <v>0</v>
      </c>
      <c r="F55" s="31">
        <f t="shared" si="35"/>
        <v>0</v>
      </c>
      <c r="G55" s="31">
        <f t="shared" si="35"/>
        <v>0</v>
      </c>
      <c r="H55" s="31">
        <f t="shared" si="43"/>
        <v>0</v>
      </c>
      <c r="I55" s="31">
        <f t="shared" si="43"/>
        <v>0</v>
      </c>
      <c r="J55" s="31">
        <f t="shared" si="43"/>
        <v>0</v>
      </c>
      <c r="K55" s="31">
        <f>H55*(1+$D$5)</f>
        <v>0</v>
      </c>
      <c r="L55" s="31">
        <f t="shared" si="36"/>
        <v>0</v>
      </c>
      <c r="M55" s="31">
        <f t="shared" si="44"/>
        <v>0</v>
      </c>
      <c r="N55" s="32">
        <f t="shared" si="37"/>
        <v>0</v>
      </c>
      <c r="O55" s="32">
        <f t="shared" si="37"/>
        <v>0</v>
      </c>
      <c r="P55" s="496">
        <f t="shared" si="37"/>
        <v>0</v>
      </c>
      <c r="Q55" s="498">
        <f t="shared" si="38"/>
        <v>0</v>
      </c>
      <c r="R55" s="33">
        <f t="shared" si="38"/>
        <v>0</v>
      </c>
      <c r="S55" s="499">
        <f t="shared" si="38"/>
        <v>0</v>
      </c>
      <c r="T55" s="497">
        <f t="shared" si="39"/>
        <v>0</v>
      </c>
      <c r="U55" s="34">
        <f t="shared" si="39"/>
        <v>0</v>
      </c>
      <c r="V55" s="487">
        <f t="shared" si="39"/>
        <v>0</v>
      </c>
      <c r="W55" s="491">
        <f t="shared" si="40"/>
        <v>0</v>
      </c>
      <c r="X55" s="34">
        <f t="shared" si="40"/>
        <v>0</v>
      </c>
      <c r="Y55" s="492">
        <f t="shared" si="40"/>
        <v>0</v>
      </c>
      <c r="Z55" s="488">
        <f t="shared" si="41"/>
        <v>0</v>
      </c>
      <c r="AA55" s="473">
        <f t="shared" si="41"/>
        <v>0</v>
      </c>
      <c r="AB55" s="473">
        <f t="shared" si="41"/>
        <v>0</v>
      </c>
    </row>
    <row r="56" spans="1:28" x14ac:dyDescent="0.3">
      <c r="A56" s="22" t="s">
        <v>91</v>
      </c>
      <c r="B56" s="37">
        <v>78.87</v>
      </c>
      <c r="C56" s="37">
        <v>78.87</v>
      </c>
      <c r="D56" s="37">
        <v>0</v>
      </c>
      <c r="E56" s="31">
        <f t="shared" si="42"/>
        <v>80.400078000000008</v>
      </c>
      <c r="F56" s="31">
        <f t="shared" si="35"/>
        <v>80.400078000000008</v>
      </c>
      <c r="G56" s="31">
        <f t="shared" si="35"/>
        <v>0</v>
      </c>
      <c r="H56" s="31">
        <f t="shared" si="43"/>
        <v>83.342720854800007</v>
      </c>
      <c r="I56" s="31">
        <f t="shared" si="43"/>
        <v>83.342720854800007</v>
      </c>
      <c r="J56" s="31">
        <f t="shared" si="43"/>
        <v>0</v>
      </c>
      <c r="K56" s="31">
        <f>H56*(1+$D$5)-0.01</f>
        <v>88.975023056669968</v>
      </c>
      <c r="L56" s="31">
        <f>I56*(1+$D$5)-0.01</f>
        <v>88.975023056669968</v>
      </c>
      <c r="M56" s="31">
        <f t="shared" si="44"/>
        <v>0</v>
      </c>
      <c r="N56" s="32">
        <f t="shared" si="37"/>
        <v>94.091086882428499</v>
      </c>
      <c r="O56" s="32">
        <f t="shared" si="37"/>
        <v>94.091086882428499</v>
      </c>
      <c r="P56" s="496">
        <f t="shared" si="37"/>
        <v>0</v>
      </c>
      <c r="Q56" s="498">
        <f t="shared" si="38"/>
        <v>97.939412335919812</v>
      </c>
      <c r="R56" s="33">
        <f t="shared" si="38"/>
        <v>97.939412335919812</v>
      </c>
      <c r="S56" s="499">
        <f t="shared" si="38"/>
        <v>0</v>
      </c>
      <c r="T56" s="497">
        <f t="shared" si="39"/>
        <v>101.05388564820207</v>
      </c>
      <c r="U56" s="34">
        <f t="shared" si="39"/>
        <v>101.05388564820207</v>
      </c>
      <c r="V56" s="487">
        <f t="shared" si="39"/>
        <v>0</v>
      </c>
      <c r="W56" s="491">
        <f t="shared" si="40"/>
        <v>104.89393330283374</v>
      </c>
      <c r="X56" s="34">
        <f t="shared" si="40"/>
        <v>104.89393330283374</v>
      </c>
      <c r="Y56" s="492">
        <f t="shared" si="40"/>
        <v>0</v>
      </c>
      <c r="Z56" s="488">
        <f>W56*(1+$I$5)+0.01</f>
        <v>106.59272562900938</v>
      </c>
      <c r="AA56" s="473">
        <f>X56*(1+$I$5)+0.01</f>
        <v>106.59272562900938</v>
      </c>
      <c r="AB56" s="473">
        <f t="shared" si="41"/>
        <v>0</v>
      </c>
    </row>
    <row r="57" spans="1:28" ht="15.75" thickBot="1" x14ac:dyDescent="0.35">
      <c r="A57" s="22" t="s">
        <v>92</v>
      </c>
      <c r="B57" s="37"/>
      <c r="C57" s="37"/>
      <c r="D57" s="37"/>
      <c r="E57" s="31"/>
      <c r="F57" s="31"/>
      <c r="G57" s="31"/>
      <c r="H57" s="31"/>
      <c r="I57" s="31"/>
      <c r="J57" s="31"/>
      <c r="K57" s="31">
        <v>88.98</v>
      </c>
      <c r="L57" s="31">
        <v>88.98</v>
      </c>
      <c r="M57" s="31">
        <v>88.98</v>
      </c>
      <c r="N57" s="32">
        <f t="shared" si="37"/>
        <v>94.096350000000015</v>
      </c>
      <c r="O57" s="32">
        <f t="shared" si="37"/>
        <v>94.096350000000015</v>
      </c>
      <c r="P57" s="496">
        <f t="shared" si="37"/>
        <v>94.096350000000015</v>
      </c>
      <c r="Q57" s="500">
        <f t="shared" si="38"/>
        <v>97.944890715000014</v>
      </c>
      <c r="R57" s="501">
        <f t="shared" si="38"/>
        <v>97.944890715000014</v>
      </c>
      <c r="S57" s="502">
        <f t="shared" si="38"/>
        <v>97.944890715000014</v>
      </c>
      <c r="T57" s="497">
        <f>Q57*(1+$G$5)-0.01</f>
        <v>101.04953823973702</v>
      </c>
      <c r="U57" s="34">
        <f>R57*(1+$G$5)-0.01</f>
        <v>101.04953823973702</v>
      </c>
      <c r="V57" s="487">
        <f>S57*(1+$G$5)-0.01</f>
        <v>101.04953823973702</v>
      </c>
      <c r="W57" s="493">
        <f>T57*(1+$H$5)</f>
        <v>104.88942069284703</v>
      </c>
      <c r="X57" s="494">
        <f>U57*(1+$H$5)</f>
        <v>104.88942069284703</v>
      </c>
      <c r="Y57" s="495">
        <f>V57*(1+$H$5)</f>
        <v>104.88942069284703</v>
      </c>
      <c r="Z57" s="488">
        <f>W57*(1+$I$5)+0.01</f>
        <v>106.58814036600187</v>
      </c>
      <c r="AA57" s="473">
        <f>X57*(1+$I$5)+0.01</f>
        <v>106.58814036600187</v>
      </c>
      <c r="AB57" s="473">
        <f>Y57*(1+$I$5)+0.01</f>
        <v>106.58814036600187</v>
      </c>
    </row>
    <row r="59" spans="1:28" x14ac:dyDescent="0.3">
      <c r="A59" s="19" t="s">
        <v>102</v>
      </c>
    </row>
    <row r="61" spans="1:28" x14ac:dyDescent="0.3">
      <c r="A61" s="614" t="s">
        <v>80</v>
      </c>
      <c r="B61" s="613">
        <v>2013</v>
      </c>
      <c r="C61" s="613"/>
      <c r="D61" s="613"/>
      <c r="E61" s="613">
        <v>2014</v>
      </c>
      <c r="F61" s="613"/>
      <c r="G61" s="613"/>
      <c r="H61" s="613">
        <v>2015</v>
      </c>
      <c r="I61" s="613"/>
      <c r="J61" s="613"/>
      <c r="K61" s="613">
        <v>2016</v>
      </c>
      <c r="L61" s="613"/>
      <c r="M61" s="613"/>
      <c r="N61" s="613">
        <v>2017</v>
      </c>
      <c r="O61" s="613"/>
      <c r="P61" s="613"/>
      <c r="Q61" s="613">
        <v>2018</v>
      </c>
      <c r="R61" s="613"/>
      <c r="S61" s="613"/>
    </row>
    <row r="62" spans="1:28" ht="30.15" x14ac:dyDescent="0.3">
      <c r="A62" s="614"/>
      <c r="B62" s="29" t="s">
        <v>81</v>
      </c>
      <c r="C62" s="29" t="s">
        <v>82</v>
      </c>
      <c r="D62" s="29" t="s">
        <v>83</v>
      </c>
      <c r="E62" s="29" t="s">
        <v>81</v>
      </c>
      <c r="F62" s="29" t="s">
        <v>82</v>
      </c>
      <c r="G62" s="29" t="s">
        <v>83</v>
      </c>
      <c r="H62" s="29" t="s">
        <v>81</v>
      </c>
      <c r="I62" s="29" t="s">
        <v>82</v>
      </c>
      <c r="J62" s="29" t="s">
        <v>83</v>
      </c>
      <c r="K62" s="29" t="s">
        <v>81</v>
      </c>
      <c r="L62" s="29" t="s">
        <v>82</v>
      </c>
      <c r="M62" s="29" t="s">
        <v>83</v>
      </c>
      <c r="N62" s="29" t="s">
        <v>81</v>
      </c>
      <c r="O62" s="29" t="s">
        <v>82</v>
      </c>
      <c r="P62" s="29" t="s">
        <v>83</v>
      </c>
      <c r="Q62" s="29" t="s">
        <v>81</v>
      </c>
      <c r="R62" s="29" t="s">
        <v>82</v>
      </c>
      <c r="S62" s="29" t="s">
        <v>83</v>
      </c>
    </row>
    <row r="63" spans="1:28" x14ac:dyDescent="0.3">
      <c r="A63" s="22" t="s">
        <v>84</v>
      </c>
      <c r="B63" s="38" t="s">
        <v>103</v>
      </c>
      <c r="C63" s="38" t="s">
        <v>103</v>
      </c>
      <c r="D63" s="38">
        <v>0</v>
      </c>
      <c r="E63" s="39" t="s">
        <v>103</v>
      </c>
      <c r="F63" s="39" t="s">
        <v>103</v>
      </c>
      <c r="G63" s="39">
        <f t="shared" ref="G63:G70" si="45">D63*(1+$B$5)</f>
        <v>0</v>
      </c>
      <c r="H63" s="40" t="s">
        <v>103</v>
      </c>
      <c r="I63" s="39" t="s">
        <v>103</v>
      </c>
      <c r="J63" s="39">
        <f>G63*(1+$B$5)</f>
        <v>0</v>
      </c>
      <c r="K63" s="40" t="s">
        <v>103</v>
      </c>
      <c r="L63" s="39" t="s">
        <v>103</v>
      </c>
      <c r="M63" s="40">
        <f t="shared" ref="M63:M70" si="46">J63*(1+$D$5)</f>
        <v>0</v>
      </c>
      <c r="N63" s="41" t="s">
        <v>103</v>
      </c>
      <c r="O63" s="42" t="s">
        <v>103</v>
      </c>
      <c r="P63" s="41">
        <f>M63*(1+$E$5)</f>
        <v>0</v>
      </c>
      <c r="Q63" s="43" t="s">
        <v>103</v>
      </c>
      <c r="R63" s="44" t="s">
        <v>103</v>
      </c>
      <c r="S63" s="43">
        <f t="shared" ref="S63:S71" si="47">P63*(1+$F$5)</f>
        <v>0</v>
      </c>
    </row>
    <row r="64" spans="1:28" x14ac:dyDescent="0.3">
      <c r="A64" s="22" t="s">
        <v>85</v>
      </c>
      <c r="B64" s="38">
        <v>240</v>
      </c>
      <c r="C64" s="38" t="s">
        <v>103</v>
      </c>
      <c r="D64" s="38">
        <v>0</v>
      </c>
      <c r="E64" s="40">
        <f>B64*(1+$B$5)</f>
        <v>244.65600000000001</v>
      </c>
      <c r="F64" s="39" t="s">
        <v>103</v>
      </c>
      <c r="G64" s="39">
        <f t="shared" si="45"/>
        <v>0</v>
      </c>
      <c r="H64" s="40">
        <f>E64*(1+$C$5)</f>
        <v>253.6104096</v>
      </c>
      <c r="I64" s="39" t="s">
        <v>103</v>
      </c>
      <c r="J64" s="39">
        <f>G64*(1+$B$5)</f>
        <v>0</v>
      </c>
      <c r="K64" s="40">
        <f>H64*(1+$D$5)</f>
        <v>270.77983432991999</v>
      </c>
      <c r="L64" s="39" t="s">
        <v>103</v>
      </c>
      <c r="M64" s="40">
        <f t="shared" si="46"/>
        <v>0</v>
      </c>
      <c r="N64" s="41">
        <f>K64*(1+$E$5)</f>
        <v>286.34967480389042</v>
      </c>
      <c r="O64" s="42" t="s">
        <v>103</v>
      </c>
      <c r="P64" s="41">
        <f t="shared" ref="P64:P71" si="48">M64*(1+$E$5)</f>
        <v>0</v>
      </c>
      <c r="Q64" s="43">
        <f>N64*(1+$F$5)</f>
        <v>298.0613765033695</v>
      </c>
      <c r="R64" s="44" t="s">
        <v>103</v>
      </c>
      <c r="S64" s="43">
        <f t="shared" si="47"/>
        <v>0</v>
      </c>
    </row>
    <row r="65" spans="1:19" x14ac:dyDescent="0.3">
      <c r="A65" s="22" t="s">
        <v>86</v>
      </c>
      <c r="B65" s="38" t="s">
        <v>103</v>
      </c>
      <c r="C65" s="38" t="s">
        <v>103</v>
      </c>
      <c r="D65" s="38">
        <v>0</v>
      </c>
      <c r="E65" s="39" t="s">
        <v>103</v>
      </c>
      <c r="F65" s="39" t="s">
        <v>103</v>
      </c>
      <c r="G65" s="39">
        <f t="shared" si="45"/>
        <v>0</v>
      </c>
      <c r="H65" s="39" t="s">
        <v>103</v>
      </c>
      <c r="I65" s="39" t="s">
        <v>103</v>
      </c>
      <c r="J65" s="39">
        <f>G65*(1+$B$5)</f>
        <v>0</v>
      </c>
      <c r="K65" s="39" t="s">
        <v>103</v>
      </c>
      <c r="L65" s="39" t="s">
        <v>103</v>
      </c>
      <c r="M65" s="40">
        <f t="shared" si="46"/>
        <v>0</v>
      </c>
      <c r="N65" s="42" t="s">
        <v>103</v>
      </c>
      <c r="O65" s="42" t="s">
        <v>103</v>
      </c>
      <c r="P65" s="41">
        <f t="shared" si="48"/>
        <v>0</v>
      </c>
      <c r="Q65" s="44" t="s">
        <v>103</v>
      </c>
      <c r="R65" s="44" t="s">
        <v>103</v>
      </c>
      <c r="S65" s="43">
        <f t="shared" si="47"/>
        <v>0</v>
      </c>
    </row>
    <row r="66" spans="1:19" x14ac:dyDescent="0.3">
      <c r="A66" s="22" t="s">
        <v>87</v>
      </c>
      <c r="B66" s="38">
        <v>240</v>
      </c>
      <c r="C66" s="38" t="s">
        <v>103</v>
      </c>
      <c r="D66" s="38">
        <v>0</v>
      </c>
      <c r="E66" s="40">
        <f>B66*(1+$B$5)</f>
        <v>244.65600000000001</v>
      </c>
      <c r="F66" s="39" t="s">
        <v>103</v>
      </c>
      <c r="G66" s="39">
        <f t="shared" si="45"/>
        <v>0</v>
      </c>
      <c r="H66" s="40">
        <f>E66*(1+$C$5)</f>
        <v>253.6104096</v>
      </c>
      <c r="I66" s="39" t="s">
        <v>103</v>
      </c>
      <c r="J66" s="39">
        <f>G66*(1+$B$5)</f>
        <v>0</v>
      </c>
      <c r="K66" s="40">
        <f>H66*(1+$D$5)</f>
        <v>270.77983432991999</v>
      </c>
      <c r="L66" s="39" t="s">
        <v>103</v>
      </c>
      <c r="M66" s="40">
        <f t="shared" si="46"/>
        <v>0</v>
      </c>
      <c r="N66" s="41">
        <f>K66*(1+$E$5)</f>
        <v>286.34967480389042</v>
      </c>
      <c r="O66" s="42" t="s">
        <v>103</v>
      </c>
      <c r="P66" s="41">
        <f t="shared" si="48"/>
        <v>0</v>
      </c>
      <c r="Q66" s="43">
        <f>N66*(1+$F$5)</f>
        <v>298.0613765033695</v>
      </c>
      <c r="R66" s="44" t="s">
        <v>103</v>
      </c>
      <c r="S66" s="43">
        <f t="shared" si="47"/>
        <v>0</v>
      </c>
    </row>
    <row r="67" spans="1:19" x14ac:dyDescent="0.3">
      <c r="A67" s="22" t="s">
        <v>88</v>
      </c>
      <c r="B67" s="38">
        <v>240</v>
      </c>
      <c r="C67" s="38" t="s">
        <v>103</v>
      </c>
      <c r="D67" s="38">
        <v>240</v>
      </c>
      <c r="E67" s="40">
        <v>326.39999999999998</v>
      </c>
      <c r="F67" s="39" t="s">
        <v>103</v>
      </c>
      <c r="G67" s="40">
        <v>326.39999999999998</v>
      </c>
      <c r="H67" s="40">
        <f>E67*(1+$C$5)</f>
        <v>338.34623999999997</v>
      </c>
      <c r="I67" s="39" t="s">
        <v>103</v>
      </c>
      <c r="J67" s="40">
        <f>G67*(1+$C$5)</f>
        <v>338.34623999999997</v>
      </c>
      <c r="K67" s="40">
        <f>H67*(1+$D$5)</f>
        <v>361.25228044800002</v>
      </c>
      <c r="L67" s="39" t="s">
        <v>103</v>
      </c>
      <c r="M67" s="40">
        <f t="shared" si="46"/>
        <v>361.25228044800002</v>
      </c>
      <c r="N67" s="41">
        <f>K67*(1+$E$5)</f>
        <v>382.02428657376004</v>
      </c>
      <c r="O67" s="42" t="s">
        <v>103</v>
      </c>
      <c r="P67" s="41">
        <f t="shared" si="48"/>
        <v>382.02428657376004</v>
      </c>
      <c r="Q67" s="43">
        <f>N67*(1+$F$5)</f>
        <v>397.64907989462682</v>
      </c>
      <c r="R67" s="44" t="s">
        <v>103</v>
      </c>
      <c r="S67" s="43">
        <f t="shared" si="47"/>
        <v>397.64907989462682</v>
      </c>
    </row>
    <row r="68" spans="1:19" x14ac:dyDescent="0.3">
      <c r="A68" s="22" t="s">
        <v>89</v>
      </c>
      <c r="B68" s="38" t="s">
        <v>103</v>
      </c>
      <c r="C68" s="38" t="s">
        <v>103</v>
      </c>
      <c r="D68" s="38">
        <v>0</v>
      </c>
      <c r="E68" s="39" t="s">
        <v>103</v>
      </c>
      <c r="F68" s="39" t="s">
        <v>103</v>
      </c>
      <c r="G68" s="39">
        <f t="shared" si="45"/>
        <v>0</v>
      </c>
      <c r="H68" s="39" t="s">
        <v>103</v>
      </c>
      <c r="I68" s="39" t="s">
        <v>103</v>
      </c>
      <c r="J68" s="39">
        <f>G68*(1+$B$5)</f>
        <v>0</v>
      </c>
      <c r="K68" s="39" t="s">
        <v>103</v>
      </c>
      <c r="L68" s="39" t="s">
        <v>103</v>
      </c>
      <c r="M68" s="40">
        <f t="shared" si="46"/>
        <v>0</v>
      </c>
      <c r="N68" s="42" t="s">
        <v>103</v>
      </c>
      <c r="O68" s="42" t="s">
        <v>103</v>
      </c>
      <c r="P68" s="41">
        <f t="shared" si="48"/>
        <v>0</v>
      </c>
      <c r="Q68" s="44" t="s">
        <v>103</v>
      </c>
      <c r="R68" s="44" t="s">
        <v>103</v>
      </c>
      <c r="S68" s="43">
        <f t="shared" si="47"/>
        <v>0</v>
      </c>
    </row>
    <row r="69" spans="1:19" x14ac:dyDescent="0.3">
      <c r="A69" s="22" t="s">
        <v>90</v>
      </c>
      <c r="B69" s="38" t="s">
        <v>103</v>
      </c>
      <c r="C69" s="38" t="s">
        <v>103</v>
      </c>
      <c r="D69" s="38">
        <v>0</v>
      </c>
      <c r="E69" s="39" t="s">
        <v>103</v>
      </c>
      <c r="F69" s="39" t="s">
        <v>103</v>
      </c>
      <c r="G69" s="39">
        <f t="shared" si="45"/>
        <v>0</v>
      </c>
      <c r="H69" s="39" t="s">
        <v>103</v>
      </c>
      <c r="I69" s="39" t="s">
        <v>103</v>
      </c>
      <c r="J69" s="39">
        <f>G69*(1+$B$5)</f>
        <v>0</v>
      </c>
      <c r="K69" s="39" t="s">
        <v>103</v>
      </c>
      <c r="L69" s="39" t="s">
        <v>103</v>
      </c>
      <c r="M69" s="40">
        <f t="shared" si="46"/>
        <v>0</v>
      </c>
      <c r="N69" s="42" t="s">
        <v>103</v>
      </c>
      <c r="O69" s="42" t="s">
        <v>103</v>
      </c>
      <c r="P69" s="41">
        <f t="shared" si="48"/>
        <v>0</v>
      </c>
      <c r="Q69" s="44" t="s">
        <v>103</v>
      </c>
      <c r="R69" s="44" t="s">
        <v>103</v>
      </c>
      <c r="S69" s="43">
        <f t="shared" si="47"/>
        <v>0</v>
      </c>
    </row>
    <row r="70" spans="1:19" x14ac:dyDescent="0.3">
      <c r="A70" s="22" t="s">
        <v>91</v>
      </c>
      <c r="B70" s="38">
        <v>240</v>
      </c>
      <c r="C70" s="38" t="s">
        <v>103</v>
      </c>
      <c r="D70" s="38">
        <v>0</v>
      </c>
      <c r="E70" s="40">
        <f>B70*(1+$B$5)</f>
        <v>244.65600000000001</v>
      </c>
      <c r="F70" s="39" t="s">
        <v>103</v>
      </c>
      <c r="G70" s="39">
        <f t="shared" si="45"/>
        <v>0</v>
      </c>
      <c r="H70" s="40">
        <f>E70*(1+$C$5)</f>
        <v>253.6104096</v>
      </c>
      <c r="I70" s="39" t="s">
        <v>103</v>
      </c>
      <c r="J70" s="39">
        <f>G70*(1+$B$5)</f>
        <v>0</v>
      </c>
      <c r="K70" s="40">
        <f>H70*(1+$D$5)</f>
        <v>270.77983432991999</v>
      </c>
      <c r="L70" s="39" t="s">
        <v>103</v>
      </c>
      <c r="M70" s="40">
        <f t="shared" si="46"/>
        <v>0</v>
      </c>
      <c r="N70" s="41">
        <f>K70*(1+$E$5)</f>
        <v>286.34967480389042</v>
      </c>
      <c r="O70" s="42" t="s">
        <v>103</v>
      </c>
      <c r="P70" s="41">
        <f t="shared" si="48"/>
        <v>0</v>
      </c>
      <c r="Q70" s="43">
        <f>N70*(1+$F$5)</f>
        <v>298.0613765033695</v>
      </c>
      <c r="R70" s="44" t="s">
        <v>103</v>
      </c>
      <c r="S70" s="43">
        <f t="shared" si="47"/>
        <v>0</v>
      </c>
    </row>
    <row r="71" spans="1:19" x14ac:dyDescent="0.3">
      <c r="A71" s="22" t="s">
        <v>92</v>
      </c>
      <c r="B71" s="37"/>
      <c r="C71" s="37"/>
      <c r="D71" s="37"/>
      <c r="E71" s="31"/>
      <c r="F71" s="31"/>
      <c r="G71" s="31"/>
      <c r="H71" s="31"/>
      <c r="I71" s="31"/>
      <c r="J71" s="31"/>
      <c r="K71" s="40">
        <f>285*(1+D6)</f>
        <v>307.60049999999995</v>
      </c>
      <c r="L71" s="39" t="s">
        <v>103</v>
      </c>
      <c r="M71" s="40">
        <v>0</v>
      </c>
      <c r="N71" s="41">
        <f>K71*(1+$E$5)</f>
        <v>325.28752874999998</v>
      </c>
      <c r="O71" s="42" t="s">
        <v>103</v>
      </c>
      <c r="P71" s="41">
        <f t="shared" si="48"/>
        <v>0</v>
      </c>
      <c r="Q71" s="43">
        <f>N71*(1+$F$5)</f>
        <v>338.59178867587497</v>
      </c>
      <c r="R71" s="44" t="s">
        <v>103</v>
      </c>
      <c r="S71" s="43">
        <f t="shared" si="47"/>
        <v>0</v>
      </c>
    </row>
    <row r="73" spans="1:19" x14ac:dyDescent="0.3">
      <c r="A73" t="s">
        <v>104</v>
      </c>
    </row>
    <row r="76" spans="1:19" x14ac:dyDescent="0.3">
      <c r="A76" s="19" t="s">
        <v>105</v>
      </c>
    </row>
    <row r="78" spans="1:19" x14ac:dyDescent="0.3">
      <c r="A78" s="614" t="s">
        <v>80</v>
      </c>
      <c r="B78" s="613">
        <v>2013</v>
      </c>
      <c r="C78" s="613"/>
      <c r="D78" s="613"/>
      <c r="E78" s="613">
        <v>2014</v>
      </c>
      <c r="F78" s="613"/>
      <c r="G78" s="613"/>
      <c r="H78" s="613">
        <v>2015</v>
      </c>
      <c r="I78" s="613"/>
      <c r="J78" s="613"/>
      <c r="K78" s="613">
        <v>2016</v>
      </c>
      <c r="L78" s="613"/>
      <c r="M78" s="613"/>
      <c r="N78" s="613">
        <v>2017</v>
      </c>
      <c r="O78" s="613"/>
      <c r="P78" s="613"/>
      <c r="Q78" s="613">
        <v>2018</v>
      </c>
      <c r="R78" s="613"/>
      <c r="S78" s="613"/>
    </row>
    <row r="79" spans="1:19" ht="30.15" x14ac:dyDescent="0.3">
      <c r="A79" s="614"/>
      <c r="B79" s="29" t="s">
        <v>81</v>
      </c>
      <c r="C79" s="29" t="s">
        <v>82</v>
      </c>
      <c r="D79" s="29" t="s">
        <v>83</v>
      </c>
      <c r="E79" s="29" t="s">
        <v>81</v>
      </c>
      <c r="F79" s="29" t="s">
        <v>82</v>
      </c>
      <c r="G79" s="29" t="s">
        <v>83</v>
      </c>
      <c r="H79" s="29" t="s">
        <v>81</v>
      </c>
      <c r="I79" s="29" t="s">
        <v>82</v>
      </c>
      <c r="J79" s="29" t="s">
        <v>83</v>
      </c>
      <c r="K79" s="29" t="s">
        <v>81</v>
      </c>
      <c r="L79" s="29" t="s">
        <v>82</v>
      </c>
      <c r="M79" s="29" t="s">
        <v>83</v>
      </c>
      <c r="N79" s="29" t="s">
        <v>81</v>
      </c>
      <c r="O79" s="29" t="s">
        <v>82</v>
      </c>
      <c r="P79" s="29" t="s">
        <v>83</v>
      </c>
      <c r="Q79" s="29" t="s">
        <v>81</v>
      </c>
      <c r="R79" s="29" t="s">
        <v>82</v>
      </c>
      <c r="S79" s="29" t="s">
        <v>83</v>
      </c>
    </row>
    <row r="80" spans="1:19" x14ac:dyDescent="0.3">
      <c r="A80" s="22" t="s">
        <v>84</v>
      </c>
      <c r="B80" s="38" t="s">
        <v>103</v>
      </c>
      <c r="C80" s="38" t="s">
        <v>103</v>
      </c>
      <c r="D80" s="38">
        <v>0</v>
      </c>
      <c r="E80" s="39" t="s">
        <v>103</v>
      </c>
      <c r="F80" s="39" t="s">
        <v>103</v>
      </c>
      <c r="G80" s="39">
        <f t="shared" ref="G80:G87" si="49">D80*(1+$B$5)</f>
        <v>0</v>
      </c>
      <c r="H80" s="39" t="s">
        <v>103</v>
      </c>
      <c r="I80" s="39" t="s">
        <v>103</v>
      </c>
      <c r="J80" s="39">
        <f t="shared" ref="J80:J87" si="50">G80*(1+$B$5)</f>
        <v>0</v>
      </c>
      <c r="K80" s="39" t="s">
        <v>103</v>
      </c>
      <c r="L80" s="39" t="s">
        <v>103</v>
      </c>
      <c r="M80" s="40">
        <f t="shared" ref="M80:M87" si="51">J80*(1+$D$5)</f>
        <v>0</v>
      </c>
      <c r="N80" s="42" t="s">
        <v>103</v>
      </c>
      <c r="O80" s="42" t="s">
        <v>103</v>
      </c>
      <c r="P80" s="41">
        <f>M80*(1+$E$5)</f>
        <v>0</v>
      </c>
      <c r="Q80" s="42" t="s">
        <v>103</v>
      </c>
      <c r="R80" s="42" t="s">
        <v>103</v>
      </c>
      <c r="S80" s="41">
        <f t="shared" ref="S80:S88" si="52">P80*(1+$F$5)</f>
        <v>0</v>
      </c>
    </row>
    <row r="81" spans="1:19" x14ac:dyDescent="0.3">
      <c r="A81" s="22" t="s">
        <v>85</v>
      </c>
      <c r="B81" s="38">
        <v>400</v>
      </c>
      <c r="C81" s="38" t="s">
        <v>103</v>
      </c>
      <c r="D81" s="38">
        <v>0</v>
      </c>
      <c r="E81" s="39">
        <f>B81*(1+$B$5)</f>
        <v>407.76000000000005</v>
      </c>
      <c r="F81" s="39" t="s">
        <v>103</v>
      </c>
      <c r="G81" s="39">
        <f t="shared" si="49"/>
        <v>0</v>
      </c>
      <c r="H81" s="40">
        <f>E81*(1+$C$5)</f>
        <v>422.68401600000004</v>
      </c>
      <c r="I81" s="40" t="s">
        <v>103</v>
      </c>
      <c r="J81" s="39">
        <f t="shared" si="50"/>
        <v>0</v>
      </c>
      <c r="K81" s="40">
        <f>H81*(1+$D$5)</f>
        <v>451.2997238832001</v>
      </c>
      <c r="L81" s="40" t="s">
        <v>103</v>
      </c>
      <c r="M81" s="40">
        <f t="shared" si="51"/>
        <v>0</v>
      </c>
      <c r="N81" s="41">
        <f>K81*(1+$E$5)</f>
        <v>477.24945800648413</v>
      </c>
      <c r="O81" s="41" t="s">
        <v>103</v>
      </c>
      <c r="P81" s="41">
        <f t="shared" ref="P81:P88" si="53">M81*(1+$E$5)</f>
        <v>0</v>
      </c>
      <c r="Q81" s="41">
        <f>N81*(1+$F$5)</f>
        <v>496.76896083894928</v>
      </c>
      <c r="R81" s="41" t="s">
        <v>103</v>
      </c>
      <c r="S81" s="41">
        <f t="shared" si="52"/>
        <v>0</v>
      </c>
    </row>
    <row r="82" spans="1:19" x14ac:dyDescent="0.3">
      <c r="A82" s="22" t="s">
        <v>86</v>
      </c>
      <c r="B82" s="38" t="s">
        <v>103</v>
      </c>
      <c r="C82" s="38" t="s">
        <v>103</v>
      </c>
      <c r="D82" s="38">
        <v>0</v>
      </c>
      <c r="E82" s="39" t="s">
        <v>103</v>
      </c>
      <c r="F82" s="39" t="s">
        <v>103</v>
      </c>
      <c r="G82" s="39">
        <f t="shared" si="49"/>
        <v>0</v>
      </c>
      <c r="H82" s="40" t="s">
        <v>103</v>
      </c>
      <c r="I82" s="40" t="s">
        <v>103</v>
      </c>
      <c r="J82" s="39">
        <f t="shared" si="50"/>
        <v>0</v>
      </c>
      <c r="K82" s="40" t="s">
        <v>103</v>
      </c>
      <c r="L82" s="40" t="s">
        <v>103</v>
      </c>
      <c r="M82" s="40">
        <f t="shared" si="51"/>
        <v>0</v>
      </c>
      <c r="N82" s="41" t="s">
        <v>103</v>
      </c>
      <c r="O82" s="41" t="s">
        <v>103</v>
      </c>
      <c r="P82" s="41">
        <f t="shared" si="53"/>
        <v>0</v>
      </c>
      <c r="Q82" s="41" t="s">
        <v>103</v>
      </c>
      <c r="R82" s="41" t="s">
        <v>103</v>
      </c>
      <c r="S82" s="41">
        <f t="shared" si="52"/>
        <v>0</v>
      </c>
    </row>
    <row r="83" spans="1:19" x14ac:dyDescent="0.3">
      <c r="A83" s="22" t="s">
        <v>87</v>
      </c>
      <c r="B83" s="38">
        <v>400</v>
      </c>
      <c r="C83" s="38" t="s">
        <v>103</v>
      </c>
      <c r="D83" s="38">
        <v>0</v>
      </c>
      <c r="E83" s="39">
        <f>B83*(1+$B$5)</f>
        <v>407.76000000000005</v>
      </c>
      <c r="F83" s="39" t="s">
        <v>103</v>
      </c>
      <c r="G83" s="39">
        <f t="shared" si="49"/>
        <v>0</v>
      </c>
      <c r="H83" s="40">
        <f>E83*(1+$C$5)</f>
        <v>422.68401600000004</v>
      </c>
      <c r="I83" s="40" t="s">
        <v>103</v>
      </c>
      <c r="J83" s="39">
        <f t="shared" si="50"/>
        <v>0</v>
      </c>
      <c r="K83" s="40">
        <f>H83*(1+$D$5)</f>
        <v>451.2997238832001</v>
      </c>
      <c r="L83" s="40" t="s">
        <v>103</v>
      </c>
      <c r="M83" s="40">
        <f t="shared" si="51"/>
        <v>0</v>
      </c>
      <c r="N83" s="41">
        <f>K83*(1+$E$5)</f>
        <v>477.24945800648413</v>
      </c>
      <c r="O83" s="41" t="s">
        <v>103</v>
      </c>
      <c r="P83" s="41">
        <f t="shared" si="53"/>
        <v>0</v>
      </c>
      <c r="Q83" s="41">
        <f>N83*(1+$F$5)</f>
        <v>496.76896083894928</v>
      </c>
      <c r="R83" s="41" t="s">
        <v>103</v>
      </c>
      <c r="S83" s="41">
        <f t="shared" si="52"/>
        <v>0</v>
      </c>
    </row>
    <row r="84" spans="1:19" x14ac:dyDescent="0.3">
      <c r="A84" s="22" t="s">
        <v>88</v>
      </c>
      <c r="B84" s="38">
        <v>400</v>
      </c>
      <c r="C84" s="38" t="s">
        <v>103</v>
      </c>
      <c r="D84" s="38">
        <v>400</v>
      </c>
      <c r="E84" s="39">
        <f>B84*(1+$B$5)</f>
        <v>407.76000000000005</v>
      </c>
      <c r="F84" s="39" t="s">
        <v>103</v>
      </c>
      <c r="G84" s="39">
        <f t="shared" si="49"/>
        <v>407.76000000000005</v>
      </c>
      <c r="H84" s="40">
        <f>E84*(1+$C$5)</f>
        <v>422.68401600000004</v>
      </c>
      <c r="I84" s="40" t="s">
        <v>103</v>
      </c>
      <c r="J84" s="40">
        <f>G84*(1+$C$5)</f>
        <v>422.68401600000004</v>
      </c>
      <c r="K84" s="40">
        <f>H84*(1+$D$5)</f>
        <v>451.2997238832001</v>
      </c>
      <c r="L84" s="40" t="s">
        <v>103</v>
      </c>
      <c r="M84" s="40">
        <f t="shared" si="51"/>
        <v>451.2997238832001</v>
      </c>
      <c r="N84" s="41">
        <f>K84*(1+$E$5)</f>
        <v>477.24945800648413</v>
      </c>
      <c r="O84" s="41" t="s">
        <v>103</v>
      </c>
      <c r="P84" s="41">
        <f t="shared" si="53"/>
        <v>477.24945800648413</v>
      </c>
      <c r="Q84" s="41">
        <f>N84*(1+$F$5)</f>
        <v>496.76896083894928</v>
      </c>
      <c r="R84" s="41" t="s">
        <v>103</v>
      </c>
      <c r="S84" s="41">
        <f t="shared" si="52"/>
        <v>496.76896083894928</v>
      </c>
    </row>
    <row r="85" spans="1:19" x14ac:dyDescent="0.3">
      <c r="A85" s="22" t="s">
        <v>89</v>
      </c>
      <c r="B85" s="38" t="s">
        <v>103</v>
      </c>
      <c r="C85" s="38" t="s">
        <v>103</v>
      </c>
      <c r="D85" s="38">
        <v>0</v>
      </c>
      <c r="E85" s="39" t="s">
        <v>103</v>
      </c>
      <c r="F85" s="39" t="s">
        <v>103</v>
      </c>
      <c r="G85" s="39">
        <f t="shared" si="49"/>
        <v>0</v>
      </c>
      <c r="H85" s="40" t="s">
        <v>103</v>
      </c>
      <c r="I85" s="40" t="s">
        <v>103</v>
      </c>
      <c r="J85" s="39">
        <f t="shared" si="50"/>
        <v>0</v>
      </c>
      <c r="K85" s="40" t="s">
        <v>103</v>
      </c>
      <c r="L85" s="40" t="s">
        <v>103</v>
      </c>
      <c r="M85" s="40">
        <f t="shared" si="51"/>
        <v>0</v>
      </c>
      <c r="N85" s="41" t="s">
        <v>103</v>
      </c>
      <c r="O85" s="41" t="s">
        <v>103</v>
      </c>
      <c r="P85" s="41">
        <f t="shared" si="53"/>
        <v>0</v>
      </c>
      <c r="Q85" s="41" t="s">
        <v>103</v>
      </c>
      <c r="R85" s="41" t="s">
        <v>103</v>
      </c>
      <c r="S85" s="41">
        <f t="shared" si="52"/>
        <v>0</v>
      </c>
    </row>
    <row r="86" spans="1:19" x14ac:dyDescent="0.3">
      <c r="A86" s="22" t="s">
        <v>90</v>
      </c>
      <c r="B86" s="38" t="s">
        <v>103</v>
      </c>
      <c r="C86" s="38" t="s">
        <v>103</v>
      </c>
      <c r="D86" s="38">
        <v>0</v>
      </c>
      <c r="E86" s="39" t="s">
        <v>103</v>
      </c>
      <c r="F86" s="39" t="s">
        <v>103</v>
      </c>
      <c r="G86" s="39">
        <f t="shared" si="49"/>
        <v>0</v>
      </c>
      <c r="H86" s="40" t="s">
        <v>103</v>
      </c>
      <c r="I86" s="40" t="s">
        <v>103</v>
      </c>
      <c r="J86" s="39">
        <f t="shared" si="50"/>
        <v>0</v>
      </c>
      <c r="K86" s="40" t="s">
        <v>103</v>
      </c>
      <c r="L86" s="40" t="s">
        <v>103</v>
      </c>
      <c r="M86" s="40">
        <f t="shared" si="51"/>
        <v>0</v>
      </c>
      <c r="N86" s="41" t="s">
        <v>103</v>
      </c>
      <c r="O86" s="41" t="s">
        <v>103</v>
      </c>
      <c r="P86" s="41">
        <f t="shared" si="53"/>
        <v>0</v>
      </c>
      <c r="Q86" s="41" t="s">
        <v>103</v>
      </c>
      <c r="R86" s="41" t="s">
        <v>103</v>
      </c>
      <c r="S86" s="41">
        <f t="shared" si="52"/>
        <v>0</v>
      </c>
    </row>
    <row r="87" spans="1:19" x14ac:dyDescent="0.3">
      <c r="A87" s="22" t="s">
        <v>91</v>
      </c>
      <c r="B87" s="38">
        <v>400</v>
      </c>
      <c r="C87" s="38" t="s">
        <v>103</v>
      </c>
      <c r="D87" s="38">
        <v>0</v>
      </c>
      <c r="E87" s="39">
        <f>B87*(1+$B$5)</f>
        <v>407.76000000000005</v>
      </c>
      <c r="F87" s="39" t="s">
        <v>103</v>
      </c>
      <c r="G87" s="39">
        <f t="shared" si="49"/>
        <v>0</v>
      </c>
      <c r="H87" s="40">
        <f>E87*(1+$C$5)</f>
        <v>422.68401600000004</v>
      </c>
      <c r="I87" s="40" t="s">
        <v>103</v>
      </c>
      <c r="J87" s="39">
        <f t="shared" si="50"/>
        <v>0</v>
      </c>
      <c r="K87" s="40">
        <f>H87*(1+$D$5)</f>
        <v>451.2997238832001</v>
      </c>
      <c r="L87" s="40" t="s">
        <v>103</v>
      </c>
      <c r="M87" s="40">
        <f t="shared" si="51"/>
        <v>0</v>
      </c>
      <c r="N87" s="41">
        <f>K87*(1+$E$5)</f>
        <v>477.24945800648413</v>
      </c>
      <c r="O87" s="41" t="s">
        <v>103</v>
      </c>
      <c r="P87" s="41">
        <f t="shared" si="53"/>
        <v>0</v>
      </c>
      <c r="Q87" s="41">
        <f>N87*(1+$F$5)</f>
        <v>496.76896083894928</v>
      </c>
      <c r="R87" s="41" t="s">
        <v>103</v>
      </c>
      <c r="S87" s="41">
        <f t="shared" si="52"/>
        <v>0</v>
      </c>
    </row>
    <row r="88" spans="1:19" x14ac:dyDescent="0.3">
      <c r="A88" s="22" t="s">
        <v>92</v>
      </c>
      <c r="B88" s="37"/>
      <c r="C88" s="37"/>
      <c r="D88" s="37"/>
      <c r="E88" s="31"/>
      <c r="F88" s="31"/>
      <c r="G88" s="31"/>
      <c r="H88" s="31"/>
      <c r="I88" s="31"/>
      <c r="J88" s="31"/>
      <c r="K88" s="40">
        <v>543.25</v>
      </c>
      <c r="L88" s="39" t="s">
        <v>103</v>
      </c>
      <c r="M88" s="40">
        <v>0</v>
      </c>
      <c r="N88" s="41">
        <f>K88*(1+$E$5)</f>
        <v>574.48687500000005</v>
      </c>
      <c r="O88" s="42" t="s">
        <v>103</v>
      </c>
      <c r="P88" s="41">
        <f t="shared" si="53"/>
        <v>0</v>
      </c>
      <c r="Q88" s="41">
        <f>N88*(1+$F$5)</f>
        <v>597.98338818750005</v>
      </c>
      <c r="R88" s="42" t="s">
        <v>103</v>
      </c>
      <c r="S88" s="41">
        <f t="shared" si="52"/>
        <v>0</v>
      </c>
    </row>
    <row r="90" spans="1:19" x14ac:dyDescent="0.3">
      <c r="A90" t="s">
        <v>106</v>
      </c>
    </row>
  </sheetData>
  <mergeCells count="10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25:A27"/>
    <mergeCell ref="B25:F25"/>
    <mergeCell ref="G25:K25"/>
    <mergeCell ref="L25:P25"/>
    <mergeCell ref="Q25:U25"/>
    <mergeCell ref="V25:Z25"/>
    <mergeCell ref="P26:P27"/>
    <mergeCell ref="Q26:R26"/>
    <mergeCell ref="S26:T26"/>
    <mergeCell ref="U26:U27"/>
    <mergeCell ref="V26:W26"/>
    <mergeCell ref="X26:Y26"/>
    <mergeCell ref="Z26:Z2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pageSetup orientation="portrait" verticalDpi="0" r:id="rId1"/>
  <ignoredErrors>
    <ignoredError sqref="Z49 Z51 Z53 Z55"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00"/>
  </sheetPr>
  <dimension ref="A1:P41"/>
  <sheetViews>
    <sheetView zoomScale="85" zoomScaleNormal="85" workbookViewId="0">
      <selection activeCell="M18" sqref="M18"/>
    </sheetView>
  </sheetViews>
  <sheetFormatPr baseColWidth="10" defaultRowHeight="15.05" x14ac:dyDescent="0.3"/>
  <cols>
    <col min="2" max="2" width="44.77734375" customWidth="1"/>
    <col min="3" max="3" width="12.33203125" customWidth="1"/>
    <col min="4" max="4" width="15.77734375" customWidth="1"/>
    <col min="5" max="5" width="13.6640625" customWidth="1"/>
    <col min="6" max="6" width="15.44140625" hidden="1" customWidth="1"/>
    <col min="7" max="7" width="18.77734375" customWidth="1"/>
    <col min="8" max="8" width="13.5546875" customWidth="1"/>
    <col min="10" max="12" width="0" hidden="1" customWidth="1"/>
  </cols>
  <sheetData>
    <row r="1" spans="1:12" x14ac:dyDescent="0.3">
      <c r="A1" s="150"/>
      <c r="B1" s="150" t="str">
        <f>+AMAZONAS!C1</f>
        <v>Vigencia: 14 de Agosto de 2021; 00:00 horas</v>
      </c>
    </row>
    <row r="2" spans="1:12" ht="15.75" thickBot="1" x14ac:dyDescent="0.35">
      <c r="A2" s="177" t="s">
        <v>199</v>
      </c>
      <c r="B2" s="177"/>
    </row>
    <row r="3" spans="1:12" ht="15.9" customHeight="1" thickTop="1" x14ac:dyDescent="0.3">
      <c r="A3" s="207"/>
      <c r="B3" s="208" t="s">
        <v>269</v>
      </c>
      <c r="C3" s="707" t="s">
        <v>200</v>
      </c>
      <c r="D3" s="708"/>
      <c r="E3" s="708"/>
      <c r="F3" s="709"/>
      <c r="G3" s="713" t="s">
        <v>270</v>
      </c>
      <c r="H3" s="714"/>
    </row>
    <row r="4" spans="1:12" x14ac:dyDescent="0.3">
      <c r="A4" s="152"/>
      <c r="B4" s="209" t="s">
        <v>342</v>
      </c>
      <c r="C4" s="710"/>
      <c r="D4" s="711"/>
      <c r="E4" s="711"/>
      <c r="F4" s="712"/>
      <c r="G4" s="715"/>
      <c r="H4" s="716"/>
    </row>
    <row r="5" spans="1:12" ht="38.299999999999997" customHeight="1" x14ac:dyDescent="0.3">
      <c r="A5" s="691" t="s">
        <v>201</v>
      </c>
      <c r="B5" s="693" t="s">
        <v>202</v>
      </c>
      <c r="C5" s="695" t="s">
        <v>261</v>
      </c>
      <c r="D5" s="183" t="s">
        <v>97</v>
      </c>
      <c r="E5" s="183" t="s">
        <v>191</v>
      </c>
      <c r="F5" s="183" t="str">
        <f>+AMAZONAS!F5</f>
        <v>Biodiesel B10</v>
      </c>
      <c r="G5" s="183" t="s">
        <v>97</v>
      </c>
      <c r="H5" s="154" t="str">
        <f>+E5</f>
        <v xml:space="preserve">Biodiesel B2 con destino a mezcla </v>
      </c>
    </row>
    <row r="6" spans="1:12" x14ac:dyDescent="0.3">
      <c r="A6" s="691"/>
      <c r="B6" s="693"/>
      <c r="C6" s="696"/>
      <c r="D6" s="612">
        <v>0.08</v>
      </c>
      <c r="E6" s="201">
        <v>0.02</v>
      </c>
      <c r="F6" s="419">
        <f>+AMAZONAS!F6</f>
        <v>0.1</v>
      </c>
      <c r="G6" s="612">
        <v>0.08</v>
      </c>
      <c r="H6" s="184">
        <f>+E6</f>
        <v>0.02</v>
      </c>
    </row>
    <row r="7" spans="1:12" x14ac:dyDescent="0.3">
      <c r="A7" s="692"/>
      <c r="B7" s="694"/>
      <c r="C7" s="153" t="s">
        <v>203</v>
      </c>
      <c r="D7" s="183" t="s">
        <v>203</v>
      </c>
      <c r="E7" s="183" t="s">
        <v>203</v>
      </c>
      <c r="F7" s="183" t="s">
        <v>203</v>
      </c>
      <c r="G7" s="153" t="s">
        <v>203</v>
      </c>
      <c r="H7" s="154" t="s">
        <v>203</v>
      </c>
    </row>
    <row r="8" spans="1:12" x14ac:dyDescent="0.3">
      <c r="A8" s="155" t="s">
        <v>204</v>
      </c>
      <c r="B8" s="161" t="s">
        <v>205</v>
      </c>
      <c r="C8" s="225">
        <f>+'Calculo IP ZDF'!B29</f>
        <v>4447.6077999999998</v>
      </c>
      <c r="D8" s="231">
        <f>+'Calculo IP ZDF'!B29</f>
        <v>4447.6077999999998</v>
      </c>
      <c r="E8" s="233">
        <f>+'Calculo IP ZDF'!F29</f>
        <v>4249.8713940400003</v>
      </c>
      <c r="F8" s="232">
        <f>+'Calculo IP ZDF'!I29</f>
        <v>5262.5961782000004</v>
      </c>
      <c r="G8" s="210">
        <f>+'GAS CTE'!C6</f>
        <v>4608.92</v>
      </c>
      <c r="H8" s="235">
        <f>+BIODIESEL!E9</f>
        <v>4723.12</v>
      </c>
    </row>
    <row r="9" spans="1:12" x14ac:dyDescent="0.3">
      <c r="A9" s="155" t="s">
        <v>206</v>
      </c>
      <c r="B9" s="161" t="s">
        <v>207</v>
      </c>
      <c r="C9" s="211" t="str">
        <f t="shared" ref="C9:C12" si="0">+D9</f>
        <v>------------------</v>
      </c>
      <c r="D9" s="186" t="s">
        <v>208</v>
      </c>
      <c r="E9" s="212" t="s">
        <v>208</v>
      </c>
      <c r="F9" s="158" t="s">
        <v>208</v>
      </c>
      <c r="G9" s="210">
        <f>+'GAS CTE'!C10</f>
        <v>555.04999999999995</v>
      </c>
      <c r="H9" s="236">
        <f>+BIODIESEL!E10</f>
        <v>520.64</v>
      </c>
    </row>
    <row r="10" spans="1:12" x14ac:dyDescent="0.3">
      <c r="A10" s="155"/>
      <c r="B10" s="161" t="s">
        <v>135</v>
      </c>
      <c r="C10" s="211" t="str">
        <f>+D10</f>
        <v>------------------</v>
      </c>
      <c r="D10" s="186" t="s">
        <v>208</v>
      </c>
      <c r="E10" s="212" t="s">
        <v>208</v>
      </c>
      <c r="F10" s="158" t="s">
        <v>208</v>
      </c>
      <c r="G10" s="226" t="str">
        <f>+COMBUSTIBLES!B12</f>
        <v>(3)</v>
      </c>
      <c r="H10" s="236" t="str">
        <f>+BIODIESEL!G11</f>
        <v>(3)</v>
      </c>
    </row>
    <row r="11" spans="1:12" x14ac:dyDescent="0.3">
      <c r="A11" s="155"/>
      <c r="B11" s="161" t="s">
        <v>137</v>
      </c>
      <c r="C11" s="211">
        <f>+'GAS CTE'!C12</f>
        <v>159</v>
      </c>
      <c r="D11" s="186">
        <f>+'GAS CTE'!C12</f>
        <v>159</v>
      </c>
      <c r="E11" s="212">
        <f>+BIODIESEL!E12</f>
        <v>175.42</v>
      </c>
      <c r="F11" s="158">
        <f>+BIODIESEL!G12</f>
        <v>161.1</v>
      </c>
      <c r="G11" s="210">
        <f>+D11</f>
        <v>159</v>
      </c>
      <c r="H11" s="232">
        <f>+BIODIESEL!E12</f>
        <v>175.42</v>
      </c>
      <c r="J11" s="474" t="s">
        <v>457</v>
      </c>
    </row>
    <row r="12" spans="1:12" x14ac:dyDescent="0.3">
      <c r="A12" s="155" t="s">
        <v>209</v>
      </c>
      <c r="B12" s="161" t="s">
        <v>341</v>
      </c>
      <c r="C12" s="211" t="str">
        <f t="shared" si="0"/>
        <v>(2)</v>
      </c>
      <c r="D12" s="185" t="s">
        <v>237</v>
      </c>
      <c r="E12" s="159" t="s">
        <v>237</v>
      </c>
      <c r="F12" s="158" t="s">
        <v>237</v>
      </c>
      <c r="G12" s="210" t="str">
        <f>+F12</f>
        <v>(2)</v>
      </c>
      <c r="H12" s="235" t="s">
        <v>237</v>
      </c>
    </row>
    <row r="13" spans="1:12" x14ac:dyDescent="0.3">
      <c r="A13" s="155" t="s">
        <v>211</v>
      </c>
      <c r="B13" s="161" t="s">
        <v>212</v>
      </c>
      <c r="C13" s="211">
        <f>+RUBROS!Z14</f>
        <v>10.288613527118255</v>
      </c>
      <c r="D13" s="185">
        <f>+C13</f>
        <v>10.288613527118255</v>
      </c>
      <c r="E13" s="159">
        <f>+D13</f>
        <v>10.288613527118255</v>
      </c>
      <c r="F13" s="158">
        <f>+E13</f>
        <v>10.288613527118255</v>
      </c>
      <c r="G13" s="210">
        <f>+RUBROS!AA14</f>
        <v>22.249601678692599</v>
      </c>
      <c r="H13" s="235">
        <f>+G13</f>
        <v>22.249601678692599</v>
      </c>
      <c r="J13" s="474" t="s">
        <v>457</v>
      </c>
      <c r="L13" s="474" t="s">
        <v>460</v>
      </c>
    </row>
    <row r="14" spans="1:12" x14ac:dyDescent="0.3">
      <c r="A14" s="155" t="s">
        <v>213</v>
      </c>
      <c r="B14" s="161" t="s">
        <v>214</v>
      </c>
      <c r="C14" s="211">
        <f>+RUBROS!Z50</f>
        <v>106.59272562900938</v>
      </c>
      <c r="D14" s="185">
        <f>+C14</f>
        <v>106.59272562900938</v>
      </c>
      <c r="E14" s="159">
        <f>+C14</f>
        <v>106.59272562900938</v>
      </c>
      <c r="F14" s="158">
        <f>+C14</f>
        <v>106.59272562900938</v>
      </c>
      <c r="G14" s="210">
        <f>+RUBROS!AA50</f>
        <v>106.59272562900938</v>
      </c>
      <c r="H14" s="235">
        <f>+G14</f>
        <v>106.59272562900938</v>
      </c>
      <c r="J14" s="474" t="s">
        <v>457</v>
      </c>
      <c r="L14" s="474" t="s">
        <v>460</v>
      </c>
    </row>
    <row r="15" spans="1:12" x14ac:dyDescent="0.3">
      <c r="A15" s="155" t="s">
        <v>215</v>
      </c>
      <c r="B15" s="230" t="s">
        <v>216</v>
      </c>
      <c r="C15" s="211">
        <f>+RUBROS!AP28</f>
        <v>12.938273064269636</v>
      </c>
      <c r="D15" s="185">
        <f>+C15</f>
        <v>12.938273064269636</v>
      </c>
      <c r="E15" s="213">
        <f>+C15</f>
        <v>12.938273064269636</v>
      </c>
      <c r="F15" s="158">
        <f>+C15</f>
        <v>12.938273064269636</v>
      </c>
      <c r="G15" s="210">
        <f>+C15</f>
        <v>12.938273064269636</v>
      </c>
      <c r="H15" s="235">
        <f>+G15</f>
        <v>12.938273064269636</v>
      </c>
      <c r="J15" s="474" t="s">
        <v>456</v>
      </c>
    </row>
    <row r="16" spans="1:12" hidden="1" x14ac:dyDescent="0.3">
      <c r="A16" s="155"/>
      <c r="B16" s="161" t="s">
        <v>217</v>
      </c>
      <c r="C16" s="211"/>
      <c r="D16" s="352"/>
      <c r="E16" s="215"/>
      <c r="F16" s="158"/>
      <c r="G16" s="210"/>
      <c r="H16" s="237"/>
      <c r="J16" s="478"/>
    </row>
    <row r="17" spans="1:16" x14ac:dyDescent="0.3">
      <c r="A17" s="162" t="s">
        <v>218</v>
      </c>
      <c r="B17" s="192" t="s">
        <v>219</v>
      </c>
      <c r="C17" s="216">
        <f t="shared" ref="C17:H17" si="1">SUM(C8:C16)</f>
        <v>4736.4274122203969</v>
      </c>
      <c r="D17" s="353">
        <f t="shared" si="1"/>
        <v>4736.4274122203969</v>
      </c>
      <c r="E17" s="217">
        <f t="shared" si="1"/>
        <v>4555.1110062603975</v>
      </c>
      <c r="F17" s="218">
        <f t="shared" si="1"/>
        <v>5553.5157904203979</v>
      </c>
      <c r="G17" s="219">
        <f t="shared" si="1"/>
        <v>5464.7506003719718</v>
      </c>
      <c r="H17" s="238">
        <f t="shared" si="1"/>
        <v>5560.9606003719719</v>
      </c>
    </row>
    <row r="18" spans="1:16" x14ac:dyDescent="0.3">
      <c r="A18" s="155" t="s">
        <v>220</v>
      </c>
      <c r="B18" s="161" t="s">
        <v>221</v>
      </c>
      <c r="C18" s="211" t="s">
        <v>252</v>
      </c>
      <c r="D18" s="354" t="str">
        <f>+C18</f>
        <v>***</v>
      </c>
      <c r="E18" s="220" t="str">
        <f>+C18</f>
        <v>***</v>
      </c>
      <c r="F18" s="158" t="str">
        <f>+C18</f>
        <v>***</v>
      </c>
      <c r="G18" s="213" t="str">
        <f>+H18</f>
        <v>***</v>
      </c>
      <c r="H18" s="239" t="s">
        <v>252</v>
      </c>
      <c r="M18" s="19"/>
    </row>
    <row r="19" spans="1:16" x14ac:dyDescent="0.3">
      <c r="A19" s="155" t="s">
        <v>222</v>
      </c>
      <c r="B19" s="161" t="s">
        <v>223</v>
      </c>
      <c r="C19" s="211" t="str">
        <f>+D19</f>
        <v>**</v>
      </c>
      <c r="D19" s="191" t="s">
        <v>250</v>
      </c>
      <c r="E19" s="221" t="s">
        <v>250</v>
      </c>
      <c r="F19" s="158" t="s">
        <v>250</v>
      </c>
      <c r="G19" s="213" t="str">
        <f>+H19</f>
        <v>**</v>
      </c>
      <c r="H19" s="232" t="s">
        <v>250</v>
      </c>
    </row>
    <row r="20" spans="1:16" x14ac:dyDescent="0.3">
      <c r="A20" s="155" t="s">
        <v>224</v>
      </c>
      <c r="B20" s="161" t="s">
        <v>225</v>
      </c>
      <c r="C20" s="211" t="str">
        <f>+D20</f>
        <v>****</v>
      </c>
      <c r="D20" s="185" t="s">
        <v>254</v>
      </c>
      <c r="E20" s="159" t="str">
        <f>+D20</f>
        <v>****</v>
      </c>
      <c r="F20" s="158" t="str">
        <f>+E20</f>
        <v>****</v>
      </c>
      <c r="G20" s="213" t="str">
        <f>+F20</f>
        <v>****</v>
      </c>
      <c r="H20" s="235" t="str">
        <f>+F20</f>
        <v>****</v>
      </c>
    </row>
    <row r="21" spans="1:16" x14ac:dyDescent="0.3">
      <c r="A21" s="162" t="s">
        <v>226</v>
      </c>
      <c r="B21" s="192" t="s">
        <v>227</v>
      </c>
      <c r="C21" s="216">
        <f t="shared" ref="C21:H21" si="2">+C17</f>
        <v>4736.4274122203969</v>
      </c>
      <c r="D21" s="355">
        <f t="shared" si="2"/>
        <v>4736.4274122203969</v>
      </c>
      <c r="E21" s="216">
        <f t="shared" si="2"/>
        <v>4555.1110062603975</v>
      </c>
      <c r="F21" s="234">
        <f t="shared" si="2"/>
        <v>5553.5157904203979</v>
      </c>
      <c r="G21" s="216">
        <f t="shared" si="2"/>
        <v>5464.7506003719718</v>
      </c>
      <c r="H21" s="234">
        <f t="shared" si="2"/>
        <v>5560.9606003719719</v>
      </c>
    </row>
    <row r="22" spans="1:16" x14ac:dyDescent="0.3">
      <c r="A22" s="155" t="s">
        <v>228</v>
      </c>
      <c r="B22" s="161" t="s">
        <v>173</v>
      </c>
      <c r="C22" s="211" t="s">
        <v>252</v>
      </c>
      <c r="D22" s="185" t="str">
        <f>+C22</f>
        <v>***</v>
      </c>
      <c r="E22" s="159" t="str">
        <f>+D22</f>
        <v>***</v>
      </c>
      <c r="F22" s="158" t="str">
        <f>+E22</f>
        <v>***</v>
      </c>
      <c r="G22" s="213" t="str">
        <f>+H22</f>
        <v>***</v>
      </c>
      <c r="H22" s="235" t="s">
        <v>252</v>
      </c>
    </row>
    <row r="23" spans="1:16" x14ac:dyDescent="0.3">
      <c r="A23" s="155" t="s">
        <v>229</v>
      </c>
      <c r="B23" s="156" t="s">
        <v>230</v>
      </c>
      <c r="C23" s="211" t="str">
        <f>+D23</f>
        <v>*****</v>
      </c>
      <c r="D23" s="185" t="s">
        <v>256</v>
      </c>
      <c r="E23" s="159" t="s">
        <v>274</v>
      </c>
      <c r="F23" s="158" t="s">
        <v>231</v>
      </c>
      <c r="G23" s="213" t="str">
        <f>+D23</f>
        <v>*****</v>
      </c>
      <c r="H23" s="235" t="s">
        <v>275</v>
      </c>
    </row>
    <row r="24" spans="1:16" x14ac:dyDescent="0.3">
      <c r="A24" s="155" t="s">
        <v>232</v>
      </c>
      <c r="B24" s="161" t="s">
        <v>233</v>
      </c>
      <c r="C24" s="211" t="str">
        <f>+D24</f>
        <v>******</v>
      </c>
      <c r="D24" s="221" t="s">
        <v>257</v>
      </c>
      <c r="E24" s="221" t="str">
        <f>+D24</f>
        <v>******</v>
      </c>
      <c r="F24" s="160" t="str">
        <f>+E24</f>
        <v>******</v>
      </c>
      <c r="G24" s="213" t="str">
        <f>+F24</f>
        <v>******</v>
      </c>
      <c r="H24" s="232" t="str">
        <f>+G24</f>
        <v>******</v>
      </c>
    </row>
    <row r="25" spans="1:16" ht="15.75" thickBot="1" x14ac:dyDescent="0.35">
      <c r="A25" s="166" t="s">
        <v>234</v>
      </c>
      <c r="B25" s="167" t="s">
        <v>235</v>
      </c>
      <c r="C25" s="222"/>
      <c r="D25" s="170"/>
      <c r="E25" s="223"/>
      <c r="F25" s="169"/>
      <c r="G25" s="223"/>
      <c r="H25" s="240"/>
    </row>
    <row r="26" spans="1:16" ht="15.75" thickTop="1" x14ac:dyDescent="0.3"/>
    <row r="27" spans="1:16" x14ac:dyDescent="0.3">
      <c r="A27" s="174"/>
      <c r="B27" s="286" t="s">
        <v>248</v>
      </c>
      <c r="C27" s="227"/>
      <c r="D27" s="227"/>
      <c r="E27" s="227"/>
      <c r="F27" s="227"/>
      <c r="G27" s="206"/>
      <c r="H27" s="206"/>
      <c r="I27" s="206"/>
      <c r="J27" s="206"/>
      <c r="K27" s="206"/>
      <c r="L27" s="206"/>
      <c r="M27" s="206"/>
      <c r="N27" s="206"/>
      <c r="O27" s="206"/>
      <c r="P27" s="206"/>
    </row>
    <row r="28" spans="1:16" x14ac:dyDescent="0.3">
      <c r="A28" s="174"/>
      <c r="B28" s="196"/>
      <c r="C28" s="227"/>
      <c r="D28" s="227"/>
      <c r="E28" s="227"/>
      <c r="F28" s="227"/>
      <c r="G28" s="206"/>
      <c r="H28" s="206"/>
      <c r="I28" s="206"/>
      <c r="J28" s="206"/>
      <c r="K28" s="206"/>
      <c r="L28" s="206"/>
      <c r="M28" s="206"/>
      <c r="N28" s="206"/>
      <c r="O28" s="206"/>
      <c r="P28" s="206"/>
    </row>
    <row r="29" spans="1:16" ht="15.05" customHeight="1" x14ac:dyDescent="0.3">
      <c r="A29" s="174" t="s">
        <v>210</v>
      </c>
      <c r="B29" s="706" t="str">
        <f>+AMAZONAS!B29</f>
        <v>De acuerdo con lo establecido en la Resolución MME 91349 de 2014</v>
      </c>
      <c r="C29" s="706"/>
      <c r="D29" s="706"/>
      <c r="E29" s="706"/>
      <c r="F29" s="706"/>
      <c r="G29" s="706"/>
      <c r="H29" s="706"/>
      <c r="I29" s="706"/>
      <c r="J29" s="706"/>
      <c r="K29" s="228"/>
      <c r="L29" s="228"/>
      <c r="M29" s="228"/>
      <c r="N29" s="228"/>
      <c r="O29" s="228"/>
      <c r="P29" s="228"/>
    </row>
    <row r="30" spans="1:16" ht="25.55" customHeight="1" x14ac:dyDescent="0.3">
      <c r="A30" s="174" t="s">
        <v>237</v>
      </c>
      <c r="B30" s="706" t="s">
        <v>292</v>
      </c>
      <c r="C30" s="706"/>
      <c r="D30" s="706"/>
      <c r="E30" s="706"/>
      <c r="F30" s="706"/>
      <c r="G30" s="706"/>
      <c r="H30" s="706"/>
      <c r="I30" s="706"/>
      <c r="J30" s="706"/>
      <c r="K30" s="206"/>
      <c r="L30" s="206"/>
      <c r="M30" s="206"/>
      <c r="N30" s="206"/>
      <c r="O30" s="206"/>
      <c r="P30" s="206"/>
    </row>
    <row r="31" spans="1:16" ht="51.9" customHeight="1" x14ac:dyDescent="0.3">
      <c r="A31" s="174" t="s">
        <v>136</v>
      </c>
      <c r="B31" s="706" t="s">
        <v>357</v>
      </c>
      <c r="C31" s="706"/>
      <c r="D31" s="706"/>
      <c r="E31" s="706"/>
      <c r="F31" s="706"/>
      <c r="G31" s="706"/>
      <c r="H31" s="706"/>
      <c r="I31" s="706"/>
      <c r="J31" s="706"/>
      <c r="K31" s="206"/>
      <c r="L31" s="206"/>
      <c r="M31" s="206"/>
      <c r="N31" s="206"/>
      <c r="O31" s="206"/>
      <c r="P31" s="206"/>
    </row>
    <row r="32" spans="1:16" x14ac:dyDescent="0.3">
      <c r="A32" s="174"/>
      <c r="B32" s="196"/>
      <c r="C32" s="227"/>
      <c r="D32" s="227"/>
      <c r="E32" s="227"/>
      <c r="F32" s="227"/>
      <c r="G32" s="206"/>
      <c r="H32" s="206"/>
      <c r="I32" s="206"/>
      <c r="J32" s="206"/>
      <c r="K32" s="206"/>
      <c r="L32" s="206"/>
      <c r="M32" s="206"/>
      <c r="N32" s="206"/>
      <c r="O32" s="206"/>
      <c r="P32" s="206"/>
    </row>
    <row r="33" spans="1:16" ht="15.05" customHeight="1" x14ac:dyDescent="0.3">
      <c r="A33" s="197" t="s">
        <v>103</v>
      </c>
      <c r="B33" s="688" t="s">
        <v>249</v>
      </c>
      <c r="C33" s="688"/>
      <c r="D33" s="688"/>
      <c r="E33" s="688"/>
      <c r="F33" s="688"/>
      <c r="G33" s="688"/>
      <c r="H33" s="688"/>
      <c r="I33" s="688"/>
      <c r="J33" s="688"/>
      <c r="K33" s="206"/>
      <c r="L33" s="206"/>
      <c r="M33" s="206"/>
      <c r="N33" s="206"/>
      <c r="O33" s="206"/>
      <c r="P33" s="206"/>
    </row>
    <row r="34" spans="1:16" ht="15.05" customHeight="1" x14ac:dyDescent="0.3">
      <c r="A34" s="197" t="s">
        <v>250</v>
      </c>
      <c r="B34" s="706" t="s">
        <v>278</v>
      </c>
      <c r="C34" s="706"/>
      <c r="D34" s="706"/>
      <c r="E34" s="706"/>
      <c r="F34" s="706"/>
      <c r="G34" s="706"/>
      <c r="H34" s="706"/>
      <c r="I34" s="706"/>
      <c r="J34" s="706"/>
      <c r="K34" s="206"/>
      <c r="L34" s="206"/>
      <c r="M34" s="206"/>
      <c r="N34" s="206"/>
      <c r="O34" s="206"/>
      <c r="P34" s="206"/>
    </row>
    <row r="35" spans="1:16" ht="15.05" customHeight="1" x14ac:dyDescent="0.3">
      <c r="A35" s="174" t="s">
        <v>252</v>
      </c>
      <c r="B35" s="706" t="s">
        <v>253</v>
      </c>
      <c r="C35" s="706"/>
      <c r="D35" s="706"/>
      <c r="E35" s="706"/>
      <c r="F35" s="706"/>
      <c r="G35" s="706"/>
      <c r="H35" s="706"/>
      <c r="I35" s="174"/>
      <c r="J35" s="688"/>
      <c r="K35" s="688"/>
      <c r="L35" s="688"/>
      <c r="M35" s="688"/>
      <c r="N35" s="688"/>
      <c r="O35" s="688"/>
      <c r="P35" s="688"/>
    </row>
    <row r="36" spans="1:16" ht="19.649999999999999" customHeight="1" x14ac:dyDescent="0.3">
      <c r="A36" s="174" t="s">
        <v>254</v>
      </c>
      <c r="B36" s="688" t="s">
        <v>505</v>
      </c>
      <c r="C36" s="688"/>
      <c r="D36" s="688"/>
      <c r="E36" s="688"/>
      <c r="F36" s="688"/>
      <c r="G36" s="688"/>
      <c r="H36" s="688"/>
      <c r="I36" s="174"/>
      <c r="J36" s="175"/>
      <c r="K36" s="175"/>
      <c r="L36" s="175"/>
      <c r="M36" s="175"/>
      <c r="N36" s="175"/>
      <c r="O36" s="175"/>
      <c r="P36" s="175"/>
    </row>
    <row r="37" spans="1:16" ht="24.05" customHeight="1" x14ac:dyDescent="0.3">
      <c r="A37" s="197" t="s">
        <v>256</v>
      </c>
      <c r="B37" s="706" t="s">
        <v>258</v>
      </c>
      <c r="C37" s="706"/>
      <c r="D37" s="706"/>
      <c r="E37" s="706"/>
      <c r="F37" s="706"/>
      <c r="G37" s="706"/>
      <c r="H37" s="706"/>
      <c r="I37" s="706"/>
      <c r="J37" s="706"/>
      <c r="K37" s="206"/>
      <c r="L37" s="206"/>
      <c r="M37" s="206"/>
      <c r="N37" s="206"/>
      <c r="O37" s="206"/>
      <c r="P37" s="206"/>
    </row>
    <row r="38" spans="1:16" ht="26.2" customHeight="1" x14ac:dyDescent="0.3">
      <c r="A38" s="197" t="s">
        <v>257</v>
      </c>
      <c r="B38" s="706" t="s">
        <v>276</v>
      </c>
      <c r="C38" s="706"/>
      <c r="D38" s="706"/>
      <c r="E38" s="706"/>
      <c r="F38" s="706"/>
      <c r="G38" s="706"/>
      <c r="H38" s="706"/>
      <c r="I38" s="706"/>
      <c r="J38" s="706"/>
      <c r="K38" s="206"/>
      <c r="L38" s="206"/>
      <c r="M38" s="206"/>
      <c r="N38" s="206"/>
      <c r="O38" s="206"/>
      <c r="P38" s="206"/>
    </row>
    <row r="39" spans="1:16" ht="27.5" customHeight="1" x14ac:dyDescent="0.3">
      <c r="A39" s="197"/>
      <c r="B39" s="688" t="s">
        <v>509</v>
      </c>
      <c r="C39" s="688"/>
      <c r="D39" s="688"/>
      <c r="E39" s="688"/>
      <c r="F39" s="688"/>
      <c r="G39" s="688"/>
      <c r="H39" s="688"/>
      <c r="I39" s="688"/>
      <c r="J39" s="541"/>
      <c r="K39" s="206"/>
      <c r="L39" s="206"/>
      <c r="M39" s="206"/>
      <c r="N39" s="206"/>
      <c r="O39" s="206"/>
      <c r="P39" s="206"/>
    </row>
    <row r="41" spans="1:16" ht="87.9" customHeight="1" x14ac:dyDescent="0.3">
      <c r="A41" s="690" t="s">
        <v>160</v>
      </c>
      <c r="B41" s="690"/>
      <c r="C41" s="690"/>
      <c r="D41" s="690"/>
      <c r="E41" s="690"/>
      <c r="F41" s="690"/>
      <c r="G41" s="690"/>
      <c r="H41" s="690"/>
      <c r="I41" s="690"/>
      <c r="J41" s="690"/>
    </row>
  </sheetData>
  <sheetProtection algorithmName="SHA-512" hashValue="om1kkKjIqG2ZdntmV6SXvvLI6j62kAwHS9U6Sox9GuAGoDZV3nmZOkKUZb7oGV3+8BWTKWqpkD4oK/h/cxnTuw==" saltValue="vIcRGfj/J8S6iROJqcPblw==" spinCount="100000" sheet="1" objects="1" scenarios="1"/>
  <mergeCells count="17">
    <mergeCell ref="B31:J31"/>
    <mergeCell ref="B29:J29"/>
    <mergeCell ref="B36:H36"/>
    <mergeCell ref="A41:J41"/>
    <mergeCell ref="B33:J33"/>
    <mergeCell ref="B34:J34"/>
    <mergeCell ref="B37:J37"/>
    <mergeCell ref="B38:J38"/>
    <mergeCell ref="B35:H35"/>
    <mergeCell ref="J35:P35"/>
    <mergeCell ref="B30:J30"/>
    <mergeCell ref="B39:I39"/>
    <mergeCell ref="C3:F4"/>
    <mergeCell ref="G3:H4"/>
    <mergeCell ref="A5:A7"/>
    <mergeCell ref="B5:B7"/>
    <mergeCell ref="C5:C6"/>
  </mergeCells>
  <hyperlinks>
    <hyperlink ref="B27" location="ARAUCA!A42" display="Ver Nota Informativa" xr:uid="{00000000-0004-0000-0900-000000000000}"/>
  </hyperlinks>
  <pageMargins left="0.7" right="0.7" top="0.75" bottom="0.75" header="0.3" footer="0.3"/>
  <pageSetup orientation="portrait" r:id="rId1"/>
  <ignoredErrors>
    <ignoredError sqref="C11 C22:H25 C12 C17:C21 E11:G11" formula="1"/>
    <ignoredError sqref="D12:H12 D15:H15 D13:F13 H13 D14:F14 H14 D17:H21"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P41"/>
  <sheetViews>
    <sheetView zoomScale="85" zoomScaleNormal="85" workbookViewId="0">
      <selection activeCell="G9" sqref="G9"/>
    </sheetView>
  </sheetViews>
  <sheetFormatPr baseColWidth="10" defaultRowHeight="15.05" x14ac:dyDescent="0.3"/>
  <cols>
    <col min="1" max="1" width="6.109375" customWidth="1"/>
    <col min="2" max="2" width="57.33203125" customWidth="1"/>
    <col min="3" max="4" width="12.88671875" customWidth="1"/>
    <col min="5" max="5" width="12.88671875" hidden="1" customWidth="1"/>
    <col min="6" max="8" width="12.88671875" customWidth="1"/>
    <col min="9" max="9" width="14.33203125" customWidth="1"/>
    <col min="10" max="10" width="0" hidden="1" customWidth="1"/>
  </cols>
  <sheetData>
    <row r="1" spans="1:10" x14ac:dyDescent="0.3">
      <c r="A1" s="150"/>
      <c r="B1" s="151" t="str">
        <f>+AMAZONAS!C1</f>
        <v>Vigencia: 14 de Agosto de 2021; 00:00 horas</v>
      </c>
      <c r="C1" s="151"/>
      <c r="D1" s="151"/>
      <c r="E1" s="151"/>
      <c r="F1" s="151"/>
      <c r="G1" s="151"/>
      <c r="H1" s="151"/>
    </row>
    <row r="2" spans="1:10" ht="15.75" thickBot="1" x14ac:dyDescent="0.35">
      <c r="A2" s="241" t="s">
        <v>199</v>
      </c>
      <c r="B2" s="242"/>
      <c r="C2" s="242"/>
      <c r="D2" s="242"/>
      <c r="E2" s="242"/>
      <c r="F2" s="242"/>
      <c r="G2" s="242"/>
      <c r="H2" s="242"/>
    </row>
    <row r="3" spans="1:10" ht="15.9" customHeight="1" thickTop="1" x14ac:dyDescent="0.3">
      <c r="A3" s="207"/>
      <c r="B3" s="180" t="s">
        <v>279</v>
      </c>
      <c r="C3" s="707" t="s">
        <v>200</v>
      </c>
      <c r="D3" s="708"/>
      <c r="E3" s="708"/>
      <c r="F3" s="709"/>
      <c r="G3" s="717" t="s">
        <v>270</v>
      </c>
      <c r="H3" s="718"/>
    </row>
    <row r="4" spans="1:10" x14ac:dyDescent="0.3">
      <c r="A4" s="152"/>
      <c r="B4" s="182" t="s">
        <v>280</v>
      </c>
      <c r="C4" s="710"/>
      <c r="D4" s="711"/>
      <c r="E4" s="711"/>
      <c r="F4" s="712"/>
      <c r="G4" s="719"/>
      <c r="H4" s="720"/>
    </row>
    <row r="5" spans="1:10" ht="26.2" x14ac:dyDescent="0.3">
      <c r="A5" s="691" t="s">
        <v>201</v>
      </c>
      <c r="B5" s="693" t="s">
        <v>202</v>
      </c>
      <c r="C5" s="695" t="s">
        <v>261</v>
      </c>
      <c r="D5" s="183" t="s">
        <v>97</v>
      </c>
      <c r="E5" s="183" t="s">
        <v>191</v>
      </c>
      <c r="F5" s="183" t="s">
        <v>435</v>
      </c>
      <c r="G5" s="183" t="s">
        <v>97</v>
      </c>
      <c r="H5" s="154" t="str">
        <f>+F5</f>
        <v>Biodiesel B10</v>
      </c>
    </row>
    <row r="6" spans="1:10" x14ac:dyDescent="0.3">
      <c r="A6" s="691"/>
      <c r="B6" s="693"/>
      <c r="C6" s="696"/>
      <c r="D6" s="609">
        <v>0.08</v>
      </c>
      <c r="E6" s="201">
        <v>0.02</v>
      </c>
      <c r="F6" s="419">
        <v>0.1</v>
      </c>
      <c r="G6" s="609">
        <v>0.08</v>
      </c>
      <c r="H6" s="184">
        <f>+F6</f>
        <v>0.1</v>
      </c>
    </row>
    <row r="7" spans="1:10" x14ac:dyDescent="0.3">
      <c r="A7" s="692"/>
      <c r="B7" s="694"/>
      <c r="C7" s="153" t="s">
        <v>203</v>
      </c>
      <c r="D7" s="183" t="s">
        <v>203</v>
      </c>
      <c r="E7" s="183" t="s">
        <v>203</v>
      </c>
      <c r="F7" s="183" t="s">
        <v>203</v>
      </c>
      <c r="G7" s="153" t="s">
        <v>203</v>
      </c>
      <c r="H7" s="154" t="s">
        <v>203</v>
      </c>
    </row>
    <row r="8" spans="1:10" x14ac:dyDescent="0.3">
      <c r="A8" s="155" t="s">
        <v>204</v>
      </c>
      <c r="B8" s="161" t="s">
        <v>205</v>
      </c>
      <c r="C8" s="225">
        <f>+'Calculo IP ZDF'!B30</f>
        <v>4523.6549800000003</v>
      </c>
      <c r="D8" s="231">
        <f>+'Calculo IP ZDF'!H30</f>
        <v>4868.0025815999998</v>
      </c>
      <c r="E8" s="233">
        <f>+'Calculo IP ZDF'!F30</f>
        <v>4549.7082711000003</v>
      </c>
      <c r="F8" s="232">
        <f>+'Calculo IP ZDF'!I30</f>
        <v>5537.9565755000003</v>
      </c>
      <c r="G8" s="210">
        <f>+'GAS CTE'!E9</f>
        <v>4946.4399999999996</v>
      </c>
      <c r="H8" s="235">
        <f>+BIODIESEL!G9</f>
        <v>5697.2049999999999</v>
      </c>
    </row>
    <row r="9" spans="1:10" x14ac:dyDescent="0.3">
      <c r="A9" s="155" t="s">
        <v>206</v>
      </c>
      <c r="B9" s="161" t="s">
        <v>207</v>
      </c>
      <c r="C9" s="211" t="str">
        <f t="shared" ref="C9:C13" si="0">+D9</f>
        <v>------------------</v>
      </c>
      <c r="D9" s="212" t="s">
        <v>208</v>
      </c>
      <c r="E9" s="212" t="s">
        <v>208</v>
      </c>
      <c r="F9" s="158" t="s">
        <v>208</v>
      </c>
      <c r="G9" s="210">
        <f>+'GAS CTE'!E10</f>
        <v>510.64599999999996</v>
      </c>
      <c r="H9" s="236">
        <f>+BIODIESEL!G10</f>
        <v>478.14</v>
      </c>
    </row>
    <row r="10" spans="1:10" x14ac:dyDescent="0.3">
      <c r="A10" s="155"/>
      <c r="B10" s="161" t="s">
        <v>135</v>
      </c>
      <c r="C10" s="211" t="str">
        <f>+D10</f>
        <v>------------------</v>
      </c>
      <c r="D10" s="212" t="s">
        <v>208</v>
      </c>
      <c r="E10" s="212" t="s">
        <v>208</v>
      </c>
      <c r="F10" s="158" t="s">
        <v>208</v>
      </c>
      <c r="G10" s="226" t="str">
        <f>+COMBUSTIBLES!B12</f>
        <v>(3)</v>
      </c>
      <c r="H10" s="236" t="str">
        <f>+BIODIESEL!G11</f>
        <v>(3)</v>
      </c>
    </row>
    <row r="11" spans="1:10" x14ac:dyDescent="0.3">
      <c r="A11" s="155"/>
      <c r="B11" s="161" t="s">
        <v>137</v>
      </c>
      <c r="C11" s="211">
        <f>+'GAS CTE'!C12</f>
        <v>159</v>
      </c>
      <c r="D11" s="212">
        <f>+'GAS CTE'!E12</f>
        <v>146.28</v>
      </c>
      <c r="E11" s="212">
        <f>+BIODIESEL!E12</f>
        <v>175.42</v>
      </c>
      <c r="F11" s="158">
        <f>+BIODIESEL!G12</f>
        <v>161.1</v>
      </c>
      <c r="G11" s="210">
        <f>+D11</f>
        <v>146.28</v>
      </c>
      <c r="H11" s="232">
        <f>+F11</f>
        <v>161.1</v>
      </c>
      <c r="J11" s="474" t="s">
        <v>457</v>
      </c>
    </row>
    <row r="12" spans="1:10" x14ac:dyDescent="0.3">
      <c r="A12" s="155" t="s">
        <v>209</v>
      </c>
      <c r="B12" s="161" t="s">
        <v>271</v>
      </c>
      <c r="C12" s="211" t="str">
        <f t="shared" si="0"/>
        <v>(2)</v>
      </c>
      <c r="D12" s="159" t="s">
        <v>237</v>
      </c>
      <c r="E12" s="159" t="s">
        <v>237</v>
      </c>
      <c r="F12" s="158" t="s">
        <v>237</v>
      </c>
      <c r="G12" s="210" t="str">
        <f>+F12</f>
        <v>(2)</v>
      </c>
      <c r="H12" s="235" t="s">
        <v>237</v>
      </c>
    </row>
    <row r="13" spans="1:10" x14ac:dyDescent="0.3">
      <c r="A13" s="155" t="s">
        <v>272</v>
      </c>
      <c r="B13" s="161" t="s">
        <v>273</v>
      </c>
      <c r="C13" s="211" t="str">
        <f t="shared" si="0"/>
        <v>N.A.</v>
      </c>
      <c r="D13" s="159" t="s">
        <v>274</v>
      </c>
      <c r="E13" s="212" t="s">
        <v>238</v>
      </c>
      <c r="F13" s="160" t="str">
        <f>+E13</f>
        <v>(4)</v>
      </c>
      <c r="G13" s="210" t="s">
        <v>274</v>
      </c>
      <c r="H13" s="232" t="str">
        <f>+F13</f>
        <v>(4)</v>
      </c>
    </row>
    <row r="14" spans="1:10" x14ac:dyDescent="0.3">
      <c r="A14" s="155" t="s">
        <v>211</v>
      </c>
      <c r="B14" s="161" t="s">
        <v>212</v>
      </c>
      <c r="C14" s="211">
        <f>+RUBROS!Z15</f>
        <v>22.249601678692599</v>
      </c>
      <c r="D14" s="159">
        <f>+C14</f>
        <v>22.249601678692599</v>
      </c>
      <c r="E14" s="159">
        <f>+D14</f>
        <v>22.249601678692599</v>
      </c>
      <c r="F14" s="158">
        <f>+E14</f>
        <v>22.249601678692599</v>
      </c>
      <c r="G14" s="210">
        <f>+RUBROS!AA14</f>
        <v>22.249601678692599</v>
      </c>
      <c r="H14" s="235">
        <f>+G14</f>
        <v>22.249601678692599</v>
      </c>
      <c r="J14" s="474" t="s">
        <v>457</v>
      </c>
    </row>
    <row r="15" spans="1:10" x14ac:dyDescent="0.3">
      <c r="A15" s="155" t="s">
        <v>215</v>
      </c>
      <c r="B15" s="230" t="s">
        <v>216</v>
      </c>
      <c r="C15" s="211">
        <f>+RUBROS!AP29</f>
        <v>12.938273064269636</v>
      </c>
      <c r="D15" s="159">
        <f>+C15</f>
        <v>12.938273064269636</v>
      </c>
      <c r="E15" s="213">
        <f>+C15</f>
        <v>12.938273064269636</v>
      </c>
      <c r="F15" s="158">
        <f>+C15</f>
        <v>12.938273064269636</v>
      </c>
      <c r="G15" s="210">
        <f>+C15</f>
        <v>12.938273064269636</v>
      </c>
      <c r="H15" s="235">
        <f>+G15</f>
        <v>12.938273064269636</v>
      </c>
      <c r="J15" s="474" t="s">
        <v>456</v>
      </c>
    </row>
    <row r="16" spans="1:10" ht="20.3" hidden="1" customHeight="1" x14ac:dyDescent="0.3">
      <c r="A16" s="155"/>
      <c r="B16" s="161" t="s">
        <v>217</v>
      </c>
      <c r="C16" s="211"/>
      <c r="D16" s="214"/>
      <c r="E16" s="215"/>
      <c r="F16" s="158"/>
      <c r="G16" s="210"/>
      <c r="H16" s="237"/>
    </row>
    <row r="17" spans="1:16" x14ac:dyDescent="0.3">
      <c r="A17" s="162" t="s">
        <v>218</v>
      </c>
      <c r="B17" s="192" t="s">
        <v>219</v>
      </c>
      <c r="C17" s="216">
        <f t="shared" ref="C17:H17" si="1">SUM(C8:C16)</f>
        <v>4717.8428547429621</v>
      </c>
      <c r="D17" s="217">
        <f t="shared" si="1"/>
        <v>5049.4704563429614</v>
      </c>
      <c r="E17" s="217">
        <f t="shared" si="1"/>
        <v>4760.3161458429622</v>
      </c>
      <c r="F17" s="218">
        <f t="shared" si="1"/>
        <v>5734.2444502429626</v>
      </c>
      <c r="G17" s="219">
        <f t="shared" si="1"/>
        <v>5638.5538747429609</v>
      </c>
      <c r="H17" s="238">
        <f t="shared" si="1"/>
        <v>6371.6328747429625</v>
      </c>
    </row>
    <row r="18" spans="1:16" x14ac:dyDescent="0.3">
      <c r="A18" s="155" t="s">
        <v>220</v>
      </c>
      <c r="B18" s="161" t="s">
        <v>221</v>
      </c>
      <c r="C18" s="211" t="s">
        <v>252</v>
      </c>
      <c r="D18" s="220" t="str">
        <f>+C18</f>
        <v>***</v>
      </c>
      <c r="E18" s="220" t="str">
        <f>+C18</f>
        <v>***</v>
      </c>
      <c r="F18" s="158" t="str">
        <f>+C18</f>
        <v>***</v>
      </c>
      <c r="G18" s="213" t="str">
        <f>+H18</f>
        <v>***</v>
      </c>
      <c r="H18" s="239" t="s">
        <v>252</v>
      </c>
    </row>
    <row r="19" spans="1:16" x14ac:dyDescent="0.3">
      <c r="A19" s="155" t="s">
        <v>222</v>
      </c>
      <c r="B19" s="161" t="s">
        <v>223</v>
      </c>
      <c r="C19" s="211" t="str">
        <f>+D19</f>
        <v>**</v>
      </c>
      <c r="D19" s="221" t="s">
        <v>250</v>
      </c>
      <c r="E19" s="221" t="s">
        <v>250</v>
      </c>
      <c r="F19" s="158" t="s">
        <v>250</v>
      </c>
      <c r="G19" s="213" t="str">
        <f>+H19</f>
        <v>**</v>
      </c>
      <c r="H19" s="232" t="s">
        <v>250</v>
      </c>
    </row>
    <row r="20" spans="1:16" x14ac:dyDescent="0.3">
      <c r="A20" s="155" t="s">
        <v>224</v>
      </c>
      <c r="B20" s="161" t="s">
        <v>225</v>
      </c>
      <c r="C20" s="211" t="str">
        <f>+D20</f>
        <v>****</v>
      </c>
      <c r="D20" s="159" t="s">
        <v>254</v>
      </c>
      <c r="E20" s="159" t="str">
        <f>+D20</f>
        <v>****</v>
      </c>
      <c r="F20" s="158" t="str">
        <f>+E20</f>
        <v>****</v>
      </c>
      <c r="G20" s="213" t="str">
        <f>+F20</f>
        <v>****</v>
      </c>
      <c r="H20" s="235" t="str">
        <f>+F20</f>
        <v>****</v>
      </c>
    </row>
    <row r="21" spans="1:16" x14ac:dyDescent="0.3">
      <c r="A21" s="162" t="s">
        <v>226</v>
      </c>
      <c r="B21" s="192" t="s">
        <v>227</v>
      </c>
      <c r="C21" s="216">
        <f t="shared" ref="C21:H21" si="2">+C17</f>
        <v>4717.8428547429621</v>
      </c>
      <c r="D21" s="216">
        <f t="shared" si="2"/>
        <v>5049.4704563429614</v>
      </c>
      <c r="E21" s="216">
        <f t="shared" si="2"/>
        <v>4760.3161458429622</v>
      </c>
      <c r="F21" s="234">
        <f t="shared" si="2"/>
        <v>5734.2444502429626</v>
      </c>
      <c r="G21" s="216">
        <f t="shared" si="2"/>
        <v>5638.5538747429609</v>
      </c>
      <c r="H21" s="234">
        <f t="shared" si="2"/>
        <v>6371.6328747429625</v>
      </c>
    </row>
    <row r="22" spans="1:16" x14ac:dyDescent="0.3">
      <c r="A22" s="155" t="s">
        <v>228</v>
      </c>
      <c r="B22" s="161" t="s">
        <v>173</v>
      </c>
      <c r="C22" s="211" t="s">
        <v>252</v>
      </c>
      <c r="D22" s="159" t="str">
        <f>+C22</f>
        <v>***</v>
      </c>
      <c r="E22" s="159" t="str">
        <f>+D22</f>
        <v>***</v>
      </c>
      <c r="F22" s="158" t="str">
        <f>+E22</f>
        <v>***</v>
      </c>
      <c r="G22" s="213" t="str">
        <f>+H22</f>
        <v>***</v>
      </c>
      <c r="H22" s="235" t="s">
        <v>252</v>
      </c>
    </row>
    <row r="23" spans="1:16" x14ac:dyDescent="0.3">
      <c r="A23" s="155" t="s">
        <v>229</v>
      </c>
      <c r="B23" s="156" t="s">
        <v>230</v>
      </c>
      <c r="C23" s="211" t="str">
        <f>+D23</f>
        <v>*****</v>
      </c>
      <c r="D23" s="159" t="s">
        <v>256</v>
      </c>
      <c r="E23" s="159" t="s">
        <v>274</v>
      </c>
      <c r="F23" s="158" t="s">
        <v>231</v>
      </c>
      <c r="G23" s="213" t="str">
        <f>+D23</f>
        <v>*****</v>
      </c>
      <c r="H23" s="235" t="s">
        <v>275</v>
      </c>
    </row>
    <row r="24" spans="1:16" x14ac:dyDescent="0.3">
      <c r="A24" s="155" t="s">
        <v>232</v>
      </c>
      <c r="B24" s="161" t="s">
        <v>233</v>
      </c>
      <c r="C24" s="211" t="str">
        <f>+D24</f>
        <v>******</v>
      </c>
      <c r="D24" s="221" t="s">
        <v>257</v>
      </c>
      <c r="E24" s="221" t="str">
        <f>+D24</f>
        <v>******</v>
      </c>
      <c r="F24" s="160" t="str">
        <f>+E24</f>
        <v>******</v>
      </c>
      <c r="G24" s="213" t="str">
        <f>+F24</f>
        <v>******</v>
      </c>
      <c r="H24" s="232" t="str">
        <f>+G24</f>
        <v>******</v>
      </c>
    </row>
    <row r="25" spans="1:16" ht="15.75" thickBot="1" x14ac:dyDescent="0.35">
      <c r="A25" s="166" t="s">
        <v>234</v>
      </c>
      <c r="B25" s="167" t="s">
        <v>235</v>
      </c>
      <c r="C25" s="222"/>
      <c r="D25" s="170"/>
      <c r="E25" s="223"/>
      <c r="F25" s="169"/>
      <c r="G25" s="223"/>
      <c r="H25" s="240"/>
    </row>
    <row r="26" spans="1:16" ht="15.75" thickTop="1" x14ac:dyDescent="0.3"/>
    <row r="27" spans="1:16" x14ac:dyDescent="0.3">
      <c r="A27" s="174"/>
      <c r="B27" s="286" t="s">
        <v>248</v>
      </c>
      <c r="C27" s="227"/>
      <c r="D27" s="227"/>
      <c r="E27" s="227"/>
      <c r="F27" s="227"/>
      <c r="G27" s="206"/>
      <c r="H27" s="206"/>
      <c r="I27" s="206"/>
      <c r="J27" s="206"/>
      <c r="K27" s="206"/>
      <c r="L27" s="206"/>
      <c r="M27" s="206"/>
      <c r="N27" s="206"/>
      <c r="O27" s="206"/>
      <c r="P27" s="206"/>
    </row>
    <row r="28" spans="1:16" x14ac:dyDescent="0.3">
      <c r="A28" s="174"/>
      <c r="B28" s="196"/>
      <c r="C28" s="227"/>
      <c r="D28" s="227"/>
      <c r="E28" s="227"/>
      <c r="F28" s="227"/>
      <c r="G28" s="206"/>
      <c r="H28" s="206"/>
      <c r="I28" s="206"/>
      <c r="J28" s="206"/>
      <c r="K28" s="206"/>
      <c r="L28" s="206"/>
      <c r="M28" s="206"/>
      <c r="N28" s="206"/>
      <c r="O28" s="206"/>
      <c r="P28" s="206"/>
    </row>
    <row r="29" spans="1:16" x14ac:dyDescent="0.3">
      <c r="A29" s="174" t="s">
        <v>210</v>
      </c>
      <c r="B29" s="706" t="str">
        <f>+ARAUCA!B29</f>
        <v>De acuerdo con lo establecido en la Resolución MME 91349 de 2014</v>
      </c>
      <c r="C29" s="706"/>
      <c r="D29" s="706"/>
      <c r="E29" s="706"/>
      <c r="F29" s="706"/>
      <c r="G29" s="706"/>
      <c r="H29" s="706"/>
      <c r="I29" s="706"/>
      <c r="J29" s="706"/>
      <c r="K29" s="228"/>
      <c r="L29" s="228"/>
      <c r="M29" s="228"/>
      <c r="N29" s="228"/>
      <c r="O29" s="228"/>
      <c r="P29" s="228"/>
    </row>
    <row r="30" spans="1:16" x14ac:dyDescent="0.3">
      <c r="A30" s="174" t="s">
        <v>237</v>
      </c>
      <c r="B30" s="202" t="s">
        <v>236</v>
      </c>
      <c r="C30" s="227"/>
      <c r="D30" s="227"/>
      <c r="E30" s="227"/>
      <c r="F30" s="227"/>
      <c r="G30" s="206"/>
      <c r="H30" s="206"/>
      <c r="I30" s="206"/>
      <c r="J30" s="206"/>
      <c r="K30" s="206"/>
      <c r="L30" s="206"/>
      <c r="M30" s="206"/>
      <c r="N30" s="206"/>
      <c r="O30" s="206"/>
      <c r="P30" s="206"/>
    </row>
    <row r="31" spans="1:16" ht="53.35" customHeight="1" x14ac:dyDescent="0.3">
      <c r="A31" s="174" t="s">
        <v>136</v>
      </c>
      <c r="B31" s="706" t="s">
        <v>357</v>
      </c>
      <c r="C31" s="706"/>
      <c r="D31" s="706"/>
      <c r="E31" s="706"/>
      <c r="F31" s="706"/>
      <c r="G31" s="706"/>
      <c r="H31" s="706"/>
      <c r="I31" s="706"/>
      <c r="J31" s="706"/>
      <c r="K31" s="206"/>
      <c r="L31" s="206"/>
      <c r="M31" s="206"/>
      <c r="N31" s="206"/>
      <c r="O31" s="206"/>
      <c r="P31" s="206"/>
    </row>
    <row r="32" spans="1:16" ht="24.75" customHeight="1" x14ac:dyDescent="0.3">
      <c r="A32" s="174" t="s">
        <v>238</v>
      </c>
      <c r="B32" s="706" t="s">
        <v>277</v>
      </c>
      <c r="C32" s="706"/>
      <c r="D32" s="706"/>
      <c r="E32" s="706"/>
      <c r="F32" s="706"/>
      <c r="G32" s="706"/>
      <c r="H32" s="706"/>
      <c r="I32" s="706"/>
      <c r="J32" s="706"/>
      <c r="K32" s="206"/>
      <c r="L32" s="206"/>
      <c r="M32" s="206"/>
      <c r="N32" s="206"/>
      <c r="O32" s="206"/>
      <c r="P32" s="206"/>
    </row>
    <row r="33" spans="1:16" x14ac:dyDescent="0.3">
      <c r="A33" s="174"/>
      <c r="B33" s="196"/>
      <c r="C33" s="227"/>
      <c r="D33" s="227"/>
      <c r="E33" s="227"/>
      <c r="F33" s="227"/>
      <c r="G33" s="206"/>
      <c r="H33" s="206"/>
      <c r="I33" s="206"/>
      <c r="J33" s="206"/>
      <c r="K33" s="206"/>
      <c r="L33" s="206"/>
      <c r="M33" s="206"/>
      <c r="N33" s="206"/>
      <c r="O33" s="206"/>
      <c r="P33" s="206"/>
    </row>
    <row r="34" spans="1:16" x14ac:dyDescent="0.3">
      <c r="A34" s="197" t="s">
        <v>103</v>
      </c>
      <c r="B34" s="688" t="s">
        <v>249</v>
      </c>
      <c r="C34" s="688"/>
      <c r="D34" s="688"/>
      <c r="E34" s="688"/>
      <c r="F34" s="688"/>
      <c r="G34" s="688"/>
      <c r="H34" s="688"/>
      <c r="I34" s="688"/>
      <c r="J34" s="688"/>
      <c r="K34" s="206"/>
      <c r="L34" s="206"/>
      <c r="M34" s="206"/>
      <c r="N34" s="206"/>
      <c r="O34" s="206"/>
      <c r="P34" s="206"/>
    </row>
    <row r="35" spans="1:16" x14ac:dyDescent="0.3">
      <c r="A35" s="197" t="s">
        <v>250</v>
      </c>
      <c r="B35" s="706" t="s">
        <v>282</v>
      </c>
      <c r="C35" s="706"/>
      <c r="D35" s="706"/>
      <c r="E35" s="706"/>
      <c r="F35" s="706"/>
      <c r="G35" s="706"/>
      <c r="H35" s="706"/>
      <c r="I35" s="706"/>
      <c r="J35" s="706"/>
      <c r="K35" s="206"/>
      <c r="L35" s="206"/>
      <c r="M35" s="206"/>
      <c r="N35" s="206"/>
      <c r="O35" s="206"/>
      <c r="P35" s="206"/>
    </row>
    <row r="36" spans="1:16" x14ac:dyDescent="0.3">
      <c r="A36" s="174" t="s">
        <v>252</v>
      </c>
      <c r="B36" s="706" t="s">
        <v>253</v>
      </c>
      <c r="C36" s="706"/>
      <c r="D36" s="706"/>
      <c r="E36" s="706"/>
      <c r="F36" s="706"/>
      <c r="G36" s="706"/>
      <c r="H36" s="706"/>
      <c r="I36" s="174"/>
      <c r="J36" s="688"/>
      <c r="K36" s="688"/>
      <c r="L36" s="688"/>
      <c r="M36" s="688"/>
      <c r="N36" s="688"/>
      <c r="O36" s="688"/>
      <c r="P36" s="688"/>
    </row>
    <row r="37" spans="1:16" x14ac:dyDescent="0.3">
      <c r="A37" s="174" t="s">
        <v>254</v>
      </c>
      <c r="B37" s="688" t="s">
        <v>505</v>
      </c>
      <c r="C37" s="688"/>
      <c r="D37" s="688"/>
      <c r="E37" s="688"/>
      <c r="F37" s="688"/>
      <c r="G37" s="688"/>
      <c r="H37" s="688"/>
      <c r="I37" s="174"/>
      <c r="J37" s="202"/>
      <c r="K37" s="202"/>
      <c r="L37" s="202"/>
      <c r="M37" s="202"/>
      <c r="N37" s="202"/>
      <c r="O37" s="202"/>
      <c r="P37" s="202"/>
    </row>
    <row r="38" spans="1:16" x14ac:dyDescent="0.3">
      <c r="A38" s="197" t="s">
        <v>256</v>
      </c>
      <c r="B38" s="706" t="s">
        <v>258</v>
      </c>
      <c r="C38" s="706"/>
      <c r="D38" s="706"/>
      <c r="E38" s="706"/>
      <c r="F38" s="706"/>
      <c r="G38" s="706"/>
      <c r="H38" s="706"/>
      <c r="I38" s="706"/>
      <c r="J38" s="706"/>
      <c r="K38" s="206"/>
      <c r="L38" s="206"/>
      <c r="M38" s="206"/>
      <c r="N38" s="206"/>
      <c r="O38" s="206"/>
      <c r="P38" s="206"/>
    </row>
    <row r="39" spans="1:16" ht="28.5" customHeight="1" x14ac:dyDescent="0.3">
      <c r="A39" s="197" t="s">
        <v>257</v>
      </c>
      <c r="B39" s="706" t="s">
        <v>276</v>
      </c>
      <c r="C39" s="706"/>
      <c r="D39" s="706"/>
      <c r="E39" s="706"/>
      <c r="F39" s="706"/>
      <c r="G39" s="706"/>
      <c r="H39" s="706"/>
      <c r="I39" s="706"/>
      <c r="J39" s="706"/>
      <c r="K39" s="206"/>
      <c r="L39" s="206"/>
      <c r="M39" s="206"/>
      <c r="N39" s="206"/>
      <c r="O39" s="206"/>
      <c r="P39" s="206"/>
    </row>
    <row r="41" spans="1:16" ht="92.3" customHeight="1" x14ac:dyDescent="0.3">
      <c r="A41" s="690" t="s">
        <v>160</v>
      </c>
      <c r="B41" s="690"/>
      <c r="C41" s="690"/>
      <c r="D41" s="690"/>
      <c r="E41" s="690"/>
      <c r="F41" s="690"/>
      <c r="G41" s="690"/>
      <c r="H41" s="690"/>
      <c r="I41" s="690"/>
      <c r="J41" s="690"/>
    </row>
  </sheetData>
  <sheetProtection algorithmName="SHA-512" hashValue="Jmdc0B7mzxmBoyrDRGRB+E/3slsYjD130qM7lx+4LrLeEqiZrs53WEQXGchPGBociaMYk0W/f6FdP5yCDfHY2g==" saltValue="ClfrrAJAfvhr4aitwl8xLQ==" spinCount="100000"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xr:uid="{00000000-0004-0000-0A00-000000000000}"/>
  </hyperlinks>
  <pageMargins left="0.7" right="0.7" top="0.75" bottom="0.75" header="0.3" footer="0.3"/>
  <ignoredErrors>
    <ignoredError sqref="C11 C12:C13 C17:C24 G11:H11 E11" formula="1"/>
    <ignoredError sqref="D12:H13 D15:H15 D14:F14 H14 D17:H24" numberStoredAsText="1" formula="1"/>
    <ignoredError sqref="D25:I25 I16:I2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tint="0.59999389629810485"/>
  </sheetPr>
  <dimension ref="A1:R118"/>
  <sheetViews>
    <sheetView topLeftCell="A19" zoomScale="70" zoomScaleNormal="70" workbookViewId="0">
      <selection activeCell="R41" sqref="R41"/>
    </sheetView>
  </sheetViews>
  <sheetFormatPr baseColWidth="10" defaultColWidth="45" defaultRowHeight="15.05" x14ac:dyDescent="0.3"/>
  <cols>
    <col min="1" max="1" width="7" customWidth="1"/>
    <col min="2" max="2" width="60.88671875" customWidth="1"/>
    <col min="3" max="4" width="15.33203125" bestFit="1" customWidth="1"/>
    <col min="5" max="5" width="15.33203125" hidden="1" customWidth="1"/>
    <col min="6" max="6" width="15.33203125" customWidth="1"/>
    <col min="7" max="7" width="17" customWidth="1"/>
    <col min="8" max="8" width="20" customWidth="1"/>
    <col min="9" max="9" width="17.6640625" hidden="1" customWidth="1"/>
    <col min="10" max="10" width="19.109375" hidden="1" customWidth="1"/>
    <col min="11" max="11" width="19.33203125" customWidth="1"/>
    <col min="12" max="12" width="19.21875" customWidth="1"/>
    <col min="13" max="13" width="17" hidden="1" customWidth="1"/>
    <col min="14" max="14" width="15.77734375" hidden="1" customWidth="1"/>
    <col min="15" max="15" width="21.109375" hidden="1" customWidth="1"/>
    <col min="16" max="16" width="25.6640625" hidden="1" customWidth="1"/>
    <col min="17" max="17" width="18.109375" hidden="1" customWidth="1"/>
  </cols>
  <sheetData>
    <row r="1" spans="1:16" x14ac:dyDescent="0.3">
      <c r="A1" s="262" t="s">
        <v>171</v>
      </c>
      <c r="B1" s="151" t="str">
        <f>+AMAZONAS!C1</f>
        <v>Vigencia: 14 de Agosto de 2021; 00:00 horas</v>
      </c>
      <c r="C1" s="151"/>
      <c r="D1" s="263"/>
      <c r="E1" s="263"/>
      <c r="F1" s="263"/>
      <c r="G1" s="263"/>
      <c r="H1" s="263"/>
      <c r="I1" s="263"/>
      <c r="J1" s="263"/>
      <c r="K1" s="263"/>
      <c r="L1" s="263"/>
      <c r="M1" s="263"/>
    </row>
    <row r="2" spans="1:16" ht="15.75" thickBot="1" x14ac:dyDescent="0.35">
      <c r="A2" s="177" t="s">
        <v>199</v>
      </c>
      <c r="B2" s="178"/>
      <c r="C2" s="178"/>
      <c r="D2" s="178"/>
      <c r="E2" s="178"/>
      <c r="F2" s="178"/>
      <c r="G2" s="178"/>
      <c r="H2" s="178"/>
      <c r="I2" s="264"/>
      <c r="J2" s="264"/>
      <c r="K2" s="264"/>
      <c r="L2" s="178"/>
      <c r="M2" s="178"/>
    </row>
    <row r="3" spans="1:16" ht="15.75" thickTop="1" x14ac:dyDescent="0.3">
      <c r="A3" s="207"/>
      <c r="B3" s="180" t="s">
        <v>283</v>
      </c>
      <c r="C3" s="697" t="s">
        <v>200</v>
      </c>
      <c r="D3" s="698"/>
      <c r="E3" s="698"/>
      <c r="F3" s="698"/>
      <c r="G3" s="698"/>
      <c r="H3" s="698"/>
      <c r="I3" s="698"/>
      <c r="J3" s="698"/>
      <c r="K3" s="724" t="s">
        <v>270</v>
      </c>
      <c r="L3" s="728"/>
      <c r="M3" s="729"/>
    </row>
    <row r="4" spans="1:16" ht="63.5" customHeight="1" x14ac:dyDescent="0.3">
      <c r="A4" s="181"/>
      <c r="B4" s="292" t="s">
        <v>294</v>
      </c>
      <c r="C4" s="699"/>
      <c r="D4" s="700"/>
      <c r="E4" s="700"/>
      <c r="F4" s="700"/>
      <c r="G4" s="700"/>
      <c r="H4" s="700"/>
      <c r="I4" s="700"/>
      <c r="J4" s="700"/>
      <c r="K4" s="725"/>
      <c r="L4" s="730"/>
      <c r="M4" s="731"/>
    </row>
    <row r="5" spans="1:16" ht="38.299999999999997" customHeight="1" x14ac:dyDescent="0.3">
      <c r="A5" s="691" t="s">
        <v>201</v>
      </c>
      <c r="B5" s="693" t="s">
        <v>202</v>
      </c>
      <c r="C5" s="695" t="s">
        <v>261</v>
      </c>
      <c r="D5" s="183" t="s">
        <v>97</v>
      </c>
      <c r="E5" s="183" t="s">
        <v>191</v>
      </c>
      <c r="F5" s="608"/>
      <c r="G5" s="183" t="s">
        <v>435</v>
      </c>
      <c r="H5" s="732" t="s">
        <v>431</v>
      </c>
      <c r="I5" s="695" t="s">
        <v>182</v>
      </c>
      <c r="J5" s="265" t="s">
        <v>125</v>
      </c>
      <c r="K5" s="427" t="s">
        <v>97</v>
      </c>
      <c r="L5" s="426" t="str">
        <f>+G5</f>
        <v>Biodiesel B10</v>
      </c>
      <c r="M5" s="426" t="s">
        <v>125</v>
      </c>
    </row>
    <row r="6" spans="1:16" ht="21.8" customHeight="1" x14ac:dyDescent="0.3">
      <c r="A6" s="691"/>
      <c r="B6" s="693"/>
      <c r="C6" s="696"/>
      <c r="D6" s="609">
        <v>0.08</v>
      </c>
      <c r="E6" s="201">
        <v>0.02</v>
      </c>
      <c r="F6" s="201"/>
      <c r="G6" s="419">
        <v>0.1</v>
      </c>
      <c r="H6" s="733"/>
      <c r="I6" s="696"/>
      <c r="J6" s="266" t="s">
        <v>284</v>
      </c>
      <c r="K6" s="609">
        <v>0.08</v>
      </c>
      <c r="L6" s="420">
        <f>+G6</f>
        <v>0.1</v>
      </c>
      <c r="M6" s="294" t="s">
        <v>284</v>
      </c>
    </row>
    <row r="7" spans="1:16" x14ac:dyDescent="0.3">
      <c r="A7" s="692"/>
      <c r="B7" s="694"/>
      <c r="C7" s="153" t="s">
        <v>203</v>
      </c>
      <c r="D7" s="183" t="s">
        <v>203</v>
      </c>
      <c r="E7" s="183" t="s">
        <v>203</v>
      </c>
      <c r="F7" s="608"/>
      <c r="G7" s="183" t="s">
        <v>203</v>
      </c>
      <c r="H7" s="183" t="s">
        <v>203</v>
      </c>
      <c r="I7" s="203" t="s">
        <v>203</v>
      </c>
      <c r="J7" s="265" t="s">
        <v>203</v>
      </c>
      <c r="K7" s="427" t="s">
        <v>203</v>
      </c>
      <c r="L7" s="426" t="s">
        <v>203</v>
      </c>
      <c r="M7" s="283" t="s">
        <v>203</v>
      </c>
    </row>
    <row r="8" spans="1:16" x14ac:dyDescent="0.3">
      <c r="A8" s="155" t="s">
        <v>204</v>
      </c>
      <c r="B8" s="161" t="s">
        <v>205</v>
      </c>
      <c r="C8" s="284">
        <f>+'Calculo IP ZDF'!B31</f>
        <v>4560.0654479999994</v>
      </c>
      <c r="D8" s="284">
        <f>+'Calculo IP ZDF'!H31</f>
        <v>4901.5002121599991</v>
      </c>
      <c r="E8" s="284">
        <f>+'Calculo IP ZDF'!F31</f>
        <v>4723.1149999999998</v>
      </c>
      <c r="F8" s="284"/>
      <c r="G8" s="284">
        <f>+'Calculo IP ZDF'!I31</f>
        <v>5697.2060000000001</v>
      </c>
      <c r="H8" s="191">
        <f>+'Calculo IP ZDF'!C31</f>
        <v>4479.59</v>
      </c>
      <c r="I8" s="231">
        <f>+'GAS EXTRA'!E6</f>
        <v>5700</v>
      </c>
      <c r="J8" s="231">
        <f>+'GAS EXTRA'!F6</f>
        <v>5958.63</v>
      </c>
      <c r="K8" s="267">
        <f>+'GAS CTE'!E9</f>
        <v>4946.4399999999996</v>
      </c>
      <c r="L8" s="213">
        <f>+BIODIESEL!G9</f>
        <v>5697.2049999999999</v>
      </c>
      <c r="M8" s="235">
        <f>+J8</f>
        <v>5958.63</v>
      </c>
    </row>
    <row r="9" spans="1:16" x14ac:dyDescent="0.3">
      <c r="A9" s="155" t="s">
        <v>206</v>
      </c>
      <c r="B9" s="161" t="s">
        <v>207</v>
      </c>
      <c r="C9" s="211" t="str">
        <f>+E9</f>
        <v>------------------</v>
      </c>
      <c r="D9" s="211" t="s">
        <v>208</v>
      </c>
      <c r="E9" s="211" t="s">
        <v>208</v>
      </c>
      <c r="F9" s="211"/>
      <c r="G9" s="211" t="s">
        <v>208</v>
      </c>
      <c r="H9" s="186" t="s">
        <v>208</v>
      </c>
      <c r="I9" s="186" t="s">
        <v>208</v>
      </c>
      <c r="J9" s="268" t="s">
        <v>208</v>
      </c>
      <c r="K9" s="269">
        <f>+'GAS CTE'!E10</f>
        <v>510.64599999999996</v>
      </c>
      <c r="L9" s="210">
        <f>+BIODIESEL!G10</f>
        <v>478.14</v>
      </c>
      <c r="M9" s="232">
        <f>+'GAS EXTRA'!D10</f>
        <v>933.1</v>
      </c>
    </row>
    <row r="10" spans="1:16" x14ac:dyDescent="0.3">
      <c r="A10" s="155"/>
      <c r="B10" s="161" t="s">
        <v>135</v>
      </c>
      <c r="C10" s="211" t="str">
        <f>+E10</f>
        <v>------------------</v>
      </c>
      <c r="D10" s="211" t="s">
        <v>208</v>
      </c>
      <c r="E10" s="211" t="s">
        <v>208</v>
      </c>
      <c r="F10" s="211"/>
      <c r="G10" s="211" t="s">
        <v>208</v>
      </c>
      <c r="H10" s="186" t="s">
        <v>208</v>
      </c>
      <c r="I10" s="186" t="s">
        <v>208</v>
      </c>
      <c r="J10" s="268" t="s">
        <v>208</v>
      </c>
      <c r="K10" s="269" t="s">
        <v>136</v>
      </c>
      <c r="L10" s="210" t="s">
        <v>136</v>
      </c>
      <c r="M10" s="232" t="str">
        <f>'[7]CORRIENTE OXIGENADA'!D12</f>
        <v>(3)</v>
      </c>
    </row>
    <row r="11" spans="1:16" x14ac:dyDescent="0.3">
      <c r="A11" s="155"/>
      <c r="B11" s="161" t="s">
        <v>137</v>
      </c>
      <c r="C11" s="270">
        <f>+'GAS CTE'!C12</f>
        <v>159</v>
      </c>
      <c r="D11" s="270">
        <f>+'GAS CTE'!E12</f>
        <v>146.28</v>
      </c>
      <c r="E11" s="270">
        <f>+BIODIESEL!E12</f>
        <v>175.42</v>
      </c>
      <c r="F11" s="270"/>
      <c r="G11" s="270">
        <f>+BIODIESEL!G12</f>
        <v>161.1</v>
      </c>
      <c r="H11" s="191">
        <f>+BIODIESEL!C12</f>
        <v>179</v>
      </c>
      <c r="I11" s="231">
        <f>+'GAS EXTRA'!C12</f>
        <v>155</v>
      </c>
      <c r="J11" s="231">
        <f>+'GAS EXTRA'!D12</f>
        <v>139.5</v>
      </c>
      <c r="K11" s="269">
        <f>+'GAS CTE'!E12</f>
        <v>146.28</v>
      </c>
      <c r="L11" s="210">
        <f>+G11</f>
        <v>161.1</v>
      </c>
      <c r="M11" s="232">
        <f>+J11</f>
        <v>139.5</v>
      </c>
      <c r="O11" s="474" t="s">
        <v>457</v>
      </c>
    </row>
    <row r="12" spans="1:16" x14ac:dyDescent="0.3">
      <c r="A12" s="155" t="s">
        <v>209</v>
      </c>
      <c r="B12" s="161" t="s">
        <v>291</v>
      </c>
      <c r="C12" s="287" t="s">
        <v>237</v>
      </c>
      <c r="D12" s="211" t="str">
        <f>+C12</f>
        <v>(2)</v>
      </c>
      <c r="E12" s="211" t="str">
        <f>+C12</f>
        <v>(2)</v>
      </c>
      <c r="F12" s="211"/>
      <c r="G12" s="211" t="str">
        <f>+C12</f>
        <v>(2)</v>
      </c>
      <c r="H12" s="185" t="str">
        <f>+C12</f>
        <v>(2)</v>
      </c>
      <c r="I12" s="185" t="str">
        <f>+H12</f>
        <v>(2)</v>
      </c>
      <c r="J12" s="243" t="str">
        <f>+G12</f>
        <v>(2)</v>
      </c>
      <c r="K12" s="269" t="str">
        <f>+M12</f>
        <v>(2)</v>
      </c>
      <c r="L12" s="210" t="str">
        <f>+D12</f>
        <v>(2)</v>
      </c>
      <c r="M12" s="232" t="str">
        <f>+E12</f>
        <v>(2)</v>
      </c>
    </row>
    <row r="13" spans="1:16" x14ac:dyDescent="0.3">
      <c r="A13" s="155" t="s">
        <v>211</v>
      </c>
      <c r="B13" s="161" t="s">
        <v>212</v>
      </c>
      <c r="C13" s="270">
        <f>+RUBROS!Z13</f>
        <v>22.249601678692599</v>
      </c>
      <c r="D13" s="185">
        <f>+C13</f>
        <v>22.249601678692599</v>
      </c>
      <c r="E13" s="185">
        <f>+C13</f>
        <v>22.249601678692599</v>
      </c>
      <c r="F13" s="185"/>
      <c r="G13" s="185">
        <f>+C13</f>
        <v>22.249601678692599</v>
      </c>
      <c r="H13" s="185">
        <f>+C13</f>
        <v>22.249601678692599</v>
      </c>
      <c r="I13" s="243">
        <f>+C13</f>
        <v>22.249601678692599</v>
      </c>
      <c r="J13" s="243">
        <f>+C13</f>
        <v>22.249601678692599</v>
      </c>
      <c r="K13" s="267">
        <f>+J13</f>
        <v>22.249601678692599</v>
      </c>
      <c r="L13" s="185">
        <f>+J13</f>
        <v>22.249601678692599</v>
      </c>
      <c r="M13" s="158">
        <f>+J13</f>
        <v>22.249601678692599</v>
      </c>
      <c r="O13" s="474" t="s">
        <v>457</v>
      </c>
      <c r="P13" s="474" t="s">
        <v>456</v>
      </c>
    </row>
    <row r="14" spans="1:16" x14ac:dyDescent="0.3">
      <c r="A14" s="155" t="s">
        <v>215</v>
      </c>
      <c r="B14" s="161" t="s">
        <v>216</v>
      </c>
      <c r="C14" s="270">
        <f>+RUBROS!AP42</f>
        <v>12.938273064269636</v>
      </c>
      <c r="D14" s="185">
        <f>+C14</f>
        <v>12.938273064269636</v>
      </c>
      <c r="E14" s="185">
        <f>+C14</f>
        <v>12.938273064269636</v>
      </c>
      <c r="F14" s="185"/>
      <c r="G14" s="185">
        <f>+C14</f>
        <v>12.938273064269636</v>
      </c>
      <c r="H14" s="185">
        <f>+C14</f>
        <v>12.938273064269636</v>
      </c>
      <c r="I14" s="243">
        <f>+C14</f>
        <v>12.938273064269636</v>
      </c>
      <c r="J14" s="243">
        <f>+C14</f>
        <v>12.938273064269636</v>
      </c>
      <c r="K14" s="267">
        <f>+C14</f>
        <v>12.938273064269636</v>
      </c>
      <c r="L14" s="185">
        <f>+K14</f>
        <v>12.938273064269636</v>
      </c>
      <c r="M14" s="158">
        <f>+K14</f>
        <v>12.938273064269636</v>
      </c>
      <c r="O14" s="474" t="s">
        <v>456</v>
      </c>
    </row>
    <row r="15" spans="1:16" hidden="1" x14ac:dyDescent="0.3">
      <c r="A15" s="155"/>
      <c r="B15" s="161" t="s">
        <v>217</v>
      </c>
      <c r="C15" s="270"/>
      <c r="D15" s="185"/>
      <c r="E15" s="185"/>
      <c r="F15" s="185"/>
      <c r="G15" s="185"/>
      <c r="H15" s="185"/>
      <c r="I15" s="243"/>
      <c r="J15" s="243"/>
      <c r="K15" s="267"/>
      <c r="L15" s="185"/>
      <c r="M15" s="158">
        <f>+C15</f>
        <v>0</v>
      </c>
      <c r="O15" s="478" t="s">
        <v>458</v>
      </c>
    </row>
    <row r="16" spans="1:16" x14ac:dyDescent="0.3">
      <c r="A16" s="162" t="s">
        <v>218</v>
      </c>
      <c r="B16" s="192" t="s">
        <v>219</v>
      </c>
      <c r="C16" s="271">
        <f>SUM(C8:C15)</f>
        <v>4754.2533227429612</v>
      </c>
      <c r="D16" s="271">
        <f t="shared" ref="D16:M16" si="0">SUM(D8:D15)</f>
        <v>5082.9680869029607</v>
      </c>
      <c r="E16" s="271">
        <f t="shared" si="0"/>
        <v>4933.7228747429617</v>
      </c>
      <c r="F16" s="271"/>
      <c r="G16" s="271">
        <f>SUM(G8:G15)</f>
        <v>5893.4938747429624</v>
      </c>
      <c r="H16" s="271">
        <f t="shared" si="0"/>
        <v>4693.777874742962</v>
      </c>
      <c r="I16" s="271">
        <f t="shared" si="0"/>
        <v>5890.1878747429619</v>
      </c>
      <c r="J16" s="272">
        <f t="shared" si="0"/>
        <v>6133.317874742962</v>
      </c>
      <c r="K16" s="273">
        <f t="shared" si="0"/>
        <v>5638.5538747429609</v>
      </c>
      <c r="L16" s="271">
        <f t="shared" si="0"/>
        <v>6371.6328747429625</v>
      </c>
      <c r="M16" s="274">
        <f t="shared" si="0"/>
        <v>7066.4178747429623</v>
      </c>
    </row>
    <row r="17" spans="1:17" x14ac:dyDescent="0.3">
      <c r="A17" s="155" t="s">
        <v>220</v>
      </c>
      <c r="B17" s="161" t="s">
        <v>285</v>
      </c>
      <c r="C17" s="288" t="s">
        <v>252</v>
      </c>
      <c r="D17" s="185" t="str">
        <f>+C17</f>
        <v>***</v>
      </c>
      <c r="E17" s="185" t="str">
        <f>+C17</f>
        <v>***</v>
      </c>
      <c r="F17" s="185"/>
      <c r="G17" s="185" t="str">
        <f>+E17</f>
        <v>***</v>
      </c>
      <c r="H17" s="185" t="str">
        <f>+E17</f>
        <v>***</v>
      </c>
      <c r="I17" s="243" t="str">
        <f>+H17</f>
        <v>***</v>
      </c>
      <c r="J17" s="243" t="str">
        <f>+I17</f>
        <v>***</v>
      </c>
      <c r="K17" s="267" t="str">
        <f>M17</f>
        <v>***</v>
      </c>
      <c r="L17" s="185" t="str">
        <f>+M17</f>
        <v>***</v>
      </c>
      <c r="M17" s="158" t="str">
        <f>+E17</f>
        <v>***</v>
      </c>
    </row>
    <row r="18" spans="1:17" x14ac:dyDescent="0.3">
      <c r="A18" s="155" t="s">
        <v>222</v>
      </c>
      <c r="B18" s="161" t="s">
        <v>223</v>
      </c>
      <c r="C18" s="287" t="s">
        <v>250</v>
      </c>
      <c r="D18" s="185" t="str">
        <f>+C18</f>
        <v>**</v>
      </c>
      <c r="E18" s="185" t="str">
        <f>+C18</f>
        <v>**</v>
      </c>
      <c r="F18" s="185"/>
      <c r="G18" s="185" t="str">
        <f>+C18</f>
        <v>**</v>
      </c>
      <c r="H18" s="185" t="str">
        <f>+C18</f>
        <v>**</v>
      </c>
      <c r="I18" s="243" t="str">
        <f>+C18</f>
        <v>**</v>
      </c>
      <c r="J18" s="243" t="str">
        <f>+I18</f>
        <v>**</v>
      </c>
      <c r="K18" s="267" t="str">
        <f>+J18</f>
        <v>**</v>
      </c>
      <c r="L18" s="185" t="str">
        <f>+K18</f>
        <v>**</v>
      </c>
      <c r="M18" s="158" t="str">
        <f>+L18</f>
        <v>**</v>
      </c>
    </row>
    <row r="19" spans="1:17" x14ac:dyDescent="0.3">
      <c r="A19" s="155" t="s">
        <v>224</v>
      </c>
      <c r="B19" s="230" t="s">
        <v>142</v>
      </c>
      <c r="C19" s="275" t="str">
        <f>+E19</f>
        <v>****</v>
      </c>
      <c r="D19" s="185" t="str">
        <f t="shared" ref="D19:D21" si="1">+E19</f>
        <v>****</v>
      </c>
      <c r="E19" s="191" t="str">
        <f>+A113</f>
        <v>****</v>
      </c>
      <c r="F19" s="191"/>
      <c r="G19" s="191" t="str">
        <f>+E19</f>
        <v>****</v>
      </c>
      <c r="H19" s="191" t="str">
        <f>+A113</f>
        <v>****</v>
      </c>
      <c r="I19" s="231" t="str">
        <f>+H19</f>
        <v>****</v>
      </c>
      <c r="J19" s="231" t="str">
        <f>+I19</f>
        <v>****</v>
      </c>
      <c r="K19" s="290" t="str">
        <f>C19</f>
        <v>****</v>
      </c>
      <c r="L19" s="185" t="str">
        <f>+M19</f>
        <v>****</v>
      </c>
      <c r="M19" s="160" t="str">
        <f>K19</f>
        <v>****</v>
      </c>
    </row>
    <row r="20" spans="1:17" x14ac:dyDescent="0.3">
      <c r="A20" s="162" t="s">
        <v>226</v>
      </c>
      <c r="B20" s="192" t="s">
        <v>227</v>
      </c>
      <c r="C20" s="276">
        <f t="shared" ref="C20:M20" si="2">+C16</f>
        <v>4754.2533227429612</v>
      </c>
      <c r="D20" s="193">
        <f t="shared" si="2"/>
        <v>5082.9680869029607</v>
      </c>
      <c r="E20" s="193">
        <f t="shared" si="2"/>
        <v>4933.7228747429617</v>
      </c>
      <c r="F20" s="193"/>
      <c r="G20" s="193">
        <f t="shared" si="2"/>
        <v>5893.4938747429624</v>
      </c>
      <c r="H20" s="193">
        <f t="shared" si="2"/>
        <v>4693.777874742962</v>
      </c>
      <c r="I20" s="193">
        <f t="shared" si="2"/>
        <v>5890.1878747429619</v>
      </c>
      <c r="J20" s="244">
        <f t="shared" si="2"/>
        <v>6133.317874742962</v>
      </c>
      <c r="K20" s="273">
        <f t="shared" si="2"/>
        <v>5638.5538747429609</v>
      </c>
      <c r="L20" s="193">
        <f t="shared" si="2"/>
        <v>6371.6328747429625</v>
      </c>
      <c r="M20" s="164">
        <f t="shared" si="2"/>
        <v>7066.4178747429623</v>
      </c>
    </row>
    <row r="21" spans="1:17" x14ac:dyDescent="0.3">
      <c r="A21" s="155" t="s">
        <v>228</v>
      </c>
      <c r="B21" s="161" t="s">
        <v>173</v>
      </c>
      <c r="C21" s="270" t="str">
        <f>+E21</f>
        <v>***</v>
      </c>
      <c r="D21" s="185" t="str">
        <f t="shared" si="1"/>
        <v>***</v>
      </c>
      <c r="E21" s="185" t="str">
        <f t="shared" ref="E21" si="3">+E17</f>
        <v>***</v>
      </c>
      <c r="F21" s="185"/>
      <c r="G21" s="185" t="str">
        <f>+E21</f>
        <v>***</v>
      </c>
      <c r="H21" s="185" t="str">
        <f>+H17</f>
        <v>***</v>
      </c>
      <c r="I21" s="243" t="str">
        <f>+H21</f>
        <v>***</v>
      </c>
      <c r="J21" s="243" t="str">
        <f>+I21</f>
        <v>***</v>
      </c>
      <c r="K21" s="267" t="str">
        <f>M21</f>
        <v>***</v>
      </c>
      <c r="L21" s="185" t="str">
        <f>+M21</f>
        <v>***</v>
      </c>
      <c r="M21" s="158" t="str">
        <f>+M17</f>
        <v>***</v>
      </c>
    </row>
    <row r="22" spans="1:17" x14ac:dyDescent="0.3">
      <c r="A22" s="155" t="s">
        <v>229</v>
      </c>
      <c r="B22" s="156" t="s">
        <v>230</v>
      </c>
      <c r="C22" s="277" t="s">
        <v>256</v>
      </c>
      <c r="D22" s="185" t="str">
        <f>+C22</f>
        <v>*****</v>
      </c>
      <c r="E22" s="185" t="s">
        <v>231</v>
      </c>
      <c r="F22" s="185"/>
      <c r="G22" s="185" t="str">
        <f>+E22</f>
        <v>N.A</v>
      </c>
      <c r="H22" s="185" t="s">
        <v>231</v>
      </c>
      <c r="I22" s="243" t="str">
        <f>+D22</f>
        <v>*****</v>
      </c>
      <c r="J22" s="243" t="str">
        <f>+D22</f>
        <v>*****</v>
      </c>
      <c r="K22" s="267" t="str">
        <f>+J22</f>
        <v>*****</v>
      </c>
      <c r="L22" s="185" t="s">
        <v>274</v>
      </c>
      <c r="M22" s="158" t="str">
        <f>+J22</f>
        <v>*****</v>
      </c>
    </row>
    <row r="23" spans="1:17" ht="24.75" customHeight="1" x14ac:dyDescent="0.3">
      <c r="A23" s="155" t="s">
        <v>232</v>
      </c>
      <c r="B23" s="156" t="s">
        <v>233</v>
      </c>
      <c r="C23" s="277" t="s">
        <v>257</v>
      </c>
      <c r="D23" s="185" t="str">
        <f>+C23</f>
        <v>******</v>
      </c>
      <c r="E23" s="185" t="str">
        <f>+C23</f>
        <v>******</v>
      </c>
      <c r="F23" s="185"/>
      <c r="G23" s="185" t="str">
        <f>+C23</f>
        <v>******</v>
      </c>
      <c r="H23" s="185" t="str">
        <f>+C23</f>
        <v>******</v>
      </c>
      <c r="I23" s="243" t="str">
        <f>+C23</f>
        <v>******</v>
      </c>
      <c r="J23" s="243" t="str">
        <f>+C23</f>
        <v>******</v>
      </c>
      <c r="K23" s="267" t="str">
        <f>+C23</f>
        <v>******</v>
      </c>
      <c r="L23" s="185" t="str">
        <f>+C23</f>
        <v>******</v>
      </c>
      <c r="M23" s="158" t="str">
        <f>+C23</f>
        <v>******</v>
      </c>
    </row>
    <row r="24" spans="1:17" ht="15.75" thickBot="1" x14ac:dyDescent="0.35">
      <c r="A24" s="166" t="s">
        <v>234</v>
      </c>
      <c r="B24" s="167" t="s">
        <v>235</v>
      </c>
      <c r="C24" s="278"/>
      <c r="D24" s="195"/>
      <c r="E24" s="195"/>
      <c r="F24" s="195"/>
      <c r="G24" s="195"/>
      <c r="H24" s="195"/>
      <c r="I24" s="245"/>
      <c r="J24" s="245"/>
      <c r="K24" s="429"/>
      <c r="L24" s="430"/>
      <c r="M24" s="431"/>
    </row>
    <row r="25" spans="1:17" ht="15.75" thickTop="1" x14ac:dyDescent="0.3">
      <c r="A25" s="171"/>
      <c r="B25" s="172"/>
      <c r="C25" s="172"/>
      <c r="D25" s="173"/>
      <c r="E25" s="173"/>
      <c r="F25" s="173"/>
      <c r="G25" s="173"/>
      <c r="H25" s="173"/>
      <c r="I25" s="173"/>
      <c r="J25" s="173"/>
      <c r="K25" s="173"/>
      <c r="L25" s="173"/>
      <c r="M25" s="173"/>
    </row>
    <row r="26" spans="1:17" ht="15.75" thickBot="1" x14ac:dyDescent="0.35">
      <c r="A26" s="171"/>
      <c r="B26" s="172"/>
      <c r="C26" s="172"/>
      <c r="D26" s="173"/>
      <c r="E26" s="173"/>
      <c r="F26" s="173"/>
      <c r="G26" s="173"/>
      <c r="H26" s="173"/>
      <c r="I26" s="173"/>
      <c r="J26" s="173"/>
      <c r="K26" s="173"/>
      <c r="L26" s="173"/>
      <c r="M26" s="173"/>
    </row>
    <row r="27" spans="1:17" ht="26.2" customHeight="1" thickTop="1" x14ac:dyDescent="0.3">
      <c r="A27" s="207"/>
      <c r="B27" s="180" t="s">
        <v>290</v>
      </c>
      <c r="C27" s="697" t="s">
        <v>200</v>
      </c>
      <c r="D27" s="698"/>
      <c r="E27" s="698"/>
      <c r="F27" s="698"/>
      <c r="G27" s="726"/>
      <c r="H27" s="724" t="s">
        <v>270</v>
      </c>
      <c r="I27" s="518"/>
      <c r="J27" s="518"/>
      <c r="M27" s="521"/>
      <c r="N27" s="518"/>
      <c r="Q27" s="520"/>
    </row>
    <row r="28" spans="1:17" ht="46.5" customHeight="1" x14ac:dyDescent="0.3">
      <c r="A28" s="181"/>
      <c r="B28" s="292" t="s">
        <v>295</v>
      </c>
      <c r="C28" s="699"/>
      <c r="D28" s="700"/>
      <c r="E28" s="700"/>
      <c r="F28" s="700"/>
      <c r="G28" s="727"/>
      <c r="H28" s="725"/>
      <c r="I28" s="519"/>
      <c r="J28" s="519"/>
      <c r="M28" s="523"/>
      <c r="N28" s="519"/>
      <c r="Q28" s="522"/>
    </row>
    <row r="29" spans="1:17" ht="38.299999999999997" customHeight="1" x14ac:dyDescent="0.3">
      <c r="A29" s="691" t="s">
        <v>201</v>
      </c>
      <c r="B29" s="693" t="s">
        <v>202</v>
      </c>
      <c r="C29" s="695" t="s">
        <v>261</v>
      </c>
      <c r="D29" s="183" t="s">
        <v>97</v>
      </c>
      <c r="F29" s="183" t="s">
        <v>191</v>
      </c>
      <c r="G29" s="721" t="s">
        <v>430</v>
      </c>
      <c r="H29" s="153" t="s">
        <v>97</v>
      </c>
      <c r="I29" s="695" t="s">
        <v>182</v>
      </c>
      <c r="J29" s="265" t="s">
        <v>125</v>
      </c>
      <c r="M29" s="203" t="s">
        <v>125</v>
      </c>
      <c r="N29" s="183" t="str">
        <f>+G5</f>
        <v>Biodiesel B10</v>
      </c>
      <c r="Q29" s="203" t="str">
        <f>+L5</f>
        <v>Biodiesel B10</v>
      </c>
    </row>
    <row r="30" spans="1:17" x14ac:dyDescent="0.3">
      <c r="A30" s="691"/>
      <c r="B30" s="693"/>
      <c r="C30" s="696"/>
      <c r="D30" s="612">
        <v>0.08</v>
      </c>
      <c r="F30" s="201">
        <v>0.02</v>
      </c>
      <c r="G30" s="722"/>
      <c r="H30" s="612">
        <v>0.08</v>
      </c>
      <c r="I30" s="696"/>
      <c r="J30" s="266" t="s">
        <v>284</v>
      </c>
      <c r="M30" s="294" t="s">
        <v>284</v>
      </c>
      <c r="N30" s="419">
        <f>+G6</f>
        <v>0.1</v>
      </c>
      <c r="Q30" s="420">
        <f>+L6</f>
        <v>0.1</v>
      </c>
    </row>
    <row r="31" spans="1:17" x14ac:dyDescent="0.3">
      <c r="A31" s="692"/>
      <c r="B31" s="694"/>
      <c r="C31" s="153" t="s">
        <v>203</v>
      </c>
      <c r="D31" s="183" t="s">
        <v>203</v>
      </c>
      <c r="F31" s="183" t="s">
        <v>203</v>
      </c>
      <c r="G31" s="512" t="s">
        <v>203</v>
      </c>
      <c r="H31" s="153" t="s">
        <v>203</v>
      </c>
      <c r="I31" s="606" t="s">
        <v>203</v>
      </c>
      <c r="J31" s="265" t="s">
        <v>203</v>
      </c>
      <c r="M31" s="283" t="s">
        <v>203</v>
      </c>
      <c r="N31" s="183" t="s">
        <v>203</v>
      </c>
      <c r="Q31" s="203" t="s">
        <v>203</v>
      </c>
    </row>
    <row r="32" spans="1:17" x14ac:dyDescent="0.3">
      <c r="A32" s="155" t="s">
        <v>204</v>
      </c>
      <c r="B32" s="161" t="s">
        <v>205</v>
      </c>
      <c r="C32" s="284">
        <f>+'Calculo IP ZDF'!B32</f>
        <v>4571.1268559999999</v>
      </c>
      <c r="D32" s="284">
        <f>+'Calculo IP ZDF'!B32</f>
        <v>4571.1268559999999</v>
      </c>
      <c r="F32" s="284">
        <f>+'Calculo IP ZDF'!F32</f>
        <v>4385.5249999999996</v>
      </c>
      <c r="G32" s="191">
        <f>+'Calculo IP ZDF'!C32</f>
        <v>4135.1095290000003</v>
      </c>
      <c r="H32" s="267">
        <f>+'GAS CTE'!C6</f>
        <v>4608.92</v>
      </c>
      <c r="I32" s="231">
        <f>+'GAS EXTRA'!C6</f>
        <v>5700</v>
      </c>
      <c r="J32" s="231">
        <f>+'GAS EXTRA'!D6</f>
        <v>5958.63</v>
      </c>
      <c r="M32" s="235">
        <f>+J32</f>
        <v>5958.63</v>
      </c>
      <c r="N32" s="285">
        <f>+'Calculo IP ZDF'!I32</f>
        <v>5387.1735761</v>
      </c>
      <c r="Q32" s="213">
        <f>+BIODIESEL!G9</f>
        <v>5697.2049999999999</v>
      </c>
    </row>
    <row r="33" spans="1:18" x14ac:dyDescent="0.3">
      <c r="A33" s="155" t="s">
        <v>206</v>
      </c>
      <c r="B33" s="161" t="s">
        <v>207</v>
      </c>
      <c r="C33" s="211" t="str">
        <f>+F33</f>
        <v>------------------</v>
      </c>
      <c r="D33" s="211" t="s">
        <v>208</v>
      </c>
      <c r="F33" s="211" t="s">
        <v>208</v>
      </c>
      <c r="G33" s="186" t="s">
        <v>208</v>
      </c>
      <c r="H33" s="269">
        <f>+'GAS CTE'!C10</f>
        <v>555.04999999999995</v>
      </c>
      <c r="I33" s="186" t="s">
        <v>208</v>
      </c>
      <c r="J33" s="268" t="s">
        <v>208</v>
      </c>
      <c r="M33" s="232">
        <f>+'GAS EXTRA'!D10</f>
        <v>933.1</v>
      </c>
      <c r="N33" s="211" t="s">
        <v>208</v>
      </c>
      <c r="Q33" s="210">
        <f>+BIODIESEL!G10</f>
        <v>478.14</v>
      </c>
    </row>
    <row r="34" spans="1:18" x14ac:dyDescent="0.3">
      <c r="A34" s="155"/>
      <c r="B34" s="161" t="s">
        <v>135</v>
      </c>
      <c r="C34" s="211" t="str">
        <f>+F34</f>
        <v>------------------</v>
      </c>
      <c r="D34" s="211" t="s">
        <v>208</v>
      </c>
      <c r="F34" s="211" t="s">
        <v>208</v>
      </c>
      <c r="G34" s="186" t="s">
        <v>208</v>
      </c>
      <c r="H34" s="269" t="str">
        <f>+K10</f>
        <v>(3)</v>
      </c>
      <c r="I34" s="186" t="s">
        <v>208</v>
      </c>
      <c r="J34" s="268" t="s">
        <v>208</v>
      </c>
      <c r="M34" s="232" t="str">
        <f>+H34</f>
        <v>(3)</v>
      </c>
      <c r="N34" s="211" t="s">
        <v>208</v>
      </c>
      <c r="Q34" s="210" t="str">
        <f>+H34</f>
        <v>(3)</v>
      </c>
    </row>
    <row r="35" spans="1:18" x14ac:dyDescent="0.3">
      <c r="A35" s="155"/>
      <c r="B35" s="161" t="s">
        <v>137</v>
      </c>
      <c r="C35" s="270">
        <f>'GAS CTE'!C12</f>
        <v>159</v>
      </c>
      <c r="D35" s="270">
        <f>+'GAS CTE'!C12</f>
        <v>159</v>
      </c>
      <c r="F35" s="270">
        <f>+BIODIESEL!E12</f>
        <v>175.42</v>
      </c>
      <c r="G35" s="191">
        <f>+BIODIESEL!C12</f>
        <v>179</v>
      </c>
      <c r="H35" s="269">
        <f>+D35</f>
        <v>159</v>
      </c>
      <c r="I35" s="231">
        <f>+'GAS EXTRA'!C12</f>
        <v>155</v>
      </c>
      <c r="J35" s="231">
        <f>+'GAS EXTRA'!D12</f>
        <v>139.5</v>
      </c>
      <c r="M35" s="232">
        <f>+J35</f>
        <v>139.5</v>
      </c>
      <c r="N35" s="270">
        <f>+BIODIESEL!G12</f>
        <v>161.1</v>
      </c>
      <c r="Q35" s="210">
        <f>+N35</f>
        <v>161.1</v>
      </c>
    </row>
    <row r="36" spans="1:18" x14ac:dyDescent="0.3">
      <c r="A36" s="155" t="s">
        <v>209</v>
      </c>
      <c r="B36" s="161" t="s">
        <v>291</v>
      </c>
      <c r="C36" s="211" t="str">
        <f>+C12</f>
        <v>(2)</v>
      </c>
      <c r="D36" s="211" t="str">
        <f>+C36</f>
        <v>(2)</v>
      </c>
      <c r="F36" s="211" t="str">
        <f>+C36</f>
        <v>(2)</v>
      </c>
      <c r="G36" s="185" t="str">
        <f>+C36</f>
        <v>(2)</v>
      </c>
      <c r="H36" s="269" t="str">
        <f>+M36</f>
        <v>(2)</v>
      </c>
      <c r="I36" s="185" t="str">
        <f>+G36</f>
        <v>(2)</v>
      </c>
      <c r="J36" s="243" t="str">
        <f>+N36</f>
        <v>(2)</v>
      </c>
      <c r="M36" s="232" t="str">
        <f>+F36</f>
        <v>(2)</v>
      </c>
      <c r="N36" s="211" t="str">
        <f>+C36</f>
        <v>(2)</v>
      </c>
      <c r="Q36" s="210" t="str">
        <f>+D36</f>
        <v>(2)</v>
      </c>
    </row>
    <row r="37" spans="1:18" x14ac:dyDescent="0.3">
      <c r="A37" s="155" t="s">
        <v>213</v>
      </c>
      <c r="B37" s="161" t="s">
        <v>214</v>
      </c>
      <c r="C37" s="211">
        <f>+RUBROS!Z50</f>
        <v>106.59272562900938</v>
      </c>
      <c r="D37" s="211">
        <f>+C37</f>
        <v>106.59272562900938</v>
      </c>
      <c r="F37" s="211">
        <f>+C37</f>
        <v>106.59272562900938</v>
      </c>
      <c r="G37" s="185">
        <f>+C37</f>
        <v>106.59272562900938</v>
      </c>
      <c r="H37" s="269">
        <f>+J37</f>
        <v>106.59272562900938</v>
      </c>
      <c r="I37" s="243">
        <f>+C37</f>
        <v>106.59272562900938</v>
      </c>
      <c r="J37" s="243">
        <f>+C37</f>
        <v>106.59272562900938</v>
      </c>
      <c r="M37" s="232">
        <f>+Q37</f>
        <v>106.59272562900938</v>
      </c>
      <c r="N37" s="211">
        <f>+C37</f>
        <v>106.59272562900938</v>
      </c>
      <c r="O37" s="453" t="s">
        <v>459</v>
      </c>
      <c r="P37" s="474" t="s">
        <v>456</v>
      </c>
      <c r="Q37" s="210">
        <f>+H37</f>
        <v>106.59272562900938</v>
      </c>
    </row>
    <row r="38" spans="1:18" x14ac:dyDescent="0.3">
      <c r="A38" s="155" t="s">
        <v>211</v>
      </c>
      <c r="B38" s="161" t="s">
        <v>212</v>
      </c>
      <c r="C38" s="270">
        <f>+RUBROS!Z21</f>
        <v>22.249601678692599</v>
      </c>
      <c r="D38" s="185">
        <f>+C38</f>
        <v>22.249601678692599</v>
      </c>
      <c r="F38" s="185">
        <f>+C38</f>
        <v>22.249601678692599</v>
      </c>
      <c r="G38" s="185">
        <f>+C38</f>
        <v>22.249601678692599</v>
      </c>
      <c r="H38" s="267">
        <f>+J38</f>
        <v>22.249601678692599</v>
      </c>
      <c r="I38" s="243">
        <f>+C38</f>
        <v>22.249601678692599</v>
      </c>
      <c r="J38" s="243">
        <f>+C38</f>
        <v>22.249601678692599</v>
      </c>
      <c r="M38" s="158">
        <f>+J38</f>
        <v>22.249601678692599</v>
      </c>
      <c r="N38" s="185">
        <f>+C38</f>
        <v>22.249601678692599</v>
      </c>
      <c r="O38" s="453" t="s">
        <v>459</v>
      </c>
      <c r="P38" s="474" t="s">
        <v>456</v>
      </c>
      <c r="Q38" s="185">
        <f>+J38</f>
        <v>22.249601678692599</v>
      </c>
    </row>
    <row r="39" spans="1:18" x14ac:dyDescent="0.3">
      <c r="A39" s="155" t="s">
        <v>215</v>
      </c>
      <c r="B39" s="161" t="s">
        <v>216</v>
      </c>
      <c r="C39" s="270">
        <f>+C14</f>
        <v>12.938273064269636</v>
      </c>
      <c r="D39" s="185">
        <f>+C39</f>
        <v>12.938273064269636</v>
      </c>
      <c r="F39" s="185">
        <f>+C39</f>
        <v>12.938273064269636</v>
      </c>
      <c r="G39" s="185">
        <f>+C39</f>
        <v>12.938273064269636</v>
      </c>
      <c r="H39" s="267">
        <f>+C39</f>
        <v>12.938273064269636</v>
      </c>
      <c r="I39" s="243">
        <f>+C39</f>
        <v>12.938273064269636</v>
      </c>
      <c r="J39" s="243">
        <f>+C39</f>
        <v>12.938273064269636</v>
      </c>
      <c r="M39" s="158">
        <f>+H39</f>
        <v>12.938273064269636</v>
      </c>
      <c r="N39" s="185">
        <f>+C39</f>
        <v>12.938273064269636</v>
      </c>
      <c r="O39" s="474" t="s">
        <v>456</v>
      </c>
      <c r="Q39" s="185">
        <f>+H39</f>
        <v>12.938273064269636</v>
      </c>
    </row>
    <row r="40" spans="1:18" ht="15.05" hidden="1" customHeight="1" x14ac:dyDescent="0.3">
      <c r="A40" s="155"/>
      <c r="B40" s="161" t="s">
        <v>217</v>
      </c>
      <c r="C40" s="270"/>
      <c r="D40" s="185"/>
      <c r="F40" s="185"/>
      <c r="G40" s="185"/>
      <c r="H40" s="267"/>
      <c r="I40" s="243"/>
      <c r="J40" s="243"/>
      <c r="M40" s="158">
        <f>+C40</f>
        <v>0</v>
      </c>
      <c r="N40" s="185"/>
      <c r="O40" t="s">
        <v>458</v>
      </c>
      <c r="Q40" s="185"/>
    </row>
    <row r="41" spans="1:18" x14ac:dyDescent="0.3">
      <c r="A41" s="162" t="s">
        <v>218</v>
      </c>
      <c r="B41" s="192" t="s">
        <v>219</v>
      </c>
      <c r="C41" s="271">
        <f t="shared" ref="C41:M41" si="4">SUM(C32:C40)</f>
        <v>4871.9074563719714</v>
      </c>
      <c r="D41" s="271">
        <f t="shared" si="4"/>
        <v>4871.9074563719714</v>
      </c>
      <c r="F41" s="271">
        <f>SUM(F32:F40)</f>
        <v>4702.7256003719713</v>
      </c>
      <c r="G41" s="271">
        <f>SUM(G32:G40)</f>
        <v>4455.8901293719719</v>
      </c>
      <c r="H41" s="273">
        <f>SUM(H32:H40)</f>
        <v>5464.7506003719718</v>
      </c>
      <c r="I41" s="271">
        <f>SUM(I32:I40)</f>
        <v>5996.7806003719716</v>
      </c>
      <c r="J41" s="272">
        <f>SUM(J32:J40)</f>
        <v>6239.9106003719717</v>
      </c>
      <c r="M41" s="274">
        <f t="shared" si="4"/>
        <v>7173.010600371972</v>
      </c>
      <c r="N41" s="271">
        <f>SUM(N32:N40)</f>
        <v>5690.0541764719719</v>
      </c>
      <c r="Q41" s="271">
        <f>SUM(Q32:Q40)</f>
        <v>6478.2256003719722</v>
      </c>
      <c r="R41" s="19"/>
    </row>
    <row r="42" spans="1:18" x14ac:dyDescent="0.3">
      <c r="A42" s="155" t="s">
        <v>220</v>
      </c>
      <c r="B42" s="161" t="s">
        <v>285</v>
      </c>
      <c r="C42" s="287" t="s">
        <v>252</v>
      </c>
      <c r="D42" s="185" t="str">
        <f>+C42</f>
        <v>***</v>
      </c>
      <c r="F42" s="185" t="str">
        <f>+C42</f>
        <v>***</v>
      </c>
      <c r="G42" s="185" t="str">
        <f>+F42</f>
        <v>***</v>
      </c>
      <c r="H42" s="267" t="str">
        <f>M42</f>
        <v>***</v>
      </c>
      <c r="I42" s="243" t="str">
        <f>+G42</f>
        <v>***</v>
      </c>
      <c r="J42" s="243" t="str">
        <f>+I42</f>
        <v>***</v>
      </c>
      <c r="M42" s="158" t="str">
        <f>+F42</f>
        <v>***</v>
      </c>
      <c r="N42" s="185" t="str">
        <f>+F42</f>
        <v>***</v>
      </c>
      <c r="Q42" s="185" t="str">
        <f>+M42</f>
        <v>***</v>
      </c>
    </row>
    <row r="43" spans="1:18" x14ac:dyDescent="0.3">
      <c r="A43" s="155" t="s">
        <v>222</v>
      </c>
      <c r="B43" s="161" t="s">
        <v>223</v>
      </c>
      <c r="C43" s="287" t="s">
        <v>250</v>
      </c>
      <c r="D43" s="185" t="str">
        <f>+C43</f>
        <v>**</v>
      </c>
      <c r="F43" s="185" t="str">
        <f>+C43</f>
        <v>**</v>
      </c>
      <c r="G43" s="185" t="str">
        <f>+C43</f>
        <v>**</v>
      </c>
      <c r="H43" s="267" t="str">
        <f>+J43</f>
        <v>**</v>
      </c>
      <c r="I43" s="243" t="str">
        <f>+C43</f>
        <v>**</v>
      </c>
      <c r="J43" s="243" t="str">
        <f>+I43</f>
        <v>**</v>
      </c>
      <c r="M43" s="158" t="str">
        <f>+Q43</f>
        <v>**</v>
      </c>
      <c r="N43" s="185" t="str">
        <f>+C43</f>
        <v>**</v>
      </c>
      <c r="Q43" s="185" t="str">
        <f>+H43</f>
        <v>**</v>
      </c>
    </row>
    <row r="44" spans="1:18" x14ac:dyDescent="0.3">
      <c r="A44" s="155" t="s">
        <v>224</v>
      </c>
      <c r="B44" s="230" t="s">
        <v>142</v>
      </c>
      <c r="C44" s="291" t="str">
        <f>+C19</f>
        <v>****</v>
      </c>
      <c r="D44" s="185" t="str">
        <f>+C44</f>
        <v>****</v>
      </c>
      <c r="F44" s="191" t="str">
        <f>+C44</f>
        <v>****</v>
      </c>
      <c r="G44" s="191" t="str">
        <f>+C44</f>
        <v>****</v>
      </c>
      <c r="H44" s="290" t="str">
        <f>C44</f>
        <v>****</v>
      </c>
      <c r="I44" s="231" t="str">
        <f>+G44</f>
        <v>****</v>
      </c>
      <c r="J44" s="243" t="str">
        <f>+C44</f>
        <v>****</v>
      </c>
      <c r="M44" s="160" t="str">
        <f>H44</f>
        <v>****</v>
      </c>
      <c r="N44" s="191" t="str">
        <f>+F44</f>
        <v>****</v>
      </c>
      <c r="Q44" s="185" t="str">
        <f>+M44</f>
        <v>****</v>
      </c>
    </row>
    <row r="45" spans="1:18" x14ac:dyDescent="0.3">
      <c r="A45" s="162" t="s">
        <v>226</v>
      </c>
      <c r="B45" s="192" t="s">
        <v>227</v>
      </c>
      <c r="C45" s="276">
        <f t="shared" ref="C45:M45" si="5">+C41</f>
        <v>4871.9074563719714</v>
      </c>
      <c r="D45" s="193">
        <f t="shared" si="5"/>
        <v>4871.9074563719714</v>
      </c>
      <c r="F45" s="193">
        <f>+F41</f>
        <v>4702.7256003719713</v>
      </c>
      <c r="G45" s="193">
        <f>+G41</f>
        <v>4455.8901293719719</v>
      </c>
      <c r="H45" s="273">
        <f>+H41</f>
        <v>5464.7506003719718</v>
      </c>
      <c r="I45" s="193">
        <f>+I41</f>
        <v>5996.7806003719716</v>
      </c>
      <c r="J45" s="244">
        <f>+J41</f>
        <v>6239.9106003719717</v>
      </c>
      <c r="M45" s="164">
        <f t="shared" si="5"/>
        <v>7173.010600371972</v>
      </c>
      <c r="N45" s="193">
        <f>+N41</f>
        <v>5690.0541764719719</v>
      </c>
      <c r="Q45" s="193">
        <f>+Q41</f>
        <v>6478.2256003719722</v>
      </c>
    </row>
    <row r="46" spans="1:18" x14ac:dyDescent="0.3">
      <c r="A46" s="155" t="s">
        <v>228</v>
      </c>
      <c r="B46" s="161" t="s">
        <v>173</v>
      </c>
      <c r="C46" s="289" t="str">
        <f>+C42</f>
        <v>***</v>
      </c>
      <c r="D46" s="185" t="str">
        <f>+F46</f>
        <v>***</v>
      </c>
      <c r="F46" s="185" t="str">
        <f>+F42</f>
        <v>***</v>
      </c>
      <c r="G46" s="185" t="str">
        <f>+G42</f>
        <v>***</v>
      </c>
      <c r="H46" s="267" t="str">
        <f>M46</f>
        <v>***</v>
      </c>
      <c r="I46" s="243" t="str">
        <f>+G46</f>
        <v>***</v>
      </c>
      <c r="J46" s="243" t="str">
        <f>+C46</f>
        <v>***</v>
      </c>
      <c r="M46" s="158" t="str">
        <f>+M42</f>
        <v>***</v>
      </c>
      <c r="N46" s="185" t="str">
        <f>+F46</f>
        <v>***</v>
      </c>
      <c r="Q46" s="185" t="str">
        <f>+M46</f>
        <v>***</v>
      </c>
    </row>
    <row r="47" spans="1:18" x14ac:dyDescent="0.3">
      <c r="A47" s="155" t="s">
        <v>229</v>
      </c>
      <c r="B47" s="156" t="s">
        <v>230</v>
      </c>
      <c r="C47" s="213" t="str">
        <f>+C22</f>
        <v>*****</v>
      </c>
      <c r="D47" s="213" t="str">
        <f t="shared" ref="D47:M47" si="6">+D22</f>
        <v>*****</v>
      </c>
      <c r="F47" s="213" t="str">
        <f>+E22</f>
        <v>N.A</v>
      </c>
      <c r="G47" s="213" t="str">
        <f>+H22</f>
        <v>N.A</v>
      </c>
      <c r="H47" s="267" t="str">
        <f>+K22</f>
        <v>*****</v>
      </c>
      <c r="I47" s="213" t="str">
        <f>+I22</f>
        <v>*****</v>
      </c>
      <c r="J47" s="213" t="str">
        <f>+J22</f>
        <v>*****</v>
      </c>
      <c r="M47" s="235" t="str">
        <f t="shared" si="6"/>
        <v>*****</v>
      </c>
      <c r="N47" s="213" t="str">
        <f>+G22</f>
        <v>N.A</v>
      </c>
      <c r="Q47" s="213" t="str">
        <f>+L22</f>
        <v>N.A.</v>
      </c>
    </row>
    <row r="48" spans="1:18" x14ac:dyDescent="0.3">
      <c r="A48" s="155" t="s">
        <v>232</v>
      </c>
      <c r="B48" s="156" t="s">
        <v>233</v>
      </c>
      <c r="C48" s="213" t="str">
        <f>+C23</f>
        <v>******</v>
      </c>
      <c r="D48" s="213" t="str">
        <f t="shared" ref="D48:M48" si="7">+D23</f>
        <v>******</v>
      </c>
      <c r="F48" s="213" t="str">
        <f>+E23</f>
        <v>******</v>
      </c>
      <c r="G48" s="213" t="str">
        <f>+H23</f>
        <v>******</v>
      </c>
      <c r="H48" s="267" t="str">
        <f>+K23</f>
        <v>******</v>
      </c>
      <c r="I48" s="213" t="str">
        <f>+I23</f>
        <v>******</v>
      </c>
      <c r="J48" s="213" t="str">
        <f>+J23</f>
        <v>******</v>
      </c>
      <c r="M48" s="235" t="str">
        <f t="shared" si="7"/>
        <v>******</v>
      </c>
      <c r="N48" s="213" t="str">
        <f>+G23</f>
        <v>******</v>
      </c>
      <c r="Q48" s="213" t="str">
        <f>+L23</f>
        <v>******</v>
      </c>
    </row>
    <row r="49" spans="1:17" ht="15.75" thickBot="1" x14ac:dyDescent="0.35">
      <c r="A49" s="166" t="s">
        <v>234</v>
      </c>
      <c r="B49" s="167" t="s">
        <v>235</v>
      </c>
      <c r="C49" s="278"/>
      <c r="D49" s="195"/>
      <c r="F49" s="195"/>
      <c r="G49" s="195"/>
      <c r="H49" s="279"/>
      <c r="I49" s="245"/>
      <c r="J49" s="245"/>
      <c r="M49" s="169"/>
      <c r="N49" s="195"/>
      <c r="Q49" s="195"/>
    </row>
    <row r="50" spans="1:17" ht="15.75" thickTop="1" x14ac:dyDescent="0.3">
      <c r="A50" s="171"/>
      <c r="B50" s="172"/>
      <c r="C50" s="172"/>
      <c r="D50" s="173"/>
      <c r="E50" s="173"/>
      <c r="F50" s="173"/>
      <c r="G50" s="173"/>
      <c r="H50" s="173"/>
      <c r="I50" s="173"/>
      <c r="J50" s="173"/>
      <c r="K50" s="173"/>
      <c r="L50" s="173"/>
      <c r="M50" s="173"/>
    </row>
    <row r="51" spans="1:17" ht="15.75" hidden="1" thickTop="1" x14ac:dyDescent="0.3">
      <c r="A51" s="207"/>
      <c r="B51" s="180" t="s">
        <v>501</v>
      </c>
      <c r="C51" s="697" t="s">
        <v>200</v>
      </c>
      <c r="D51" s="698"/>
      <c r="E51" s="698"/>
      <c r="F51" s="698"/>
      <c r="G51" s="698"/>
      <c r="H51" s="698"/>
      <c r="I51" s="698"/>
      <c r="J51" s="698"/>
      <c r="K51" s="724" t="s">
        <v>270</v>
      </c>
      <c r="L51" s="728"/>
      <c r="M51" s="729"/>
    </row>
    <row r="52" spans="1:17" ht="63.5" hidden="1" customHeight="1" x14ac:dyDescent="0.3">
      <c r="A52" s="181"/>
      <c r="B52" s="292" t="s">
        <v>294</v>
      </c>
      <c r="C52" s="699"/>
      <c r="D52" s="700"/>
      <c r="E52" s="700"/>
      <c r="F52" s="700"/>
      <c r="G52" s="700"/>
      <c r="H52" s="700"/>
      <c r="I52" s="700"/>
      <c r="J52" s="700"/>
      <c r="K52" s="725"/>
      <c r="L52" s="730"/>
      <c r="M52" s="731"/>
    </row>
    <row r="53" spans="1:17" ht="38.299999999999997" hidden="1" customHeight="1" x14ac:dyDescent="0.3">
      <c r="A53" s="691" t="s">
        <v>201</v>
      </c>
      <c r="B53" s="693" t="s">
        <v>202</v>
      </c>
      <c r="C53" s="695" t="s">
        <v>261</v>
      </c>
      <c r="D53" s="559" t="s">
        <v>97</v>
      </c>
      <c r="E53" s="559" t="s">
        <v>191</v>
      </c>
      <c r="F53" s="608"/>
      <c r="G53" s="559" t="s">
        <v>469</v>
      </c>
      <c r="H53" s="732" t="s">
        <v>431</v>
      </c>
      <c r="I53" s="695" t="s">
        <v>182</v>
      </c>
      <c r="J53" s="265" t="s">
        <v>125</v>
      </c>
      <c r="K53" s="558" t="s">
        <v>97</v>
      </c>
      <c r="L53" s="557" t="str">
        <f>+G53</f>
        <v>Biodiesel B12</v>
      </c>
      <c r="M53" s="557" t="s">
        <v>125</v>
      </c>
    </row>
    <row r="54" spans="1:17" ht="21.8" hidden="1" customHeight="1" x14ac:dyDescent="0.3">
      <c r="A54" s="691"/>
      <c r="B54" s="693"/>
      <c r="C54" s="696"/>
      <c r="D54" s="556">
        <v>0.08</v>
      </c>
      <c r="E54" s="201">
        <v>0.02</v>
      </c>
      <c r="F54" s="201"/>
      <c r="G54" s="419">
        <f>+BOYACA!F54</f>
        <v>0</v>
      </c>
      <c r="H54" s="733"/>
      <c r="I54" s="696"/>
      <c r="J54" s="266" t="s">
        <v>284</v>
      </c>
      <c r="K54" s="293">
        <v>0.04</v>
      </c>
      <c r="L54" s="420">
        <f>+G54</f>
        <v>0</v>
      </c>
      <c r="M54" s="294" t="s">
        <v>284</v>
      </c>
    </row>
    <row r="55" spans="1:17" hidden="1" x14ac:dyDescent="0.3">
      <c r="A55" s="692"/>
      <c r="B55" s="694"/>
      <c r="C55" s="558" t="s">
        <v>203</v>
      </c>
      <c r="D55" s="559" t="s">
        <v>203</v>
      </c>
      <c r="E55" s="559" t="s">
        <v>203</v>
      </c>
      <c r="F55" s="608"/>
      <c r="G55" s="559" t="s">
        <v>203</v>
      </c>
      <c r="H55" s="559" t="s">
        <v>203</v>
      </c>
      <c r="I55" s="557" t="s">
        <v>203</v>
      </c>
      <c r="J55" s="265" t="s">
        <v>203</v>
      </c>
      <c r="K55" s="558" t="s">
        <v>203</v>
      </c>
      <c r="L55" s="557" t="s">
        <v>203</v>
      </c>
      <c r="M55" s="283" t="s">
        <v>203</v>
      </c>
    </row>
    <row r="56" spans="1:17" hidden="1" x14ac:dyDescent="0.3">
      <c r="A56" s="155" t="s">
        <v>204</v>
      </c>
      <c r="B56" s="161" t="s">
        <v>205</v>
      </c>
      <c r="C56" s="284">
        <f>+'Calculo IP ZDF'!$B$42</f>
        <v>4560.0654479999994</v>
      </c>
      <c r="D56" s="284">
        <f>+'Calculo IP ZDF'!$G$42</f>
        <v>4730.7828300799993</v>
      </c>
      <c r="E56" s="284">
        <f>+'Calculo IP ZDF'!$F$42</f>
        <v>4723.1149999999998</v>
      </c>
      <c r="F56" s="284"/>
      <c r="G56" s="284">
        <f>+'Calculo IP ZDF'!$K$42</f>
        <v>5940.7291999999998</v>
      </c>
      <c r="H56" s="191">
        <f>+'Calculo IP ZDF'!$C$42</f>
        <v>4479.59</v>
      </c>
      <c r="I56" s="231">
        <f>+'GAS EXTRA'!E54</f>
        <v>0</v>
      </c>
      <c r="J56" s="231">
        <f>+'GAS EXTRA'!F54</f>
        <v>0</v>
      </c>
      <c r="K56" s="267">
        <f>+'GAS CTE'!$D$9</f>
        <v>4777.68</v>
      </c>
      <c r="L56" s="213">
        <f>+BIODIESEL!$H$9</f>
        <v>5940.7290000000003</v>
      </c>
      <c r="M56" s="235">
        <f>+J56</f>
        <v>0</v>
      </c>
    </row>
    <row r="57" spans="1:17" hidden="1" x14ac:dyDescent="0.3">
      <c r="A57" s="155" t="s">
        <v>206</v>
      </c>
      <c r="B57" s="161" t="s">
        <v>207</v>
      </c>
      <c r="C57" s="211" t="str">
        <f>+E57</f>
        <v>------------------</v>
      </c>
      <c r="D57" s="211" t="s">
        <v>208</v>
      </c>
      <c r="E57" s="211" t="s">
        <v>208</v>
      </c>
      <c r="F57" s="211"/>
      <c r="G57" s="211" t="s">
        <v>208</v>
      </c>
      <c r="H57" s="186" t="s">
        <v>208</v>
      </c>
      <c r="I57" s="186" t="s">
        <v>208</v>
      </c>
      <c r="J57" s="268" t="s">
        <v>208</v>
      </c>
      <c r="K57" s="269">
        <f>+'GAS CTE'!$D$10</f>
        <v>532.84799999999996</v>
      </c>
      <c r="L57" s="210">
        <f>+BIODIESEL!$G$10</f>
        <v>478.14</v>
      </c>
      <c r="M57" s="232">
        <f>+'GAS EXTRA'!D58</f>
        <v>0</v>
      </c>
    </row>
    <row r="58" spans="1:17" hidden="1" x14ac:dyDescent="0.3">
      <c r="A58" s="155"/>
      <c r="B58" s="161" t="s">
        <v>135</v>
      </c>
      <c r="C58" s="211" t="str">
        <f>+E58</f>
        <v>------------------</v>
      </c>
      <c r="D58" s="211" t="s">
        <v>208</v>
      </c>
      <c r="E58" s="211" t="s">
        <v>208</v>
      </c>
      <c r="F58" s="211"/>
      <c r="G58" s="211" t="s">
        <v>208</v>
      </c>
      <c r="H58" s="186" t="s">
        <v>208</v>
      </c>
      <c r="I58" s="186" t="s">
        <v>208</v>
      </c>
      <c r="J58" s="268" t="s">
        <v>208</v>
      </c>
      <c r="K58" s="269" t="str">
        <f>+K10</f>
        <v>(3)</v>
      </c>
      <c r="L58" s="269" t="str">
        <f>+L10</f>
        <v>(3)</v>
      </c>
      <c r="M58" s="232" t="e">
        <f>'[7]CORRIENTE OXIGENADA'!D60</f>
        <v>#REF!</v>
      </c>
    </row>
    <row r="59" spans="1:17" hidden="1" x14ac:dyDescent="0.3">
      <c r="A59" s="155"/>
      <c r="B59" s="161" t="s">
        <v>137</v>
      </c>
      <c r="C59" s="270">
        <f>+'GAS CTE'!$C$12</f>
        <v>159</v>
      </c>
      <c r="D59" s="270">
        <f>+'GAS CTE'!$D$12</f>
        <v>152.63999999999999</v>
      </c>
      <c r="E59" s="270">
        <f>+BIODIESEL!$E$12</f>
        <v>175.42</v>
      </c>
      <c r="F59" s="270"/>
      <c r="G59" s="270">
        <f>+BIODIESEL!$G$12</f>
        <v>161.1</v>
      </c>
      <c r="H59" s="191">
        <f>+BIODIESEL!$C$12</f>
        <v>179</v>
      </c>
      <c r="I59" s="231">
        <f>+'GAS EXTRA'!C60</f>
        <v>0</v>
      </c>
      <c r="J59" s="231">
        <f>+'GAS EXTRA'!D60</f>
        <v>0</v>
      </c>
      <c r="K59" s="269">
        <f>+'GAS CTE'!$D$12</f>
        <v>152.63999999999999</v>
      </c>
      <c r="L59" s="210">
        <f>+G59</f>
        <v>161.1</v>
      </c>
      <c r="M59" s="232">
        <f>+J59</f>
        <v>0</v>
      </c>
      <c r="O59" s="474" t="s">
        <v>457</v>
      </c>
    </row>
    <row r="60" spans="1:17" hidden="1" x14ac:dyDescent="0.3">
      <c r="A60" s="155" t="s">
        <v>209</v>
      </c>
      <c r="B60" s="161" t="s">
        <v>291</v>
      </c>
      <c r="C60" s="287" t="s">
        <v>237</v>
      </c>
      <c r="D60" s="211" t="str">
        <f>+C60</f>
        <v>(2)</v>
      </c>
      <c r="E60" s="211" t="str">
        <f>+C60</f>
        <v>(2)</v>
      </c>
      <c r="F60" s="211"/>
      <c r="G60" s="211" t="str">
        <f>+C60</f>
        <v>(2)</v>
      </c>
      <c r="H60" s="185" t="str">
        <f>+C60</f>
        <v>(2)</v>
      </c>
      <c r="I60" s="185" t="str">
        <f>+H60</f>
        <v>(2)</v>
      </c>
      <c r="J60" s="243" t="str">
        <f>+G60</f>
        <v>(2)</v>
      </c>
      <c r="K60" s="269" t="str">
        <f>+M60</f>
        <v>(2)</v>
      </c>
      <c r="L60" s="210" t="str">
        <f>+D60</f>
        <v>(2)</v>
      </c>
      <c r="M60" s="232" t="str">
        <f>+E60</f>
        <v>(2)</v>
      </c>
    </row>
    <row r="61" spans="1:17" hidden="1" x14ac:dyDescent="0.3">
      <c r="A61" s="155" t="s">
        <v>211</v>
      </c>
      <c r="B61" s="161" t="s">
        <v>212</v>
      </c>
      <c r="C61" s="270">
        <f>+RUBROS!$Z$13</f>
        <v>22.249601678692599</v>
      </c>
      <c r="D61" s="185">
        <f>+C61</f>
        <v>22.249601678692599</v>
      </c>
      <c r="E61" s="185">
        <f>+C61</f>
        <v>22.249601678692599</v>
      </c>
      <c r="F61" s="185"/>
      <c r="G61" s="185">
        <f>+C61</f>
        <v>22.249601678692599</v>
      </c>
      <c r="H61" s="185">
        <f>+C61</f>
        <v>22.249601678692599</v>
      </c>
      <c r="I61" s="243">
        <f>+C61</f>
        <v>22.249601678692599</v>
      </c>
      <c r="J61" s="243">
        <f>+C61</f>
        <v>22.249601678692599</v>
      </c>
      <c r="K61" s="267">
        <f>+J61</f>
        <v>22.249601678692599</v>
      </c>
      <c r="L61" s="185">
        <f>+J61</f>
        <v>22.249601678692599</v>
      </c>
      <c r="M61" s="158">
        <f>+J61</f>
        <v>22.249601678692599</v>
      </c>
      <c r="O61" s="474" t="s">
        <v>457</v>
      </c>
      <c r="P61" s="474" t="s">
        <v>456</v>
      </c>
    </row>
    <row r="62" spans="1:17" hidden="1" x14ac:dyDescent="0.3">
      <c r="A62" s="155" t="s">
        <v>215</v>
      </c>
      <c r="B62" s="161" t="s">
        <v>216</v>
      </c>
      <c r="C62" s="270">
        <f>+RUBROS!$AP$42</f>
        <v>12.938273064269636</v>
      </c>
      <c r="D62" s="185">
        <f>+C62</f>
        <v>12.938273064269636</v>
      </c>
      <c r="E62" s="185">
        <f>+C62</f>
        <v>12.938273064269636</v>
      </c>
      <c r="F62" s="185"/>
      <c r="G62" s="185">
        <f>+C62</f>
        <v>12.938273064269636</v>
      </c>
      <c r="H62" s="185">
        <f>+C62</f>
        <v>12.938273064269636</v>
      </c>
      <c r="I62" s="243">
        <f>+C62</f>
        <v>12.938273064269636</v>
      </c>
      <c r="J62" s="243">
        <f>+C62</f>
        <v>12.938273064269636</v>
      </c>
      <c r="K62" s="267">
        <f>+C62</f>
        <v>12.938273064269636</v>
      </c>
      <c r="L62" s="185">
        <f>+K62</f>
        <v>12.938273064269636</v>
      </c>
      <c r="M62" s="158">
        <f>+K62</f>
        <v>12.938273064269636</v>
      </c>
      <c r="O62" s="474" t="s">
        <v>456</v>
      </c>
    </row>
    <row r="63" spans="1:17" hidden="1" x14ac:dyDescent="0.3">
      <c r="A63" s="155"/>
      <c r="B63" s="161" t="s">
        <v>217</v>
      </c>
      <c r="C63" s="270"/>
      <c r="D63" s="185"/>
      <c r="E63" s="185"/>
      <c r="F63" s="185"/>
      <c r="G63" s="185"/>
      <c r="H63" s="185"/>
      <c r="I63" s="243"/>
      <c r="J63" s="243"/>
      <c r="K63" s="267"/>
      <c r="L63" s="185"/>
      <c r="M63" s="158">
        <f>+C63</f>
        <v>0</v>
      </c>
      <c r="O63" s="478" t="s">
        <v>458</v>
      </c>
    </row>
    <row r="64" spans="1:17" hidden="1" x14ac:dyDescent="0.3">
      <c r="A64" s="162" t="s">
        <v>218</v>
      </c>
      <c r="B64" s="192" t="s">
        <v>219</v>
      </c>
      <c r="C64" s="271">
        <f>SUM(C56:C63)</f>
        <v>4754.2533227429612</v>
      </c>
      <c r="D64" s="271">
        <f t="shared" ref="D64:M64" si="8">SUM(D56:D63)</f>
        <v>4918.6107048229615</v>
      </c>
      <c r="E64" s="271">
        <f t="shared" si="8"/>
        <v>4933.7228747429617</v>
      </c>
      <c r="F64" s="271"/>
      <c r="G64" s="271">
        <f t="shared" si="8"/>
        <v>6137.017074742962</v>
      </c>
      <c r="H64" s="271">
        <f t="shared" si="8"/>
        <v>4693.777874742962</v>
      </c>
      <c r="I64" s="271">
        <f t="shared" si="8"/>
        <v>35.187874742962236</v>
      </c>
      <c r="J64" s="272">
        <f t="shared" si="8"/>
        <v>35.187874742962236</v>
      </c>
      <c r="K64" s="273">
        <f t="shared" si="8"/>
        <v>5498.3558747429624</v>
      </c>
      <c r="L64" s="271">
        <f t="shared" si="8"/>
        <v>6615.1568747429628</v>
      </c>
      <c r="M64" s="274" t="e">
        <f t="shared" si="8"/>
        <v>#REF!</v>
      </c>
    </row>
    <row r="65" spans="1:13" hidden="1" x14ac:dyDescent="0.3">
      <c r="A65" s="155" t="s">
        <v>220</v>
      </c>
      <c r="B65" s="161" t="s">
        <v>285</v>
      </c>
      <c r="C65" s="288" t="s">
        <v>252</v>
      </c>
      <c r="D65" s="185" t="str">
        <f>+C65</f>
        <v>***</v>
      </c>
      <c r="E65" s="185" t="str">
        <f>+C65</f>
        <v>***</v>
      </c>
      <c r="F65" s="185"/>
      <c r="G65" s="185" t="str">
        <f>+E65</f>
        <v>***</v>
      </c>
      <c r="H65" s="185" t="str">
        <f>+E65</f>
        <v>***</v>
      </c>
      <c r="I65" s="243" t="str">
        <f>+H65</f>
        <v>***</v>
      </c>
      <c r="J65" s="243" t="str">
        <f>+I65</f>
        <v>***</v>
      </c>
      <c r="K65" s="267" t="str">
        <f>M65</f>
        <v>***</v>
      </c>
      <c r="L65" s="185" t="str">
        <f>+M65</f>
        <v>***</v>
      </c>
      <c r="M65" s="158" t="str">
        <f>+E65</f>
        <v>***</v>
      </c>
    </row>
    <row r="66" spans="1:13" hidden="1" x14ac:dyDescent="0.3">
      <c r="A66" s="155" t="s">
        <v>222</v>
      </c>
      <c r="B66" s="161" t="s">
        <v>223</v>
      </c>
      <c r="C66" s="287" t="s">
        <v>250</v>
      </c>
      <c r="D66" s="185" t="str">
        <f>+C66</f>
        <v>**</v>
      </c>
      <c r="E66" s="185" t="str">
        <f>+C66</f>
        <v>**</v>
      </c>
      <c r="F66" s="185"/>
      <c r="G66" s="185" t="str">
        <f>+C66</f>
        <v>**</v>
      </c>
      <c r="H66" s="185" t="str">
        <f>+C66</f>
        <v>**</v>
      </c>
      <c r="I66" s="243" t="str">
        <f>+C66</f>
        <v>**</v>
      </c>
      <c r="J66" s="243" t="str">
        <f>+I66</f>
        <v>**</v>
      </c>
      <c r="K66" s="267" t="str">
        <f>+J66</f>
        <v>**</v>
      </c>
      <c r="L66" s="185" t="str">
        <f>+K66</f>
        <v>**</v>
      </c>
      <c r="M66" s="158" t="str">
        <f>+L66</f>
        <v>**</v>
      </c>
    </row>
    <row r="67" spans="1:13" hidden="1" x14ac:dyDescent="0.3">
      <c r="A67" s="155" t="s">
        <v>224</v>
      </c>
      <c r="B67" s="230" t="s">
        <v>142</v>
      </c>
      <c r="C67" s="275">
        <f>+E67</f>
        <v>0</v>
      </c>
      <c r="D67" s="185">
        <f t="shared" ref="D67" si="9">+E67</f>
        <v>0</v>
      </c>
      <c r="E67" s="191">
        <f>+A162</f>
        <v>0</v>
      </c>
      <c r="F67" s="191"/>
      <c r="G67" s="191">
        <f>+E67</f>
        <v>0</v>
      </c>
      <c r="H67" s="191">
        <f>+A162</f>
        <v>0</v>
      </c>
      <c r="I67" s="231">
        <f>+H67</f>
        <v>0</v>
      </c>
      <c r="J67" s="231">
        <f>+I67</f>
        <v>0</v>
      </c>
      <c r="K67" s="290">
        <f>C67</f>
        <v>0</v>
      </c>
      <c r="L67" s="185">
        <f>+M67</f>
        <v>0</v>
      </c>
      <c r="M67" s="160">
        <f>K67</f>
        <v>0</v>
      </c>
    </row>
    <row r="68" spans="1:13" hidden="1" x14ac:dyDescent="0.3">
      <c r="A68" s="162" t="s">
        <v>226</v>
      </c>
      <c r="B68" s="192" t="s">
        <v>227</v>
      </c>
      <c r="C68" s="276">
        <f t="shared" ref="C68:M69" si="10">+C64</f>
        <v>4754.2533227429612</v>
      </c>
      <c r="D68" s="193">
        <f t="shared" si="10"/>
        <v>4918.6107048229615</v>
      </c>
      <c r="E68" s="193">
        <f t="shared" si="10"/>
        <v>4933.7228747429617</v>
      </c>
      <c r="F68" s="193"/>
      <c r="G68" s="193">
        <f t="shared" si="10"/>
        <v>6137.017074742962</v>
      </c>
      <c r="H68" s="193">
        <f t="shared" si="10"/>
        <v>4693.777874742962</v>
      </c>
      <c r="I68" s="193">
        <f t="shared" si="10"/>
        <v>35.187874742962236</v>
      </c>
      <c r="J68" s="244">
        <f t="shared" si="10"/>
        <v>35.187874742962236</v>
      </c>
      <c r="K68" s="273">
        <f t="shared" si="10"/>
        <v>5498.3558747429624</v>
      </c>
      <c r="L68" s="193">
        <f t="shared" si="10"/>
        <v>6615.1568747429628</v>
      </c>
      <c r="M68" s="164" t="e">
        <f t="shared" si="10"/>
        <v>#REF!</v>
      </c>
    </row>
    <row r="69" spans="1:13" hidden="1" x14ac:dyDescent="0.3">
      <c r="A69" s="155" t="s">
        <v>228</v>
      </c>
      <c r="B69" s="161" t="s">
        <v>173</v>
      </c>
      <c r="C69" s="270" t="str">
        <f>+E69</f>
        <v>***</v>
      </c>
      <c r="D69" s="185" t="str">
        <f t="shared" ref="D69" si="11">+E69</f>
        <v>***</v>
      </c>
      <c r="E69" s="185" t="str">
        <f t="shared" si="10"/>
        <v>***</v>
      </c>
      <c r="F69" s="185"/>
      <c r="G69" s="185" t="str">
        <f>+E69</f>
        <v>***</v>
      </c>
      <c r="H69" s="185" t="str">
        <f>+H65</f>
        <v>***</v>
      </c>
      <c r="I69" s="243" t="str">
        <f>+H69</f>
        <v>***</v>
      </c>
      <c r="J69" s="243" t="str">
        <f>+I69</f>
        <v>***</v>
      </c>
      <c r="K69" s="267" t="str">
        <f>M69</f>
        <v>***</v>
      </c>
      <c r="L69" s="185" t="str">
        <f>+M69</f>
        <v>***</v>
      </c>
      <c r="M69" s="158" t="str">
        <f>+M65</f>
        <v>***</v>
      </c>
    </row>
    <row r="70" spans="1:13" hidden="1" x14ac:dyDescent="0.3">
      <c r="A70" s="155" t="s">
        <v>229</v>
      </c>
      <c r="B70" s="156" t="s">
        <v>230</v>
      </c>
      <c r="C70" s="277" t="s">
        <v>256</v>
      </c>
      <c r="D70" s="185" t="str">
        <f>+C70</f>
        <v>*****</v>
      </c>
      <c r="E70" s="185" t="s">
        <v>231</v>
      </c>
      <c r="F70" s="185"/>
      <c r="G70" s="185" t="str">
        <f>+E70</f>
        <v>N.A</v>
      </c>
      <c r="H70" s="185" t="s">
        <v>231</v>
      </c>
      <c r="I70" s="243" t="str">
        <f>+D70</f>
        <v>*****</v>
      </c>
      <c r="J70" s="243" t="str">
        <f>+D70</f>
        <v>*****</v>
      </c>
      <c r="K70" s="267" t="str">
        <f>+J70</f>
        <v>*****</v>
      </c>
      <c r="L70" s="185" t="s">
        <v>274</v>
      </c>
      <c r="M70" s="158" t="str">
        <f>+J70</f>
        <v>*****</v>
      </c>
    </row>
    <row r="71" spans="1:13" ht="24.75" hidden="1" customHeight="1" x14ac:dyDescent="0.3">
      <c r="A71" s="155" t="s">
        <v>232</v>
      </c>
      <c r="B71" s="156" t="s">
        <v>233</v>
      </c>
      <c r="C71" s="277" t="s">
        <v>257</v>
      </c>
      <c r="D71" s="185" t="str">
        <f>+C71</f>
        <v>******</v>
      </c>
      <c r="E71" s="185" t="str">
        <f>+C71</f>
        <v>******</v>
      </c>
      <c r="F71" s="185"/>
      <c r="G71" s="185" t="str">
        <f>+C71</f>
        <v>******</v>
      </c>
      <c r="H71" s="185" t="str">
        <f>+C71</f>
        <v>******</v>
      </c>
      <c r="I71" s="243" t="str">
        <f>+C71</f>
        <v>******</v>
      </c>
      <c r="J71" s="243" t="str">
        <f>+C71</f>
        <v>******</v>
      </c>
      <c r="K71" s="267" t="str">
        <f>+C71</f>
        <v>******</v>
      </c>
      <c r="L71" s="185" t="str">
        <f>+C71</f>
        <v>******</v>
      </c>
      <c r="M71" s="158" t="str">
        <f>+C71</f>
        <v>******</v>
      </c>
    </row>
    <row r="72" spans="1:13" ht="15.75" hidden="1" thickBot="1" x14ac:dyDescent="0.35">
      <c r="A72" s="166" t="s">
        <v>234</v>
      </c>
      <c r="B72" s="167" t="s">
        <v>235</v>
      </c>
      <c r="C72" s="278"/>
      <c r="D72" s="195"/>
      <c r="E72" s="195"/>
      <c r="F72" s="195"/>
      <c r="G72" s="195"/>
      <c r="H72" s="195"/>
      <c r="I72" s="245"/>
      <c r="J72" s="245"/>
      <c r="K72" s="429"/>
      <c r="L72" s="430"/>
      <c r="M72" s="431"/>
    </row>
    <row r="73" spans="1:13" hidden="1" x14ac:dyDescent="0.3">
      <c r="A73" s="171"/>
      <c r="B73" s="172"/>
      <c r="C73" s="172"/>
      <c r="D73" s="173"/>
      <c r="E73" s="173"/>
      <c r="F73" s="173"/>
      <c r="G73" s="173"/>
      <c r="H73" s="173"/>
      <c r="I73" s="173"/>
      <c r="J73" s="173"/>
      <c r="K73" s="173"/>
      <c r="L73" s="173"/>
      <c r="M73" s="173"/>
    </row>
    <row r="74" spans="1:13" hidden="1" x14ac:dyDescent="0.3">
      <c r="A74" s="171"/>
      <c r="B74" s="172"/>
      <c r="C74" s="172"/>
      <c r="D74" s="173"/>
      <c r="E74" s="173"/>
      <c r="F74" s="173"/>
      <c r="G74" s="173"/>
      <c r="H74" s="173"/>
      <c r="I74" s="173"/>
      <c r="J74" s="173"/>
      <c r="K74" s="173"/>
      <c r="L74" s="173"/>
      <c r="M74" s="173"/>
    </row>
    <row r="75" spans="1:13" ht="15.75" hidden="1" thickTop="1" x14ac:dyDescent="0.3">
      <c r="A75" s="207"/>
      <c r="B75" s="180" t="s">
        <v>502</v>
      </c>
      <c r="C75" s="697" t="s">
        <v>200</v>
      </c>
      <c r="D75" s="698"/>
      <c r="E75" s="698"/>
      <c r="F75" s="698"/>
      <c r="G75" s="698"/>
      <c r="H75" s="698"/>
      <c r="I75" s="698"/>
      <c r="J75" s="698"/>
      <c r="K75" s="724" t="s">
        <v>270</v>
      </c>
      <c r="L75" s="728"/>
      <c r="M75" s="729"/>
    </row>
    <row r="76" spans="1:13" ht="41.25" hidden="1" x14ac:dyDescent="0.3">
      <c r="A76" s="181"/>
      <c r="B76" s="292" t="s">
        <v>294</v>
      </c>
      <c r="C76" s="699"/>
      <c r="D76" s="700"/>
      <c r="E76" s="700"/>
      <c r="F76" s="700"/>
      <c r="G76" s="700"/>
      <c r="H76" s="700"/>
      <c r="I76" s="700"/>
      <c r="J76" s="700"/>
      <c r="K76" s="725"/>
      <c r="L76" s="730"/>
      <c r="M76" s="731"/>
    </row>
    <row r="77" spans="1:13" ht="26.2" hidden="1" x14ac:dyDescent="0.3">
      <c r="A77" s="691" t="s">
        <v>201</v>
      </c>
      <c r="B77" s="693" t="s">
        <v>202</v>
      </c>
      <c r="C77" s="695" t="s">
        <v>261</v>
      </c>
      <c r="D77" s="559" t="s">
        <v>97</v>
      </c>
      <c r="E77" s="559" t="s">
        <v>191</v>
      </c>
      <c r="F77" s="608"/>
      <c r="G77" s="559" t="s">
        <v>469</v>
      </c>
      <c r="H77" s="732" t="s">
        <v>431</v>
      </c>
      <c r="I77" s="695" t="s">
        <v>182</v>
      </c>
      <c r="J77" s="265" t="s">
        <v>125</v>
      </c>
      <c r="K77" s="558" t="s">
        <v>97</v>
      </c>
      <c r="L77" s="557" t="str">
        <f>+G77</f>
        <v>Biodiesel B12</v>
      </c>
      <c r="M77" s="557" t="s">
        <v>125</v>
      </c>
    </row>
    <row r="78" spans="1:13" hidden="1" x14ac:dyDescent="0.3">
      <c r="A78" s="691"/>
      <c r="B78" s="693"/>
      <c r="C78" s="696"/>
      <c r="D78" s="556">
        <v>0.08</v>
      </c>
      <c r="E78" s="201">
        <v>0.02</v>
      </c>
      <c r="F78" s="201"/>
      <c r="G78" s="419">
        <f>+BOYACA!F78</f>
        <v>0</v>
      </c>
      <c r="H78" s="733"/>
      <c r="I78" s="696"/>
      <c r="J78" s="266" t="s">
        <v>284</v>
      </c>
      <c r="K78" s="293">
        <v>0.04</v>
      </c>
      <c r="L78" s="420">
        <f>+G78</f>
        <v>0</v>
      </c>
      <c r="M78" s="294" t="s">
        <v>284</v>
      </c>
    </row>
    <row r="79" spans="1:13" hidden="1" x14ac:dyDescent="0.3">
      <c r="A79" s="692"/>
      <c r="B79" s="694"/>
      <c r="C79" s="558" t="s">
        <v>203</v>
      </c>
      <c r="D79" s="559" t="s">
        <v>203</v>
      </c>
      <c r="E79" s="559" t="s">
        <v>203</v>
      </c>
      <c r="F79" s="608"/>
      <c r="G79" s="559" t="s">
        <v>203</v>
      </c>
      <c r="H79" s="559" t="s">
        <v>203</v>
      </c>
      <c r="I79" s="557" t="s">
        <v>203</v>
      </c>
      <c r="J79" s="265" t="s">
        <v>203</v>
      </c>
      <c r="K79" s="558" t="s">
        <v>203</v>
      </c>
      <c r="L79" s="557" t="s">
        <v>203</v>
      </c>
      <c r="M79" s="283" t="s">
        <v>203</v>
      </c>
    </row>
    <row r="80" spans="1:13" hidden="1" x14ac:dyDescent="0.3">
      <c r="A80" s="155" t="s">
        <v>204</v>
      </c>
      <c r="B80" s="161" t="s">
        <v>205</v>
      </c>
      <c r="C80" s="284">
        <f>+'Calculo IP ZDF'!$B$43</f>
        <v>4560.0654479999994</v>
      </c>
      <c r="D80" s="284">
        <f>+'Calculo IP ZDF'!$G$43</f>
        <v>4730.7828300799993</v>
      </c>
      <c r="E80" s="284">
        <f>+'Calculo IP ZDF'!$F$43</f>
        <v>4723.1149999999998</v>
      </c>
      <c r="F80" s="284"/>
      <c r="G80" s="284">
        <f>+'Calculo IP ZDF'!$K$43</f>
        <v>5940.7291999999998</v>
      </c>
      <c r="H80" s="191">
        <f>+'Calculo IP ZDF'!$C$43</f>
        <v>4479.59</v>
      </c>
      <c r="I80" s="231">
        <f>+'GAS EXTRA'!E78</f>
        <v>0</v>
      </c>
      <c r="J80" s="231">
        <f>+'GAS EXTRA'!F78</f>
        <v>0</v>
      </c>
      <c r="K80" s="267">
        <f>+'GAS CTE'!$D$9</f>
        <v>4777.68</v>
      </c>
      <c r="L80" s="213">
        <f>+BIODIESEL!$H$9</f>
        <v>5940.7290000000003</v>
      </c>
      <c r="M80" s="235">
        <f>+J80</f>
        <v>0</v>
      </c>
    </row>
    <row r="81" spans="1:13" hidden="1" x14ac:dyDescent="0.3">
      <c r="A81" s="155" t="s">
        <v>206</v>
      </c>
      <c r="B81" s="161" t="s">
        <v>207</v>
      </c>
      <c r="C81" s="211" t="str">
        <f>+E81</f>
        <v>------------------</v>
      </c>
      <c r="D81" s="211" t="s">
        <v>208</v>
      </c>
      <c r="E81" s="211" t="s">
        <v>208</v>
      </c>
      <c r="F81" s="211"/>
      <c r="G81" s="211" t="s">
        <v>208</v>
      </c>
      <c r="H81" s="186" t="s">
        <v>208</v>
      </c>
      <c r="I81" s="186" t="s">
        <v>208</v>
      </c>
      <c r="J81" s="268" t="s">
        <v>208</v>
      </c>
      <c r="K81" s="269">
        <f>+'GAS CTE'!$D$10</f>
        <v>532.84799999999996</v>
      </c>
      <c r="L81" s="210">
        <f>+BIODIESEL!$G$10</f>
        <v>478.14</v>
      </c>
      <c r="M81" s="232">
        <f>+'GAS EXTRA'!D82</f>
        <v>0</v>
      </c>
    </row>
    <row r="82" spans="1:13" hidden="1" x14ac:dyDescent="0.3">
      <c r="A82" s="155"/>
      <c r="B82" s="161" t="s">
        <v>135</v>
      </c>
      <c r="C82" s="211" t="str">
        <f>+E82</f>
        <v>------------------</v>
      </c>
      <c r="D82" s="211" t="s">
        <v>208</v>
      </c>
      <c r="E82" s="211" t="s">
        <v>208</v>
      </c>
      <c r="F82" s="211"/>
      <c r="G82" s="211" t="s">
        <v>208</v>
      </c>
      <c r="H82" s="186" t="s">
        <v>208</v>
      </c>
      <c r="I82" s="186" t="s">
        <v>208</v>
      </c>
      <c r="J82" s="268" t="s">
        <v>208</v>
      </c>
      <c r="K82" s="269">
        <f>+K34</f>
        <v>0</v>
      </c>
      <c r="L82" s="269">
        <f>+L34</f>
        <v>0</v>
      </c>
      <c r="M82" s="232" t="e">
        <f>'[7]CORRIENTE OXIGENADA'!D84</f>
        <v>#REF!</v>
      </c>
    </row>
    <row r="83" spans="1:13" hidden="1" x14ac:dyDescent="0.3">
      <c r="A83" s="155"/>
      <c r="B83" s="161" t="s">
        <v>137</v>
      </c>
      <c r="C83" s="270">
        <f>+'GAS CTE'!$C$12</f>
        <v>159</v>
      </c>
      <c r="D83" s="270">
        <f>+'GAS CTE'!$D$12</f>
        <v>152.63999999999999</v>
      </c>
      <c r="E83" s="270">
        <f>+BIODIESEL!$E$12</f>
        <v>175.42</v>
      </c>
      <c r="F83" s="270"/>
      <c r="G83" s="270">
        <f>+BIODIESEL!$G$12</f>
        <v>161.1</v>
      </c>
      <c r="H83" s="191">
        <f>+BIODIESEL!$C$12</f>
        <v>179</v>
      </c>
      <c r="I83" s="231">
        <f>+'GAS EXTRA'!C84</f>
        <v>0</v>
      </c>
      <c r="J83" s="231">
        <f>+'GAS EXTRA'!D84</f>
        <v>0</v>
      </c>
      <c r="K83" s="269">
        <f>+'GAS CTE'!$D$12</f>
        <v>152.63999999999999</v>
      </c>
      <c r="L83" s="210">
        <f>+G83</f>
        <v>161.1</v>
      </c>
      <c r="M83" s="232">
        <f>+J83</f>
        <v>0</v>
      </c>
    </row>
    <row r="84" spans="1:13" hidden="1" x14ac:dyDescent="0.3">
      <c r="A84" s="155" t="s">
        <v>209</v>
      </c>
      <c r="B84" s="161" t="s">
        <v>291</v>
      </c>
      <c r="C84" s="287" t="s">
        <v>237</v>
      </c>
      <c r="D84" s="211" t="str">
        <f>+C84</f>
        <v>(2)</v>
      </c>
      <c r="E84" s="211" t="str">
        <f>+C84</f>
        <v>(2)</v>
      </c>
      <c r="F84" s="211"/>
      <c r="G84" s="211" t="str">
        <f>+C84</f>
        <v>(2)</v>
      </c>
      <c r="H84" s="185" t="str">
        <f>+C84</f>
        <v>(2)</v>
      </c>
      <c r="I84" s="185" t="str">
        <f>+H84</f>
        <v>(2)</v>
      </c>
      <c r="J84" s="243" t="str">
        <f>+G84</f>
        <v>(2)</v>
      </c>
      <c r="K84" s="269" t="str">
        <f>+M84</f>
        <v>(2)</v>
      </c>
      <c r="L84" s="210" t="str">
        <f>+D84</f>
        <v>(2)</v>
      </c>
      <c r="M84" s="232" t="str">
        <f>+E84</f>
        <v>(2)</v>
      </c>
    </row>
    <row r="85" spans="1:13" hidden="1" x14ac:dyDescent="0.3">
      <c r="A85" s="155" t="s">
        <v>211</v>
      </c>
      <c r="B85" s="161" t="s">
        <v>212</v>
      </c>
      <c r="C85" s="270">
        <f>+RUBROS!$Z$13</f>
        <v>22.249601678692599</v>
      </c>
      <c r="D85" s="185">
        <f>+C85</f>
        <v>22.249601678692599</v>
      </c>
      <c r="E85" s="185">
        <f>+C85</f>
        <v>22.249601678692599</v>
      </c>
      <c r="F85" s="185"/>
      <c r="G85" s="185">
        <f>+C85</f>
        <v>22.249601678692599</v>
      </c>
      <c r="H85" s="185">
        <f>+C85</f>
        <v>22.249601678692599</v>
      </c>
      <c r="I85" s="243">
        <f>+C85</f>
        <v>22.249601678692599</v>
      </c>
      <c r="J85" s="243">
        <f>+C85</f>
        <v>22.249601678692599</v>
      </c>
      <c r="K85" s="267">
        <f>+J85</f>
        <v>22.249601678692599</v>
      </c>
      <c r="L85" s="185">
        <f>+J85</f>
        <v>22.249601678692599</v>
      </c>
      <c r="M85" s="158">
        <f>+J85</f>
        <v>22.249601678692599</v>
      </c>
    </row>
    <row r="86" spans="1:13" hidden="1" x14ac:dyDescent="0.3">
      <c r="A86" s="155" t="s">
        <v>215</v>
      </c>
      <c r="B86" s="161" t="s">
        <v>216</v>
      </c>
      <c r="C86" s="270">
        <f>+RUBROS!$AP$42</f>
        <v>12.938273064269636</v>
      </c>
      <c r="D86" s="185">
        <f>+C86</f>
        <v>12.938273064269636</v>
      </c>
      <c r="E86" s="185">
        <f>+C86</f>
        <v>12.938273064269636</v>
      </c>
      <c r="F86" s="185"/>
      <c r="G86" s="185">
        <f>+C86</f>
        <v>12.938273064269636</v>
      </c>
      <c r="H86" s="185">
        <f>+C86</f>
        <v>12.938273064269636</v>
      </c>
      <c r="I86" s="243">
        <f>+C86</f>
        <v>12.938273064269636</v>
      </c>
      <c r="J86" s="243">
        <f>+C86</f>
        <v>12.938273064269636</v>
      </c>
      <c r="K86" s="267">
        <f>+C86</f>
        <v>12.938273064269636</v>
      </c>
      <c r="L86" s="185">
        <f>+K86</f>
        <v>12.938273064269636</v>
      </c>
      <c r="M86" s="158">
        <f>+K86</f>
        <v>12.938273064269636</v>
      </c>
    </row>
    <row r="87" spans="1:13" hidden="1" x14ac:dyDescent="0.3">
      <c r="A87" s="155"/>
      <c r="B87" s="161" t="s">
        <v>217</v>
      </c>
      <c r="C87" s="270"/>
      <c r="D87" s="185"/>
      <c r="E87" s="185"/>
      <c r="F87" s="185"/>
      <c r="G87" s="185"/>
      <c r="H87" s="185"/>
      <c r="I87" s="243"/>
      <c r="J87" s="243"/>
      <c r="K87" s="267"/>
      <c r="L87" s="185"/>
      <c r="M87" s="158">
        <f>+C87</f>
        <v>0</v>
      </c>
    </row>
    <row r="88" spans="1:13" hidden="1" x14ac:dyDescent="0.3">
      <c r="A88" s="162" t="s">
        <v>218</v>
      </c>
      <c r="B88" s="192" t="s">
        <v>219</v>
      </c>
      <c r="C88" s="271">
        <f>SUM(C80:C87)</f>
        <v>4754.2533227429612</v>
      </c>
      <c r="D88" s="271">
        <f t="shared" ref="D88:M88" si="12">SUM(D80:D87)</f>
        <v>4918.6107048229615</v>
      </c>
      <c r="E88" s="271">
        <f t="shared" si="12"/>
        <v>4933.7228747429617</v>
      </c>
      <c r="F88" s="271"/>
      <c r="G88" s="271">
        <f t="shared" si="12"/>
        <v>6137.017074742962</v>
      </c>
      <c r="H88" s="271">
        <f t="shared" si="12"/>
        <v>4693.777874742962</v>
      </c>
      <c r="I88" s="271">
        <f t="shared" si="12"/>
        <v>35.187874742962236</v>
      </c>
      <c r="J88" s="272">
        <f t="shared" si="12"/>
        <v>35.187874742962236</v>
      </c>
      <c r="K88" s="273">
        <f t="shared" si="12"/>
        <v>5498.3558747429624</v>
      </c>
      <c r="L88" s="271">
        <f t="shared" si="12"/>
        <v>6615.1568747429628</v>
      </c>
      <c r="M88" s="274" t="e">
        <f t="shared" si="12"/>
        <v>#REF!</v>
      </c>
    </row>
    <row r="89" spans="1:13" hidden="1" x14ac:dyDescent="0.3">
      <c r="A89" s="155" t="s">
        <v>220</v>
      </c>
      <c r="B89" s="161" t="s">
        <v>285</v>
      </c>
      <c r="C89" s="288" t="s">
        <v>252</v>
      </c>
      <c r="D89" s="185" t="str">
        <f>+C89</f>
        <v>***</v>
      </c>
      <c r="E89" s="185" t="str">
        <f>+C89</f>
        <v>***</v>
      </c>
      <c r="F89" s="185"/>
      <c r="G89" s="185" t="str">
        <f>+E89</f>
        <v>***</v>
      </c>
      <c r="H89" s="185" t="str">
        <f>+E89</f>
        <v>***</v>
      </c>
      <c r="I89" s="243" t="str">
        <f>+H89</f>
        <v>***</v>
      </c>
      <c r="J89" s="243" t="str">
        <f>+I89</f>
        <v>***</v>
      </c>
      <c r="K89" s="267" t="str">
        <f>M89</f>
        <v>***</v>
      </c>
      <c r="L89" s="185" t="str">
        <f>+M89</f>
        <v>***</v>
      </c>
      <c r="M89" s="158" t="str">
        <f>+E89</f>
        <v>***</v>
      </c>
    </row>
    <row r="90" spans="1:13" hidden="1" x14ac:dyDescent="0.3">
      <c r="A90" s="155" t="s">
        <v>222</v>
      </c>
      <c r="B90" s="161" t="s">
        <v>223</v>
      </c>
      <c r="C90" s="287" t="s">
        <v>250</v>
      </c>
      <c r="D90" s="185" t="str">
        <f>+C90</f>
        <v>**</v>
      </c>
      <c r="E90" s="185" t="str">
        <f>+C90</f>
        <v>**</v>
      </c>
      <c r="F90" s="185"/>
      <c r="G90" s="185" t="str">
        <f>+C90</f>
        <v>**</v>
      </c>
      <c r="H90" s="185" t="str">
        <f>+C90</f>
        <v>**</v>
      </c>
      <c r="I90" s="243" t="str">
        <f>+C90</f>
        <v>**</v>
      </c>
      <c r="J90" s="243" t="str">
        <f>+I90</f>
        <v>**</v>
      </c>
      <c r="K90" s="267" t="str">
        <f>+J90</f>
        <v>**</v>
      </c>
      <c r="L90" s="185" t="str">
        <f>+K90</f>
        <v>**</v>
      </c>
      <c r="M90" s="158" t="str">
        <f>+L90</f>
        <v>**</v>
      </c>
    </row>
    <row r="91" spans="1:13" hidden="1" x14ac:dyDescent="0.3">
      <c r="A91" s="155" t="s">
        <v>224</v>
      </c>
      <c r="B91" s="230" t="s">
        <v>142</v>
      </c>
      <c r="C91" s="275">
        <f>+E91</f>
        <v>0</v>
      </c>
      <c r="D91" s="185">
        <f t="shared" ref="D91" si="13">+E91</f>
        <v>0</v>
      </c>
      <c r="E91" s="191">
        <f>+A186</f>
        <v>0</v>
      </c>
      <c r="F91" s="191"/>
      <c r="G91" s="191">
        <f>+E91</f>
        <v>0</v>
      </c>
      <c r="H91" s="191">
        <f>+A186</f>
        <v>0</v>
      </c>
      <c r="I91" s="231">
        <f>+H91</f>
        <v>0</v>
      </c>
      <c r="J91" s="231">
        <f>+I91</f>
        <v>0</v>
      </c>
      <c r="K91" s="290">
        <f>C91</f>
        <v>0</v>
      </c>
      <c r="L91" s="185">
        <f>+M91</f>
        <v>0</v>
      </c>
      <c r="M91" s="160">
        <f>K91</f>
        <v>0</v>
      </c>
    </row>
    <row r="92" spans="1:13" hidden="1" x14ac:dyDescent="0.3">
      <c r="A92" s="162" t="s">
        <v>226</v>
      </c>
      <c r="B92" s="192" t="s">
        <v>227</v>
      </c>
      <c r="C92" s="276">
        <f t="shared" ref="C92:M92" si="14">+C88</f>
        <v>4754.2533227429612</v>
      </c>
      <c r="D92" s="193">
        <f t="shared" si="14"/>
        <v>4918.6107048229615</v>
      </c>
      <c r="E92" s="193">
        <f t="shared" si="14"/>
        <v>4933.7228747429617</v>
      </c>
      <c r="F92" s="193"/>
      <c r="G92" s="193">
        <f t="shared" si="14"/>
        <v>6137.017074742962</v>
      </c>
      <c r="H92" s="193">
        <f t="shared" si="14"/>
        <v>4693.777874742962</v>
      </c>
      <c r="I92" s="193">
        <f t="shared" si="14"/>
        <v>35.187874742962236</v>
      </c>
      <c r="J92" s="244">
        <f t="shared" si="14"/>
        <v>35.187874742962236</v>
      </c>
      <c r="K92" s="273">
        <f t="shared" si="14"/>
        <v>5498.3558747429624</v>
      </c>
      <c r="L92" s="193">
        <f t="shared" si="14"/>
        <v>6615.1568747429628</v>
      </c>
      <c r="M92" s="164" t="e">
        <f t="shared" si="14"/>
        <v>#REF!</v>
      </c>
    </row>
    <row r="93" spans="1:13" hidden="1" x14ac:dyDescent="0.3">
      <c r="A93" s="155" t="s">
        <v>228</v>
      </c>
      <c r="B93" s="161" t="s">
        <v>173</v>
      </c>
      <c r="C93" s="270" t="str">
        <f>+E93</f>
        <v>***</v>
      </c>
      <c r="D93" s="185" t="str">
        <f t="shared" ref="D93" si="15">+E93</f>
        <v>***</v>
      </c>
      <c r="E93" s="185" t="str">
        <f t="shared" ref="E93" si="16">+E89</f>
        <v>***</v>
      </c>
      <c r="F93" s="185"/>
      <c r="G93" s="185" t="str">
        <f>+E93</f>
        <v>***</v>
      </c>
      <c r="H93" s="185" t="str">
        <f>+H89</f>
        <v>***</v>
      </c>
      <c r="I93" s="243" t="str">
        <f>+H93</f>
        <v>***</v>
      </c>
      <c r="J93" s="243" t="str">
        <f>+I93</f>
        <v>***</v>
      </c>
      <c r="K93" s="267" t="str">
        <f>M93</f>
        <v>***</v>
      </c>
      <c r="L93" s="185" t="str">
        <f>+M93</f>
        <v>***</v>
      </c>
      <c r="M93" s="158" t="str">
        <f>+M89</f>
        <v>***</v>
      </c>
    </row>
    <row r="94" spans="1:13" hidden="1" x14ac:dyDescent="0.3">
      <c r="A94" s="155" t="s">
        <v>229</v>
      </c>
      <c r="B94" s="156" t="s">
        <v>230</v>
      </c>
      <c r="C94" s="277" t="s">
        <v>256</v>
      </c>
      <c r="D94" s="185" t="str">
        <f>+C94</f>
        <v>*****</v>
      </c>
      <c r="E94" s="185" t="s">
        <v>231</v>
      </c>
      <c r="F94" s="185"/>
      <c r="G94" s="185" t="str">
        <f>+E94</f>
        <v>N.A</v>
      </c>
      <c r="H94" s="185" t="s">
        <v>231</v>
      </c>
      <c r="I94" s="243" t="str">
        <f>+D94</f>
        <v>*****</v>
      </c>
      <c r="J94" s="243" t="str">
        <f>+D94</f>
        <v>*****</v>
      </c>
      <c r="K94" s="267" t="str">
        <f>+J94</f>
        <v>*****</v>
      </c>
      <c r="L94" s="185" t="s">
        <v>274</v>
      </c>
      <c r="M94" s="158" t="str">
        <f>+J94</f>
        <v>*****</v>
      </c>
    </row>
    <row r="95" spans="1:13" hidden="1" x14ac:dyDescent="0.3">
      <c r="A95" s="155" t="s">
        <v>232</v>
      </c>
      <c r="B95" s="156" t="s">
        <v>233</v>
      </c>
      <c r="C95" s="277" t="s">
        <v>257</v>
      </c>
      <c r="D95" s="185" t="str">
        <f>+C95</f>
        <v>******</v>
      </c>
      <c r="E95" s="185" t="str">
        <f>+C95</f>
        <v>******</v>
      </c>
      <c r="F95" s="185"/>
      <c r="G95" s="185" t="str">
        <f>+C95</f>
        <v>******</v>
      </c>
      <c r="H95" s="185" t="str">
        <f>+C95</f>
        <v>******</v>
      </c>
      <c r="I95" s="243" t="str">
        <f>+C95</f>
        <v>******</v>
      </c>
      <c r="J95" s="243" t="str">
        <f>+C95</f>
        <v>******</v>
      </c>
      <c r="K95" s="267" t="str">
        <f>+C95</f>
        <v>******</v>
      </c>
      <c r="L95" s="185" t="str">
        <f>+C95</f>
        <v>******</v>
      </c>
      <c r="M95" s="158" t="str">
        <f>+C95</f>
        <v>******</v>
      </c>
    </row>
    <row r="96" spans="1:13" ht="15.75" hidden="1" thickBot="1" x14ac:dyDescent="0.35">
      <c r="A96" s="166" t="s">
        <v>234</v>
      </c>
      <c r="B96" s="167" t="s">
        <v>235</v>
      </c>
      <c r="C96" s="278"/>
      <c r="D96" s="195"/>
      <c r="E96" s="195"/>
      <c r="F96" s="195"/>
      <c r="G96" s="195"/>
      <c r="H96" s="195"/>
      <c r="I96" s="245"/>
      <c r="J96" s="245"/>
      <c r="K96" s="429"/>
      <c r="L96" s="430"/>
      <c r="M96" s="431"/>
    </row>
    <row r="97" spans="1:13" hidden="1" x14ac:dyDescent="0.3">
      <c r="A97" s="171"/>
      <c r="B97" s="172"/>
      <c r="C97" s="172"/>
      <c r="D97" s="173"/>
      <c r="E97" s="173"/>
      <c r="F97" s="173"/>
      <c r="G97" s="173"/>
      <c r="H97" s="173"/>
      <c r="I97" s="173"/>
      <c r="J97" s="173"/>
      <c r="K97" s="173"/>
      <c r="L97" s="173"/>
      <c r="M97" s="173"/>
    </row>
    <row r="98" spans="1:13" hidden="1" x14ac:dyDescent="0.3">
      <c r="A98" s="171"/>
      <c r="B98" s="172"/>
      <c r="C98" s="172"/>
      <c r="D98" s="173"/>
      <c r="E98" s="173"/>
      <c r="F98" s="173"/>
      <c r="G98" s="173"/>
      <c r="H98" s="173"/>
      <c r="I98" s="173"/>
      <c r="J98" s="173"/>
      <c r="K98" s="173"/>
      <c r="L98" s="173"/>
      <c r="M98" s="173"/>
    </row>
    <row r="99" spans="1:13" x14ac:dyDescent="0.3">
      <c r="A99" s="171"/>
      <c r="B99" s="172"/>
      <c r="C99" s="172"/>
      <c r="D99" s="173"/>
      <c r="E99" s="173"/>
      <c r="F99" s="173"/>
      <c r="G99" s="173"/>
      <c r="H99" s="173"/>
      <c r="I99" s="173"/>
      <c r="J99" s="173"/>
      <c r="K99" s="173"/>
      <c r="L99" s="173"/>
      <c r="M99" s="173"/>
    </row>
    <row r="100" spans="1:13" x14ac:dyDescent="0.3">
      <c r="A100" s="171"/>
      <c r="B100" s="172"/>
      <c r="C100" s="172"/>
      <c r="D100" s="173"/>
      <c r="E100" s="173"/>
      <c r="F100" s="173"/>
      <c r="G100" s="173"/>
      <c r="H100" s="173"/>
      <c r="I100" s="173"/>
      <c r="J100" s="173"/>
      <c r="K100" s="173"/>
      <c r="L100" s="173"/>
      <c r="M100" s="173"/>
    </row>
    <row r="101" spans="1:13" x14ac:dyDescent="0.3">
      <c r="A101" s="171"/>
      <c r="B101" s="172"/>
      <c r="C101" s="172"/>
      <c r="D101" s="173"/>
      <c r="E101" s="173"/>
      <c r="F101" s="173"/>
      <c r="G101" s="173"/>
      <c r="H101" s="173"/>
      <c r="I101" s="173"/>
      <c r="J101" s="173"/>
      <c r="K101" s="173"/>
      <c r="L101" s="173"/>
      <c r="M101" s="173"/>
    </row>
    <row r="102" spans="1:13" x14ac:dyDescent="0.3">
      <c r="A102" s="171"/>
      <c r="B102" s="286" t="s">
        <v>248</v>
      </c>
      <c r="C102" s="172"/>
      <c r="D102" s="173"/>
      <c r="E102" s="173"/>
      <c r="F102" s="173"/>
      <c r="G102" s="173"/>
      <c r="H102" s="173"/>
      <c r="I102" s="173"/>
      <c r="J102" s="173"/>
      <c r="K102" s="173"/>
      <c r="L102" s="173"/>
      <c r="M102" s="173"/>
    </row>
    <row r="103" spans="1:13" x14ac:dyDescent="0.3">
      <c r="A103" s="171"/>
      <c r="B103" s="172"/>
      <c r="C103" s="172"/>
      <c r="D103" s="173"/>
      <c r="E103" s="173"/>
      <c r="F103" s="173"/>
      <c r="G103" s="173"/>
      <c r="H103" s="173"/>
      <c r="I103" s="173"/>
      <c r="J103" s="173"/>
      <c r="K103" s="173"/>
      <c r="L103" s="173"/>
      <c r="M103" s="173"/>
    </row>
    <row r="104" spans="1:13" ht="19.649999999999999" customHeight="1" x14ac:dyDescent="0.3">
      <c r="A104" s="174" t="s">
        <v>210</v>
      </c>
      <c r="B104" s="706" t="str">
        <f>+BOYACA!B29</f>
        <v>De acuerdo con lo establecido en la Resolución MME 91349 de 2014</v>
      </c>
      <c r="C104" s="706"/>
      <c r="D104" s="706"/>
      <c r="E104" s="706"/>
      <c r="F104" s="706"/>
      <c r="G104" s="706"/>
      <c r="H104" s="706"/>
      <c r="I104" s="706"/>
      <c r="J104" s="706"/>
      <c r="K104" s="706"/>
      <c r="L104" s="173"/>
      <c r="M104" s="173"/>
    </row>
    <row r="105" spans="1:13" ht="24.75" customHeight="1" x14ac:dyDescent="0.3">
      <c r="A105" s="174" t="s">
        <v>237</v>
      </c>
      <c r="B105" s="689" t="s">
        <v>292</v>
      </c>
      <c r="C105" s="689"/>
      <c r="D105" s="689"/>
      <c r="E105" s="689"/>
      <c r="F105" s="689"/>
      <c r="G105" s="689"/>
      <c r="H105" s="689"/>
      <c r="I105" s="689"/>
      <c r="J105" s="689"/>
      <c r="K105" s="689"/>
      <c r="L105" s="173"/>
      <c r="M105" s="173"/>
    </row>
    <row r="106" spans="1:13" ht="39.15" customHeight="1" x14ac:dyDescent="0.3">
      <c r="A106" s="174" t="s">
        <v>136</v>
      </c>
      <c r="B106" s="706" t="s">
        <v>357</v>
      </c>
      <c r="C106" s="706"/>
      <c r="D106" s="706"/>
      <c r="E106" s="706"/>
      <c r="F106" s="706"/>
      <c r="G106" s="706"/>
      <c r="H106" s="706"/>
      <c r="I106" s="706"/>
      <c r="J106" s="706"/>
      <c r="K106" s="706"/>
      <c r="L106" s="173"/>
      <c r="M106" s="173"/>
    </row>
    <row r="107" spans="1:13" ht="7.55" customHeight="1" x14ac:dyDescent="0.3">
      <c r="A107" s="174"/>
      <c r="B107" s="229"/>
      <c r="C107" s="229"/>
      <c r="D107" s="229"/>
      <c r="E107" s="229"/>
      <c r="F107" s="607"/>
      <c r="G107" s="229"/>
      <c r="H107" s="229"/>
      <c r="I107" s="229"/>
      <c r="J107" s="229"/>
      <c r="K107" s="229"/>
      <c r="L107" s="173"/>
      <c r="M107" s="173"/>
    </row>
    <row r="108" spans="1:13" ht="25.55" customHeight="1" x14ac:dyDescent="0.3">
      <c r="A108" s="280">
        <v>2</v>
      </c>
      <c r="B108" s="723" t="s">
        <v>286</v>
      </c>
      <c r="C108" s="723"/>
      <c r="D108" s="723"/>
      <c r="E108" s="723"/>
      <c r="F108" s="723"/>
      <c r="G108" s="723"/>
      <c r="H108" s="723"/>
      <c r="I108" s="723"/>
      <c r="J108" s="723"/>
      <c r="K108" s="723"/>
      <c r="L108" s="723"/>
      <c r="M108" s="723"/>
    </row>
    <row r="109" spans="1:13" x14ac:dyDescent="0.3">
      <c r="A109" s="174"/>
      <c r="B109" s="196" t="s">
        <v>171</v>
      </c>
      <c r="C109" s="196"/>
      <c r="D109" s="227"/>
      <c r="E109" s="227"/>
      <c r="F109" s="227"/>
      <c r="G109" s="227"/>
      <c r="H109" s="227"/>
      <c r="I109" s="227"/>
      <c r="J109" s="227"/>
      <c r="K109" s="227"/>
      <c r="L109" s="227"/>
      <c r="M109" s="227"/>
    </row>
    <row r="110" spans="1:13" x14ac:dyDescent="0.3">
      <c r="A110" s="197" t="s">
        <v>103</v>
      </c>
      <c r="B110" s="688" t="s">
        <v>249</v>
      </c>
      <c r="C110" s="688"/>
      <c r="D110" s="688"/>
      <c r="E110" s="688"/>
      <c r="F110" s="688"/>
      <c r="G110" s="688"/>
      <c r="H110" s="688"/>
      <c r="I110" s="688"/>
      <c r="J110" s="688"/>
      <c r="K110" s="688"/>
      <c r="L110" s="281"/>
      <c r="M110" s="281"/>
    </row>
    <row r="111" spans="1:13" x14ac:dyDescent="0.3">
      <c r="A111" s="197" t="s">
        <v>250</v>
      </c>
      <c r="B111" s="688" t="s">
        <v>282</v>
      </c>
      <c r="C111" s="688"/>
      <c r="D111" s="688"/>
      <c r="E111" s="688"/>
      <c r="F111" s="688"/>
      <c r="G111" s="688"/>
      <c r="H111" s="688"/>
      <c r="I111" s="688"/>
      <c r="J111" s="688"/>
      <c r="K111" s="688"/>
      <c r="L111" s="688"/>
      <c r="M111" s="688"/>
    </row>
    <row r="112" spans="1:13" x14ac:dyDescent="0.3">
      <c r="A112" s="197" t="s">
        <v>252</v>
      </c>
      <c r="B112" s="688" t="s">
        <v>293</v>
      </c>
      <c r="C112" s="688"/>
      <c r="D112" s="688"/>
      <c r="E112" s="688"/>
      <c r="F112" s="688"/>
      <c r="G112" s="688"/>
      <c r="H112" s="688"/>
      <c r="I112" s="688"/>
      <c r="J112" s="688"/>
      <c r="K112" s="688"/>
      <c r="L112" s="688"/>
      <c r="M112" s="688"/>
    </row>
    <row r="113" spans="1:13" ht="17.7" customHeight="1" x14ac:dyDescent="0.3">
      <c r="A113" s="197" t="s">
        <v>254</v>
      </c>
      <c r="B113" s="688" t="s">
        <v>505</v>
      </c>
      <c r="C113" s="688"/>
      <c r="D113" s="688"/>
      <c r="E113" s="688"/>
      <c r="F113" s="688"/>
      <c r="G113" s="688"/>
      <c r="H113" s="688"/>
      <c r="I113" s="688"/>
      <c r="J113" s="688"/>
      <c r="K113" s="688"/>
      <c r="L113" s="688"/>
      <c r="M113" s="688"/>
    </row>
    <row r="114" spans="1:13" x14ac:dyDescent="0.3">
      <c r="A114" s="197" t="s">
        <v>256</v>
      </c>
      <c r="B114" s="688" t="s">
        <v>258</v>
      </c>
      <c r="C114" s="688"/>
      <c r="D114" s="688"/>
      <c r="E114" s="688"/>
      <c r="F114" s="688"/>
      <c r="G114" s="688"/>
      <c r="H114" s="688"/>
      <c r="I114" s="688"/>
      <c r="J114" s="688"/>
      <c r="K114" s="202"/>
      <c r="L114" s="282"/>
      <c r="M114" s="282"/>
    </row>
    <row r="115" spans="1:13" x14ac:dyDescent="0.3">
      <c r="A115" s="197" t="s">
        <v>257</v>
      </c>
      <c r="B115" s="688" t="s">
        <v>288</v>
      </c>
      <c r="C115" s="688"/>
      <c r="D115" s="688"/>
      <c r="E115" s="688"/>
      <c r="F115" s="688"/>
      <c r="G115" s="688"/>
      <c r="H115" s="688"/>
      <c r="I115" s="688"/>
      <c r="J115" s="688"/>
      <c r="K115" s="688"/>
      <c r="L115" s="688"/>
      <c r="M115" s="688"/>
    </row>
    <row r="116" spans="1:13" ht="38.65" customHeight="1" x14ac:dyDescent="0.3">
      <c r="A116" s="262"/>
      <c r="B116" s="688" t="s">
        <v>510</v>
      </c>
      <c r="C116" s="688"/>
      <c r="D116" s="688"/>
      <c r="E116" s="688"/>
      <c r="F116" s="688"/>
      <c r="G116" s="688"/>
      <c r="H116" s="688"/>
      <c r="I116" s="688"/>
      <c r="J116" s="688"/>
      <c r="K116" s="263"/>
      <c r="L116" s="263"/>
      <c r="M116" s="263"/>
    </row>
    <row r="117" spans="1:13" ht="45.85" customHeight="1" x14ac:dyDescent="0.3">
      <c r="A117" s="262"/>
      <c r="B117" s="565"/>
      <c r="C117" s="565"/>
      <c r="D117" s="565"/>
      <c r="E117" s="565"/>
      <c r="F117" s="605"/>
      <c r="G117" s="565"/>
      <c r="H117" s="565"/>
      <c r="I117" s="565"/>
      <c r="J117" s="565"/>
      <c r="K117" s="263"/>
      <c r="L117" s="263"/>
      <c r="M117" s="263"/>
    </row>
    <row r="118" spans="1:13" ht="87.9" customHeight="1" x14ac:dyDescent="0.3">
      <c r="A118" s="690" t="s">
        <v>160</v>
      </c>
      <c r="B118" s="690"/>
      <c r="C118" s="690"/>
      <c r="D118" s="690"/>
      <c r="E118" s="690"/>
      <c r="F118" s="690"/>
      <c r="G118" s="690"/>
      <c r="H118" s="690"/>
      <c r="I118" s="690"/>
      <c r="J118" s="690"/>
      <c r="K118" s="690"/>
    </row>
  </sheetData>
  <sheetProtection algorithmName="SHA-512" hashValue="Mp3kstXJNdBUYwzSj4IFW34/Je80OjCBKIASelSXtYcWfPHwapVmfRfzKry6a7ixxRF3qHg70VkZH88vS6tbnA==" saltValue="ae3cW2lpH8scuxSolGLZxA==" spinCount="100000" sheet="1" objects="1" scenarios="1"/>
  <mergeCells count="40">
    <mergeCell ref="B116:J116"/>
    <mergeCell ref="C75:J76"/>
    <mergeCell ref="K75:M76"/>
    <mergeCell ref="A77:A79"/>
    <mergeCell ref="B77:B79"/>
    <mergeCell ref="C77:C78"/>
    <mergeCell ref="H77:H78"/>
    <mergeCell ref="I77:I78"/>
    <mergeCell ref="B110:K110"/>
    <mergeCell ref="K51:M52"/>
    <mergeCell ref="A53:A55"/>
    <mergeCell ref="B53:B55"/>
    <mergeCell ref="C53:C54"/>
    <mergeCell ref="H53:H54"/>
    <mergeCell ref="I53:I54"/>
    <mergeCell ref="H27:H28"/>
    <mergeCell ref="C27:G28"/>
    <mergeCell ref="C3:J4"/>
    <mergeCell ref="K3:M4"/>
    <mergeCell ref="A5:A7"/>
    <mergeCell ref="B5:B7"/>
    <mergeCell ref="C5:C6"/>
    <mergeCell ref="H5:H6"/>
    <mergeCell ref="I5:I6"/>
    <mergeCell ref="A118:K118"/>
    <mergeCell ref="I29:I30"/>
    <mergeCell ref="B104:K104"/>
    <mergeCell ref="B106:K106"/>
    <mergeCell ref="B115:M115"/>
    <mergeCell ref="B111:M111"/>
    <mergeCell ref="B112:M112"/>
    <mergeCell ref="B113:M113"/>
    <mergeCell ref="B114:J114"/>
    <mergeCell ref="A29:A31"/>
    <mergeCell ref="B29:B31"/>
    <mergeCell ref="C29:C30"/>
    <mergeCell ref="G29:G30"/>
    <mergeCell ref="B108:M108"/>
    <mergeCell ref="B105:K105"/>
    <mergeCell ref="C51:J52"/>
  </mergeCells>
  <hyperlinks>
    <hyperlink ref="B109" location="Nota" display="Ver Nota Informativa" xr:uid="{00000000-0004-0000-0B00-000000000000}"/>
    <hyperlink ref="B102" location="CESAR!A66" display="Ver Nota Informativa" xr:uid="{00000000-0004-0000-0B00-000001000000}"/>
  </hyperlinks>
  <pageMargins left="0.7" right="0.7" top="0.75" bottom="0.75" header="0.3" footer="0.3"/>
  <pageSetup orientation="portrait" r:id="rId1"/>
  <ignoredErrors>
    <ignoredError sqref="C17:C19 M15 G12:M14 D13:E14 C12:E12" numberStoredAsText="1"/>
    <ignoredError sqref="D41:D48 G20:M20 M41:M48 I41:J48 C20:E20" formula="1"/>
    <ignoredError sqref="G17:M19 G21:M23 H16:M16 C21:E23 D16:E19"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K41"/>
  <sheetViews>
    <sheetView zoomScale="85" zoomScaleNormal="85" workbookViewId="0">
      <selection activeCell="F13" sqref="F13"/>
    </sheetView>
  </sheetViews>
  <sheetFormatPr baseColWidth="10" defaultColWidth="45" defaultRowHeight="15.05" x14ac:dyDescent="0.3"/>
  <cols>
    <col min="1" max="1" width="7" customWidth="1"/>
    <col min="2" max="2" width="48" customWidth="1"/>
    <col min="3" max="4" width="15.33203125" bestFit="1" customWidth="1"/>
    <col min="5" max="5" width="15.33203125" hidden="1" customWidth="1"/>
    <col min="6" max="6" width="15.109375" customWidth="1"/>
    <col min="7" max="7" width="15" customWidth="1"/>
    <col min="8" max="8" width="17.21875" customWidth="1"/>
    <col min="9" max="9" width="19.109375" customWidth="1"/>
    <col min="10" max="10" width="33.109375" customWidth="1"/>
    <col min="11" max="11" width="17.33203125" hidden="1" customWidth="1"/>
  </cols>
  <sheetData>
    <row r="1" spans="1:11" x14ac:dyDescent="0.3">
      <c r="A1" s="262" t="s">
        <v>171</v>
      </c>
      <c r="B1" s="151" t="str">
        <f>+AMAZONAS!C1</f>
        <v>Vigencia: 14 de Agosto de 2021; 00:00 horas</v>
      </c>
      <c r="C1" s="151"/>
      <c r="D1" s="263"/>
      <c r="E1" s="263"/>
      <c r="F1" s="263"/>
      <c r="G1" s="263"/>
      <c r="H1" s="263"/>
      <c r="I1" s="263"/>
    </row>
    <row r="2" spans="1:11" ht="15.75" thickBot="1" x14ac:dyDescent="0.35">
      <c r="A2" s="177" t="s">
        <v>199</v>
      </c>
      <c r="B2" s="178"/>
      <c r="C2" s="178"/>
      <c r="D2" s="178"/>
      <c r="E2" s="178"/>
      <c r="F2" s="178"/>
      <c r="G2" s="178"/>
      <c r="H2" s="264"/>
      <c r="I2" s="178"/>
    </row>
    <row r="3" spans="1:11" ht="15.75" thickTop="1" x14ac:dyDescent="0.3">
      <c r="A3" s="207"/>
      <c r="B3" s="180" t="s">
        <v>296</v>
      </c>
      <c r="C3" s="697" t="s">
        <v>200</v>
      </c>
      <c r="D3" s="698"/>
      <c r="E3" s="698"/>
      <c r="F3" s="698"/>
      <c r="G3" s="698"/>
      <c r="H3" s="724" t="s">
        <v>270</v>
      </c>
      <c r="I3" s="729"/>
    </row>
    <row r="4" spans="1:11" ht="73.349999999999994" customHeight="1" x14ac:dyDescent="0.3">
      <c r="A4" s="181"/>
      <c r="B4" s="292" t="s">
        <v>511</v>
      </c>
      <c r="C4" s="699"/>
      <c r="D4" s="700"/>
      <c r="E4" s="700"/>
      <c r="F4" s="700"/>
      <c r="G4" s="700"/>
      <c r="H4" s="734"/>
      <c r="I4" s="735"/>
    </row>
    <row r="5" spans="1:11" ht="38.299999999999997" customHeight="1" x14ac:dyDescent="0.3">
      <c r="A5" s="691" t="s">
        <v>201</v>
      </c>
      <c r="B5" s="693" t="s">
        <v>202</v>
      </c>
      <c r="C5" s="695" t="s">
        <v>261</v>
      </c>
      <c r="D5" s="183" t="s">
        <v>97</v>
      </c>
      <c r="E5" s="183" t="s">
        <v>191</v>
      </c>
      <c r="F5" s="183" t="s">
        <v>435</v>
      </c>
      <c r="G5" s="736" t="s">
        <v>289</v>
      </c>
      <c r="H5" s="299" t="s">
        <v>97</v>
      </c>
      <c r="I5" s="300" t="str">
        <f>+F5</f>
        <v>Biodiesel B10</v>
      </c>
    </row>
    <row r="6" spans="1:11" x14ac:dyDescent="0.3">
      <c r="A6" s="691"/>
      <c r="B6" s="693"/>
      <c r="C6" s="696"/>
      <c r="D6" s="609">
        <v>0.08</v>
      </c>
      <c r="E6" s="201">
        <v>0.02</v>
      </c>
      <c r="F6" s="419">
        <v>0.1</v>
      </c>
      <c r="G6" s="737"/>
      <c r="H6" s="609">
        <v>0.08</v>
      </c>
      <c r="I6" s="301">
        <f>+F6</f>
        <v>0.1</v>
      </c>
    </row>
    <row r="7" spans="1:11" x14ac:dyDescent="0.3">
      <c r="A7" s="692"/>
      <c r="B7" s="694"/>
      <c r="C7" s="153" t="s">
        <v>203</v>
      </c>
      <c r="D7" s="183" t="s">
        <v>203</v>
      </c>
      <c r="E7" s="183" t="s">
        <v>203</v>
      </c>
      <c r="F7" s="183" t="s">
        <v>203</v>
      </c>
      <c r="G7" s="265" t="s">
        <v>203</v>
      </c>
      <c r="H7" s="299" t="s">
        <v>203</v>
      </c>
      <c r="I7" s="300" t="s">
        <v>203</v>
      </c>
    </row>
    <row r="8" spans="1:11" x14ac:dyDescent="0.3">
      <c r="A8" s="155" t="s">
        <v>204</v>
      </c>
      <c r="B8" s="161" t="s">
        <v>205</v>
      </c>
      <c r="C8" s="284">
        <f>+'Calculo IP ZDF'!B33</f>
        <v>4576.6575599999996</v>
      </c>
      <c r="D8" s="284">
        <f>+'Calculo IP ZDF'!H33</f>
        <v>4916.7649551999993</v>
      </c>
      <c r="E8" s="284">
        <f>+'Calculo IP ZDF'!F33</f>
        <v>4467.6149999999998</v>
      </c>
      <c r="F8" s="284">
        <f>+'Calculo IP ZDF'!I33</f>
        <v>5462.5650758000002</v>
      </c>
      <c r="G8" s="231">
        <f>+'Calculo IP ZDF'!C33</f>
        <v>4218.8778620000003</v>
      </c>
      <c r="H8" s="304">
        <f>+'GAS CTE'!E9</f>
        <v>4946.4399999999996</v>
      </c>
      <c r="I8" s="239">
        <f>+BIODIESEL!G9</f>
        <v>5697.2049999999999</v>
      </c>
    </row>
    <row r="9" spans="1:11" x14ac:dyDescent="0.3">
      <c r="A9" s="155" t="s">
        <v>206</v>
      </c>
      <c r="B9" s="161" t="s">
        <v>207</v>
      </c>
      <c r="C9" s="211" t="str">
        <f>+E9</f>
        <v>------------------</v>
      </c>
      <c r="D9" s="211" t="s">
        <v>208</v>
      </c>
      <c r="E9" s="211" t="s">
        <v>208</v>
      </c>
      <c r="F9" s="211" t="s">
        <v>208</v>
      </c>
      <c r="G9" s="268" t="s">
        <v>208</v>
      </c>
      <c r="H9" s="269">
        <f>+'GAS CTE'!E10</f>
        <v>510.64599999999996</v>
      </c>
      <c r="I9" s="232">
        <f>+BIODIESEL!G10</f>
        <v>478.14</v>
      </c>
    </row>
    <row r="10" spans="1:11" x14ac:dyDescent="0.3">
      <c r="A10" s="155"/>
      <c r="B10" s="161" t="s">
        <v>135</v>
      </c>
      <c r="C10" s="211" t="str">
        <f>+E10</f>
        <v>------------------</v>
      </c>
      <c r="D10" s="211" t="s">
        <v>208</v>
      </c>
      <c r="E10" s="211" t="s">
        <v>208</v>
      </c>
      <c r="F10" s="211" t="s">
        <v>208</v>
      </c>
      <c r="G10" s="268" t="s">
        <v>208</v>
      </c>
      <c r="H10" s="269" t="s">
        <v>136</v>
      </c>
      <c r="I10" s="232" t="s">
        <v>136</v>
      </c>
    </row>
    <row r="11" spans="1:11" x14ac:dyDescent="0.3">
      <c r="A11" s="155"/>
      <c r="B11" s="161" t="s">
        <v>137</v>
      </c>
      <c r="C11" s="270" t="str">
        <f>+VAUPES!C11</f>
        <v>(4)</v>
      </c>
      <c r="D11" s="270" t="str">
        <f>+C11</f>
        <v>(4)</v>
      </c>
      <c r="E11" s="270" t="str">
        <f>+C11</f>
        <v>(4)</v>
      </c>
      <c r="F11" s="270" t="str">
        <f>+C11</f>
        <v>(4)</v>
      </c>
      <c r="G11" s="231" t="str">
        <f>+C11</f>
        <v>(4)</v>
      </c>
      <c r="H11" s="269" t="str">
        <f>+C11</f>
        <v>(4)</v>
      </c>
      <c r="I11" s="232" t="str">
        <f>+D11</f>
        <v>(4)</v>
      </c>
    </row>
    <row r="12" spans="1:11" x14ac:dyDescent="0.3">
      <c r="A12" s="155" t="s">
        <v>209</v>
      </c>
      <c r="B12" s="161" t="s">
        <v>291</v>
      </c>
      <c r="C12" s="287" t="s">
        <v>237</v>
      </c>
      <c r="D12" s="211" t="str">
        <f>+C12</f>
        <v>(2)</v>
      </c>
      <c r="E12" s="211" t="str">
        <f>+C12</f>
        <v>(2)</v>
      </c>
      <c r="F12" s="211" t="str">
        <f>+C12</f>
        <v>(2)</v>
      </c>
      <c r="G12" s="243" t="str">
        <f>+C12</f>
        <v>(2)</v>
      </c>
      <c r="H12" s="269" t="str">
        <f>+C12</f>
        <v>(2)</v>
      </c>
      <c r="I12" s="232" t="str">
        <f>+D12</f>
        <v>(2)</v>
      </c>
    </row>
    <row r="13" spans="1:11" x14ac:dyDescent="0.3">
      <c r="A13" s="155" t="s">
        <v>211</v>
      </c>
      <c r="B13" s="161" t="s">
        <v>212</v>
      </c>
      <c r="C13" s="270">
        <f>+RUBROS!Z13</f>
        <v>22.249601678692599</v>
      </c>
      <c r="D13" s="185">
        <f>+C13</f>
        <v>22.249601678692599</v>
      </c>
      <c r="E13" s="185">
        <f>+C13</f>
        <v>22.249601678692599</v>
      </c>
      <c r="F13" s="185">
        <f>+C13</f>
        <v>22.249601678692599</v>
      </c>
      <c r="G13" s="243">
        <f>+C13</f>
        <v>22.249601678692599</v>
      </c>
      <c r="H13" s="267">
        <f>+C13</f>
        <v>22.249601678692599</v>
      </c>
      <c r="I13" s="158">
        <f>+C13</f>
        <v>22.249601678692599</v>
      </c>
      <c r="K13" s="474" t="s">
        <v>456</v>
      </c>
    </row>
    <row r="14" spans="1:11" x14ac:dyDescent="0.3">
      <c r="A14" s="155" t="s">
        <v>215</v>
      </c>
      <c r="B14" s="161" t="s">
        <v>216</v>
      </c>
      <c r="C14" s="270">
        <f>+RUBROS!AP43</f>
        <v>12.938273064269636</v>
      </c>
      <c r="D14" s="185">
        <f>+C14</f>
        <v>12.938273064269636</v>
      </c>
      <c r="E14" s="185">
        <f>+C14</f>
        <v>12.938273064269636</v>
      </c>
      <c r="F14" s="185">
        <f>+C14</f>
        <v>12.938273064269636</v>
      </c>
      <c r="G14" s="243">
        <f>+C14</f>
        <v>12.938273064269636</v>
      </c>
      <c r="H14" s="267">
        <f>+C14</f>
        <v>12.938273064269636</v>
      </c>
      <c r="I14" s="158">
        <f>+H14</f>
        <v>12.938273064269636</v>
      </c>
      <c r="K14" s="474" t="s">
        <v>456</v>
      </c>
    </row>
    <row r="15" spans="1:11" ht="14.25" hidden="1" customHeight="1" x14ac:dyDescent="0.3">
      <c r="A15" s="155"/>
      <c r="B15" s="161" t="s">
        <v>217</v>
      </c>
      <c r="C15" s="270"/>
      <c r="D15" s="185"/>
      <c r="E15" s="185"/>
      <c r="F15" s="185"/>
      <c r="G15" s="243"/>
      <c r="H15" s="267"/>
      <c r="I15" s="158"/>
      <c r="K15" t="s">
        <v>458</v>
      </c>
    </row>
    <row r="16" spans="1:11" x14ac:dyDescent="0.3">
      <c r="A16" s="162" t="s">
        <v>218</v>
      </c>
      <c r="B16" s="192" t="s">
        <v>219</v>
      </c>
      <c r="C16" s="271">
        <f>SUM(C8:C15)</f>
        <v>4611.8454347429615</v>
      </c>
      <c r="D16" s="271">
        <f t="shared" ref="D16:I16" si="0">SUM(D8:D15)</f>
        <v>4951.9528299429612</v>
      </c>
      <c r="E16" s="271">
        <f t="shared" si="0"/>
        <v>4502.8028747429616</v>
      </c>
      <c r="F16" s="271">
        <f t="shared" si="0"/>
        <v>5497.752950542962</v>
      </c>
      <c r="G16" s="272">
        <f t="shared" si="0"/>
        <v>4254.0657367429621</v>
      </c>
      <c r="H16" s="273">
        <f t="shared" si="0"/>
        <v>5492.2738747429612</v>
      </c>
      <c r="I16" s="274">
        <f t="shared" si="0"/>
        <v>6210.5328747429621</v>
      </c>
    </row>
    <row r="17" spans="1:9" x14ac:dyDescent="0.3">
      <c r="A17" s="155" t="s">
        <v>220</v>
      </c>
      <c r="B17" s="161" t="s">
        <v>285</v>
      </c>
      <c r="C17" s="288" t="s">
        <v>252</v>
      </c>
      <c r="D17" s="185" t="str">
        <f>+C17</f>
        <v>***</v>
      </c>
      <c r="E17" s="185" t="str">
        <f>+C17</f>
        <v>***</v>
      </c>
      <c r="F17" s="185" t="str">
        <f>+E17</f>
        <v>***</v>
      </c>
      <c r="G17" s="243" t="str">
        <f>+E17</f>
        <v>***</v>
      </c>
      <c r="H17" s="267" t="str">
        <f>+G17</f>
        <v>***</v>
      </c>
      <c r="I17" s="158" t="str">
        <f>+G17</f>
        <v>***</v>
      </c>
    </row>
    <row r="18" spans="1:9" x14ac:dyDescent="0.3">
      <c r="A18" s="155" t="s">
        <v>222</v>
      </c>
      <c r="B18" s="161" t="s">
        <v>223</v>
      </c>
      <c r="C18" s="287" t="s">
        <v>250</v>
      </c>
      <c r="D18" s="185" t="str">
        <f>+C18</f>
        <v>**</v>
      </c>
      <c r="E18" s="185" t="str">
        <f>+C18</f>
        <v>**</v>
      </c>
      <c r="F18" s="185" t="str">
        <f>+C18</f>
        <v>**</v>
      </c>
      <c r="G18" s="243" t="str">
        <f>+C18</f>
        <v>**</v>
      </c>
      <c r="H18" s="267" t="str">
        <f>+C18</f>
        <v>**</v>
      </c>
      <c r="I18" s="158" t="str">
        <f>+H18</f>
        <v>**</v>
      </c>
    </row>
    <row r="19" spans="1:9" x14ac:dyDescent="0.3">
      <c r="A19" s="155" t="s">
        <v>224</v>
      </c>
      <c r="B19" s="230" t="s">
        <v>142</v>
      </c>
      <c r="C19" s="275" t="str">
        <f>+E19</f>
        <v>****</v>
      </c>
      <c r="D19" s="185" t="str">
        <f t="shared" ref="D19:D21" si="1">+E19</f>
        <v>****</v>
      </c>
      <c r="E19" s="191" t="str">
        <f>+A37</f>
        <v>****</v>
      </c>
      <c r="F19" s="191" t="str">
        <f>+E19</f>
        <v>****</v>
      </c>
      <c r="G19" s="231" t="str">
        <f>+A37</f>
        <v>****</v>
      </c>
      <c r="H19" s="290" t="str">
        <f>C19</f>
        <v>****</v>
      </c>
      <c r="I19" s="158" t="str">
        <f>+H19</f>
        <v>****</v>
      </c>
    </row>
    <row r="20" spans="1:9" x14ac:dyDescent="0.3">
      <c r="A20" s="162" t="s">
        <v>226</v>
      </c>
      <c r="B20" s="192" t="s">
        <v>227</v>
      </c>
      <c r="C20" s="276">
        <f t="shared" ref="C20:I20" si="2">+C16</f>
        <v>4611.8454347429615</v>
      </c>
      <c r="D20" s="193">
        <f t="shared" si="2"/>
        <v>4951.9528299429612</v>
      </c>
      <c r="E20" s="193">
        <f t="shared" si="2"/>
        <v>4502.8028747429616</v>
      </c>
      <c r="F20" s="193">
        <f t="shared" si="2"/>
        <v>5497.752950542962</v>
      </c>
      <c r="G20" s="244">
        <f t="shared" si="2"/>
        <v>4254.0657367429621</v>
      </c>
      <c r="H20" s="273">
        <f t="shared" si="2"/>
        <v>5492.2738747429612</v>
      </c>
      <c r="I20" s="164">
        <f t="shared" si="2"/>
        <v>6210.5328747429621</v>
      </c>
    </row>
    <row r="21" spans="1:9" x14ac:dyDescent="0.3">
      <c r="A21" s="155" t="s">
        <v>228</v>
      </c>
      <c r="B21" s="161" t="s">
        <v>173</v>
      </c>
      <c r="C21" s="270" t="str">
        <f>+E21</f>
        <v>***</v>
      </c>
      <c r="D21" s="185" t="str">
        <f t="shared" si="1"/>
        <v>***</v>
      </c>
      <c r="E21" s="185" t="str">
        <f t="shared" ref="E21" si="3">+E17</f>
        <v>***</v>
      </c>
      <c r="F21" s="185" t="str">
        <f>+E21</f>
        <v>***</v>
      </c>
      <c r="G21" s="243" t="str">
        <f>+G17</f>
        <v>***</v>
      </c>
      <c r="H21" s="267" t="str">
        <f>+G21</f>
        <v>***</v>
      </c>
      <c r="I21" s="158" t="str">
        <f>+C21</f>
        <v>***</v>
      </c>
    </row>
    <row r="22" spans="1:9" x14ac:dyDescent="0.3">
      <c r="A22" s="155" t="s">
        <v>229</v>
      </c>
      <c r="B22" s="156" t="s">
        <v>230</v>
      </c>
      <c r="C22" s="277" t="s">
        <v>256</v>
      </c>
      <c r="D22" s="185" t="str">
        <f>+C22</f>
        <v>*****</v>
      </c>
      <c r="E22" s="185" t="s">
        <v>231</v>
      </c>
      <c r="F22" s="185" t="str">
        <f>+E22</f>
        <v>N.A</v>
      </c>
      <c r="G22" s="243" t="s">
        <v>231</v>
      </c>
      <c r="H22" s="267" t="str">
        <f>+D22</f>
        <v>*****</v>
      </c>
      <c r="I22" s="158" t="s">
        <v>274</v>
      </c>
    </row>
    <row r="23" spans="1:9" ht="24.75" customHeight="1" x14ac:dyDescent="0.3">
      <c r="A23" s="155" t="s">
        <v>232</v>
      </c>
      <c r="B23" s="156" t="s">
        <v>233</v>
      </c>
      <c r="C23" s="277" t="s">
        <v>257</v>
      </c>
      <c r="D23" s="185" t="str">
        <f>+C23</f>
        <v>******</v>
      </c>
      <c r="E23" s="185" t="str">
        <f>+C23</f>
        <v>******</v>
      </c>
      <c r="F23" s="185" t="str">
        <f>+C23</f>
        <v>******</v>
      </c>
      <c r="G23" s="243" t="str">
        <f>+C23</f>
        <v>******</v>
      </c>
      <c r="H23" s="305" t="str">
        <f>+C23</f>
        <v>******</v>
      </c>
      <c r="I23" s="306" t="str">
        <f>+C23</f>
        <v>******</v>
      </c>
    </row>
    <row r="24" spans="1:9" ht="15.75" thickBot="1" x14ac:dyDescent="0.35">
      <c r="A24" s="166" t="s">
        <v>234</v>
      </c>
      <c r="B24" s="167" t="s">
        <v>235</v>
      </c>
      <c r="C24" s="278"/>
      <c r="D24" s="195"/>
      <c r="E24" s="195"/>
      <c r="F24" s="195"/>
      <c r="G24" s="245"/>
      <c r="H24" s="302"/>
      <c r="I24" s="303"/>
    </row>
    <row r="25" spans="1:9" ht="15.75" thickTop="1" x14ac:dyDescent="0.3">
      <c r="A25" s="171"/>
      <c r="B25" s="172"/>
      <c r="C25" s="172"/>
      <c r="D25" s="173"/>
      <c r="E25" s="173"/>
      <c r="F25" s="173"/>
      <c r="G25" s="173"/>
      <c r="H25" s="173"/>
      <c r="I25" s="173"/>
    </row>
    <row r="26" spans="1:9" x14ac:dyDescent="0.3">
      <c r="A26" s="171"/>
      <c r="B26" s="172"/>
      <c r="C26" s="172"/>
      <c r="D26" s="173"/>
      <c r="E26" s="173"/>
      <c r="F26" s="173"/>
      <c r="G26" s="173"/>
      <c r="H26" s="173"/>
      <c r="I26" s="173"/>
    </row>
    <row r="27" spans="1:9" ht="15.05" customHeight="1" x14ac:dyDescent="0.3">
      <c r="A27" s="171"/>
      <c r="B27" s="286" t="s">
        <v>248</v>
      </c>
      <c r="C27" s="172"/>
      <c r="D27" s="173"/>
      <c r="E27" s="173"/>
      <c r="F27" s="173"/>
      <c r="G27" s="173"/>
      <c r="H27" s="173"/>
      <c r="I27" s="173"/>
    </row>
    <row r="28" spans="1:9" x14ac:dyDescent="0.3">
      <c r="A28" s="171"/>
      <c r="B28" s="172"/>
      <c r="C28" s="172"/>
      <c r="D28" s="173"/>
      <c r="E28" s="173"/>
      <c r="F28" s="173"/>
      <c r="G28" s="173"/>
      <c r="H28" s="173"/>
      <c r="I28" s="173"/>
    </row>
    <row r="29" spans="1:9" ht="19.649999999999999" customHeight="1" x14ac:dyDescent="0.3">
      <c r="A29" s="174" t="s">
        <v>210</v>
      </c>
      <c r="B29" s="706" t="str">
        <f>+CESAR!B104</f>
        <v>De acuerdo con lo establecido en la Resolución MME 91349 de 2014</v>
      </c>
      <c r="C29" s="706"/>
      <c r="D29" s="706"/>
      <c r="E29" s="706"/>
      <c r="F29" s="706"/>
      <c r="G29" s="706"/>
      <c r="H29" s="706"/>
      <c r="I29" s="173"/>
    </row>
    <row r="30" spans="1:9" ht="24.75" customHeight="1" x14ac:dyDescent="0.3">
      <c r="A30" s="174" t="s">
        <v>237</v>
      </c>
      <c r="B30" s="689" t="s">
        <v>292</v>
      </c>
      <c r="C30" s="689"/>
      <c r="D30" s="689"/>
      <c r="E30" s="689"/>
      <c r="F30" s="689"/>
      <c r="G30" s="689"/>
      <c r="H30" s="689"/>
      <c r="I30" s="689"/>
    </row>
    <row r="31" spans="1:9" ht="52.55" customHeight="1" x14ac:dyDescent="0.3">
      <c r="A31" s="174" t="s">
        <v>136</v>
      </c>
      <c r="B31" s="689" t="s">
        <v>357</v>
      </c>
      <c r="C31" s="689"/>
      <c r="D31" s="689"/>
      <c r="E31" s="689"/>
      <c r="F31" s="689"/>
      <c r="G31" s="689"/>
      <c r="H31" s="689"/>
      <c r="I31" s="689"/>
    </row>
    <row r="32" spans="1:9" ht="52.55" customHeight="1" x14ac:dyDescent="0.3">
      <c r="A32" s="199" t="s">
        <v>238</v>
      </c>
      <c r="B32" s="705" t="s">
        <v>436</v>
      </c>
      <c r="C32" s="705"/>
      <c r="D32" s="705"/>
      <c r="E32" s="705"/>
      <c r="F32" s="705"/>
      <c r="G32" s="705"/>
      <c r="H32" s="705"/>
      <c r="I32" s="705"/>
    </row>
    <row r="33" spans="1:10" x14ac:dyDescent="0.3">
      <c r="A33" s="174"/>
      <c r="B33" s="196" t="s">
        <v>171</v>
      </c>
      <c r="C33" s="196"/>
      <c r="D33" s="227"/>
      <c r="E33" s="227"/>
      <c r="F33" s="227"/>
      <c r="G33" s="227"/>
      <c r="H33" s="227"/>
      <c r="I33" s="227"/>
    </row>
    <row r="34" spans="1:10" x14ac:dyDescent="0.3">
      <c r="A34" s="197" t="s">
        <v>103</v>
      </c>
      <c r="B34" s="688" t="s">
        <v>249</v>
      </c>
      <c r="C34" s="688"/>
      <c r="D34" s="688"/>
      <c r="E34" s="688"/>
      <c r="F34" s="688"/>
      <c r="G34" s="688"/>
      <c r="H34" s="688"/>
      <c r="I34" s="281"/>
    </row>
    <row r="35" spans="1:10" ht="15.05" customHeight="1" x14ac:dyDescent="0.3">
      <c r="A35" s="197" t="s">
        <v>250</v>
      </c>
      <c r="B35" s="688" t="s">
        <v>282</v>
      </c>
      <c r="C35" s="688"/>
      <c r="D35" s="688"/>
      <c r="E35" s="688"/>
      <c r="F35" s="688"/>
      <c r="G35" s="688"/>
      <c r="H35" s="688"/>
      <c r="I35" s="688"/>
    </row>
    <row r="36" spans="1:10" ht="26.2" customHeight="1" x14ac:dyDescent="0.3">
      <c r="A36" s="197" t="s">
        <v>252</v>
      </c>
      <c r="B36" s="689" t="s">
        <v>293</v>
      </c>
      <c r="C36" s="689"/>
      <c r="D36" s="689"/>
      <c r="E36" s="689"/>
      <c r="F36" s="689"/>
      <c r="G36" s="689"/>
      <c r="H36" s="689"/>
      <c r="I36" s="689"/>
    </row>
    <row r="37" spans="1:10" x14ac:dyDescent="0.3">
      <c r="A37" s="197" t="s">
        <v>254</v>
      </c>
      <c r="B37" s="688" t="s">
        <v>505</v>
      </c>
      <c r="C37" s="688"/>
      <c r="D37" s="688"/>
      <c r="E37" s="688"/>
      <c r="F37" s="688"/>
      <c r="G37" s="688"/>
      <c r="H37" s="688"/>
      <c r="I37" s="688"/>
    </row>
    <row r="38" spans="1:10" x14ac:dyDescent="0.3">
      <c r="A38" s="197" t="s">
        <v>256</v>
      </c>
      <c r="B38" s="689" t="s">
        <v>258</v>
      </c>
      <c r="C38" s="689"/>
      <c r="D38" s="689"/>
      <c r="E38" s="689"/>
      <c r="F38" s="689"/>
      <c r="G38" s="689"/>
      <c r="H38" s="689"/>
      <c r="I38" s="689"/>
    </row>
    <row r="39" spans="1:10" x14ac:dyDescent="0.3">
      <c r="A39" s="197" t="s">
        <v>257</v>
      </c>
      <c r="B39" s="688" t="s">
        <v>288</v>
      </c>
      <c r="C39" s="688"/>
      <c r="D39" s="688"/>
      <c r="E39" s="688"/>
      <c r="F39" s="688"/>
      <c r="G39" s="688"/>
      <c r="H39" s="688"/>
      <c r="I39" s="688"/>
    </row>
    <row r="40" spans="1:10" x14ac:dyDescent="0.3">
      <c r="A40" s="262"/>
      <c r="B40" s="263"/>
      <c r="C40" s="263"/>
      <c r="D40" s="263"/>
      <c r="E40" s="263"/>
      <c r="F40" s="263"/>
      <c r="G40" s="263"/>
      <c r="H40" s="263"/>
      <c r="I40" s="263"/>
    </row>
    <row r="41" spans="1:10" ht="88.55" customHeight="1" x14ac:dyDescent="0.3">
      <c r="A41" s="690" t="s">
        <v>160</v>
      </c>
      <c r="B41" s="690"/>
      <c r="C41" s="690"/>
      <c r="D41" s="690"/>
      <c r="E41" s="690"/>
      <c r="F41" s="690"/>
      <c r="G41" s="690"/>
      <c r="H41" s="690"/>
      <c r="I41" s="690"/>
      <c r="J41" s="690"/>
    </row>
  </sheetData>
  <sheetProtection algorithmName="SHA-512" hashValue="zWsVo7OgLitXfQjUjUmMotmXTwcyJKTCDezHrNw0FaWUpxblMWWdkO0v2vAo7/HNl3NPsu+9wFqdpfMVW9yeMg==" saltValue="1Sy9P1QU/YwSp7pHKbIY8w==" spinCount="100000" sheet="1" objects="1" scenarios="1"/>
  <mergeCells count="17">
    <mergeCell ref="B38:I38"/>
    <mergeCell ref="B32:I32"/>
    <mergeCell ref="A41:J41"/>
    <mergeCell ref="B36:I36"/>
    <mergeCell ref="B37:I37"/>
    <mergeCell ref="B39:I39"/>
    <mergeCell ref="B34:H34"/>
    <mergeCell ref="B35:I35"/>
    <mergeCell ref="C3:G4"/>
    <mergeCell ref="H3:I4"/>
    <mergeCell ref="B31:I31"/>
    <mergeCell ref="A5:A7"/>
    <mergeCell ref="B5:B7"/>
    <mergeCell ref="C5:C6"/>
    <mergeCell ref="G5:G6"/>
    <mergeCell ref="B30:I30"/>
    <mergeCell ref="B29:H29"/>
  </mergeCells>
  <hyperlinks>
    <hyperlink ref="B33" location="Nota" display="Ver Nota Informativa" xr:uid="{00000000-0004-0000-0C00-000000000000}"/>
    <hyperlink ref="B27" location="CHOCO!A40" display="Ver Nota Informativa" xr:uid="{00000000-0004-0000-0C00-000001000000}"/>
  </hyperlinks>
  <pageMargins left="0.7" right="0.7" top="0.75" bottom="0.75" header="0.3" footer="0.3"/>
  <pageSetup orientation="portrait" r:id="rId1"/>
  <ignoredErrors>
    <ignoredError sqref="C22:I22 C21:D21" numberStoredAsText="1"/>
    <ignoredError sqref="G12:I14 C17:D17 C18:D18 C19:D19 C12:E12 F12:F14 C16:E16 D13:E13 D14:E14 G16:I16 F16" numberStoredAsText="1" formula="1"/>
    <ignoredError sqref="F9:G9 F21:I21 G10 G17:I20 F17:F20 F10 C10:E10 E17 C20:E20 E19 E18 H11 F8:G8 I8 I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FF00"/>
  </sheetPr>
  <dimension ref="A1:N42"/>
  <sheetViews>
    <sheetView zoomScaleNormal="100" workbookViewId="0">
      <selection activeCell="H9" sqref="H9"/>
    </sheetView>
  </sheetViews>
  <sheetFormatPr baseColWidth="10" defaultRowHeight="15.05" x14ac:dyDescent="0.3"/>
  <cols>
    <col min="2" max="2" width="44.77734375" customWidth="1"/>
    <col min="3" max="3" width="12.33203125" customWidth="1"/>
    <col min="4" max="4" width="15.77734375" customWidth="1"/>
    <col min="5" max="5" width="13.6640625" customWidth="1"/>
    <col min="6" max="6" width="16.109375" hidden="1" customWidth="1"/>
    <col min="7" max="7" width="20.77734375" customWidth="1"/>
    <col min="8" max="8" width="15.5546875" customWidth="1"/>
    <col min="9" max="9" width="15.21875" customWidth="1"/>
  </cols>
  <sheetData>
    <row r="1" spans="1:8" x14ac:dyDescent="0.3">
      <c r="A1" s="150"/>
      <c r="B1" s="150" t="str">
        <f>+AMAZONAS!C1</f>
        <v>Vigencia: 14 de Agosto de 2021; 00:00 horas</v>
      </c>
    </row>
    <row r="2" spans="1:8" ht="15.75" thickBot="1" x14ac:dyDescent="0.35">
      <c r="A2" s="177" t="s">
        <v>199</v>
      </c>
      <c r="B2" s="177"/>
    </row>
    <row r="3" spans="1:8" ht="15.9" customHeight="1" thickTop="1" x14ac:dyDescent="0.3">
      <c r="A3" s="207"/>
      <c r="B3" s="208" t="s">
        <v>297</v>
      </c>
      <c r="C3" s="707" t="s">
        <v>200</v>
      </c>
      <c r="D3" s="708"/>
      <c r="E3" s="708"/>
      <c r="F3" s="709"/>
      <c r="G3" s="713" t="s">
        <v>270</v>
      </c>
      <c r="H3" s="714"/>
    </row>
    <row r="4" spans="1:8" x14ac:dyDescent="0.3">
      <c r="A4" s="152"/>
      <c r="B4" s="307" t="s">
        <v>298</v>
      </c>
      <c r="C4" s="710"/>
      <c r="D4" s="711"/>
      <c r="E4" s="711"/>
      <c r="F4" s="712"/>
      <c r="G4" s="715"/>
      <c r="H4" s="716"/>
    </row>
    <row r="5" spans="1:8" ht="38.299999999999997" customHeight="1" x14ac:dyDescent="0.3">
      <c r="A5" s="691" t="s">
        <v>201</v>
      </c>
      <c r="B5" s="693" t="s">
        <v>202</v>
      </c>
      <c r="C5" s="695" t="s">
        <v>261</v>
      </c>
      <c r="D5" s="183" t="s">
        <v>97</v>
      </c>
      <c r="E5" s="183" t="s">
        <v>191</v>
      </c>
      <c r="F5" s="183" t="str">
        <f>+CHOCO!F5</f>
        <v>Biodiesel B10</v>
      </c>
      <c r="G5" s="183" t="s">
        <v>97</v>
      </c>
      <c r="H5" s="247" t="str">
        <f>+E5</f>
        <v xml:space="preserve">Biodiesel B2 con destino a mezcla </v>
      </c>
    </row>
    <row r="6" spans="1:8" x14ac:dyDescent="0.3">
      <c r="A6" s="691"/>
      <c r="B6" s="693"/>
      <c r="C6" s="696"/>
      <c r="D6" s="612">
        <v>0.08</v>
      </c>
      <c r="E6" s="201">
        <v>0.02</v>
      </c>
      <c r="F6" s="419">
        <f>+CHOCO!F6</f>
        <v>0.1</v>
      </c>
      <c r="G6" s="612">
        <v>0.08</v>
      </c>
      <c r="H6" s="184">
        <f>+E6</f>
        <v>0.02</v>
      </c>
    </row>
    <row r="7" spans="1:8" x14ac:dyDescent="0.3">
      <c r="A7" s="692"/>
      <c r="B7" s="694"/>
      <c r="C7" s="153" t="s">
        <v>203</v>
      </c>
      <c r="D7" s="183" t="s">
        <v>203</v>
      </c>
      <c r="E7" s="183" t="s">
        <v>203</v>
      </c>
      <c r="F7" s="183" t="s">
        <v>203</v>
      </c>
      <c r="G7" s="153" t="s">
        <v>203</v>
      </c>
      <c r="H7" s="247" t="s">
        <v>203</v>
      </c>
    </row>
    <row r="8" spans="1:8" x14ac:dyDescent="0.3">
      <c r="A8" s="155" t="s">
        <v>204</v>
      </c>
      <c r="B8" s="161" t="s">
        <v>205</v>
      </c>
      <c r="C8" s="225">
        <f>+'Calculo IP ZDF'!B34</f>
        <v>4608.92</v>
      </c>
      <c r="D8" s="231">
        <f>+'Calculo IP ZDF'!B34</f>
        <v>4608.92</v>
      </c>
      <c r="E8" s="233">
        <f>+'Calculo IP ZDF'!F34</f>
        <v>4525.5649999999996</v>
      </c>
      <c r="F8" s="232">
        <f>+'Calculo IP ZDF'!I34</f>
        <v>5515.7826050000003</v>
      </c>
      <c r="G8" s="210">
        <f>+'GAS CTE'!C6</f>
        <v>4608.92</v>
      </c>
      <c r="H8" s="235">
        <f>+BIODIESEL!E9</f>
        <v>4723.12</v>
      </c>
    </row>
    <row r="9" spans="1:8" x14ac:dyDescent="0.3">
      <c r="A9" s="155" t="s">
        <v>206</v>
      </c>
      <c r="B9" s="161" t="s">
        <v>207</v>
      </c>
      <c r="C9" s="211" t="str">
        <f t="shared" ref="C9:C13" si="0">+D9</f>
        <v>------------------</v>
      </c>
      <c r="D9" s="212" t="s">
        <v>208</v>
      </c>
      <c r="E9" s="212" t="s">
        <v>208</v>
      </c>
      <c r="F9" s="158" t="s">
        <v>208</v>
      </c>
      <c r="G9" s="210">
        <f>+'GAS CTE'!C10</f>
        <v>555.04999999999995</v>
      </c>
      <c r="H9" s="236">
        <f>+BIODIESEL!E10</f>
        <v>520.64</v>
      </c>
    </row>
    <row r="10" spans="1:8" x14ac:dyDescent="0.3">
      <c r="A10" s="155"/>
      <c r="B10" s="161" t="s">
        <v>135</v>
      </c>
      <c r="C10" s="211" t="str">
        <f>+D10</f>
        <v>------------------</v>
      </c>
      <c r="D10" s="212" t="s">
        <v>208</v>
      </c>
      <c r="E10" s="212" t="s">
        <v>208</v>
      </c>
      <c r="F10" s="158" t="s">
        <v>208</v>
      </c>
      <c r="G10" s="226" t="str">
        <f>+COMBUSTIBLES!B12</f>
        <v>(3)</v>
      </c>
      <c r="H10" s="236" t="str">
        <f>+BIODIESEL!G11</f>
        <v>(3)</v>
      </c>
    </row>
    <row r="11" spans="1:8" x14ac:dyDescent="0.3">
      <c r="A11" s="155"/>
      <c r="B11" s="161" t="s">
        <v>137</v>
      </c>
      <c r="C11" s="287" t="s">
        <v>238</v>
      </c>
      <c r="D11" s="212" t="str">
        <f>+C11</f>
        <v>(4)</v>
      </c>
      <c r="E11" s="212" t="str">
        <f>+C11</f>
        <v>(4)</v>
      </c>
      <c r="F11" s="158" t="str">
        <f>+C11</f>
        <v>(4)</v>
      </c>
      <c r="G11" s="210" t="str">
        <f>+D11</f>
        <v>(4)</v>
      </c>
      <c r="H11" s="232" t="str">
        <f>+F11</f>
        <v>(4)</v>
      </c>
    </row>
    <row r="12" spans="1:8" ht="19.649999999999999" customHeight="1" x14ac:dyDescent="0.3">
      <c r="A12" s="155" t="s">
        <v>209</v>
      </c>
      <c r="B12" s="161" t="s">
        <v>291</v>
      </c>
      <c r="C12" s="211" t="str">
        <f>+AMAZONAS!C12</f>
        <v>(2)</v>
      </c>
      <c r="D12" s="159" t="s">
        <v>237</v>
      </c>
      <c r="E12" s="159" t="s">
        <v>237</v>
      </c>
      <c r="F12" s="158" t="s">
        <v>237</v>
      </c>
      <c r="G12" s="210" t="str">
        <f>+F12</f>
        <v>(2)</v>
      </c>
      <c r="H12" s="235" t="s">
        <v>237</v>
      </c>
    </row>
    <row r="13" spans="1:8" x14ac:dyDescent="0.3">
      <c r="A13" s="155" t="s">
        <v>272</v>
      </c>
      <c r="B13" s="161" t="s">
        <v>273</v>
      </c>
      <c r="C13" s="211" t="str">
        <f t="shared" si="0"/>
        <v>N.A.</v>
      </c>
      <c r="D13" s="159" t="s">
        <v>274</v>
      </c>
      <c r="E13" s="212" t="s">
        <v>238</v>
      </c>
      <c r="F13" s="160" t="str">
        <f>+E13</f>
        <v>(4)</v>
      </c>
      <c r="G13" s="210" t="s">
        <v>274</v>
      </c>
      <c r="H13" s="232" t="str">
        <f>+F13</f>
        <v>(4)</v>
      </c>
    </row>
    <row r="14" spans="1:8" x14ac:dyDescent="0.3">
      <c r="A14" s="155" t="s">
        <v>211</v>
      </c>
      <c r="B14" s="161" t="s">
        <v>212</v>
      </c>
      <c r="C14" s="211">
        <f>+RUBROS!Z16</f>
        <v>10.288613527118255</v>
      </c>
      <c r="D14" s="159">
        <f>+C14</f>
        <v>10.288613527118255</v>
      </c>
      <c r="E14" s="159">
        <f>+C14</f>
        <v>10.288613527118255</v>
      </c>
      <c r="F14" s="158">
        <f>+C14</f>
        <v>10.288613527118255</v>
      </c>
      <c r="G14" s="210">
        <f>+RUBROS!AA16</f>
        <v>22.249601678692599</v>
      </c>
      <c r="H14" s="235">
        <f>+G14</f>
        <v>22.249601678692599</v>
      </c>
    </row>
    <row r="15" spans="1:8" x14ac:dyDescent="0.3">
      <c r="A15" s="155" t="s">
        <v>213</v>
      </c>
      <c r="B15" s="161" t="s">
        <v>214</v>
      </c>
      <c r="C15" s="211">
        <f>+RUBROS!Z52</f>
        <v>106.59272562900938</v>
      </c>
      <c r="D15" s="159">
        <f>+C15</f>
        <v>106.59272562900938</v>
      </c>
      <c r="E15" s="159">
        <f>+C15</f>
        <v>106.59272562900938</v>
      </c>
      <c r="F15" s="158">
        <f>+C15</f>
        <v>106.59272562900938</v>
      </c>
      <c r="G15" s="210">
        <f>+C15</f>
        <v>106.59272562900938</v>
      </c>
      <c r="H15" s="235">
        <f>+C15</f>
        <v>106.59272562900938</v>
      </c>
    </row>
    <row r="16" spans="1:8" x14ac:dyDescent="0.3">
      <c r="A16" s="155" t="s">
        <v>215</v>
      </c>
      <c r="B16" s="230" t="s">
        <v>216</v>
      </c>
      <c r="C16" s="211">
        <f>+RUBROS!AP30</f>
        <v>12.938273064269636</v>
      </c>
      <c r="D16" s="159">
        <f>+C16</f>
        <v>12.938273064269636</v>
      </c>
      <c r="E16" s="213">
        <f>+C16</f>
        <v>12.938273064269636</v>
      </c>
      <c r="F16" s="158">
        <f>+C16</f>
        <v>12.938273064269636</v>
      </c>
      <c r="G16" s="210">
        <f>+C16</f>
        <v>12.938273064269636</v>
      </c>
      <c r="H16" s="235">
        <f>+C16</f>
        <v>12.938273064269636</v>
      </c>
    </row>
    <row r="17" spans="1:14" hidden="1" x14ac:dyDescent="0.3">
      <c r="A17" s="155"/>
      <c r="B17" s="161" t="s">
        <v>217</v>
      </c>
      <c r="C17" s="211"/>
      <c r="D17" s="214"/>
      <c r="E17" s="215"/>
      <c r="F17" s="158"/>
      <c r="G17" s="210"/>
      <c r="H17" s="237"/>
    </row>
    <row r="18" spans="1:14" x14ac:dyDescent="0.3">
      <c r="A18" s="162" t="s">
        <v>218</v>
      </c>
      <c r="B18" s="192" t="s">
        <v>219</v>
      </c>
      <c r="C18" s="216">
        <f t="shared" ref="C18:H18" si="1">SUM(C8:C17)</f>
        <v>4738.7396122203972</v>
      </c>
      <c r="D18" s="217">
        <f>SUM(D8:D17)</f>
        <v>4738.7396122203972</v>
      </c>
      <c r="E18" s="217">
        <f t="shared" si="1"/>
        <v>4655.3846122203968</v>
      </c>
      <c r="F18" s="218">
        <f t="shared" si="1"/>
        <v>5645.6022172203975</v>
      </c>
      <c r="G18" s="219">
        <f t="shared" si="1"/>
        <v>5305.7506003719718</v>
      </c>
      <c r="H18" s="238">
        <f t="shared" si="1"/>
        <v>5385.5406003719718</v>
      </c>
    </row>
    <row r="19" spans="1:14" x14ac:dyDescent="0.3">
      <c r="A19" s="155" t="s">
        <v>220</v>
      </c>
      <c r="B19" s="161" t="s">
        <v>221</v>
      </c>
      <c r="C19" s="211" t="s">
        <v>252</v>
      </c>
      <c r="D19" s="220" t="str">
        <f>+C19</f>
        <v>***</v>
      </c>
      <c r="E19" s="220" t="str">
        <f>+C19</f>
        <v>***</v>
      </c>
      <c r="F19" s="158" t="str">
        <f>+C19</f>
        <v>***</v>
      </c>
      <c r="G19" s="213" t="str">
        <f>+H19</f>
        <v>***</v>
      </c>
      <c r="H19" s="239" t="s">
        <v>252</v>
      </c>
    </row>
    <row r="20" spans="1:14" x14ac:dyDescent="0.3">
      <c r="A20" s="155" t="s">
        <v>222</v>
      </c>
      <c r="B20" s="161" t="s">
        <v>223</v>
      </c>
      <c r="C20" s="211" t="str">
        <f>+D20</f>
        <v>**</v>
      </c>
      <c r="D20" s="221" t="s">
        <v>250</v>
      </c>
      <c r="E20" s="221" t="s">
        <v>250</v>
      </c>
      <c r="F20" s="158" t="s">
        <v>250</v>
      </c>
      <c r="G20" s="213" t="str">
        <f>+H20</f>
        <v>**</v>
      </c>
      <c r="H20" s="232" t="s">
        <v>250</v>
      </c>
    </row>
    <row r="21" spans="1:14" x14ac:dyDescent="0.3">
      <c r="A21" s="155" t="s">
        <v>224</v>
      </c>
      <c r="B21" s="161" t="s">
        <v>225</v>
      </c>
      <c r="C21" s="211" t="str">
        <f>+D21</f>
        <v>****</v>
      </c>
      <c r="D21" s="159" t="s">
        <v>254</v>
      </c>
      <c r="E21" s="159" t="str">
        <f>+D21</f>
        <v>****</v>
      </c>
      <c r="F21" s="158" t="str">
        <f>+E21</f>
        <v>****</v>
      </c>
      <c r="G21" s="213" t="str">
        <f>+F21</f>
        <v>****</v>
      </c>
      <c r="H21" s="235" t="str">
        <f>+F21</f>
        <v>****</v>
      </c>
      <c r="J21" s="19"/>
    </row>
    <row r="22" spans="1:14" x14ac:dyDescent="0.3">
      <c r="A22" s="162" t="s">
        <v>226</v>
      </c>
      <c r="B22" s="192" t="s">
        <v>227</v>
      </c>
      <c r="C22" s="216">
        <f>+C18</f>
        <v>4738.7396122203972</v>
      </c>
      <c r="D22" s="216">
        <f t="shared" ref="D22:H22" si="2">+D18</f>
        <v>4738.7396122203972</v>
      </c>
      <c r="E22" s="216">
        <f t="shared" si="2"/>
        <v>4655.3846122203968</v>
      </c>
      <c r="F22" s="234">
        <f t="shared" si="2"/>
        <v>5645.6022172203975</v>
      </c>
      <c r="G22" s="216">
        <f t="shared" si="2"/>
        <v>5305.7506003719718</v>
      </c>
      <c r="H22" s="234">
        <f t="shared" si="2"/>
        <v>5385.5406003719718</v>
      </c>
    </row>
    <row r="23" spans="1:14" x14ac:dyDescent="0.3">
      <c r="A23" s="155" t="s">
        <v>228</v>
      </c>
      <c r="B23" s="161" t="s">
        <v>173</v>
      </c>
      <c r="C23" s="211" t="s">
        <v>252</v>
      </c>
      <c r="D23" s="159" t="str">
        <f>+C23</f>
        <v>***</v>
      </c>
      <c r="E23" s="159" t="str">
        <f>+D23</f>
        <v>***</v>
      </c>
      <c r="F23" s="158" t="str">
        <f>+E23</f>
        <v>***</v>
      </c>
      <c r="G23" s="213" t="str">
        <f>+H23</f>
        <v>***</v>
      </c>
      <c r="H23" s="235" t="s">
        <v>252</v>
      </c>
    </row>
    <row r="24" spans="1:14" x14ac:dyDescent="0.3">
      <c r="A24" s="155" t="s">
        <v>229</v>
      </c>
      <c r="B24" s="156" t="s">
        <v>230</v>
      </c>
      <c r="C24" s="211" t="str">
        <f>+D24</f>
        <v>*****</v>
      </c>
      <c r="D24" s="159" t="s">
        <v>256</v>
      </c>
      <c r="E24" s="159" t="s">
        <v>274</v>
      </c>
      <c r="F24" s="158" t="s">
        <v>231</v>
      </c>
      <c r="G24" s="213" t="str">
        <f>+D24</f>
        <v>*****</v>
      </c>
      <c r="H24" s="235" t="s">
        <v>275</v>
      </c>
    </row>
    <row r="25" spans="1:14" x14ac:dyDescent="0.3">
      <c r="A25" s="155" t="s">
        <v>232</v>
      </c>
      <c r="B25" s="161" t="s">
        <v>233</v>
      </c>
      <c r="C25" s="211" t="str">
        <f>+D25</f>
        <v>******</v>
      </c>
      <c r="D25" s="221" t="s">
        <v>257</v>
      </c>
      <c r="E25" s="221" t="str">
        <f>+D25</f>
        <v>******</v>
      </c>
      <c r="F25" s="160" t="str">
        <f>+E25</f>
        <v>******</v>
      </c>
      <c r="G25" s="213" t="str">
        <f>+F25</f>
        <v>******</v>
      </c>
      <c r="H25" s="232" t="str">
        <f>+G25</f>
        <v>******</v>
      </c>
    </row>
    <row r="26" spans="1:14" ht="15.75" thickBot="1" x14ac:dyDescent="0.35">
      <c r="A26" s="166" t="s">
        <v>234</v>
      </c>
      <c r="B26" s="167" t="s">
        <v>235</v>
      </c>
      <c r="C26" s="222"/>
      <c r="D26" s="170"/>
      <c r="E26" s="223"/>
      <c r="F26" s="169"/>
      <c r="G26" s="223"/>
      <c r="H26" s="240"/>
    </row>
    <row r="27" spans="1:14" ht="15.75" thickTop="1" x14ac:dyDescent="0.3"/>
    <row r="28" spans="1:14" x14ac:dyDescent="0.3">
      <c r="A28" s="174"/>
      <c r="B28" s="286" t="s">
        <v>248</v>
      </c>
      <c r="C28" s="227"/>
      <c r="D28" s="227"/>
      <c r="E28" s="227"/>
      <c r="F28" s="227"/>
      <c r="G28" s="206"/>
      <c r="H28" s="206"/>
      <c r="I28" s="206"/>
      <c r="J28" s="206"/>
      <c r="K28" s="206"/>
      <c r="L28" s="206"/>
      <c r="M28" s="206"/>
      <c r="N28" s="206"/>
    </row>
    <row r="29" spans="1:14" x14ac:dyDescent="0.3">
      <c r="A29" s="174"/>
      <c r="B29" s="196"/>
      <c r="C29" s="227"/>
      <c r="D29" s="227"/>
      <c r="E29" s="227"/>
      <c r="F29" s="227"/>
      <c r="G29" s="206"/>
      <c r="H29" s="206"/>
      <c r="I29" s="206"/>
      <c r="J29" s="206"/>
      <c r="K29" s="206"/>
      <c r="L29" s="206"/>
      <c r="M29" s="206"/>
      <c r="N29" s="206"/>
    </row>
    <row r="30" spans="1:14" ht="15.05" customHeight="1" x14ac:dyDescent="0.3">
      <c r="A30" s="174" t="s">
        <v>210</v>
      </c>
      <c r="B30" s="706" t="str">
        <f>+CHOCO!B29</f>
        <v>De acuerdo con lo establecido en la Resolución MME 91349 de 2014</v>
      </c>
      <c r="C30" s="706"/>
      <c r="D30" s="706"/>
      <c r="E30" s="706"/>
      <c r="F30" s="706"/>
      <c r="G30" s="706"/>
      <c r="H30" s="706"/>
      <c r="I30" s="706"/>
      <c r="J30" s="228"/>
      <c r="K30" s="228"/>
      <c r="L30" s="228"/>
      <c r="M30" s="228"/>
      <c r="N30" s="228"/>
    </row>
    <row r="31" spans="1:14" ht="27.2" customHeight="1" x14ac:dyDescent="0.3">
      <c r="A31" s="174" t="s">
        <v>237</v>
      </c>
      <c r="B31" s="689" t="s">
        <v>292</v>
      </c>
      <c r="C31" s="689"/>
      <c r="D31" s="689"/>
      <c r="E31" s="689"/>
      <c r="F31" s="689"/>
      <c r="G31" s="689"/>
      <c r="H31" s="689"/>
      <c r="I31" s="689"/>
      <c r="J31" s="206"/>
      <c r="K31" s="206"/>
      <c r="L31" s="206"/>
      <c r="M31" s="206"/>
      <c r="N31" s="206"/>
    </row>
    <row r="32" spans="1:14" ht="53.35" customHeight="1" x14ac:dyDescent="0.3">
      <c r="A32" s="174" t="s">
        <v>136</v>
      </c>
      <c r="B32" s="706" t="s">
        <v>357</v>
      </c>
      <c r="C32" s="706"/>
      <c r="D32" s="706"/>
      <c r="E32" s="706"/>
      <c r="F32" s="706"/>
      <c r="G32" s="706"/>
      <c r="H32" s="706"/>
      <c r="I32" s="706"/>
      <c r="J32" s="206"/>
      <c r="K32" s="206"/>
      <c r="L32" s="206"/>
      <c r="M32" s="206"/>
      <c r="N32" s="206"/>
    </row>
    <row r="33" spans="1:14" ht="53.35" customHeight="1" x14ac:dyDescent="0.3">
      <c r="A33" s="174" t="s">
        <v>238</v>
      </c>
      <c r="B33" s="705" t="s">
        <v>436</v>
      </c>
      <c r="C33" s="705"/>
      <c r="D33" s="705"/>
      <c r="E33" s="705"/>
      <c r="F33" s="705"/>
      <c r="G33" s="705"/>
      <c r="H33" s="705"/>
      <c r="I33" s="705"/>
      <c r="J33" s="206"/>
      <c r="K33" s="206"/>
      <c r="L33" s="206"/>
      <c r="M33" s="206"/>
      <c r="N33" s="206"/>
    </row>
    <row r="34" spans="1:14" x14ac:dyDescent="0.3">
      <c r="A34" s="174"/>
      <c r="B34" s="196"/>
      <c r="C34" s="227"/>
      <c r="D34" s="227"/>
      <c r="E34" s="227"/>
      <c r="F34" s="227"/>
      <c r="G34" s="206"/>
      <c r="H34" s="206"/>
      <c r="I34" s="206"/>
      <c r="J34" s="206"/>
      <c r="K34" s="206"/>
      <c r="L34" s="206"/>
      <c r="M34" s="206"/>
      <c r="N34" s="206"/>
    </row>
    <row r="35" spans="1:14" ht="15.05" customHeight="1" x14ac:dyDescent="0.3">
      <c r="A35" s="197" t="s">
        <v>103</v>
      </c>
      <c r="B35" s="688" t="s">
        <v>249</v>
      </c>
      <c r="C35" s="688"/>
      <c r="D35" s="688"/>
      <c r="E35" s="688"/>
      <c r="F35" s="688"/>
      <c r="G35" s="688"/>
      <c r="H35" s="688"/>
      <c r="I35" s="688"/>
      <c r="J35" s="206"/>
      <c r="K35" s="206"/>
      <c r="L35" s="206"/>
      <c r="M35" s="206"/>
      <c r="N35" s="206"/>
    </row>
    <row r="36" spans="1:14" ht="15.05" customHeight="1" x14ac:dyDescent="0.3">
      <c r="A36" s="197" t="s">
        <v>250</v>
      </c>
      <c r="B36" s="706" t="s">
        <v>343</v>
      </c>
      <c r="C36" s="706"/>
      <c r="D36" s="706"/>
      <c r="E36" s="706"/>
      <c r="F36" s="706"/>
      <c r="G36" s="706"/>
      <c r="H36" s="706"/>
      <c r="I36" s="706"/>
      <c r="J36" s="206"/>
      <c r="K36" s="206"/>
      <c r="L36" s="206"/>
      <c r="M36" s="206"/>
      <c r="N36" s="206"/>
    </row>
    <row r="37" spans="1:14" ht="15.05" customHeight="1" x14ac:dyDescent="0.3">
      <c r="A37" s="174" t="s">
        <v>252</v>
      </c>
      <c r="B37" s="706" t="s">
        <v>253</v>
      </c>
      <c r="C37" s="706"/>
      <c r="D37" s="706"/>
      <c r="E37" s="706"/>
      <c r="F37" s="706"/>
      <c r="G37" s="706"/>
      <c r="H37" s="706"/>
      <c r="I37" s="174"/>
      <c r="J37" s="688"/>
      <c r="K37" s="688"/>
      <c r="L37" s="688"/>
      <c r="M37" s="688"/>
      <c r="N37" s="688"/>
    </row>
    <row r="38" spans="1:14" ht="15.05" customHeight="1" x14ac:dyDescent="0.3">
      <c r="A38" s="174" t="s">
        <v>254</v>
      </c>
      <c r="B38" s="688" t="s">
        <v>505</v>
      </c>
      <c r="C38" s="688"/>
      <c r="D38" s="688"/>
      <c r="E38" s="688"/>
      <c r="F38" s="688"/>
      <c r="G38" s="688"/>
      <c r="H38" s="688"/>
      <c r="I38" s="174"/>
      <c r="J38" s="246"/>
      <c r="K38" s="246"/>
      <c r="L38" s="246"/>
      <c r="M38" s="246"/>
      <c r="N38" s="246"/>
    </row>
    <row r="39" spans="1:14" ht="24.05" customHeight="1" x14ac:dyDescent="0.3">
      <c r="A39" s="197" t="s">
        <v>256</v>
      </c>
      <c r="B39" s="706" t="s">
        <v>258</v>
      </c>
      <c r="C39" s="706"/>
      <c r="D39" s="706"/>
      <c r="E39" s="706"/>
      <c r="F39" s="706"/>
      <c r="G39" s="706"/>
      <c r="H39" s="706"/>
      <c r="I39" s="706"/>
      <c r="J39" s="206"/>
      <c r="K39" s="206"/>
      <c r="L39" s="206"/>
      <c r="M39" s="206"/>
      <c r="N39" s="206"/>
    </row>
    <row r="40" spans="1:14" x14ac:dyDescent="0.3">
      <c r="A40" s="197" t="s">
        <v>257</v>
      </c>
      <c r="B40" s="706" t="s">
        <v>299</v>
      </c>
      <c r="C40" s="706"/>
      <c r="D40" s="706"/>
      <c r="E40" s="706"/>
      <c r="F40" s="706"/>
      <c r="G40" s="706"/>
      <c r="H40" s="706"/>
      <c r="I40" s="706"/>
      <c r="J40" s="206"/>
      <c r="K40" s="206"/>
      <c r="L40" s="206"/>
      <c r="M40" s="206"/>
      <c r="N40" s="206"/>
    </row>
    <row r="41" spans="1:14" x14ac:dyDescent="0.3">
      <c r="B41" s="688" t="s">
        <v>512</v>
      </c>
      <c r="C41" s="688"/>
      <c r="D41" s="688"/>
      <c r="E41" s="688"/>
      <c r="F41" s="688"/>
      <c r="G41" s="688"/>
      <c r="H41" s="688"/>
      <c r="I41" s="688"/>
    </row>
    <row r="42" spans="1:14" ht="87.9" customHeight="1" x14ac:dyDescent="0.3">
      <c r="A42" s="690" t="s">
        <v>160</v>
      </c>
      <c r="B42" s="690"/>
      <c r="C42" s="690"/>
      <c r="D42" s="690"/>
      <c r="E42" s="690"/>
      <c r="F42" s="690"/>
      <c r="G42" s="690"/>
      <c r="H42" s="690"/>
      <c r="I42" s="690"/>
    </row>
  </sheetData>
  <sheetProtection algorithmName="SHA-512" hashValue="7nfVBfSh0n3/gPrRGv9OO6ilrBPGlFcZeb9/VXzGxwidQn7SriM5gnIQsRBYsHvULDYnAU/jhGVLmSstiDRFLQ==" saltValue="kitcM/sWWrK9bBhzf3DLeA==" spinCount="100000" sheet="1" objects="1" scenarios="1"/>
  <mergeCells count="18">
    <mergeCell ref="J37:N37"/>
    <mergeCell ref="B33:I33"/>
    <mergeCell ref="B41:I41"/>
    <mergeCell ref="B38:H38"/>
    <mergeCell ref="B39:I39"/>
    <mergeCell ref="B40:I40"/>
    <mergeCell ref="A42:I42"/>
    <mergeCell ref="B31:I31"/>
    <mergeCell ref="B32:I32"/>
    <mergeCell ref="B35:I35"/>
    <mergeCell ref="B36:I36"/>
    <mergeCell ref="B37:H37"/>
    <mergeCell ref="B30:I30"/>
    <mergeCell ref="C3:F4"/>
    <mergeCell ref="G3:H4"/>
    <mergeCell ref="A5:A7"/>
    <mergeCell ref="B5:B7"/>
    <mergeCell ref="C5:C6"/>
  </mergeCells>
  <hyperlinks>
    <hyperlink ref="B28" location="GUAINIA!A41" display="Ver Nota Informativa" xr:uid="{00000000-0004-0000-0D00-000000000000}"/>
  </hyperlinks>
  <pageMargins left="0.7" right="0.7" top="0.75" bottom="0.75" header="0.3" footer="0.3"/>
  <pageSetup orientation="portrait" r:id="rId1"/>
  <ignoredErrors>
    <ignoredError sqref="F12:H12 G11:H11" numberStoredAsText="1"/>
    <ignoredError sqref="D12:E12 E13" numberStoredAsText="1" formula="1"/>
    <ignoredError sqref="C18:E22 F22 C13:D13 D14:E14 D15:E15 D16:E16"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FFFF00"/>
  </sheetPr>
  <dimension ref="A1:K90"/>
  <sheetViews>
    <sheetView zoomScale="85" zoomScaleNormal="85" workbookViewId="0">
      <selection activeCell="I11" sqref="I11"/>
    </sheetView>
  </sheetViews>
  <sheetFormatPr baseColWidth="10" defaultColWidth="45" defaultRowHeight="15.05" x14ac:dyDescent="0.3"/>
  <cols>
    <col min="1" max="1" width="7" customWidth="1"/>
    <col min="2" max="2" width="51.44140625" customWidth="1"/>
    <col min="3" max="5" width="15.33203125" bestFit="1" customWidth="1"/>
    <col min="6" max="6" width="28" hidden="1" customWidth="1"/>
    <col min="7" max="7" width="15.33203125" bestFit="1" customWidth="1"/>
    <col min="8" max="8" width="17.6640625" customWidth="1"/>
    <col min="9" max="9" width="25.33203125" customWidth="1"/>
    <col min="10" max="10" width="25.88671875" hidden="1" customWidth="1"/>
    <col min="11" max="11" width="25" customWidth="1"/>
  </cols>
  <sheetData>
    <row r="1" spans="1:8" x14ac:dyDescent="0.3">
      <c r="A1" s="262" t="s">
        <v>171</v>
      </c>
      <c r="B1" s="151" t="str">
        <f>+AMAZONAS!C1</f>
        <v>Vigencia: 14 de Agosto de 2021; 00:00 horas</v>
      </c>
      <c r="C1" s="151"/>
      <c r="D1" s="263"/>
      <c r="E1" s="263"/>
      <c r="F1" s="263"/>
      <c r="G1" s="263"/>
      <c r="H1" s="263"/>
    </row>
    <row r="2" spans="1:8" ht="15.75" thickBot="1" x14ac:dyDescent="0.35">
      <c r="A2" s="177" t="s">
        <v>199</v>
      </c>
      <c r="B2" s="178"/>
      <c r="C2" s="178"/>
      <c r="D2" s="178"/>
      <c r="E2" s="178"/>
      <c r="F2" s="178"/>
      <c r="G2" s="264"/>
      <c r="H2" s="178"/>
    </row>
    <row r="3" spans="1:8" ht="15.75" thickTop="1" x14ac:dyDescent="0.3">
      <c r="A3" s="207"/>
      <c r="B3" s="180" t="s">
        <v>300</v>
      </c>
      <c r="C3" s="697" t="s">
        <v>200</v>
      </c>
      <c r="D3" s="698"/>
      <c r="E3" s="698"/>
      <c r="F3" s="698"/>
      <c r="G3" s="724" t="s">
        <v>270</v>
      </c>
      <c r="H3" s="729"/>
    </row>
    <row r="4" spans="1:8" ht="39.299999999999997" x14ac:dyDescent="0.3">
      <c r="A4" s="181"/>
      <c r="B4" s="292" t="s">
        <v>513</v>
      </c>
      <c r="C4" s="699"/>
      <c r="D4" s="700"/>
      <c r="E4" s="700"/>
      <c r="F4" s="700"/>
      <c r="G4" s="725"/>
      <c r="H4" s="731"/>
    </row>
    <row r="5" spans="1:8" ht="38.299999999999997" customHeight="1" x14ac:dyDescent="0.3">
      <c r="A5" s="691" t="s">
        <v>201</v>
      </c>
      <c r="B5" s="693" t="s">
        <v>202</v>
      </c>
      <c r="C5" s="695" t="s">
        <v>261</v>
      </c>
      <c r="D5" s="183" t="s">
        <v>97</v>
      </c>
      <c r="E5" s="183" t="s">
        <v>428</v>
      </c>
      <c r="F5" s="418" t="str">
        <f>+GUAINIA!F5</f>
        <v>Biodiesel B10</v>
      </c>
      <c r="G5" s="153" t="s">
        <v>97</v>
      </c>
      <c r="H5" s="247" t="str">
        <f>+E5</f>
        <v>Biodiesel B2</v>
      </c>
    </row>
    <row r="6" spans="1:8" ht="21.8" customHeight="1" x14ac:dyDescent="0.3">
      <c r="A6" s="691"/>
      <c r="B6" s="693"/>
      <c r="C6" s="696"/>
      <c r="D6" s="612">
        <v>0.08</v>
      </c>
      <c r="E6" s="184">
        <v>0.02</v>
      </c>
      <c r="F6" s="184">
        <f>+GUAINIA!F6</f>
        <v>0.1</v>
      </c>
      <c r="G6" s="612">
        <v>0.08</v>
      </c>
      <c r="H6" s="184">
        <f>+E6</f>
        <v>0.02</v>
      </c>
    </row>
    <row r="7" spans="1:8" x14ac:dyDescent="0.3">
      <c r="A7" s="692"/>
      <c r="B7" s="694"/>
      <c r="C7" s="153" t="s">
        <v>203</v>
      </c>
      <c r="D7" s="183" t="s">
        <v>203</v>
      </c>
      <c r="E7" s="183" t="s">
        <v>203</v>
      </c>
      <c r="F7" s="183" t="s">
        <v>203</v>
      </c>
      <c r="G7" s="153" t="s">
        <v>203</v>
      </c>
      <c r="H7" s="247" t="s">
        <v>203</v>
      </c>
    </row>
    <row r="8" spans="1:8" x14ac:dyDescent="0.3">
      <c r="A8" s="155" t="s">
        <v>204</v>
      </c>
      <c r="B8" s="161" t="s">
        <v>205</v>
      </c>
      <c r="C8" s="284">
        <f>+'Calculo IP ZDF'!$B$35</f>
        <v>4209.3266359999998</v>
      </c>
      <c r="D8" s="284">
        <f>+'Calculo IP ZDF'!B35</f>
        <v>4209.3266359999998</v>
      </c>
      <c r="E8" s="270">
        <f>+'Calculo IP ZDF'!$F$35</f>
        <v>4385.5249999999996</v>
      </c>
      <c r="F8" s="191">
        <f>+'Calculo IP ZDF'!I35</f>
        <v>5387.1735761</v>
      </c>
      <c r="G8" s="267">
        <f>+'GAS CTE'!C6</f>
        <v>4608.92</v>
      </c>
      <c r="H8" s="235">
        <f>+BIODIESEL!E9</f>
        <v>4723.12</v>
      </c>
    </row>
    <row r="9" spans="1:8" x14ac:dyDescent="0.3">
      <c r="A9" s="155" t="s">
        <v>206</v>
      </c>
      <c r="B9" s="161" t="s">
        <v>207</v>
      </c>
      <c r="C9" s="211" t="s">
        <v>208</v>
      </c>
      <c r="D9" s="211" t="s">
        <v>208</v>
      </c>
      <c r="E9" s="211" t="s">
        <v>208</v>
      </c>
      <c r="F9" s="186" t="s">
        <v>208</v>
      </c>
      <c r="G9" s="269">
        <f>+'GAS CTE'!C10</f>
        <v>555.04999999999995</v>
      </c>
      <c r="H9" s="232">
        <f>+BIODIESEL!E10</f>
        <v>520.64</v>
      </c>
    </row>
    <row r="10" spans="1:8" x14ac:dyDescent="0.3">
      <c r="A10" s="155"/>
      <c r="B10" s="161" t="s">
        <v>135</v>
      </c>
      <c r="C10" s="211" t="s">
        <v>208</v>
      </c>
      <c r="D10" s="211" t="s">
        <v>208</v>
      </c>
      <c r="E10" s="211" t="s">
        <v>208</v>
      </c>
      <c r="F10" s="186" t="s">
        <v>208</v>
      </c>
      <c r="G10" s="269" t="str">
        <f>'[7]CORRIENTE OXIGENADA'!C12</f>
        <v>(3)</v>
      </c>
      <c r="H10" s="232" t="str">
        <f>'[7]CORRIENTE OXIGENADA'!C12</f>
        <v>(3)</v>
      </c>
    </row>
    <row r="11" spans="1:8" x14ac:dyDescent="0.3">
      <c r="A11" s="155"/>
      <c r="B11" s="161" t="s">
        <v>137</v>
      </c>
      <c r="C11" s="270">
        <f>+'GAS CTE'!$C$12</f>
        <v>159</v>
      </c>
      <c r="D11" s="270">
        <f>+'GAS CTE'!C12</f>
        <v>159</v>
      </c>
      <c r="E11" s="270">
        <f>+BIODIESEL!$E$12</f>
        <v>175.42</v>
      </c>
      <c r="F11" s="191">
        <f>+BIODIESEL!G12</f>
        <v>161.1</v>
      </c>
      <c r="G11" s="269">
        <f t="shared" ref="G11:G15" si="0">+C11</f>
        <v>159</v>
      </c>
      <c r="H11" s="232">
        <f>+BIODIESEL!E12</f>
        <v>175.42</v>
      </c>
    </row>
    <row r="12" spans="1:8" x14ac:dyDescent="0.3">
      <c r="A12" s="155" t="s">
        <v>209</v>
      </c>
      <c r="B12" s="161" t="s">
        <v>291</v>
      </c>
      <c r="C12" s="287" t="s">
        <v>237</v>
      </c>
      <c r="D12" s="211" t="str">
        <f>+C12</f>
        <v>(2)</v>
      </c>
      <c r="E12" s="211" t="str">
        <f>+C12</f>
        <v>(2)</v>
      </c>
      <c r="F12" s="185" t="str">
        <f>+C12</f>
        <v>(2)</v>
      </c>
      <c r="G12" s="269" t="str">
        <f t="shared" si="0"/>
        <v>(2)</v>
      </c>
      <c r="H12" s="232" t="str">
        <f>+D12</f>
        <v>(2)</v>
      </c>
    </row>
    <row r="13" spans="1:8" x14ac:dyDescent="0.3">
      <c r="A13" s="155" t="s">
        <v>213</v>
      </c>
      <c r="B13" s="161" t="s">
        <v>214</v>
      </c>
      <c r="C13" s="287">
        <f>+RUBROS!$Z$53</f>
        <v>78.428942648119744</v>
      </c>
      <c r="D13" s="211">
        <f>+C13</f>
        <v>78.428942648119744</v>
      </c>
      <c r="E13" s="211">
        <f>+C13</f>
        <v>78.428942648119744</v>
      </c>
      <c r="F13" s="185">
        <f>+C13</f>
        <v>78.428942648119744</v>
      </c>
      <c r="G13" s="269">
        <f t="shared" si="0"/>
        <v>78.428942648119744</v>
      </c>
      <c r="H13" s="232">
        <f>+C13</f>
        <v>78.428942648119744</v>
      </c>
    </row>
    <row r="14" spans="1:8" x14ac:dyDescent="0.3">
      <c r="A14" s="155" t="s">
        <v>211</v>
      </c>
      <c r="B14" s="161" t="s">
        <v>212</v>
      </c>
      <c r="C14" s="270">
        <f>+RUBROS!$Z$17</f>
        <v>22.249601678692599</v>
      </c>
      <c r="D14" s="185">
        <f>+C14</f>
        <v>22.249601678692599</v>
      </c>
      <c r="E14" s="185">
        <f>+C14</f>
        <v>22.249601678692599</v>
      </c>
      <c r="F14" s="185">
        <f>+C14</f>
        <v>22.249601678692599</v>
      </c>
      <c r="G14" s="267">
        <f t="shared" si="0"/>
        <v>22.249601678692599</v>
      </c>
      <c r="H14" s="158">
        <f>+C14</f>
        <v>22.249601678692599</v>
      </c>
    </row>
    <row r="15" spans="1:8" x14ac:dyDescent="0.3">
      <c r="A15" s="155" t="s">
        <v>215</v>
      </c>
      <c r="B15" s="161" t="s">
        <v>216</v>
      </c>
      <c r="C15" s="270">
        <f>+RUBROS!$AQ$42</f>
        <v>12.938273064269636</v>
      </c>
      <c r="D15" s="185">
        <f>+C15</f>
        <v>12.938273064269636</v>
      </c>
      <c r="E15" s="185">
        <f>+C15</f>
        <v>12.938273064269636</v>
      </c>
      <c r="F15" s="185">
        <f>+C15</f>
        <v>12.938273064269636</v>
      </c>
      <c r="G15" s="267">
        <f t="shared" si="0"/>
        <v>12.938273064269636</v>
      </c>
      <c r="H15" s="158">
        <f>+G15</f>
        <v>12.938273064269636</v>
      </c>
    </row>
    <row r="16" spans="1:8" hidden="1" x14ac:dyDescent="0.3">
      <c r="A16" s="155"/>
      <c r="B16" s="161" t="s">
        <v>217</v>
      </c>
      <c r="C16" s="270"/>
      <c r="D16" s="185"/>
      <c r="E16" s="185"/>
      <c r="F16" s="185"/>
      <c r="G16" s="267"/>
      <c r="H16" s="158"/>
    </row>
    <row r="17" spans="1:11" x14ac:dyDescent="0.3">
      <c r="A17" s="162" t="s">
        <v>218</v>
      </c>
      <c r="B17" s="192" t="s">
        <v>219</v>
      </c>
      <c r="C17" s="271">
        <f t="shared" ref="C17:G17" si="1">SUM(C8:C16)</f>
        <v>4481.9434533910817</v>
      </c>
      <c r="D17" s="271">
        <f t="shared" si="1"/>
        <v>4481.9434533910817</v>
      </c>
      <c r="E17" s="271">
        <f t="shared" si="1"/>
        <v>4674.5618173910816</v>
      </c>
      <c r="F17" s="271">
        <f t="shared" si="1"/>
        <v>5661.8903934910822</v>
      </c>
      <c r="G17" s="273">
        <f t="shared" si="1"/>
        <v>5436.5868173910821</v>
      </c>
      <c r="H17" s="274">
        <f>SUM(H8:H16)</f>
        <v>5532.7968173910822</v>
      </c>
    </row>
    <row r="18" spans="1:11" x14ac:dyDescent="0.3">
      <c r="A18" s="155" t="s">
        <v>220</v>
      </c>
      <c r="B18" s="161" t="s">
        <v>285</v>
      </c>
      <c r="C18" s="287" t="s">
        <v>252</v>
      </c>
      <c r="D18" s="185" t="str">
        <f>+C18</f>
        <v>***</v>
      </c>
      <c r="E18" s="185" t="str">
        <f>+D18</f>
        <v>***</v>
      </c>
      <c r="F18" s="185" t="str">
        <f>+E18</f>
        <v>***</v>
      </c>
      <c r="G18" s="267" t="str">
        <f>+F18</f>
        <v>***</v>
      </c>
      <c r="H18" s="158" t="str">
        <f>+C18</f>
        <v>***</v>
      </c>
    </row>
    <row r="19" spans="1:11" x14ac:dyDescent="0.3">
      <c r="A19" s="155" t="s">
        <v>222</v>
      </c>
      <c r="B19" s="161" t="s">
        <v>223</v>
      </c>
      <c r="C19" s="287" t="s">
        <v>250</v>
      </c>
      <c r="D19" s="185" t="str">
        <f>+C19</f>
        <v>**</v>
      </c>
      <c r="E19" s="185" t="str">
        <f>+C19</f>
        <v>**</v>
      </c>
      <c r="F19" s="185" t="str">
        <f>+C19</f>
        <v>**</v>
      </c>
      <c r="G19" s="267" t="str">
        <f>+C19</f>
        <v>**</v>
      </c>
      <c r="H19" s="158" t="str">
        <f>+C19</f>
        <v>**</v>
      </c>
    </row>
    <row r="20" spans="1:11" x14ac:dyDescent="0.3">
      <c r="A20" s="155" t="s">
        <v>224</v>
      </c>
      <c r="B20" s="230" t="s">
        <v>142</v>
      </c>
      <c r="C20" s="308" t="s">
        <v>254</v>
      </c>
      <c r="D20" s="185" t="str">
        <f>+C20</f>
        <v>****</v>
      </c>
      <c r="E20" s="191" t="str">
        <f>+C20</f>
        <v>****</v>
      </c>
      <c r="F20" s="191" t="str">
        <f>+C20</f>
        <v>****</v>
      </c>
      <c r="G20" s="290" t="str">
        <f>C20</f>
        <v>****</v>
      </c>
      <c r="H20" s="158" t="str">
        <f>+C20</f>
        <v>****</v>
      </c>
    </row>
    <row r="21" spans="1:11" x14ac:dyDescent="0.3">
      <c r="A21" s="162" t="s">
        <v>226</v>
      </c>
      <c r="B21" s="192" t="s">
        <v>227</v>
      </c>
      <c r="C21" s="276">
        <f t="shared" ref="C21:H21" si="2">+C17</f>
        <v>4481.9434533910817</v>
      </c>
      <c r="D21" s="193">
        <f t="shared" si="2"/>
        <v>4481.9434533910817</v>
      </c>
      <c r="E21" s="193">
        <f t="shared" si="2"/>
        <v>4674.5618173910816</v>
      </c>
      <c r="F21" s="193">
        <f t="shared" si="2"/>
        <v>5661.8903934910822</v>
      </c>
      <c r="G21" s="273">
        <f t="shared" si="2"/>
        <v>5436.5868173910821</v>
      </c>
      <c r="H21" s="164">
        <f t="shared" si="2"/>
        <v>5532.7968173910822</v>
      </c>
    </row>
    <row r="22" spans="1:11" x14ac:dyDescent="0.3">
      <c r="A22" s="155" t="s">
        <v>228</v>
      </c>
      <c r="B22" s="161" t="s">
        <v>173</v>
      </c>
      <c r="C22" s="270" t="str">
        <f>+C18</f>
        <v>***</v>
      </c>
      <c r="D22" s="270" t="str">
        <f t="shared" ref="D22:F22" si="3">+D18</f>
        <v>***</v>
      </c>
      <c r="E22" s="270" t="str">
        <f t="shared" si="3"/>
        <v>***</v>
      </c>
      <c r="F22" s="270" t="str">
        <f t="shared" si="3"/>
        <v>***</v>
      </c>
      <c r="G22" s="267" t="str">
        <f>+G18</f>
        <v>***</v>
      </c>
      <c r="H22" s="158" t="str">
        <f>+H18</f>
        <v>***</v>
      </c>
    </row>
    <row r="23" spans="1:11" x14ac:dyDescent="0.3">
      <c r="A23" s="155" t="s">
        <v>229</v>
      </c>
      <c r="B23" s="156" t="s">
        <v>230</v>
      </c>
      <c r="C23" s="277" t="s">
        <v>256</v>
      </c>
      <c r="D23" s="185" t="str">
        <f>+C23</f>
        <v>*****</v>
      </c>
      <c r="E23" s="185" t="s">
        <v>231</v>
      </c>
      <c r="F23" s="185" t="s">
        <v>231</v>
      </c>
      <c r="G23" s="267" t="str">
        <f>+D23</f>
        <v>*****</v>
      </c>
      <c r="H23" s="158" t="s">
        <v>274</v>
      </c>
      <c r="K23" s="19"/>
    </row>
    <row r="24" spans="1:11" ht="24.75" customHeight="1" x14ac:dyDescent="0.3">
      <c r="A24" s="155" t="s">
        <v>232</v>
      </c>
      <c r="B24" s="156" t="s">
        <v>233</v>
      </c>
      <c r="C24" s="277" t="s">
        <v>257</v>
      </c>
      <c r="D24" s="185" t="str">
        <f>+C24</f>
        <v>******</v>
      </c>
      <c r="E24" s="185" t="str">
        <f>+C24</f>
        <v>******</v>
      </c>
      <c r="F24" s="185" t="str">
        <f>+C24</f>
        <v>******</v>
      </c>
      <c r="G24" s="267" t="str">
        <f>+C24</f>
        <v>******</v>
      </c>
      <c r="H24" s="158" t="str">
        <f>+C24</f>
        <v>******</v>
      </c>
    </row>
    <row r="25" spans="1:11" ht="15.75" thickBot="1" x14ac:dyDescent="0.35">
      <c r="A25" s="166" t="s">
        <v>234</v>
      </c>
      <c r="B25" s="167" t="s">
        <v>235</v>
      </c>
      <c r="C25" s="278"/>
      <c r="D25" s="195"/>
      <c r="E25" s="195"/>
      <c r="F25" s="195"/>
      <c r="G25" s="279"/>
      <c r="H25" s="169"/>
    </row>
    <row r="26" spans="1:11" ht="15.75" thickTop="1" x14ac:dyDescent="0.3">
      <c r="A26" s="171"/>
      <c r="B26" s="172"/>
      <c r="C26" s="172"/>
      <c r="D26" s="173"/>
      <c r="E26" s="173"/>
      <c r="F26" s="173"/>
      <c r="G26" s="173"/>
      <c r="H26" s="173"/>
    </row>
    <row r="27" spans="1:11" ht="15.75" hidden="1" thickTop="1" x14ac:dyDescent="0.3">
      <c r="A27" s="207"/>
      <c r="B27" s="180" t="s">
        <v>503</v>
      </c>
      <c r="C27" s="697" t="s">
        <v>200</v>
      </c>
      <c r="D27" s="698"/>
      <c r="E27" s="698"/>
      <c r="F27" s="698"/>
      <c r="G27" s="724" t="s">
        <v>270</v>
      </c>
      <c r="H27" s="729"/>
    </row>
    <row r="28" spans="1:11" ht="39.299999999999997" hidden="1" x14ac:dyDescent="0.3">
      <c r="A28" s="181"/>
      <c r="B28" s="292" t="s">
        <v>301</v>
      </c>
      <c r="C28" s="699"/>
      <c r="D28" s="700"/>
      <c r="E28" s="700"/>
      <c r="F28" s="700"/>
      <c r="G28" s="725"/>
      <c r="H28" s="731"/>
    </row>
    <row r="29" spans="1:11" hidden="1" x14ac:dyDescent="0.3">
      <c r="A29" s="691" t="s">
        <v>201</v>
      </c>
      <c r="B29" s="693" t="s">
        <v>202</v>
      </c>
      <c r="C29" s="695" t="s">
        <v>261</v>
      </c>
      <c r="D29" s="559" t="s">
        <v>97</v>
      </c>
      <c r="E29" s="559" t="s">
        <v>428</v>
      </c>
      <c r="F29" s="559">
        <f>+GUAINIA!F29</f>
        <v>0</v>
      </c>
      <c r="G29" s="558" t="s">
        <v>97</v>
      </c>
      <c r="H29" s="557">
        <f>+F29</f>
        <v>0</v>
      </c>
    </row>
    <row r="30" spans="1:11" hidden="1" x14ac:dyDescent="0.3">
      <c r="A30" s="691"/>
      <c r="B30" s="693"/>
      <c r="C30" s="696"/>
      <c r="D30" s="556">
        <v>0.08</v>
      </c>
      <c r="E30" s="184">
        <v>0.02</v>
      </c>
      <c r="F30" s="184">
        <f>+GUAINIA!F30</f>
        <v>0</v>
      </c>
      <c r="G30" s="293">
        <v>0.04</v>
      </c>
      <c r="H30" s="184">
        <f>+F30</f>
        <v>0</v>
      </c>
    </row>
    <row r="31" spans="1:11" hidden="1" x14ac:dyDescent="0.3">
      <c r="A31" s="692"/>
      <c r="B31" s="694"/>
      <c r="C31" s="558" t="s">
        <v>203</v>
      </c>
      <c r="D31" s="559" t="s">
        <v>203</v>
      </c>
      <c r="E31" s="559" t="s">
        <v>203</v>
      </c>
      <c r="F31" s="559" t="s">
        <v>203</v>
      </c>
      <c r="G31" s="558" t="s">
        <v>203</v>
      </c>
      <c r="H31" s="557" t="s">
        <v>203</v>
      </c>
    </row>
    <row r="32" spans="1:11" hidden="1" x14ac:dyDescent="0.3">
      <c r="A32" s="155" t="s">
        <v>204</v>
      </c>
      <c r="B32" s="161" t="s">
        <v>205</v>
      </c>
      <c r="C32" s="284">
        <f>+'Calculo IP ZDF'!$B$44</f>
        <v>4209.3266359999998</v>
      </c>
      <c r="D32" s="284">
        <f>+'Calculo IP ZDF'!$G$44</f>
        <v>4394.07357056</v>
      </c>
      <c r="E32" s="270">
        <f>+'Calculo IP ZDF'!$F$44</f>
        <v>4385.5249999999996</v>
      </c>
      <c r="F32" s="191">
        <f>+'Calculo IP ZDF'!I59</f>
        <v>0</v>
      </c>
      <c r="G32" s="267">
        <f>+'GAS CTE'!$D$9</f>
        <v>4777.68</v>
      </c>
      <c r="H32" s="235">
        <f>+BIODIESEL!G33</f>
        <v>0</v>
      </c>
    </row>
    <row r="33" spans="1:8" hidden="1" x14ac:dyDescent="0.3">
      <c r="A33" s="155" t="s">
        <v>206</v>
      </c>
      <c r="B33" s="161" t="s">
        <v>207</v>
      </c>
      <c r="C33" s="211" t="s">
        <v>208</v>
      </c>
      <c r="D33" s="211" t="s">
        <v>208</v>
      </c>
      <c r="E33" s="211" t="s">
        <v>208</v>
      </c>
      <c r="F33" s="186" t="s">
        <v>208</v>
      </c>
      <c r="G33" s="269">
        <f>+'GAS CTE'!$D$10</f>
        <v>532.84799999999996</v>
      </c>
      <c r="H33" s="232">
        <f>+BIODIESEL!G34</f>
        <v>0</v>
      </c>
    </row>
    <row r="34" spans="1:8" hidden="1" x14ac:dyDescent="0.3">
      <c r="A34" s="155"/>
      <c r="B34" s="161" t="s">
        <v>135</v>
      </c>
      <c r="C34" s="211" t="s">
        <v>208</v>
      </c>
      <c r="D34" s="211" t="s">
        <v>208</v>
      </c>
      <c r="E34" s="211" t="s">
        <v>208</v>
      </c>
      <c r="F34" s="186" t="s">
        <v>208</v>
      </c>
      <c r="G34" s="269" t="str">
        <f>+G10</f>
        <v>(3)</v>
      </c>
      <c r="H34" s="232" t="e">
        <f>'[7]CORRIENTE OXIGENADA'!C36</f>
        <v>#REF!</v>
      </c>
    </row>
    <row r="35" spans="1:8" hidden="1" x14ac:dyDescent="0.3">
      <c r="A35" s="155"/>
      <c r="B35" s="161" t="s">
        <v>137</v>
      </c>
      <c r="C35" s="270">
        <f>+'GAS CTE'!$C$12</f>
        <v>159</v>
      </c>
      <c r="D35" s="270">
        <f>+'GAS CTE'!$D$12</f>
        <v>152.63999999999999</v>
      </c>
      <c r="E35" s="270">
        <f>+BIODIESEL!$E$12</f>
        <v>175.42</v>
      </c>
      <c r="F35" s="191">
        <f>+BIODIESEL!G36</f>
        <v>0</v>
      </c>
      <c r="G35" s="269">
        <f t="shared" ref="G35:G39" si="4">+C35</f>
        <v>159</v>
      </c>
      <c r="H35" s="232">
        <f>+BIODIESEL!G36</f>
        <v>0</v>
      </c>
    </row>
    <row r="36" spans="1:8" hidden="1" x14ac:dyDescent="0.3">
      <c r="A36" s="155" t="s">
        <v>209</v>
      </c>
      <c r="B36" s="161" t="s">
        <v>291</v>
      </c>
      <c r="C36" s="287" t="s">
        <v>237</v>
      </c>
      <c r="D36" s="211" t="str">
        <f>+C36</f>
        <v>(2)</v>
      </c>
      <c r="E36" s="211" t="str">
        <f>+C36</f>
        <v>(2)</v>
      </c>
      <c r="F36" s="185" t="str">
        <f>+C36</f>
        <v>(2)</v>
      </c>
      <c r="G36" s="269" t="str">
        <f t="shared" si="4"/>
        <v>(2)</v>
      </c>
      <c r="H36" s="232" t="str">
        <f>+D36</f>
        <v>(2)</v>
      </c>
    </row>
    <row r="37" spans="1:8" hidden="1" x14ac:dyDescent="0.3">
      <c r="A37" s="155" t="s">
        <v>213</v>
      </c>
      <c r="B37" s="161" t="s">
        <v>214</v>
      </c>
      <c r="C37" s="287">
        <f>+RUBROS!$Z$53</f>
        <v>78.428942648119744</v>
      </c>
      <c r="D37" s="211">
        <f>+C37</f>
        <v>78.428942648119744</v>
      </c>
      <c r="E37" s="211">
        <f>+C37</f>
        <v>78.428942648119744</v>
      </c>
      <c r="F37" s="185">
        <f>+C37</f>
        <v>78.428942648119744</v>
      </c>
      <c r="G37" s="269">
        <f t="shared" si="4"/>
        <v>78.428942648119744</v>
      </c>
      <c r="H37" s="232">
        <f>+C37</f>
        <v>78.428942648119744</v>
      </c>
    </row>
    <row r="38" spans="1:8" hidden="1" x14ac:dyDescent="0.3">
      <c r="A38" s="155" t="s">
        <v>211</v>
      </c>
      <c r="B38" s="161" t="s">
        <v>212</v>
      </c>
      <c r="C38" s="270">
        <f>+RUBROS!$Z$17</f>
        <v>22.249601678692599</v>
      </c>
      <c r="D38" s="185">
        <f>+C38</f>
        <v>22.249601678692599</v>
      </c>
      <c r="E38" s="185">
        <f>+C38</f>
        <v>22.249601678692599</v>
      </c>
      <c r="F38" s="185">
        <f>+C38</f>
        <v>22.249601678692599</v>
      </c>
      <c r="G38" s="267">
        <f t="shared" si="4"/>
        <v>22.249601678692599</v>
      </c>
      <c r="H38" s="158">
        <f>+C38</f>
        <v>22.249601678692599</v>
      </c>
    </row>
    <row r="39" spans="1:8" hidden="1" x14ac:dyDescent="0.3">
      <c r="A39" s="155" t="s">
        <v>215</v>
      </c>
      <c r="B39" s="161" t="s">
        <v>216</v>
      </c>
      <c r="C39" s="270">
        <f>+RUBROS!$AQ$42</f>
        <v>12.938273064269636</v>
      </c>
      <c r="D39" s="185">
        <f>+C39</f>
        <v>12.938273064269636</v>
      </c>
      <c r="E39" s="185">
        <f>+C39</f>
        <v>12.938273064269636</v>
      </c>
      <c r="F39" s="185">
        <f>+C39</f>
        <v>12.938273064269636</v>
      </c>
      <c r="G39" s="267">
        <f t="shared" si="4"/>
        <v>12.938273064269636</v>
      </c>
      <c r="H39" s="158">
        <f>+G39</f>
        <v>12.938273064269636</v>
      </c>
    </row>
    <row r="40" spans="1:8" hidden="1" x14ac:dyDescent="0.3">
      <c r="A40" s="155"/>
      <c r="B40" s="161" t="s">
        <v>217</v>
      </c>
      <c r="C40" s="270"/>
      <c r="D40" s="185"/>
      <c r="E40" s="185"/>
      <c r="F40" s="185"/>
      <c r="G40" s="267"/>
      <c r="H40" s="158"/>
    </row>
    <row r="41" spans="1:8" hidden="1" x14ac:dyDescent="0.3">
      <c r="A41" s="162" t="s">
        <v>218</v>
      </c>
      <c r="B41" s="192" t="s">
        <v>219</v>
      </c>
      <c r="C41" s="271">
        <f t="shared" ref="C41:G41" si="5">SUM(C32:C40)</f>
        <v>4481.9434533910817</v>
      </c>
      <c r="D41" s="271">
        <f t="shared" si="5"/>
        <v>4660.3303879510822</v>
      </c>
      <c r="E41" s="271">
        <f t="shared" si="5"/>
        <v>4674.5618173910816</v>
      </c>
      <c r="F41" s="271">
        <f t="shared" si="5"/>
        <v>113.61681739108198</v>
      </c>
      <c r="G41" s="273">
        <f t="shared" si="5"/>
        <v>5583.1448173910821</v>
      </c>
      <c r="H41" s="274" t="e">
        <f>SUM(H32:H40)</f>
        <v>#REF!</v>
      </c>
    </row>
    <row r="42" spans="1:8" hidden="1" x14ac:dyDescent="0.3">
      <c r="A42" s="155" t="s">
        <v>220</v>
      </c>
      <c r="B42" s="161" t="s">
        <v>285</v>
      </c>
      <c r="C42" s="287" t="s">
        <v>252</v>
      </c>
      <c r="D42" s="185" t="str">
        <f>+C42</f>
        <v>***</v>
      </c>
      <c r="E42" s="185" t="str">
        <f>+D42</f>
        <v>***</v>
      </c>
      <c r="F42" s="185" t="str">
        <f>+E42</f>
        <v>***</v>
      </c>
      <c r="G42" s="267" t="str">
        <f>+F42</f>
        <v>***</v>
      </c>
      <c r="H42" s="158" t="str">
        <f>+C42</f>
        <v>***</v>
      </c>
    </row>
    <row r="43" spans="1:8" hidden="1" x14ac:dyDescent="0.3">
      <c r="A43" s="155" t="s">
        <v>222</v>
      </c>
      <c r="B43" s="161" t="s">
        <v>223</v>
      </c>
      <c r="C43" s="287" t="s">
        <v>250</v>
      </c>
      <c r="D43" s="185" t="str">
        <f>+C43</f>
        <v>**</v>
      </c>
      <c r="E43" s="185" t="str">
        <f>+C43</f>
        <v>**</v>
      </c>
      <c r="F43" s="185" t="str">
        <f>+C43</f>
        <v>**</v>
      </c>
      <c r="G43" s="267" t="str">
        <f>+C43</f>
        <v>**</v>
      </c>
      <c r="H43" s="158" t="str">
        <f>+C43</f>
        <v>**</v>
      </c>
    </row>
    <row r="44" spans="1:8" hidden="1" x14ac:dyDescent="0.3">
      <c r="A44" s="155" t="s">
        <v>224</v>
      </c>
      <c r="B44" s="230" t="s">
        <v>142</v>
      </c>
      <c r="C44" s="308" t="s">
        <v>254</v>
      </c>
      <c r="D44" s="185" t="str">
        <f>+C44</f>
        <v>****</v>
      </c>
      <c r="E44" s="191" t="str">
        <f>+C44</f>
        <v>****</v>
      </c>
      <c r="F44" s="191" t="str">
        <f>+C44</f>
        <v>****</v>
      </c>
      <c r="G44" s="290" t="str">
        <f>C44</f>
        <v>****</v>
      </c>
      <c r="H44" s="158" t="str">
        <f>+C44</f>
        <v>****</v>
      </c>
    </row>
    <row r="45" spans="1:8" hidden="1" x14ac:dyDescent="0.3">
      <c r="A45" s="162" t="s">
        <v>226</v>
      </c>
      <c r="B45" s="192" t="s">
        <v>227</v>
      </c>
      <c r="C45" s="276">
        <f t="shared" ref="C45:H45" si="6">+C41</f>
        <v>4481.9434533910817</v>
      </c>
      <c r="D45" s="193">
        <f t="shared" si="6"/>
        <v>4660.3303879510822</v>
      </c>
      <c r="E45" s="193">
        <f t="shared" si="6"/>
        <v>4674.5618173910816</v>
      </c>
      <c r="F45" s="193">
        <f t="shared" si="6"/>
        <v>113.61681739108198</v>
      </c>
      <c r="G45" s="273">
        <f t="shared" si="6"/>
        <v>5583.1448173910821</v>
      </c>
      <c r="H45" s="164" t="e">
        <f t="shared" si="6"/>
        <v>#REF!</v>
      </c>
    </row>
    <row r="46" spans="1:8" hidden="1" x14ac:dyDescent="0.3">
      <c r="A46" s="155" t="s">
        <v>228</v>
      </c>
      <c r="B46" s="161" t="s">
        <v>173</v>
      </c>
      <c r="C46" s="270" t="str">
        <f>+C42</f>
        <v>***</v>
      </c>
      <c r="D46" s="270" t="str">
        <f t="shared" ref="D46:F46" si="7">+D42</f>
        <v>***</v>
      </c>
      <c r="E46" s="270" t="str">
        <f t="shared" si="7"/>
        <v>***</v>
      </c>
      <c r="F46" s="270" t="str">
        <f t="shared" si="7"/>
        <v>***</v>
      </c>
      <c r="G46" s="267" t="str">
        <f>+G42</f>
        <v>***</v>
      </c>
      <c r="H46" s="158" t="str">
        <f>+H42</f>
        <v>***</v>
      </c>
    </row>
    <row r="47" spans="1:8" hidden="1" x14ac:dyDescent="0.3">
      <c r="A47" s="155" t="s">
        <v>229</v>
      </c>
      <c r="B47" s="156" t="s">
        <v>230</v>
      </c>
      <c r="C47" s="277" t="s">
        <v>256</v>
      </c>
      <c r="D47" s="185" t="str">
        <f>+C47</f>
        <v>*****</v>
      </c>
      <c r="E47" s="185" t="s">
        <v>231</v>
      </c>
      <c r="F47" s="185" t="s">
        <v>231</v>
      </c>
      <c r="G47" s="267" t="str">
        <f>+D47</f>
        <v>*****</v>
      </c>
      <c r="H47" s="158" t="s">
        <v>274</v>
      </c>
    </row>
    <row r="48" spans="1:8" hidden="1" x14ac:dyDescent="0.3">
      <c r="A48" s="155" t="s">
        <v>232</v>
      </c>
      <c r="B48" s="156" t="s">
        <v>233</v>
      </c>
      <c r="C48" s="277" t="s">
        <v>257</v>
      </c>
      <c r="D48" s="185" t="str">
        <f>+C48</f>
        <v>******</v>
      </c>
      <c r="E48" s="185" t="str">
        <f>+C48</f>
        <v>******</v>
      </c>
      <c r="F48" s="185" t="str">
        <f>+C48</f>
        <v>******</v>
      </c>
      <c r="G48" s="267" t="str">
        <f>+C48</f>
        <v>******</v>
      </c>
      <c r="H48" s="158" t="str">
        <f>+C48</f>
        <v>******</v>
      </c>
    </row>
    <row r="49" spans="1:10" ht="15.75" hidden="1" thickBot="1" x14ac:dyDescent="0.35">
      <c r="A49" s="166" t="s">
        <v>234</v>
      </c>
      <c r="B49" s="167" t="s">
        <v>235</v>
      </c>
      <c r="C49" s="278"/>
      <c r="D49" s="195"/>
      <c r="E49" s="195"/>
      <c r="F49" s="195"/>
      <c r="G49" s="279"/>
      <c r="H49" s="169"/>
    </row>
    <row r="50" spans="1:10" x14ac:dyDescent="0.3">
      <c r="A50" s="171"/>
      <c r="B50" s="172"/>
      <c r="C50" s="172"/>
      <c r="D50" s="173"/>
      <c r="E50" s="173"/>
      <c r="F50" s="173"/>
      <c r="G50" s="173"/>
      <c r="H50" s="173"/>
    </row>
    <row r="51" spans="1:10" ht="15.75" thickBot="1" x14ac:dyDescent="0.35">
      <c r="A51" s="171"/>
      <c r="B51" s="172"/>
      <c r="C51" s="172"/>
      <c r="D51" s="173"/>
      <c r="E51" s="173"/>
      <c r="F51" s="173"/>
      <c r="G51" s="173"/>
      <c r="H51" s="173"/>
    </row>
    <row r="52" spans="1:10" ht="15.75" thickTop="1" x14ac:dyDescent="0.3">
      <c r="A52" s="207"/>
      <c r="B52" s="180" t="s">
        <v>303</v>
      </c>
      <c r="C52" s="697" t="s">
        <v>200</v>
      </c>
      <c r="D52" s="698"/>
      <c r="E52" s="698"/>
      <c r="F52" s="698"/>
      <c r="G52" s="724" t="s">
        <v>270</v>
      </c>
      <c r="H52" s="728"/>
    </row>
    <row r="53" spans="1:10" ht="46.5" customHeight="1" x14ac:dyDescent="0.3">
      <c r="A53" s="181"/>
      <c r="B53" s="292" t="s">
        <v>302</v>
      </c>
      <c r="C53" s="699"/>
      <c r="D53" s="700"/>
      <c r="E53" s="700"/>
      <c r="F53" s="700"/>
      <c r="G53" s="725"/>
      <c r="H53" s="730"/>
    </row>
    <row r="54" spans="1:10" ht="38.299999999999997" customHeight="1" x14ac:dyDescent="0.3">
      <c r="A54" s="691" t="s">
        <v>201</v>
      </c>
      <c r="B54" s="693" t="s">
        <v>202</v>
      </c>
      <c r="C54" s="695" t="s">
        <v>261</v>
      </c>
      <c r="D54" s="183" t="s">
        <v>97</v>
      </c>
      <c r="E54" s="183" t="str">
        <f>+E5</f>
        <v>Biodiesel B2</v>
      </c>
      <c r="F54" s="732" t="str">
        <f>+F5</f>
        <v>Biodiesel B10</v>
      </c>
      <c r="G54" s="153" t="s">
        <v>97</v>
      </c>
      <c r="H54" s="247" t="str">
        <f>+F54</f>
        <v>Biodiesel B10</v>
      </c>
    </row>
    <row r="55" spans="1:10" x14ac:dyDescent="0.3">
      <c r="A55" s="691"/>
      <c r="B55" s="693"/>
      <c r="C55" s="696"/>
      <c r="D55" s="511">
        <v>0.08</v>
      </c>
      <c r="E55" s="184">
        <f>+E6</f>
        <v>0.02</v>
      </c>
      <c r="F55" s="733"/>
      <c r="G55" s="293">
        <v>0.04</v>
      </c>
      <c r="H55" s="184">
        <f>+H6</f>
        <v>0.02</v>
      </c>
    </row>
    <row r="56" spans="1:10" x14ac:dyDescent="0.3">
      <c r="A56" s="692"/>
      <c r="B56" s="694"/>
      <c r="C56" s="153" t="s">
        <v>203</v>
      </c>
      <c r="D56" s="183" t="s">
        <v>203</v>
      </c>
      <c r="E56" s="183" t="s">
        <v>203</v>
      </c>
      <c r="F56" s="421">
        <f>+F6</f>
        <v>0.1</v>
      </c>
      <c r="G56" s="153" t="s">
        <v>203</v>
      </c>
      <c r="H56" s="247" t="s">
        <v>203</v>
      </c>
    </row>
    <row r="57" spans="1:10" x14ac:dyDescent="0.3">
      <c r="A57" s="155" t="s">
        <v>204</v>
      </c>
      <c r="B57" s="161" t="s">
        <v>205</v>
      </c>
      <c r="C57" s="284">
        <f>+'GAS CTE'!C6</f>
        <v>4608.92</v>
      </c>
      <c r="D57" s="284">
        <f>+'GAS CTE'!D9</f>
        <v>4777.68</v>
      </c>
      <c r="E57" s="285">
        <f>+BIODIESEL!E9</f>
        <v>4723.12</v>
      </c>
      <c r="F57" s="191">
        <f>+BIODIESEL!G9</f>
        <v>5697.2049999999999</v>
      </c>
      <c r="G57" s="267">
        <f>+D57</f>
        <v>4777.68</v>
      </c>
      <c r="H57" s="235">
        <f>+H8</f>
        <v>4723.12</v>
      </c>
    </row>
    <row r="58" spans="1:10" x14ac:dyDescent="0.3">
      <c r="A58" s="155" t="s">
        <v>206</v>
      </c>
      <c r="B58" s="161" t="s">
        <v>207</v>
      </c>
      <c r="C58" s="211" t="s">
        <v>208</v>
      </c>
      <c r="D58" s="211" t="s">
        <v>208</v>
      </c>
      <c r="E58" s="211" t="s">
        <v>208</v>
      </c>
      <c r="F58" s="186" t="s">
        <v>208</v>
      </c>
      <c r="G58" s="269">
        <f>+'GAS CTE'!D10</f>
        <v>532.84799999999996</v>
      </c>
      <c r="H58" s="232">
        <f>+H9</f>
        <v>520.64</v>
      </c>
    </row>
    <row r="59" spans="1:10" x14ac:dyDescent="0.3">
      <c r="A59" s="155"/>
      <c r="B59" s="161" t="s">
        <v>135</v>
      </c>
      <c r="C59" s="211" t="s">
        <v>208</v>
      </c>
      <c r="D59" s="211" t="s">
        <v>208</v>
      </c>
      <c r="E59" s="211" t="s">
        <v>208</v>
      </c>
      <c r="F59" s="186" t="s">
        <v>208</v>
      </c>
      <c r="G59" s="269" t="str">
        <f>+G10</f>
        <v>(3)</v>
      </c>
      <c r="H59" s="232" t="str">
        <f>+G59</f>
        <v>(3)</v>
      </c>
    </row>
    <row r="60" spans="1:10" x14ac:dyDescent="0.3">
      <c r="A60" s="155"/>
      <c r="B60" s="161" t="s">
        <v>137</v>
      </c>
      <c r="C60" s="270">
        <f>'GAS CTE'!C12</f>
        <v>159</v>
      </c>
      <c r="D60" s="270">
        <f>+'GAS CTE'!D12</f>
        <v>152.63999999999999</v>
      </c>
      <c r="E60" s="270">
        <f>+BIODIESEL!E12</f>
        <v>175.42</v>
      </c>
      <c r="F60" s="191">
        <f>+BIODIESEL!G12</f>
        <v>161.1</v>
      </c>
      <c r="G60" s="269">
        <f>+D60</f>
        <v>152.63999999999999</v>
      </c>
      <c r="H60" s="232">
        <f>+H11</f>
        <v>175.42</v>
      </c>
    </row>
    <row r="61" spans="1:10" x14ac:dyDescent="0.3">
      <c r="A61" s="155" t="s">
        <v>209</v>
      </c>
      <c r="B61" s="161" t="s">
        <v>291</v>
      </c>
      <c r="C61" s="211" t="str">
        <f>+C12</f>
        <v>(2)</v>
      </c>
      <c r="D61" s="211" t="str">
        <f>+C61</f>
        <v>(2)</v>
      </c>
      <c r="E61" s="211" t="str">
        <f>+C61</f>
        <v>(2)</v>
      </c>
      <c r="F61" s="185" t="str">
        <f>+C61</f>
        <v>(2)</v>
      </c>
      <c r="G61" s="269" t="str">
        <f>+C61</f>
        <v>(2)</v>
      </c>
      <c r="H61" s="232" t="str">
        <f>+D61</f>
        <v>(2)</v>
      </c>
    </row>
    <row r="62" spans="1:10" x14ac:dyDescent="0.3">
      <c r="A62" s="155" t="s">
        <v>213</v>
      </c>
      <c r="B62" s="161" t="s">
        <v>214</v>
      </c>
      <c r="C62" s="211">
        <f>+C13</f>
        <v>78.428942648119744</v>
      </c>
      <c r="D62" s="211">
        <f>+C62</f>
        <v>78.428942648119744</v>
      </c>
      <c r="E62" s="211">
        <f>+C62</f>
        <v>78.428942648119744</v>
      </c>
      <c r="F62" s="185">
        <f>+C62</f>
        <v>78.428942648119744</v>
      </c>
      <c r="G62" s="269">
        <f>+C62</f>
        <v>78.428942648119744</v>
      </c>
      <c r="H62" s="232">
        <f>+G62</f>
        <v>78.428942648119744</v>
      </c>
      <c r="J62" s="474" t="s">
        <v>456</v>
      </c>
    </row>
    <row r="63" spans="1:10" x14ac:dyDescent="0.3">
      <c r="A63" s="155" t="s">
        <v>211</v>
      </c>
      <c r="B63" s="161" t="s">
        <v>212</v>
      </c>
      <c r="C63" s="270">
        <f>C14</f>
        <v>22.249601678692599</v>
      </c>
      <c r="D63" s="185">
        <f>+C63</f>
        <v>22.249601678692599</v>
      </c>
      <c r="E63" s="185">
        <f>+C63</f>
        <v>22.249601678692599</v>
      </c>
      <c r="F63" s="185">
        <f>+C63</f>
        <v>22.249601678692599</v>
      </c>
      <c r="G63" s="267">
        <f>+C63</f>
        <v>22.249601678692599</v>
      </c>
      <c r="H63" s="158">
        <f>+C63</f>
        <v>22.249601678692599</v>
      </c>
      <c r="J63" s="474" t="s">
        <v>456</v>
      </c>
    </row>
    <row r="64" spans="1:10" x14ac:dyDescent="0.3">
      <c r="A64" s="155" t="s">
        <v>215</v>
      </c>
      <c r="B64" s="161" t="s">
        <v>216</v>
      </c>
      <c r="C64" s="270">
        <f>+C15</f>
        <v>12.938273064269636</v>
      </c>
      <c r="D64" s="185">
        <f>+C64</f>
        <v>12.938273064269636</v>
      </c>
      <c r="E64" s="185">
        <f>+C64</f>
        <v>12.938273064269636</v>
      </c>
      <c r="F64" s="185">
        <f>+C64</f>
        <v>12.938273064269636</v>
      </c>
      <c r="G64" s="267">
        <f>+C64</f>
        <v>12.938273064269636</v>
      </c>
      <c r="H64" s="158">
        <f>+G64</f>
        <v>12.938273064269636</v>
      </c>
      <c r="J64" s="474" t="s">
        <v>456</v>
      </c>
    </row>
    <row r="65" spans="1:8" hidden="1" x14ac:dyDescent="0.3">
      <c r="A65" s="155"/>
      <c r="B65" s="161" t="s">
        <v>217</v>
      </c>
      <c r="C65" s="270"/>
      <c r="D65" s="185"/>
      <c r="E65" s="185"/>
      <c r="F65" s="185"/>
      <c r="G65" s="267"/>
      <c r="H65" s="158"/>
    </row>
    <row r="66" spans="1:8" x14ac:dyDescent="0.3">
      <c r="A66" s="162" t="s">
        <v>218</v>
      </c>
      <c r="B66" s="192" t="s">
        <v>219</v>
      </c>
      <c r="C66" s="271">
        <f t="shared" ref="C66:H66" si="8">SUM(C57:C65)</f>
        <v>4881.536817391082</v>
      </c>
      <c r="D66" s="271">
        <f t="shared" si="8"/>
        <v>5043.9368173910825</v>
      </c>
      <c r="E66" s="271">
        <f t="shared" si="8"/>
        <v>5012.1568173910819</v>
      </c>
      <c r="F66" s="271">
        <f t="shared" si="8"/>
        <v>5971.9218173910822</v>
      </c>
      <c r="G66" s="273">
        <f t="shared" si="8"/>
        <v>5576.7848173910825</v>
      </c>
      <c r="H66" s="274">
        <f t="shared" si="8"/>
        <v>5532.7968173910822</v>
      </c>
    </row>
    <row r="67" spans="1:8" x14ac:dyDescent="0.3">
      <c r="A67" s="155" t="s">
        <v>220</v>
      </c>
      <c r="B67" s="161" t="s">
        <v>285</v>
      </c>
      <c r="C67" s="287" t="s">
        <v>252</v>
      </c>
      <c r="D67" s="185" t="str">
        <f>+C67</f>
        <v>***</v>
      </c>
      <c r="E67" s="185" t="str">
        <f>+D67</f>
        <v>***</v>
      </c>
      <c r="F67" s="185" t="str">
        <f>+E67</f>
        <v>***</v>
      </c>
      <c r="G67" s="267" t="str">
        <f>+E67</f>
        <v>***</v>
      </c>
      <c r="H67" s="158" t="str">
        <f>+G67</f>
        <v>***</v>
      </c>
    </row>
    <row r="68" spans="1:8" x14ac:dyDescent="0.3">
      <c r="A68" s="155" t="s">
        <v>222</v>
      </c>
      <c r="B68" s="161" t="s">
        <v>223</v>
      </c>
      <c r="C68" s="287" t="s">
        <v>250</v>
      </c>
      <c r="D68" s="185" t="str">
        <f>+C68</f>
        <v>**</v>
      </c>
      <c r="E68" s="185" t="str">
        <f>+C68</f>
        <v>**</v>
      </c>
      <c r="F68" s="185" t="str">
        <f>+C68</f>
        <v>**</v>
      </c>
      <c r="G68" s="267" t="str">
        <f>+C68</f>
        <v>**</v>
      </c>
      <c r="H68" s="158" t="str">
        <f>+G68</f>
        <v>**</v>
      </c>
    </row>
    <row r="69" spans="1:8" x14ac:dyDescent="0.3">
      <c r="A69" s="155" t="s">
        <v>224</v>
      </c>
      <c r="B69" s="230" t="s">
        <v>142</v>
      </c>
      <c r="C69" s="291" t="str">
        <f>+C20</f>
        <v>****</v>
      </c>
      <c r="D69" s="185" t="str">
        <f>+C69</f>
        <v>****</v>
      </c>
      <c r="E69" s="191" t="str">
        <f>+C69</f>
        <v>****</v>
      </c>
      <c r="F69" s="191" t="str">
        <f>+C69</f>
        <v>****</v>
      </c>
      <c r="G69" s="290" t="str">
        <f>C69</f>
        <v>****</v>
      </c>
      <c r="H69" s="158" t="str">
        <f>+C69</f>
        <v>****</v>
      </c>
    </row>
    <row r="70" spans="1:8" x14ac:dyDescent="0.3">
      <c r="A70" s="162" t="s">
        <v>226</v>
      </c>
      <c r="B70" s="192" t="s">
        <v>227</v>
      </c>
      <c r="C70" s="276">
        <f>SUM(C66:C69)</f>
        <v>4881.536817391082</v>
      </c>
      <c r="D70" s="193">
        <f t="shared" ref="D70:H70" si="9">SUM(D66:D69)</f>
        <v>5043.9368173910825</v>
      </c>
      <c r="E70" s="193">
        <f t="shared" si="9"/>
        <v>5012.1568173910819</v>
      </c>
      <c r="F70" s="193">
        <f t="shared" si="9"/>
        <v>5971.9218173910822</v>
      </c>
      <c r="G70" s="273">
        <f t="shared" si="9"/>
        <v>5576.7848173910825</v>
      </c>
      <c r="H70" s="164">
        <f t="shared" si="9"/>
        <v>5532.7968173910822</v>
      </c>
    </row>
    <row r="71" spans="1:8" x14ac:dyDescent="0.3">
      <c r="A71" s="155" t="s">
        <v>228</v>
      </c>
      <c r="B71" s="161" t="s">
        <v>173</v>
      </c>
      <c r="C71" s="289" t="str">
        <f>+C67</f>
        <v>***</v>
      </c>
      <c r="D71" s="185" t="str">
        <f>+C71</f>
        <v>***</v>
      </c>
      <c r="E71" s="185" t="str">
        <f>+C71</f>
        <v>***</v>
      </c>
      <c r="F71" s="185" t="str">
        <f>+F67</f>
        <v>***</v>
      </c>
      <c r="G71" s="267" t="str">
        <f>+C71</f>
        <v>***</v>
      </c>
      <c r="H71" s="158" t="str">
        <f>+C71</f>
        <v>***</v>
      </c>
    </row>
    <row r="72" spans="1:8" x14ac:dyDescent="0.3">
      <c r="A72" s="155" t="s">
        <v>229</v>
      </c>
      <c r="B72" s="156" t="s">
        <v>230</v>
      </c>
      <c r="C72" s="213" t="str">
        <f>+C23</f>
        <v>*****</v>
      </c>
      <c r="D72" s="213" t="str">
        <f t="shared" ref="D72:H73" si="10">+D23</f>
        <v>*****</v>
      </c>
      <c r="E72" s="213" t="str">
        <f t="shared" si="10"/>
        <v>N.A</v>
      </c>
      <c r="F72" s="213" t="str">
        <f t="shared" si="10"/>
        <v>N.A</v>
      </c>
      <c r="G72" s="267" t="str">
        <f t="shared" si="10"/>
        <v>*****</v>
      </c>
      <c r="H72" s="235" t="str">
        <f t="shared" si="10"/>
        <v>N.A.</v>
      </c>
    </row>
    <row r="73" spans="1:8" x14ac:dyDescent="0.3">
      <c r="A73" s="155" t="s">
        <v>232</v>
      </c>
      <c r="B73" s="156" t="s">
        <v>233</v>
      </c>
      <c r="C73" s="213" t="str">
        <f>+C24</f>
        <v>******</v>
      </c>
      <c r="D73" s="213" t="str">
        <f t="shared" si="10"/>
        <v>******</v>
      </c>
      <c r="E73" s="213" t="str">
        <f t="shared" si="10"/>
        <v>******</v>
      </c>
      <c r="F73" s="213" t="str">
        <f t="shared" si="10"/>
        <v>******</v>
      </c>
      <c r="G73" s="267" t="str">
        <f t="shared" si="10"/>
        <v>******</v>
      </c>
      <c r="H73" s="235" t="str">
        <f t="shared" si="10"/>
        <v>******</v>
      </c>
    </row>
    <row r="74" spans="1:8" ht="15.75" thickBot="1" x14ac:dyDescent="0.35">
      <c r="A74" s="166" t="s">
        <v>234</v>
      </c>
      <c r="B74" s="167" t="s">
        <v>235</v>
      </c>
      <c r="C74" s="278"/>
      <c r="D74" s="195"/>
      <c r="E74" s="195"/>
      <c r="F74" s="195"/>
      <c r="G74" s="279"/>
      <c r="H74" s="169"/>
    </row>
    <row r="75" spans="1:8" ht="15.75" thickTop="1" x14ac:dyDescent="0.3">
      <c r="A75" s="171"/>
      <c r="B75" s="172"/>
      <c r="C75" s="172"/>
      <c r="D75" s="173"/>
      <c r="E75" s="173"/>
      <c r="F75" s="173"/>
      <c r="G75" s="173"/>
      <c r="H75" s="173"/>
    </row>
    <row r="76" spans="1:8" ht="15.05" customHeight="1" x14ac:dyDescent="0.3">
      <c r="A76" s="171"/>
      <c r="B76" s="286" t="s">
        <v>248</v>
      </c>
      <c r="C76" s="172"/>
      <c r="D76" s="173"/>
      <c r="E76" s="173"/>
      <c r="F76" s="173"/>
      <c r="G76" s="173"/>
      <c r="H76" s="173"/>
    </row>
    <row r="77" spans="1:8" x14ac:dyDescent="0.3">
      <c r="A77" s="171"/>
      <c r="B77" s="172"/>
      <c r="C77" s="172"/>
      <c r="D77" s="173"/>
      <c r="E77" s="173"/>
      <c r="F77" s="173"/>
      <c r="G77" s="173"/>
      <c r="H77" s="173"/>
    </row>
    <row r="78" spans="1:8" ht="19.649999999999999" customHeight="1" x14ac:dyDescent="0.3">
      <c r="A78" s="174" t="s">
        <v>210</v>
      </c>
      <c r="B78" s="706" t="str">
        <f>+GUAINIA!B30</f>
        <v>De acuerdo con lo establecido en la Resolución MME 91349 de 2014</v>
      </c>
      <c r="C78" s="706"/>
      <c r="D78" s="706"/>
      <c r="E78" s="706"/>
      <c r="F78" s="706"/>
      <c r="G78" s="706"/>
      <c r="H78" s="706"/>
    </row>
    <row r="79" spans="1:8" ht="27.85" customHeight="1" x14ac:dyDescent="0.3">
      <c r="A79" s="174" t="s">
        <v>237</v>
      </c>
      <c r="B79" s="689" t="s">
        <v>292</v>
      </c>
      <c r="C79" s="689"/>
      <c r="D79" s="689"/>
      <c r="E79" s="689"/>
      <c r="F79" s="689"/>
      <c r="G79" s="689"/>
      <c r="H79" s="689"/>
    </row>
    <row r="80" spans="1:8" ht="39.15" customHeight="1" x14ac:dyDescent="0.3">
      <c r="A80" s="174" t="s">
        <v>136</v>
      </c>
      <c r="B80" s="689" t="s">
        <v>262</v>
      </c>
      <c r="C80" s="689"/>
      <c r="D80" s="689"/>
      <c r="E80" s="689"/>
      <c r="F80" s="689"/>
      <c r="G80" s="689"/>
      <c r="H80" s="689"/>
    </row>
    <row r="81" spans="1:9" ht="7.55" customHeight="1" x14ac:dyDescent="0.3">
      <c r="A81" s="174"/>
      <c r="B81" s="248"/>
      <c r="C81" s="248"/>
      <c r="D81" s="248"/>
      <c r="E81" s="248"/>
      <c r="F81" s="248"/>
      <c r="G81" s="248"/>
      <c r="H81" s="173"/>
    </row>
    <row r="82" spans="1:9" x14ac:dyDescent="0.3">
      <c r="A82" s="174"/>
      <c r="B82" s="196" t="s">
        <v>171</v>
      </c>
      <c r="C82" s="196"/>
      <c r="D82" s="227"/>
      <c r="E82" s="227"/>
      <c r="F82" s="227"/>
      <c r="G82" s="227"/>
      <c r="H82" s="227"/>
    </row>
    <row r="83" spans="1:9" ht="15.05" customHeight="1" x14ac:dyDescent="0.3">
      <c r="A83" s="197" t="s">
        <v>103</v>
      </c>
      <c r="B83" s="689" t="s">
        <v>249</v>
      </c>
      <c r="C83" s="689"/>
      <c r="D83" s="689"/>
      <c r="E83" s="689"/>
      <c r="F83" s="689"/>
      <c r="G83" s="689"/>
      <c r="H83" s="689"/>
    </row>
    <row r="84" spans="1:9" ht="20.3" customHeight="1" x14ac:dyDescent="0.3">
      <c r="A84" s="197" t="s">
        <v>250</v>
      </c>
      <c r="B84" s="688" t="s">
        <v>304</v>
      </c>
      <c r="C84" s="688"/>
      <c r="D84" s="688"/>
      <c r="E84" s="688"/>
      <c r="F84" s="688"/>
      <c r="G84" s="688"/>
      <c r="H84" s="688"/>
    </row>
    <row r="85" spans="1:9" ht="25.55" customHeight="1" x14ac:dyDescent="0.3">
      <c r="A85" s="197" t="s">
        <v>252</v>
      </c>
      <c r="B85" s="688" t="s">
        <v>293</v>
      </c>
      <c r="C85" s="688"/>
      <c r="D85" s="688"/>
      <c r="E85" s="688"/>
      <c r="F85" s="688"/>
      <c r="G85" s="688"/>
      <c r="H85" s="688"/>
    </row>
    <row r="86" spans="1:9" x14ac:dyDescent="0.3">
      <c r="A86" s="197" t="s">
        <v>254</v>
      </c>
      <c r="B86" s="688" t="s">
        <v>505</v>
      </c>
      <c r="C86" s="688"/>
      <c r="D86" s="688"/>
      <c r="E86" s="688"/>
      <c r="F86" s="688"/>
      <c r="G86" s="688"/>
      <c r="H86" s="688"/>
    </row>
    <row r="87" spans="1:9" ht="23.4" customHeight="1" x14ac:dyDescent="0.3">
      <c r="A87" s="197" t="s">
        <v>256</v>
      </c>
      <c r="B87" s="688" t="s">
        <v>258</v>
      </c>
      <c r="C87" s="688"/>
      <c r="D87" s="688"/>
      <c r="E87" s="688"/>
      <c r="F87" s="688"/>
      <c r="G87" s="688"/>
      <c r="H87" s="688"/>
    </row>
    <row r="88" spans="1:9" ht="15.05" customHeight="1" x14ac:dyDescent="0.3">
      <c r="A88" s="197" t="s">
        <v>257</v>
      </c>
      <c r="B88" s="688" t="s">
        <v>288</v>
      </c>
      <c r="C88" s="688"/>
      <c r="D88" s="688"/>
      <c r="E88" s="688"/>
      <c r="F88" s="688"/>
      <c r="G88" s="688"/>
      <c r="H88" s="688"/>
    </row>
    <row r="89" spans="1:9" x14ac:dyDescent="0.3">
      <c r="A89" s="262"/>
      <c r="B89" s="739" t="s">
        <v>494</v>
      </c>
      <c r="C89" s="739"/>
      <c r="D89" s="739"/>
      <c r="E89" s="739"/>
      <c r="F89" s="739"/>
      <c r="G89" s="739"/>
      <c r="H89" s="739"/>
      <c r="I89" s="739"/>
    </row>
    <row r="90" spans="1:9" ht="87.9" customHeight="1" x14ac:dyDescent="0.3">
      <c r="A90" s="738" t="s">
        <v>160</v>
      </c>
      <c r="B90" s="738"/>
      <c r="C90" s="738"/>
      <c r="D90" s="738"/>
      <c r="E90" s="738"/>
      <c r="F90" s="738"/>
      <c r="G90" s="738"/>
      <c r="H90" s="738"/>
    </row>
  </sheetData>
  <sheetProtection algorithmName="SHA-512" hashValue="sX0u0Zw6FuJNAQJBpoSO/M17xpy1EvV+WbW3mKR4Cy7cyYe+Ziig2pAWhxsBC5Ph1EVgZ/bmqgmJ8WM3/ZyW/w==" saltValue="uE3mKJh24QfHR7a9unzixQ==" spinCount="100000" sheet="1" objects="1" scenarios="1"/>
  <mergeCells count="27">
    <mergeCell ref="C27:F28"/>
    <mergeCell ref="G27:H28"/>
    <mergeCell ref="A29:A31"/>
    <mergeCell ref="B29:B31"/>
    <mergeCell ref="C29:C30"/>
    <mergeCell ref="A90:H90"/>
    <mergeCell ref="B85:H85"/>
    <mergeCell ref="B86:H86"/>
    <mergeCell ref="B88:H88"/>
    <mergeCell ref="B78:H78"/>
    <mergeCell ref="B79:H79"/>
    <mergeCell ref="B80:H80"/>
    <mergeCell ref="B83:H83"/>
    <mergeCell ref="B87:H87"/>
    <mergeCell ref="B84:H84"/>
    <mergeCell ref="B89:I89"/>
    <mergeCell ref="C52:F53"/>
    <mergeCell ref="G52:H53"/>
    <mergeCell ref="A54:A56"/>
    <mergeCell ref="B54:B56"/>
    <mergeCell ref="C54:C55"/>
    <mergeCell ref="F54:F55"/>
    <mergeCell ref="C3:F4"/>
    <mergeCell ref="G3:H4"/>
    <mergeCell ref="A5:A7"/>
    <mergeCell ref="B5:B7"/>
    <mergeCell ref="C5:C6"/>
  </mergeCells>
  <hyperlinks>
    <hyperlink ref="B82"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D66:H72 C17:G17 D15:H15" formula="1"/>
    <ignoredError sqref="C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R83"/>
  <sheetViews>
    <sheetView zoomScale="85" zoomScaleNormal="85" workbookViewId="0">
      <selection activeCell="G8" sqref="G8"/>
    </sheetView>
  </sheetViews>
  <sheetFormatPr baseColWidth="10" defaultColWidth="45" defaultRowHeight="15.05" x14ac:dyDescent="0.3"/>
  <cols>
    <col min="1" max="1" width="7" customWidth="1"/>
    <col min="2" max="2" width="47.77734375" customWidth="1"/>
    <col min="3" max="3" width="16.88671875" customWidth="1"/>
    <col min="4" max="4" width="19.44140625" customWidth="1"/>
    <col min="5" max="5" width="15.33203125" hidden="1" customWidth="1"/>
    <col min="6" max="7" width="14.77734375" customWidth="1"/>
    <col min="8" max="8" width="17.21875" customWidth="1"/>
    <col min="9" max="9" width="19.6640625" customWidth="1"/>
    <col min="10" max="10" width="20.77734375" customWidth="1"/>
    <col min="11" max="11" width="12.77734375" hidden="1" customWidth="1"/>
  </cols>
  <sheetData>
    <row r="1" spans="1:11" x14ac:dyDescent="0.3">
      <c r="A1" s="262" t="s">
        <v>171</v>
      </c>
      <c r="B1" s="151" t="str">
        <f>+AMAZONAS!C1</f>
        <v>Vigencia: 14 de Agosto de 2021; 00:00 horas</v>
      </c>
      <c r="C1" s="151"/>
      <c r="D1" s="263"/>
      <c r="E1" s="263"/>
      <c r="F1" s="263"/>
      <c r="G1" s="263"/>
      <c r="H1" s="263"/>
      <c r="I1" s="263"/>
    </row>
    <row r="2" spans="1:11" ht="15.75" thickBot="1" x14ac:dyDescent="0.35">
      <c r="A2" s="177" t="s">
        <v>199</v>
      </c>
      <c r="B2" s="178"/>
      <c r="C2" s="178"/>
      <c r="D2" s="584"/>
      <c r="E2" s="178"/>
      <c r="F2" s="178"/>
      <c r="G2" s="178"/>
      <c r="H2" s="264"/>
      <c r="I2" s="178"/>
    </row>
    <row r="3" spans="1:11" ht="15.75" thickTop="1" x14ac:dyDescent="0.3">
      <c r="A3" s="207"/>
      <c r="B3" s="180" t="s">
        <v>306</v>
      </c>
      <c r="C3" s="697" t="s">
        <v>200</v>
      </c>
      <c r="D3" s="698"/>
      <c r="E3" s="698"/>
      <c r="F3" s="698"/>
      <c r="G3" s="698"/>
      <c r="H3" s="724" t="s">
        <v>270</v>
      </c>
      <c r="I3" s="728"/>
    </row>
    <row r="4" spans="1:11" ht="26.2" x14ac:dyDescent="0.3">
      <c r="A4" s="181"/>
      <c r="B4" s="292" t="s">
        <v>305</v>
      </c>
      <c r="C4" s="699"/>
      <c r="D4" s="700"/>
      <c r="E4" s="700"/>
      <c r="F4" s="700"/>
      <c r="G4" s="700"/>
      <c r="H4" s="725"/>
      <c r="I4" s="730"/>
    </row>
    <row r="5" spans="1:11" ht="25.55" customHeight="1" x14ac:dyDescent="0.3">
      <c r="A5" s="691" t="s">
        <v>201</v>
      </c>
      <c r="B5" s="693" t="s">
        <v>202</v>
      </c>
      <c r="C5" s="695" t="s">
        <v>261</v>
      </c>
      <c r="D5" s="183" t="s">
        <v>97</v>
      </c>
      <c r="E5" s="183" t="s">
        <v>191</v>
      </c>
      <c r="F5" s="183" t="str">
        <f>+'LA GUAJIRA'!F5</f>
        <v>Biodiesel B10</v>
      </c>
      <c r="G5" s="732" t="s">
        <v>431</v>
      </c>
      <c r="H5" s="153" t="s">
        <v>97</v>
      </c>
      <c r="I5" s="247" t="str">
        <f>+F5</f>
        <v>Biodiesel B10</v>
      </c>
    </row>
    <row r="6" spans="1:11" ht="20.149999999999999" customHeight="1" x14ac:dyDescent="0.3">
      <c r="A6" s="691"/>
      <c r="B6" s="693"/>
      <c r="C6" s="696"/>
      <c r="D6" s="609">
        <v>0.08</v>
      </c>
      <c r="E6" s="201">
        <v>0.02</v>
      </c>
      <c r="F6" s="184">
        <f>+'LA GUAJIRA'!F6</f>
        <v>0.1</v>
      </c>
      <c r="G6" s="733"/>
      <c r="H6" s="609">
        <v>0.08</v>
      </c>
      <c r="I6" s="184">
        <f>+F6</f>
        <v>0.1</v>
      </c>
    </row>
    <row r="7" spans="1:11" x14ac:dyDescent="0.3">
      <c r="A7" s="692"/>
      <c r="B7" s="694"/>
      <c r="C7" s="153" t="s">
        <v>203</v>
      </c>
      <c r="D7" s="183" t="s">
        <v>203</v>
      </c>
      <c r="E7" s="183" t="s">
        <v>203</v>
      </c>
      <c r="F7" s="183" t="s">
        <v>203</v>
      </c>
      <c r="G7" s="183" t="s">
        <v>203</v>
      </c>
      <c r="H7" s="153" t="s">
        <v>203</v>
      </c>
      <c r="I7" s="247" t="s">
        <v>203</v>
      </c>
    </row>
    <row r="8" spans="1:11" x14ac:dyDescent="0.3">
      <c r="A8" s="155" t="s">
        <v>204</v>
      </c>
      <c r="B8" s="161" t="s">
        <v>205</v>
      </c>
      <c r="C8" s="284">
        <f>+'Calculo IP ZDF'!B36</f>
        <v>4573.8922080000002</v>
      </c>
      <c r="D8" s="284">
        <f>+'Calculo IP ZDF'!H36</f>
        <v>4914.2208313600004</v>
      </c>
      <c r="E8" s="284">
        <f>+'Calculo IP ZDF'!F36</f>
        <v>4467.6149999999998</v>
      </c>
      <c r="F8" s="285">
        <f>+'Calculo IP ZDF'!I36</f>
        <v>5462.5650758000002</v>
      </c>
      <c r="G8" s="191">
        <f>+'Calculo IP ZDF'!C36</f>
        <v>4218.8778620000003</v>
      </c>
      <c r="H8" s="267">
        <f>+'GAS CTE'!E9</f>
        <v>4946.4399999999996</v>
      </c>
      <c r="I8" s="213">
        <f>+BIODIESEL!G9</f>
        <v>5697.2049999999999</v>
      </c>
    </row>
    <row r="9" spans="1:11" x14ac:dyDescent="0.3">
      <c r="A9" s="155" t="s">
        <v>206</v>
      </c>
      <c r="B9" s="161" t="s">
        <v>207</v>
      </c>
      <c r="C9" s="211" t="str">
        <f>+E9</f>
        <v>------------------</v>
      </c>
      <c r="D9" s="211" t="s">
        <v>208</v>
      </c>
      <c r="E9" s="211" t="s">
        <v>208</v>
      </c>
      <c r="F9" s="211" t="s">
        <v>208</v>
      </c>
      <c r="G9" s="186" t="s">
        <v>208</v>
      </c>
      <c r="H9" s="269">
        <f>+'GAS CTE'!E10</f>
        <v>510.64599999999996</v>
      </c>
      <c r="I9" s="210">
        <f>+BIODIESEL!G10</f>
        <v>478.14</v>
      </c>
    </row>
    <row r="10" spans="1:11" x14ac:dyDescent="0.3">
      <c r="A10" s="155"/>
      <c r="B10" s="161" t="s">
        <v>135</v>
      </c>
      <c r="C10" s="211" t="str">
        <f>+E10</f>
        <v>------------------</v>
      </c>
      <c r="D10" s="211" t="s">
        <v>208</v>
      </c>
      <c r="E10" s="211" t="s">
        <v>208</v>
      </c>
      <c r="F10" s="211" t="s">
        <v>208</v>
      </c>
      <c r="G10" s="186" t="s">
        <v>208</v>
      </c>
      <c r="H10" s="269" t="str">
        <f>'[7]CORRIENTE OXIGENADA'!C12</f>
        <v>(3)</v>
      </c>
      <c r="I10" s="210" t="str">
        <f>'[7]CORRIENTE OXIGENADA'!C12</f>
        <v>(3)</v>
      </c>
    </row>
    <row r="11" spans="1:11" x14ac:dyDescent="0.3">
      <c r="A11" s="155"/>
      <c r="B11" s="161" t="s">
        <v>137</v>
      </c>
      <c r="C11" s="270">
        <f>+'GAS CTE'!C12</f>
        <v>159</v>
      </c>
      <c r="D11" s="270">
        <f>+'GAS CTE'!E12</f>
        <v>146.28</v>
      </c>
      <c r="E11" s="270">
        <f>+BIODIESEL!E12</f>
        <v>175.42</v>
      </c>
      <c r="F11" s="270">
        <f>+BIODIESEL!G12</f>
        <v>161.1</v>
      </c>
      <c r="G11" s="191">
        <f>+BIODIESEL!C12</f>
        <v>179</v>
      </c>
      <c r="H11" s="269">
        <f>+D11</f>
        <v>146.28</v>
      </c>
      <c r="I11" s="210">
        <f>+F11</f>
        <v>161.1</v>
      </c>
    </row>
    <row r="12" spans="1:11" ht="22.25" customHeight="1" x14ac:dyDescent="0.3">
      <c r="A12" s="155" t="s">
        <v>209</v>
      </c>
      <c r="B12" s="161" t="s">
        <v>291</v>
      </c>
      <c r="C12" s="287" t="s">
        <v>237</v>
      </c>
      <c r="D12" s="211" t="str">
        <f>+C12</f>
        <v>(2)</v>
      </c>
      <c r="E12" s="211" t="str">
        <f>+C12</f>
        <v>(2)</v>
      </c>
      <c r="F12" s="211" t="str">
        <f>+C12</f>
        <v>(2)</v>
      </c>
      <c r="G12" s="185" t="str">
        <f>+C12</f>
        <v>(2)</v>
      </c>
      <c r="H12" s="269" t="str">
        <f>+G12</f>
        <v>(2)</v>
      </c>
      <c r="I12" s="210" t="str">
        <f>+D12</f>
        <v>(2)</v>
      </c>
    </row>
    <row r="13" spans="1:11" x14ac:dyDescent="0.3">
      <c r="A13" s="155" t="s">
        <v>211</v>
      </c>
      <c r="B13" s="161" t="s">
        <v>212</v>
      </c>
      <c r="C13" s="270">
        <f>+RUBROS!Z18</f>
        <v>15.150584991994178</v>
      </c>
      <c r="D13" s="185">
        <f>+C13</f>
        <v>15.150584991994178</v>
      </c>
      <c r="E13" s="185">
        <f>+C13</f>
        <v>15.150584991994178</v>
      </c>
      <c r="F13" s="185">
        <f>+C13</f>
        <v>15.150584991994178</v>
      </c>
      <c r="G13" s="185">
        <f>+C13</f>
        <v>15.150584991994178</v>
      </c>
      <c r="H13" s="267">
        <f>+RUBROS!AA18</f>
        <v>22.249601678692599</v>
      </c>
      <c r="I13" s="185">
        <f>+H13</f>
        <v>22.249601678692599</v>
      </c>
      <c r="K13" s="474" t="s">
        <v>456</v>
      </c>
    </row>
    <row r="14" spans="1:11" x14ac:dyDescent="0.3">
      <c r="A14" s="155" t="s">
        <v>213</v>
      </c>
      <c r="B14" s="317" t="s">
        <v>214</v>
      </c>
      <c r="C14" s="356">
        <f>+RUBROS!Z54</f>
        <v>106.59272562900938</v>
      </c>
      <c r="D14" s="185">
        <f>+C14</f>
        <v>106.59272562900938</v>
      </c>
      <c r="E14" s="185">
        <f>+D14</f>
        <v>106.59272562900938</v>
      </c>
      <c r="F14" s="185">
        <f>+E14</f>
        <v>106.59272562900938</v>
      </c>
      <c r="G14" s="185">
        <f>+F14</f>
        <v>106.59272562900938</v>
      </c>
      <c r="H14" s="267">
        <f>+C14</f>
        <v>106.59272562900938</v>
      </c>
      <c r="I14" s="185">
        <f>+C14</f>
        <v>106.59272562900938</v>
      </c>
      <c r="K14" s="474" t="s">
        <v>456</v>
      </c>
    </row>
    <row r="15" spans="1:11" x14ac:dyDescent="0.3">
      <c r="A15" s="155" t="s">
        <v>215</v>
      </c>
      <c r="B15" s="161" t="s">
        <v>307</v>
      </c>
      <c r="C15" s="270">
        <f>+RUBROS!AP40</f>
        <v>12.938273064269636</v>
      </c>
      <c r="D15" s="185">
        <f>+C15</f>
        <v>12.938273064269636</v>
      </c>
      <c r="E15" s="185">
        <f>+C15</f>
        <v>12.938273064269636</v>
      </c>
      <c r="F15" s="185">
        <f>+C15</f>
        <v>12.938273064269636</v>
      </c>
      <c r="G15" s="185">
        <f>+C15</f>
        <v>12.938273064269636</v>
      </c>
      <c r="H15" s="267">
        <f>+C15</f>
        <v>12.938273064269636</v>
      </c>
      <c r="I15" s="185">
        <f>+H15</f>
        <v>12.938273064269636</v>
      </c>
      <c r="K15" s="474" t="s">
        <v>456</v>
      </c>
    </row>
    <row r="16" spans="1:11" hidden="1" x14ac:dyDescent="0.3">
      <c r="A16" s="155"/>
      <c r="B16" s="161" t="s">
        <v>217</v>
      </c>
      <c r="C16" s="270"/>
      <c r="D16" s="185"/>
      <c r="E16" s="185"/>
      <c r="F16" s="185"/>
      <c r="G16" s="185"/>
      <c r="H16" s="267"/>
      <c r="I16" s="185"/>
    </row>
    <row r="17" spans="1:9" x14ac:dyDescent="0.3">
      <c r="A17" s="162" t="s">
        <v>218</v>
      </c>
      <c r="B17" s="192" t="s">
        <v>219</v>
      </c>
      <c r="C17" s="271">
        <f>SUM(C8:C16)</f>
        <v>4867.5737916852731</v>
      </c>
      <c r="D17" s="271">
        <f t="shared" ref="D17:I17" si="0">SUM(D8:D16)</f>
        <v>5195.182415045273</v>
      </c>
      <c r="E17" s="271">
        <f t="shared" si="0"/>
        <v>4777.7165836852728</v>
      </c>
      <c r="F17" s="271">
        <f t="shared" si="0"/>
        <v>5758.3466594852734</v>
      </c>
      <c r="G17" s="271">
        <f t="shared" si="0"/>
        <v>4532.5594456852732</v>
      </c>
      <c r="H17" s="273">
        <f t="shared" si="0"/>
        <v>5745.1466003719706</v>
      </c>
      <c r="I17" s="271">
        <f t="shared" si="0"/>
        <v>6478.2256003719722</v>
      </c>
    </row>
    <row r="18" spans="1:9" x14ac:dyDescent="0.3">
      <c r="A18" s="155" t="s">
        <v>220</v>
      </c>
      <c r="B18" s="161" t="s">
        <v>285</v>
      </c>
      <c r="C18" s="288" t="s">
        <v>252</v>
      </c>
      <c r="D18" s="185" t="str">
        <f>+C18</f>
        <v>***</v>
      </c>
      <c r="E18" s="185" t="str">
        <f>+C18</f>
        <v>***</v>
      </c>
      <c r="F18" s="185" t="str">
        <f>+E18</f>
        <v>***</v>
      </c>
      <c r="G18" s="185" t="str">
        <f>+E18</f>
        <v>***</v>
      </c>
      <c r="H18" s="267" t="str">
        <f>+G18</f>
        <v>***</v>
      </c>
      <c r="I18" s="185" t="str">
        <f>+H18</f>
        <v>***</v>
      </c>
    </row>
    <row r="19" spans="1:9" x14ac:dyDescent="0.3">
      <c r="A19" s="155" t="s">
        <v>222</v>
      </c>
      <c r="B19" s="161" t="s">
        <v>223</v>
      </c>
      <c r="C19" s="287" t="s">
        <v>250</v>
      </c>
      <c r="D19" s="185" t="str">
        <f>+C19</f>
        <v>**</v>
      </c>
      <c r="E19" s="185" t="str">
        <f>+C19</f>
        <v>**</v>
      </c>
      <c r="F19" s="185" t="str">
        <f>+C19</f>
        <v>**</v>
      </c>
      <c r="G19" s="185" t="str">
        <f>+C19</f>
        <v>**</v>
      </c>
      <c r="H19" s="267" t="str">
        <f>+G19</f>
        <v>**</v>
      </c>
      <c r="I19" s="185" t="str">
        <f>+H19</f>
        <v>**</v>
      </c>
    </row>
    <row r="20" spans="1:9" x14ac:dyDescent="0.3">
      <c r="A20" s="155" t="s">
        <v>224</v>
      </c>
      <c r="B20" s="230" t="s">
        <v>142</v>
      </c>
      <c r="C20" s="275" t="str">
        <f>+E20</f>
        <v>****</v>
      </c>
      <c r="D20" s="185" t="str">
        <f t="shared" ref="D20:D22" si="1">+E20</f>
        <v>****</v>
      </c>
      <c r="E20" s="191" t="str">
        <f>+A37</f>
        <v>****</v>
      </c>
      <c r="F20" s="191" t="str">
        <f>+E20</f>
        <v>****</v>
      </c>
      <c r="G20" s="191" t="str">
        <f>+A37</f>
        <v>****</v>
      </c>
      <c r="H20" s="290" t="str">
        <f>C20</f>
        <v>****</v>
      </c>
      <c r="I20" s="185" t="str">
        <f>+H20</f>
        <v>****</v>
      </c>
    </row>
    <row r="21" spans="1:9" x14ac:dyDescent="0.3">
      <c r="A21" s="162" t="s">
        <v>226</v>
      </c>
      <c r="B21" s="192" t="s">
        <v>227</v>
      </c>
      <c r="C21" s="276">
        <f>SUM(C17:C20)</f>
        <v>4867.5737916852731</v>
      </c>
      <c r="D21" s="193">
        <f t="shared" ref="D21:I21" si="2">SUM(D17:D20)</f>
        <v>5195.182415045273</v>
      </c>
      <c r="E21" s="193">
        <f t="shared" si="2"/>
        <v>4777.7165836852728</v>
      </c>
      <c r="F21" s="193">
        <f t="shared" si="2"/>
        <v>5758.3466594852734</v>
      </c>
      <c r="G21" s="193">
        <f t="shared" si="2"/>
        <v>4532.5594456852732</v>
      </c>
      <c r="H21" s="273">
        <f t="shared" si="2"/>
        <v>5745.1466003719706</v>
      </c>
      <c r="I21" s="193">
        <f t="shared" si="2"/>
        <v>6478.2256003719722</v>
      </c>
    </row>
    <row r="22" spans="1:9" x14ac:dyDescent="0.3">
      <c r="A22" s="155" t="s">
        <v>228</v>
      </c>
      <c r="B22" s="161" t="s">
        <v>173</v>
      </c>
      <c r="C22" s="270" t="str">
        <f>+E22</f>
        <v>***</v>
      </c>
      <c r="D22" s="185" t="str">
        <f t="shared" si="1"/>
        <v>***</v>
      </c>
      <c r="E22" s="185" t="str">
        <f t="shared" ref="E22" si="3">+E18</f>
        <v>***</v>
      </c>
      <c r="F22" s="185" t="str">
        <f>+E22</f>
        <v>***</v>
      </c>
      <c r="G22" s="185" t="str">
        <f>+G18</f>
        <v>***</v>
      </c>
      <c r="H22" s="267" t="str">
        <f>+G22</f>
        <v>***</v>
      </c>
      <c r="I22" s="185" t="str">
        <f>+H22</f>
        <v>***</v>
      </c>
    </row>
    <row r="23" spans="1:9" x14ac:dyDescent="0.3">
      <c r="A23" s="155" t="s">
        <v>229</v>
      </c>
      <c r="B23" s="156" t="s">
        <v>230</v>
      </c>
      <c r="C23" s="277" t="s">
        <v>256</v>
      </c>
      <c r="D23" s="185" t="str">
        <f>+C23</f>
        <v>*****</v>
      </c>
      <c r="E23" s="185" t="s">
        <v>231</v>
      </c>
      <c r="F23" s="185" t="str">
        <f>+E23</f>
        <v>N.A</v>
      </c>
      <c r="G23" s="185" t="s">
        <v>231</v>
      </c>
      <c r="H23" s="267" t="str">
        <f>+D23</f>
        <v>*****</v>
      </c>
      <c r="I23" s="185" t="s">
        <v>274</v>
      </c>
    </row>
    <row r="24" spans="1:9" x14ac:dyDescent="0.3">
      <c r="A24" s="155" t="s">
        <v>232</v>
      </c>
      <c r="B24" s="156" t="s">
        <v>233</v>
      </c>
      <c r="C24" s="277" t="s">
        <v>257</v>
      </c>
      <c r="D24" s="185" t="str">
        <f>+C24</f>
        <v>******</v>
      </c>
      <c r="E24" s="185" t="str">
        <f>+C24</f>
        <v>******</v>
      </c>
      <c r="F24" s="185" t="str">
        <f>+C24</f>
        <v>******</v>
      </c>
      <c r="G24" s="185" t="str">
        <f>+C24</f>
        <v>******</v>
      </c>
      <c r="H24" s="267" t="str">
        <f>+C24</f>
        <v>******</v>
      </c>
      <c r="I24" s="185" t="str">
        <f>+C24</f>
        <v>******</v>
      </c>
    </row>
    <row r="25" spans="1:9" ht="15.75" thickBot="1" x14ac:dyDescent="0.35">
      <c r="A25" s="166" t="s">
        <v>234</v>
      </c>
      <c r="B25" s="167" t="s">
        <v>235</v>
      </c>
      <c r="C25" s="278"/>
      <c r="D25" s="195"/>
      <c r="E25" s="195"/>
      <c r="F25" s="195"/>
      <c r="G25" s="195"/>
      <c r="H25" s="279"/>
      <c r="I25" s="195"/>
    </row>
    <row r="26" spans="1:9" ht="15.75" thickTop="1" x14ac:dyDescent="0.3">
      <c r="A26" s="171"/>
      <c r="B26" s="172"/>
      <c r="C26" s="172"/>
      <c r="D26" s="173"/>
      <c r="E26" s="173"/>
      <c r="F26" s="173"/>
      <c r="G26" s="173"/>
      <c r="H26" s="173"/>
      <c r="I26" s="173"/>
    </row>
    <row r="27" spans="1:9" x14ac:dyDescent="0.3">
      <c r="A27" s="171"/>
      <c r="B27" s="286" t="s">
        <v>248</v>
      </c>
      <c r="C27" s="172"/>
      <c r="D27" s="173"/>
      <c r="E27" s="173"/>
      <c r="F27" s="173"/>
      <c r="G27" s="173"/>
      <c r="H27" s="173"/>
      <c r="I27" s="173"/>
    </row>
    <row r="28" spans="1:9" x14ac:dyDescent="0.3">
      <c r="A28" s="171"/>
      <c r="B28" s="172"/>
      <c r="C28" s="172"/>
      <c r="D28" s="173"/>
      <c r="E28" s="173"/>
      <c r="F28" s="173"/>
      <c r="G28" s="173"/>
      <c r="H28" s="173"/>
      <c r="I28" s="173"/>
    </row>
    <row r="29" spans="1:9" x14ac:dyDescent="0.3">
      <c r="A29" s="174" t="s">
        <v>210</v>
      </c>
      <c r="B29" s="706" t="str">
        <f>+'LA GUAJIRA'!B78:H78</f>
        <v>De acuerdo con lo establecido en la Resolución MME 91349 de 2014</v>
      </c>
      <c r="C29" s="706"/>
      <c r="D29" s="706"/>
      <c r="E29" s="706"/>
      <c r="F29" s="706"/>
      <c r="G29" s="706"/>
      <c r="H29" s="706"/>
      <c r="I29" s="173"/>
    </row>
    <row r="30" spans="1:9" x14ac:dyDescent="0.3">
      <c r="A30" s="174" t="s">
        <v>237</v>
      </c>
      <c r="B30" s="689" t="s">
        <v>292</v>
      </c>
      <c r="C30" s="689"/>
      <c r="D30" s="689"/>
      <c r="E30" s="689"/>
      <c r="F30" s="689"/>
      <c r="G30" s="689"/>
      <c r="H30" s="689"/>
      <c r="I30" s="173"/>
    </row>
    <row r="31" spans="1:9" ht="72.650000000000006" customHeight="1" x14ac:dyDescent="0.3">
      <c r="A31" s="174" t="s">
        <v>136</v>
      </c>
      <c r="B31" s="706" t="s">
        <v>357</v>
      </c>
      <c r="C31" s="706"/>
      <c r="D31" s="706"/>
      <c r="E31" s="706"/>
      <c r="F31" s="706"/>
      <c r="G31" s="706"/>
      <c r="H31" s="706"/>
      <c r="I31" s="173"/>
    </row>
    <row r="32" spans="1:9" x14ac:dyDescent="0.3">
      <c r="A32" s="174"/>
      <c r="B32" s="248"/>
      <c r="C32" s="248"/>
      <c r="D32" s="248"/>
      <c r="E32" s="248"/>
      <c r="F32" s="248"/>
      <c r="G32" s="248"/>
      <c r="H32" s="248"/>
      <c r="I32" s="173"/>
    </row>
    <row r="33" spans="1:18" x14ac:dyDescent="0.3">
      <c r="A33" s="174"/>
      <c r="B33" s="196" t="s">
        <v>171</v>
      </c>
      <c r="C33" s="196"/>
      <c r="D33" s="227"/>
      <c r="E33" s="227"/>
      <c r="F33" s="227"/>
      <c r="G33" s="227"/>
      <c r="H33" s="227"/>
      <c r="I33" s="227"/>
    </row>
    <row r="34" spans="1:18" x14ac:dyDescent="0.3">
      <c r="A34" s="197" t="s">
        <v>103</v>
      </c>
      <c r="B34" s="688" t="s">
        <v>249</v>
      </c>
      <c r="C34" s="688"/>
      <c r="D34" s="688"/>
      <c r="E34" s="688"/>
      <c r="F34" s="688"/>
      <c r="G34" s="688"/>
      <c r="H34" s="688"/>
      <c r="I34" s="281"/>
    </row>
    <row r="35" spans="1:18" ht="23.4" customHeight="1" x14ac:dyDescent="0.3">
      <c r="A35" s="197" t="s">
        <v>250</v>
      </c>
      <c r="B35" s="688" t="s">
        <v>282</v>
      </c>
      <c r="C35" s="688"/>
      <c r="D35" s="688"/>
      <c r="E35" s="688"/>
      <c r="F35" s="688"/>
      <c r="G35" s="688"/>
      <c r="H35" s="688"/>
      <c r="I35" s="688"/>
    </row>
    <row r="36" spans="1:18" ht="22.6" customHeight="1" x14ac:dyDescent="0.3">
      <c r="A36" s="197" t="s">
        <v>252</v>
      </c>
      <c r="B36" s="688" t="s">
        <v>293</v>
      </c>
      <c r="C36" s="688"/>
      <c r="D36" s="688"/>
      <c r="E36" s="688"/>
      <c r="F36" s="688"/>
      <c r="G36" s="688"/>
      <c r="H36" s="688"/>
      <c r="I36" s="688"/>
    </row>
    <row r="37" spans="1:18" x14ac:dyDescent="0.3">
      <c r="A37" s="197" t="s">
        <v>254</v>
      </c>
      <c r="B37" s="688" t="s">
        <v>505</v>
      </c>
      <c r="C37" s="688"/>
      <c r="D37" s="688"/>
      <c r="E37" s="688"/>
      <c r="F37" s="688"/>
      <c r="G37" s="688"/>
      <c r="H37" s="688"/>
      <c r="I37" s="688"/>
    </row>
    <row r="38" spans="1:18" ht="23.4" customHeight="1" x14ac:dyDescent="0.3">
      <c r="A38" s="197" t="s">
        <v>256</v>
      </c>
      <c r="B38" s="688" t="s">
        <v>258</v>
      </c>
      <c r="C38" s="688"/>
      <c r="D38" s="688"/>
      <c r="E38" s="688"/>
      <c r="F38" s="688"/>
      <c r="G38" s="688"/>
      <c r="H38" s="246"/>
      <c r="I38" s="282"/>
    </row>
    <row r="39" spans="1:18" x14ac:dyDescent="0.3">
      <c r="A39" s="197" t="s">
        <v>257</v>
      </c>
      <c r="B39" s="688" t="s">
        <v>288</v>
      </c>
      <c r="C39" s="688"/>
      <c r="D39" s="688"/>
      <c r="E39" s="688"/>
      <c r="F39" s="688"/>
      <c r="G39" s="688"/>
      <c r="H39" s="688"/>
      <c r="I39" s="688"/>
    </row>
    <row r="40" spans="1:18" x14ac:dyDescent="0.3">
      <c r="A40" s="262"/>
      <c r="B40" s="263"/>
      <c r="C40" s="263"/>
      <c r="D40" s="263"/>
      <c r="E40" s="263"/>
      <c r="F40" s="263"/>
      <c r="G40" s="263"/>
      <c r="H40" s="263"/>
      <c r="I40" s="263"/>
    </row>
    <row r="41" spans="1:18" ht="97.55" customHeight="1" x14ac:dyDescent="0.3">
      <c r="A41" s="690" t="s">
        <v>160</v>
      </c>
      <c r="B41" s="690"/>
      <c r="C41" s="690"/>
      <c r="D41" s="690"/>
      <c r="E41" s="690"/>
      <c r="F41" s="690"/>
      <c r="G41" s="690"/>
      <c r="H41" s="690"/>
    </row>
    <row r="42" spans="1:18" x14ac:dyDescent="0.3">
      <c r="A42" s="296"/>
      <c r="B42" s="296"/>
      <c r="C42" s="296"/>
      <c r="D42" s="296"/>
      <c r="E42" s="296"/>
      <c r="F42" s="296"/>
      <c r="G42" s="296"/>
      <c r="H42" s="296"/>
    </row>
    <row r="43" spans="1:18" hidden="1" x14ac:dyDescent="0.3">
      <c r="B43" t="str">
        <f>+AMAZONAS!C1</f>
        <v>Vigencia: 14 de Agosto de 2021; 00:00 horas</v>
      </c>
    </row>
    <row r="44" spans="1:18" hidden="1" x14ac:dyDescent="0.3">
      <c r="A44" s="740" t="s">
        <v>199</v>
      </c>
      <c r="B44" s="740"/>
      <c r="C44" s="741"/>
      <c r="D44" s="741"/>
      <c r="E44" s="741"/>
      <c r="F44" s="741"/>
      <c r="G44" s="741"/>
      <c r="H44" s="741"/>
      <c r="I44" s="741"/>
      <c r="J44" s="741"/>
      <c r="K44" s="741"/>
      <c r="L44" s="741"/>
      <c r="M44" s="741"/>
      <c r="N44" s="249"/>
      <c r="O44" s="249"/>
      <c r="P44" s="249"/>
      <c r="Q44" s="309"/>
      <c r="R44" s="309"/>
    </row>
    <row r="45" spans="1:18" ht="15.75" hidden="1" thickTop="1" x14ac:dyDescent="0.3">
      <c r="A45" s="310"/>
      <c r="B45" s="749" t="s">
        <v>306</v>
      </c>
      <c r="C45" s="708" t="s">
        <v>200</v>
      </c>
      <c r="D45" s="708"/>
      <c r="E45" s="746" t="s">
        <v>270</v>
      </c>
      <c r="F45" s="714"/>
    </row>
    <row r="46" spans="1:18" hidden="1" x14ac:dyDescent="0.3">
      <c r="A46" s="152"/>
      <c r="B46" s="750"/>
      <c r="C46" s="745"/>
      <c r="D46" s="745"/>
      <c r="E46" s="747"/>
      <c r="F46" s="748"/>
    </row>
    <row r="47" spans="1:18" ht="25.55" hidden="1" customHeight="1" x14ac:dyDescent="0.3">
      <c r="A47" s="691" t="s">
        <v>201</v>
      </c>
      <c r="B47" s="742" t="s">
        <v>202</v>
      </c>
      <c r="C47" s="311" t="s">
        <v>97</v>
      </c>
      <c r="D47" s="312" t="s">
        <v>308</v>
      </c>
      <c r="E47" s="311" t="s">
        <v>97</v>
      </c>
      <c r="F47" s="312" t="s">
        <v>308</v>
      </c>
    </row>
    <row r="48" spans="1:18" hidden="1" x14ac:dyDescent="0.3">
      <c r="A48" s="691"/>
      <c r="B48" s="742"/>
      <c r="C48" s="313" t="s">
        <v>309</v>
      </c>
      <c r="D48" s="314" t="s">
        <v>309</v>
      </c>
      <c r="E48" s="313" t="s">
        <v>309</v>
      </c>
      <c r="F48" s="314" t="s">
        <v>309</v>
      </c>
    </row>
    <row r="49" spans="1:6" hidden="1" x14ac:dyDescent="0.3">
      <c r="A49" s="692"/>
      <c r="B49" s="743"/>
      <c r="C49" s="315" t="s">
        <v>203</v>
      </c>
      <c r="D49" s="316" t="s">
        <v>203</v>
      </c>
      <c r="E49" s="315" t="s">
        <v>203</v>
      </c>
      <c r="F49" s="316" t="s">
        <v>203</v>
      </c>
    </row>
    <row r="50" spans="1:6" hidden="1" x14ac:dyDescent="0.3">
      <c r="A50" s="155" t="s">
        <v>204</v>
      </c>
      <c r="B50" s="317" t="s">
        <v>205</v>
      </c>
      <c r="C50" s="157" t="e">
        <f>+'Calculo IP ZDF'!#REF!</f>
        <v>#REF!</v>
      </c>
      <c r="D50" s="157" t="e">
        <f>+'Calculo IP ZDF'!#REF!</f>
        <v>#REF!</v>
      </c>
      <c r="E50" s="194" t="e">
        <f>+'Calculo IP ZDF'!#REF!</f>
        <v>#REF!</v>
      </c>
      <c r="F50" s="158" t="e">
        <f>+'Calculo IP ZDF'!#REF!</f>
        <v>#REF!</v>
      </c>
    </row>
    <row r="51" spans="1:6" hidden="1" x14ac:dyDescent="0.3">
      <c r="A51" s="155" t="s">
        <v>206</v>
      </c>
      <c r="B51" s="317" t="s">
        <v>207</v>
      </c>
      <c r="C51" s="165" t="s">
        <v>208</v>
      </c>
      <c r="D51" s="160" t="s">
        <v>208</v>
      </c>
      <c r="E51" s="194">
        <v>526.26030379999997</v>
      </c>
      <c r="F51" s="158">
        <v>503.70629078000002</v>
      </c>
    </row>
    <row r="52" spans="1:6" hidden="1" x14ac:dyDescent="0.3">
      <c r="A52" s="155"/>
      <c r="B52" s="317" t="s">
        <v>135</v>
      </c>
      <c r="C52" s="165" t="s">
        <v>208</v>
      </c>
      <c r="D52" s="160" t="s">
        <v>208</v>
      </c>
      <c r="E52" s="318" t="s">
        <v>237</v>
      </c>
      <c r="F52" s="160" t="s">
        <v>237</v>
      </c>
    </row>
    <row r="53" spans="1:6" hidden="1" x14ac:dyDescent="0.3">
      <c r="A53" s="155"/>
      <c r="B53" s="317" t="s">
        <v>137</v>
      </c>
      <c r="C53" s="165">
        <v>148</v>
      </c>
      <c r="D53" s="160">
        <v>166</v>
      </c>
      <c r="E53" s="221">
        <v>148</v>
      </c>
      <c r="F53" s="160">
        <v>166</v>
      </c>
    </row>
    <row r="54" spans="1:6" hidden="1" x14ac:dyDescent="0.3">
      <c r="A54" s="155" t="s">
        <v>211</v>
      </c>
      <c r="B54" s="317" t="s">
        <v>212</v>
      </c>
      <c r="C54" s="165" t="s">
        <v>208</v>
      </c>
      <c r="D54" s="160" t="s">
        <v>208</v>
      </c>
      <c r="E54" s="165" t="s">
        <v>208</v>
      </c>
      <c r="F54" s="160" t="s">
        <v>208</v>
      </c>
    </row>
    <row r="55" spans="1:6" hidden="1" x14ac:dyDescent="0.3">
      <c r="A55" s="155" t="s">
        <v>213</v>
      </c>
      <c r="B55" s="317" t="s">
        <v>214</v>
      </c>
      <c r="C55" s="165" t="s">
        <v>208</v>
      </c>
      <c r="D55" s="160" t="s">
        <v>208</v>
      </c>
      <c r="E55" s="165" t="s">
        <v>208</v>
      </c>
      <c r="F55" s="160" t="s">
        <v>208</v>
      </c>
    </row>
    <row r="56" spans="1:6" hidden="1" x14ac:dyDescent="0.3">
      <c r="A56" s="155" t="s">
        <v>215</v>
      </c>
      <c r="B56" s="317" t="s">
        <v>310</v>
      </c>
      <c r="C56" s="165">
        <v>12.2</v>
      </c>
      <c r="D56" s="160">
        <f>+C56</f>
        <v>12.2</v>
      </c>
      <c r="E56" s="165">
        <f>+D56</f>
        <v>12.2</v>
      </c>
      <c r="F56" s="160">
        <f>+C56</f>
        <v>12.2</v>
      </c>
    </row>
    <row r="57" spans="1:6" hidden="1" x14ac:dyDescent="0.3">
      <c r="A57" s="155"/>
      <c r="B57" s="317" t="s">
        <v>217</v>
      </c>
      <c r="C57" s="157">
        <v>71.510000000000005</v>
      </c>
      <c r="D57" s="158">
        <f>+C57</f>
        <v>71.510000000000005</v>
      </c>
      <c r="E57" s="157">
        <f>+C57</f>
        <v>71.510000000000005</v>
      </c>
      <c r="F57" s="158">
        <f>+D57</f>
        <v>71.510000000000005</v>
      </c>
    </row>
    <row r="58" spans="1:6" hidden="1" x14ac:dyDescent="0.3">
      <c r="A58" s="162" t="s">
        <v>218</v>
      </c>
      <c r="B58" s="319" t="s">
        <v>219</v>
      </c>
      <c r="C58" s="163" t="e">
        <f>SUM(C50:C57)</f>
        <v>#REF!</v>
      </c>
      <c r="D58" s="164" t="e">
        <f t="shared" ref="D58:F58" si="4">SUM(D50:D57)</f>
        <v>#REF!</v>
      </c>
      <c r="E58" s="163" t="e">
        <f t="shared" si="4"/>
        <v>#REF!</v>
      </c>
      <c r="F58" s="164" t="e">
        <f t="shared" si="4"/>
        <v>#REF!</v>
      </c>
    </row>
    <row r="59" spans="1:6" hidden="1" x14ac:dyDescent="0.3">
      <c r="A59" s="155" t="s">
        <v>220</v>
      </c>
      <c r="B59" s="317" t="s">
        <v>285</v>
      </c>
      <c r="C59" s="157" t="s">
        <v>252</v>
      </c>
      <c r="D59" s="158" t="s">
        <v>252</v>
      </c>
      <c r="E59" s="157" t="s">
        <v>252</v>
      </c>
      <c r="F59" s="158" t="s">
        <v>252</v>
      </c>
    </row>
    <row r="60" spans="1:6" hidden="1" x14ac:dyDescent="0.3">
      <c r="A60" s="155" t="s">
        <v>224</v>
      </c>
      <c r="B60" s="317" t="s">
        <v>142</v>
      </c>
      <c r="C60" s="157" t="s">
        <v>254</v>
      </c>
      <c r="D60" s="158" t="s">
        <v>254</v>
      </c>
      <c r="E60" s="157" t="s">
        <v>254</v>
      </c>
      <c r="F60" s="158" t="s">
        <v>254</v>
      </c>
    </row>
    <row r="61" spans="1:6" hidden="1" x14ac:dyDescent="0.3">
      <c r="A61" s="162" t="s">
        <v>226</v>
      </c>
      <c r="B61" s="319" t="s">
        <v>227</v>
      </c>
      <c r="C61" s="163">
        <v>5316.4418400000004</v>
      </c>
      <c r="D61" s="164">
        <v>5474.7219600000008</v>
      </c>
      <c r="E61" s="163">
        <v>6314.9703037999998</v>
      </c>
      <c r="F61" s="164">
        <v>6956.0162907800004</v>
      </c>
    </row>
    <row r="62" spans="1:6" hidden="1" x14ac:dyDescent="0.3">
      <c r="A62" s="155" t="s">
        <v>228</v>
      </c>
      <c r="B62" s="317" t="s">
        <v>173</v>
      </c>
      <c r="C62" s="157" t="s">
        <v>252</v>
      </c>
      <c r="D62" s="158" t="s">
        <v>252</v>
      </c>
      <c r="E62" s="157" t="s">
        <v>252</v>
      </c>
      <c r="F62" s="158" t="s">
        <v>252</v>
      </c>
    </row>
    <row r="63" spans="1:6" hidden="1" x14ac:dyDescent="0.3">
      <c r="A63" s="155" t="s">
        <v>229</v>
      </c>
      <c r="B63" s="317" t="s">
        <v>230</v>
      </c>
      <c r="C63" s="194" t="s">
        <v>256</v>
      </c>
      <c r="D63" s="158" t="s">
        <v>231</v>
      </c>
      <c r="E63" s="157" t="s">
        <v>256</v>
      </c>
      <c r="F63" s="160" t="s">
        <v>231</v>
      </c>
    </row>
    <row r="64" spans="1:6" hidden="1" x14ac:dyDescent="0.3">
      <c r="A64" s="155" t="s">
        <v>232</v>
      </c>
      <c r="B64" s="317" t="s">
        <v>311</v>
      </c>
      <c r="C64" s="194" t="s">
        <v>257</v>
      </c>
      <c r="D64" s="160" t="s">
        <v>257</v>
      </c>
      <c r="E64" s="194" t="s">
        <v>257</v>
      </c>
      <c r="F64" s="160" t="s">
        <v>257</v>
      </c>
    </row>
    <row r="65" spans="1:18" ht="15.75" hidden="1" thickBot="1" x14ac:dyDescent="0.35">
      <c r="A65" s="166" t="s">
        <v>234</v>
      </c>
      <c r="B65" s="320" t="s">
        <v>235</v>
      </c>
      <c r="C65" s="195"/>
      <c r="D65" s="195"/>
      <c r="E65" s="195"/>
      <c r="F65" s="169"/>
    </row>
    <row r="66" spans="1:18" hidden="1" x14ac:dyDescent="0.3">
      <c r="A66" s="171"/>
      <c r="B66" s="321"/>
      <c r="C66" s="321"/>
      <c r="D66" s="322"/>
      <c r="E66" s="322"/>
      <c r="F66" s="322"/>
      <c r="G66" s="322"/>
      <c r="H66" s="323"/>
      <c r="I66" s="323"/>
      <c r="J66" s="323"/>
      <c r="K66" s="323"/>
      <c r="L66" s="323"/>
      <c r="M66" s="323"/>
      <c r="N66" s="323"/>
      <c r="O66" s="323"/>
      <c r="P66" s="323"/>
      <c r="Q66" s="281"/>
      <c r="R66" s="281"/>
    </row>
    <row r="67" spans="1:18" hidden="1" x14ac:dyDescent="0.3">
      <c r="A67" s="171"/>
      <c r="B67" s="286" t="s">
        <v>248</v>
      </c>
      <c r="C67" s="172"/>
      <c r="D67" s="173"/>
      <c r="E67" s="173"/>
      <c r="F67" s="173"/>
      <c r="G67" s="173"/>
      <c r="H67" s="173"/>
      <c r="I67" s="173"/>
      <c r="J67" s="282"/>
      <c r="K67" s="282"/>
      <c r="L67" s="282"/>
      <c r="M67" s="282"/>
      <c r="N67" s="282"/>
      <c r="O67" s="282"/>
      <c r="P67" s="282"/>
      <c r="Q67" s="281"/>
      <c r="R67" s="281"/>
    </row>
    <row r="68" spans="1:18" hidden="1" x14ac:dyDescent="0.3">
      <c r="A68" s="171"/>
      <c r="B68" s="172"/>
      <c r="C68" s="172"/>
      <c r="D68" s="173"/>
      <c r="E68" s="173"/>
      <c r="F68" s="173"/>
      <c r="G68" s="173"/>
      <c r="H68" s="173"/>
      <c r="I68" s="173"/>
      <c r="J68" s="282"/>
      <c r="K68" s="282"/>
      <c r="L68" s="282"/>
      <c r="M68" s="282"/>
      <c r="N68" s="282"/>
      <c r="O68" s="282"/>
      <c r="P68" s="282"/>
      <c r="Q68" s="281"/>
      <c r="R68" s="281"/>
    </row>
    <row r="69" spans="1:18" hidden="1" x14ac:dyDescent="0.3">
      <c r="A69" s="174" t="s">
        <v>210</v>
      </c>
      <c r="B69" s="744" t="s">
        <v>281</v>
      </c>
      <c r="C69" s="744"/>
      <c r="D69" s="744"/>
      <c r="E69" s="744"/>
      <c r="F69" s="744"/>
      <c r="G69" s="744"/>
      <c r="H69" s="744"/>
      <c r="I69" s="173"/>
      <c r="J69" s="282"/>
      <c r="K69" s="282"/>
      <c r="L69" s="282"/>
      <c r="M69" s="282"/>
      <c r="N69" s="282"/>
      <c r="O69" s="282"/>
      <c r="P69" s="282"/>
      <c r="Q69" s="281"/>
      <c r="R69" s="281"/>
    </row>
    <row r="70" spans="1:18" hidden="1" x14ac:dyDescent="0.3">
      <c r="A70" s="174" t="s">
        <v>136</v>
      </c>
      <c r="B70" s="706" t="s">
        <v>262</v>
      </c>
      <c r="C70" s="706"/>
      <c r="D70" s="706"/>
      <c r="E70" s="706"/>
      <c r="F70" s="706"/>
      <c r="G70" s="706"/>
      <c r="H70" s="706"/>
      <c r="I70" s="173"/>
      <c r="J70" s="282"/>
      <c r="K70" s="282"/>
      <c r="L70" s="282"/>
      <c r="M70" s="282"/>
      <c r="N70" s="282"/>
      <c r="O70" s="282"/>
      <c r="P70" s="282"/>
      <c r="Q70" s="281"/>
      <c r="R70" s="281"/>
    </row>
    <row r="71" spans="1:18" hidden="1" x14ac:dyDescent="0.3">
      <c r="A71" s="174"/>
      <c r="B71" s="298"/>
      <c r="C71" s="298"/>
      <c r="D71" s="298"/>
      <c r="E71" s="298"/>
      <c r="F71" s="298"/>
      <c r="G71" s="298"/>
      <c r="H71" s="298"/>
      <c r="I71" s="173"/>
      <c r="J71" s="282"/>
      <c r="K71" s="282"/>
      <c r="L71" s="282"/>
      <c r="M71" s="282"/>
      <c r="N71" s="282"/>
      <c r="O71" s="282"/>
      <c r="P71" s="282"/>
      <c r="Q71" s="281"/>
      <c r="R71" s="281"/>
    </row>
    <row r="72" spans="1:18" hidden="1" x14ac:dyDescent="0.3">
      <c r="A72" s="174"/>
      <c r="B72" s="196" t="s">
        <v>171</v>
      </c>
      <c r="C72" s="196"/>
      <c r="D72" s="227"/>
      <c r="E72" s="227"/>
      <c r="F72" s="227"/>
      <c r="G72" s="227"/>
      <c r="H72" s="227"/>
      <c r="I72" s="227"/>
      <c r="J72" s="282"/>
      <c r="K72" s="282"/>
      <c r="L72" s="282"/>
      <c r="M72" s="282"/>
      <c r="N72" s="282"/>
      <c r="O72" s="282"/>
      <c r="P72" s="282"/>
      <c r="Q72" s="281"/>
      <c r="R72" s="281"/>
    </row>
    <row r="73" spans="1:18" hidden="1" x14ac:dyDescent="0.3">
      <c r="A73" s="197" t="s">
        <v>103</v>
      </c>
      <c r="B73" s="688" t="s">
        <v>249</v>
      </c>
      <c r="C73" s="688"/>
      <c r="D73" s="688"/>
      <c r="E73" s="688"/>
      <c r="F73" s="688"/>
      <c r="G73" s="688"/>
      <c r="H73" s="688"/>
      <c r="I73" s="281"/>
      <c r="J73" s="282"/>
      <c r="K73" s="282"/>
      <c r="L73" s="282"/>
      <c r="M73" s="282"/>
      <c r="N73" s="282"/>
      <c r="O73" s="282"/>
      <c r="P73" s="282"/>
      <c r="Q73" s="281"/>
      <c r="R73" s="281"/>
    </row>
    <row r="74" spans="1:18" hidden="1" x14ac:dyDescent="0.3">
      <c r="A74" s="197" t="s">
        <v>250</v>
      </c>
      <c r="B74" s="688" t="s">
        <v>282</v>
      </c>
      <c r="C74" s="688"/>
      <c r="D74" s="688"/>
      <c r="E74" s="688"/>
      <c r="F74" s="688"/>
      <c r="G74" s="688"/>
      <c r="H74" s="688"/>
      <c r="I74" s="688"/>
      <c r="J74" s="282"/>
      <c r="K74" s="282"/>
      <c r="L74" s="282"/>
      <c r="M74" s="282"/>
      <c r="N74" s="282"/>
      <c r="O74" s="282"/>
      <c r="P74" s="282"/>
      <c r="Q74" s="281"/>
      <c r="R74" s="281"/>
    </row>
    <row r="75" spans="1:18" hidden="1" x14ac:dyDescent="0.3">
      <c r="A75" s="197" t="s">
        <v>252</v>
      </c>
      <c r="B75" s="688" t="s">
        <v>293</v>
      </c>
      <c r="C75" s="688"/>
      <c r="D75" s="688"/>
      <c r="E75" s="688"/>
      <c r="F75" s="688"/>
      <c r="G75" s="688"/>
      <c r="H75" s="688"/>
      <c r="I75" s="688"/>
      <c r="J75" s="282"/>
      <c r="K75" s="282"/>
      <c r="L75" s="282"/>
      <c r="M75" s="282"/>
      <c r="N75" s="282"/>
      <c r="O75" s="282"/>
      <c r="P75" s="282"/>
      <c r="Q75" s="281"/>
      <c r="R75" s="281"/>
    </row>
    <row r="76" spans="1:18" hidden="1" x14ac:dyDescent="0.3">
      <c r="A76" s="197" t="s">
        <v>254</v>
      </c>
      <c r="B76" s="688" t="s">
        <v>287</v>
      </c>
      <c r="C76" s="688"/>
      <c r="D76" s="688"/>
      <c r="E76" s="688"/>
      <c r="F76" s="688"/>
      <c r="G76" s="688"/>
      <c r="H76" s="688"/>
      <c r="I76" s="688"/>
      <c r="J76" s="282"/>
      <c r="K76" s="282"/>
      <c r="L76" s="282"/>
      <c r="M76" s="282"/>
      <c r="N76" s="282"/>
      <c r="O76" s="282"/>
      <c r="P76" s="282"/>
      <c r="Q76" s="281"/>
      <c r="R76" s="281"/>
    </row>
    <row r="77" spans="1:18" hidden="1" x14ac:dyDescent="0.3">
      <c r="A77" s="197" t="s">
        <v>256</v>
      </c>
      <c r="B77" s="688" t="s">
        <v>258</v>
      </c>
      <c r="C77" s="688"/>
      <c r="D77" s="688"/>
      <c r="E77" s="688"/>
      <c r="F77" s="688"/>
      <c r="G77" s="688"/>
      <c r="H77" s="295"/>
      <c r="I77" s="282"/>
      <c r="J77" s="282"/>
      <c r="K77" s="282"/>
      <c r="L77" s="282"/>
      <c r="M77" s="282"/>
      <c r="N77" s="282"/>
      <c r="O77" s="282"/>
      <c r="P77" s="282"/>
      <c r="Q77" s="281"/>
      <c r="R77" s="281"/>
    </row>
    <row r="78" spans="1:18" hidden="1" x14ac:dyDescent="0.3">
      <c r="A78" s="197" t="s">
        <v>257</v>
      </c>
      <c r="B78" s="688" t="s">
        <v>288</v>
      </c>
      <c r="C78" s="688"/>
      <c r="D78" s="688"/>
      <c r="E78" s="688"/>
      <c r="F78" s="688"/>
      <c r="G78" s="688"/>
      <c r="H78" s="688"/>
      <c r="I78" s="688"/>
      <c r="J78" s="282"/>
      <c r="K78" s="282"/>
      <c r="L78" s="282"/>
      <c r="M78" s="282"/>
      <c r="N78" s="282"/>
      <c r="O78" s="282"/>
      <c r="P78" s="282"/>
      <c r="Q78" s="281"/>
      <c r="R78" s="281"/>
    </row>
    <row r="79" spans="1:18" hidden="1" x14ac:dyDescent="0.3">
      <c r="A79" s="262"/>
      <c r="B79" s="263"/>
      <c r="C79" s="263"/>
      <c r="D79" s="263"/>
      <c r="E79" s="263"/>
      <c r="F79" s="263"/>
      <c r="G79" s="263"/>
      <c r="H79" s="263"/>
      <c r="I79" s="263"/>
      <c r="J79" s="282"/>
      <c r="K79" s="282"/>
      <c r="L79" s="282"/>
      <c r="M79" s="282"/>
      <c r="N79" s="282"/>
      <c r="O79" s="282"/>
      <c r="P79" s="282"/>
      <c r="Q79" s="281"/>
      <c r="R79" s="281"/>
    </row>
    <row r="80" spans="1:18" hidden="1" x14ac:dyDescent="0.3">
      <c r="A80" s="690" t="s">
        <v>160</v>
      </c>
      <c r="B80" s="690"/>
      <c r="C80" s="690"/>
      <c r="D80" s="690"/>
      <c r="E80" s="690"/>
      <c r="F80" s="690"/>
      <c r="G80" s="690"/>
      <c r="H80" s="690"/>
      <c r="J80" s="282"/>
      <c r="K80" s="282"/>
      <c r="L80" s="282"/>
      <c r="M80" s="282"/>
      <c r="N80" s="282"/>
      <c r="O80" s="282"/>
      <c r="P80" s="282"/>
      <c r="Q80" s="281"/>
      <c r="R80" s="281"/>
    </row>
    <row r="81" spans="1:18" hidden="1" x14ac:dyDescent="0.3">
      <c r="A81" s="324"/>
      <c r="B81" s="196"/>
      <c r="C81" s="196"/>
      <c r="D81" s="282"/>
      <c r="E81" s="282"/>
      <c r="F81" s="282"/>
      <c r="G81" s="282"/>
      <c r="H81" s="282"/>
      <c r="I81" s="282"/>
      <c r="J81" s="282"/>
      <c r="K81" s="282"/>
      <c r="L81" s="282"/>
      <c r="M81" s="282"/>
      <c r="N81" s="282"/>
      <c r="O81" s="282"/>
      <c r="P81" s="282"/>
      <c r="Q81" s="281"/>
      <c r="R81" s="281"/>
    </row>
    <row r="82" spans="1:18" hidden="1" x14ac:dyDescent="0.3">
      <c r="A82" s="324"/>
      <c r="B82" s="196"/>
      <c r="C82" s="196"/>
      <c r="D82" s="282"/>
      <c r="E82" s="282"/>
      <c r="F82" s="282"/>
      <c r="G82" s="282"/>
      <c r="H82" s="282"/>
      <c r="I82" s="282"/>
      <c r="J82" s="282"/>
      <c r="K82" s="282"/>
      <c r="L82" s="282"/>
      <c r="M82" s="282"/>
      <c r="N82" s="282"/>
      <c r="O82" s="282"/>
      <c r="P82" s="282"/>
      <c r="Q82" s="281"/>
      <c r="R82" s="281"/>
    </row>
    <row r="83" spans="1:18" hidden="1" x14ac:dyDescent="0.3">
      <c r="A83" s="324"/>
      <c r="B83" s="196"/>
      <c r="C83" s="196"/>
      <c r="D83" s="282"/>
      <c r="E83" s="282"/>
      <c r="F83" s="282"/>
      <c r="G83" s="282"/>
      <c r="H83" s="282"/>
      <c r="I83" s="282"/>
      <c r="J83" s="282"/>
      <c r="K83" s="282"/>
      <c r="L83" s="282"/>
      <c r="M83" s="282"/>
      <c r="N83" s="282"/>
      <c r="O83" s="282"/>
      <c r="P83" s="282"/>
      <c r="Q83" s="281"/>
      <c r="R83" s="281"/>
    </row>
  </sheetData>
  <sheetProtection algorithmName="SHA-512" hashValue="b8iXLjkvBPuBxWqUInyXIlM4hlguA7DalKDphz7lGVf1yFJ0xy41ybNOx+U56FJNpujyEJqWgaB2dTTg4BJbIw==" saltValue="MhUplb4TbFf9bmgS038gFA==" spinCount="100000" sheet="1" objects="1" scenarios="1"/>
  <mergeCells count="31">
    <mergeCell ref="A47:A49"/>
    <mergeCell ref="B47:B49"/>
    <mergeCell ref="B69:H69"/>
    <mergeCell ref="C45:D46"/>
    <mergeCell ref="E45:F46"/>
    <mergeCell ref="B45:B46"/>
    <mergeCell ref="A44:M44"/>
    <mergeCell ref="B29:H29"/>
    <mergeCell ref="B30:H30"/>
    <mergeCell ref="B31:H31"/>
    <mergeCell ref="B34:H34"/>
    <mergeCell ref="B35:I35"/>
    <mergeCell ref="B36:I36"/>
    <mergeCell ref="B37:I37"/>
    <mergeCell ref="B38:G38"/>
    <mergeCell ref="B39:I39"/>
    <mergeCell ref="A41:H41"/>
    <mergeCell ref="C3:G4"/>
    <mergeCell ref="H3:I4"/>
    <mergeCell ref="A5:A7"/>
    <mergeCell ref="B5:B7"/>
    <mergeCell ref="C5:C6"/>
    <mergeCell ref="G5:G6"/>
    <mergeCell ref="B77:G77"/>
    <mergeCell ref="B78:I78"/>
    <mergeCell ref="A80:H80"/>
    <mergeCell ref="B70:H70"/>
    <mergeCell ref="B73:H73"/>
    <mergeCell ref="B74:I74"/>
    <mergeCell ref="B75:I75"/>
    <mergeCell ref="B76:I76"/>
  </mergeCells>
  <hyperlinks>
    <hyperlink ref="B33" location="Nota" display="Ver Nota Informativa" xr:uid="{00000000-0004-0000-0F00-000000000000}"/>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C17:G21 I19 H17:I17 H24:I24 H20:H21 F22 I21 I23" formula="1"/>
    <ignoredError sqref="C12:G12" numberStoredAsText="1"/>
    <ignoredError sqref="H14:I15 I12 E13:G13 D14:G14 D15:G15"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4" tint="0.59999389629810485"/>
  </sheetPr>
  <dimension ref="A1:P40"/>
  <sheetViews>
    <sheetView zoomScaleNormal="100" workbookViewId="0">
      <selection activeCell="K23" sqref="K23"/>
    </sheetView>
  </sheetViews>
  <sheetFormatPr baseColWidth="10" defaultRowHeight="15.05" x14ac:dyDescent="0.3"/>
  <cols>
    <col min="2" max="2" width="47.33203125" customWidth="1"/>
    <col min="3" max="3" width="12.33203125" customWidth="1"/>
    <col min="4" max="4" width="15.77734375" customWidth="1"/>
    <col min="5" max="5" width="13.6640625" customWidth="1"/>
    <col min="6" max="6" width="16.109375" hidden="1" customWidth="1"/>
    <col min="7" max="7" width="17.109375" customWidth="1"/>
    <col min="8" max="8" width="13.21875" hidden="1" customWidth="1"/>
    <col min="10" max="10" width="0" hidden="1" customWidth="1"/>
  </cols>
  <sheetData>
    <row r="1" spans="1:10" x14ac:dyDescent="0.3">
      <c r="A1" s="150"/>
      <c r="B1" s="150" t="str">
        <f>+AMAZONAS!C1</f>
        <v>Vigencia: 14 de Agosto de 2021; 00:00 horas</v>
      </c>
      <c r="D1" s="510"/>
    </row>
    <row r="2" spans="1:10" ht="15.75" thickBot="1" x14ac:dyDescent="0.35">
      <c r="A2" s="177" t="s">
        <v>199</v>
      </c>
      <c r="B2" s="177"/>
    </row>
    <row r="3" spans="1:10" ht="15.9" customHeight="1" thickTop="1" x14ac:dyDescent="0.3">
      <c r="A3" s="207"/>
      <c r="B3" s="208" t="s">
        <v>312</v>
      </c>
      <c r="C3" s="707" t="s">
        <v>200</v>
      </c>
      <c r="D3" s="708"/>
      <c r="E3" s="708"/>
      <c r="F3" s="709"/>
      <c r="G3" s="713" t="s">
        <v>270</v>
      </c>
      <c r="H3" s="714"/>
      <c r="I3" s="555"/>
    </row>
    <row r="4" spans="1:10" x14ac:dyDescent="0.3">
      <c r="A4" s="152"/>
      <c r="B4" s="209" t="s">
        <v>313</v>
      </c>
      <c r="C4" s="710"/>
      <c r="D4" s="711"/>
      <c r="E4" s="711"/>
      <c r="F4" s="712"/>
      <c r="G4" s="715"/>
      <c r="H4" s="716"/>
    </row>
    <row r="5" spans="1:10" ht="38.299999999999997" customHeight="1" x14ac:dyDescent="0.3">
      <c r="A5" s="691" t="s">
        <v>201</v>
      </c>
      <c r="B5" s="693" t="s">
        <v>202</v>
      </c>
      <c r="C5" s="695" t="s">
        <v>261</v>
      </c>
      <c r="D5" s="183" t="s">
        <v>97</v>
      </c>
      <c r="E5" s="183" t="s">
        <v>191</v>
      </c>
      <c r="F5" s="183" t="str">
        <f>+NARIÑO!F5</f>
        <v>Biodiesel B10</v>
      </c>
      <c r="G5" s="183" t="s">
        <v>97</v>
      </c>
      <c r="H5" s="297" t="str">
        <f>+F5</f>
        <v>Biodiesel B10</v>
      </c>
    </row>
    <row r="6" spans="1:10" x14ac:dyDescent="0.3">
      <c r="A6" s="691"/>
      <c r="B6" s="693"/>
      <c r="C6" s="696"/>
      <c r="D6" s="612">
        <v>0.08</v>
      </c>
      <c r="E6" s="201">
        <v>0.02</v>
      </c>
      <c r="F6" s="184">
        <f>+NARIÑO!F6</f>
        <v>0.1</v>
      </c>
      <c r="G6" s="612">
        <v>0.08</v>
      </c>
      <c r="H6" s="184">
        <f>+F6</f>
        <v>0.1</v>
      </c>
    </row>
    <row r="7" spans="1:10" x14ac:dyDescent="0.3">
      <c r="A7" s="692"/>
      <c r="B7" s="694"/>
      <c r="C7" s="153" t="s">
        <v>203</v>
      </c>
      <c r="D7" s="183" t="s">
        <v>203</v>
      </c>
      <c r="E7" s="183" t="s">
        <v>203</v>
      </c>
      <c r="F7" s="183" t="s">
        <v>203</v>
      </c>
      <c r="G7" s="153" t="s">
        <v>203</v>
      </c>
      <c r="H7" s="297" t="s">
        <v>203</v>
      </c>
    </row>
    <row r="8" spans="1:10" x14ac:dyDescent="0.3">
      <c r="A8" s="155" t="s">
        <v>204</v>
      </c>
      <c r="B8" s="161" t="s">
        <v>205</v>
      </c>
      <c r="C8" s="225">
        <f>+'Calculo IP ZDF'!B37</f>
        <v>4569.2832879999996</v>
      </c>
      <c r="D8" s="231">
        <f>+'Calculo IP ZDF'!B37</f>
        <v>4569.2832879999996</v>
      </c>
      <c r="E8" s="233">
        <f>+'Calculo IP ZDF'!F37</f>
        <v>4385.5249999999996</v>
      </c>
      <c r="F8" s="232">
        <f>+'Calculo IP ZDF'!I37</f>
        <v>5387.1735761</v>
      </c>
      <c r="G8" s="210">
        <f>+'GAS CTE'!C6</f>
        <v>4608.92</v>
      </c>
      <c r="H8" s="235">
        <f>+BIODIESEL!G9</f>
        <v>5697.2049999999999</v>
      </c>
    </row>
    <row r="9" spans="1:10" x14ac:dyDescent="0.3">
      <c r="A9" s="155" t="s">
        <v>206</v>
      </c>
      <c r="B9" s="161" t="s">
        <v>207</v>
      </c>
      <c r="C9" s="211" t="str">
        <f t="shared" ref="C9:C12" si="0">+D9</f>
        <v>------------------</v>
      </c>
      <c r="D9" s="212" t="s">
        <v>208</v>
      </c>
      <c r="E9" s="212" t="s">
        <v>208</v>
      </c>
      <c r="F9" s="158" t="s">
        <v>208</v>
      </c>
      <c r="G9" s="210">
        <f>+'GAS CTE'!C10</f>
        <v>555.04999999999995</v>
      </c>
      <c r="H9" s="236">
        <f>+BIODIESEL!G10</f>
        <v>478.14</v>
      </c>
    </row>
    <row r="10" spans="1:10" x14ac:dyDescent="0.3">
      <c r="A10" s="155"/>
      <c r="B10" s="161" t="s">
        <v>135</v>
      </c>
      <c r="C10" s="211" t="str">
        <f>+D10</f>
        <v>------------------</v>
      </c>
      <c r="D10" s="212" t="s">
        <v>208</v>
      </c>
      <c r="E10" s="212" t="s">
        <v>208</v>
      </c>
      <c r="F10" s="158" t="s">
        <v>208</v>
      </c>
      <c r="G10" s="226" t="str">
        <f>+COMBUSTIBLES!B12</f>
        <v>(3)</v>
      </c>
      <c r="H10" s="236" t="str">
        <f>+BIODIESEL!G11</f>
        <v>(3)</v>
      </c>
    </row>
    <row r="11" spans="1:10" x14ac:dyDescent="0.3">
      <c r="A11" s="155"/>
      <c r="B11" s="161" t="s">
        <v>137</v>
      </c>
      <c r="C11" s="211">
        <f>+'GAS CTE'!C12</f>
        <v>159</v>
      </c>
      <c r="D11" s="212">
        <f>+'GAS CTE'!C12</f>
        <v>159</v>
      </c>
      <c r="E11" s="212">
        <f>+BIODIESEL!E12</f>
        <v>175.42</v>
      </c>
      <c r="F11" s="158">
        <f>+BIODIESEL!G12</f>
        <v>161.1</v>
      </c>
      <c r="G11" s="210">
        <f>+'GAS CTE'!C12</f>
        <v>159</v>
      </c>
      <c r="H11" s="232">
        <f>+BIODIESEL!G12</f>
        <v>161.1</v>
      </c>
    </row>
    <row r="12" spans="1:10" x14ac:dyDescent="0.3">
      <c r="A12" s="155" t="s">
        <v>209</v>
      </c>
      <c r="B12" s="161" t="s">
        <v>314</v>
      </c>
      <c r="C12" s="211" t="str">
        <f t="shared" si="0"/>
        <v>(2)</v>
      </c>
      <c r="D12" s="159" t="s">
        <v>237</v>
      </c>
      <c r="E12" s="159" t="s">
        <v>237</v>
      </c>
      <c r="F12" s="158" t="s">
        <v>237</v>
      </c>
      <c r="G12" s="210" t="str">
        <f>+F12</f>
        <v>(2)</v>
      </c>
      <c r="H12" s="235" t="s">
        <v>237</v>
      </c>
    </row>
    <row r="13" spans="1:10" x14ac:dyDescent="0.3">
      <c r="A13" s="155" t="s">
        <v>211</v>
      </c>
      <c r="B13" s="161" t="s">
        <v>212</v>
      </c>
      <c r="C13" s="211">
        <f>+RUBROS!Z21</f>
        <v>22.249601678692599</v>
      </c>
      <c r="D13" s="159">
        <f>+C13</f>
        <v>22.249601678692599</v>
      </c>
      <c r="E13" s="159">
        <f>+D13</f>
        <v>22.249601678692599</v>
      </c>
      <c r="F13" s="158">
        <f>+E13</f>
        <v>22.249601678692599</v>
      </c>
      <c r="G13" s="210">
        <f>+C13</f>
        <v>22.249601678692599</v>
      </c>
      <c r="H13" s="235">
        <f>+G13</f>
        <v>22.249601678692599</v>
      </c>
      <c r="J13" s="474" t="s">
        <v>456</v>
      </c>
    </row>
    <row r="14" spans="1:10" x14ac:dyDescent="0.3">
      <c r="A14" s="155" t="s">
        <v>213</v>
      </c>
      <c r="B14" s="161" t="s">
        <v>214</v>
      </c>
      <c r="C14" s="211">
        <f>+RUBROS!Z57</f>
        <v>106.58814036600187</v>
      </c>
      <c r="D14" s="159">
        <f>+C14</f>
        <v>106.58814036600187</v>
      </c>
      <c r="E14" s="159">
        <f>+C14</f>
        <v>106.58814036600187</v>
      </c>
      <c r="F14" s="158">
        <f>+C14</f>
        <v>106.58814036600187</v>
      </c>
      <c r="G14" s="210">
        <f>+C14</f>
        <v>106.58814036600187</v>
      </c>
      <c r="H14" s="235">
        <f>+G14</f>
        <v>106.58814036600187</v>
      </c>
      <c r="J14" s="474" t="s">
        <v>456</v>
      </c>
    </row>
    <row r="15" spans="1:10" x14ac:dyDescent="0.3">
      <c r="A15" s="155" t="s">
        <v>215</v>
      </c>
      <c r="B15" s="230" t="s">
        <v>216</v>
      </c>
      <c r="C15" s="211">
        <f>+RUBROS!AP32</f>
        <v>12.938273064269636</v>
      </c>
      <c r="D15" s="159">
        <f>+C15</f>
        <v>12.938273064269636</v>
      </c>
      <c r="E15" s="213">
        <f>+C15</f>
        <v>12.938273064269636</v>
      </c>
      <c r="F15" s="158">
        <f>+C15</f>
        <v>12.938273064269636</v>
      </c>
      <c r="G15" s="210">
        <f>+C15</f>
        <v>12.938273064269636</v>
      </c>
      <c r="H15" s="235">
        <f>+C15</f>
        <v>12.938273064269636</v>
      </c>
      <c r="J15" s="474" t="s">
        <v>456</v>
      </c>
    </row>
    <row r="16" spans="1:10" hidden="1" x14ac:dyDescent="0.3">
      <c r="A16" s="155"/>
      <c r="B16" s="161" t="s">
        <v>217</v>
      </c>
      <c r="C16" s="211"/>
      <c r="D16" s="214"/>
      <c r="E16" s="215"/>
      <c r="F16" s="158"/>
      <c r="G16" s="210"/>
      <c r="H16" s="237"/>
    </row>
    <row r="17" spans="1:16" x14ac:dyDescent="0.3">
      <c r="A17" s="162" t="s">
        <v>218</v>
      </c>
      <c r="B17" s="192" t="s">
        <v>219</v>
      </c>
      <c r="C17" s="216">
        <f>SUM(C8:C16)</f>
        <v>4870.0593031089629</v>
      </c>
      <c r="D17" s="217">
        <f t="shared" ref="D17:H17" si="1">SUM(D8:D16)</f>
        <v>4870.0593031089629</v>
      </c>
      <c r="E17" s="217">
        <f t="shared" si="1"/>
        <v>4702.721015108963</v>
      </c>
      <c r="F17" s="218">
        <f t="shared" si="1"/>
        <v>5690.0495912089636</v>
      </c>
      <c r="G17" s="219">
        <f t="shared" si="1"/>
        <v>5464.7460151089635</v>
      </c>
      <c r="H17" s="238">
        <f t="shared" si="1"/>
        <v>6478.2210151089639</v>
      </c>
    </row>
    <row r="18" spans="1:16" x14ac:dyDescent="0.3">
      <c r="A18" s="155" t="s">
        <v>220</v>
      </c>
      <c r="B18" s="161" t="s">
        <v>221</v>
      </c>
      <c r="C18" s="211" t="s">
        <v>252</v>
      </c>
      <c r="D18" s="220" t="str">
        <f>+C18</f>
        <v>***</v>
      </c>
      <c r="E18" s="220" t="str">
        <f>+C18</f>
        <v>***</v>
      </c>
      <c r="F18" s="158" t="str">
        <f>+C18</f>
        <v>***</v>
      </c>
      <c r="G18" s="213" t="str">
        <f>+H18</f>
        <v>***</v>
      </c>
      <c r="H18" s="239" t="s">
        <v>252</v>
      </c>
    </row>
    <row r="19" spans="1:16" x14ac:dyDescent="0.3">
      <c r="A19" s="155" t="s">
        <v>222</v>
      </c>
      <c r="B19" s="161" t="s">
        <v>223</v>
      </c>
      <c r="C19" s="211" t="str">
        <f>+D19</f>
        <v>**</v>
      </c>
      <c r="D19" s="221" t="s">
        <v>250</v>
      </c>
      <c r="E19" s="221" t="s">
        <v>250</v>
      </c>
      <c r="F19" s="158" t="s">
        <v>250</v>
      </c>
      <c r="G19" s="213" t="str">
        <f>+H19</f>
        <v>**</v>
      </c>
      <c r="H19" s="232" t="s">
        <v>250</v>
      </c>
    </row>
    <row r="20" spans="1:16" x14ac:dyDescent="0.3">
      <c r="A20" s="155" t="s">
        <v>224</v>
      </c>
      <c r="B20" s="161" t="s">
        <v>225</v>
      </c>
      <c r="C20" s="211" t="str">
        <f>+D20</f>
        <v>****</v>
      </c>
      <c r="D20" s="159" t="s">
        <v>254</v>
      </c>
      <c r="E20" s="159" t="str">
        <f>+D20</f>
        <v>****</v>
      </c>
      <c r="F20" s="158" t="str">
        <f>+E20</f>
        <v>****</v>
      </c>
      <c r="G20" s="213" t="str">
        <f>+F20</f>
        <v>****</v>
      </c>
      <c r="H20" s="235" t="str">
        <f>+F20</f>
        <v>****</v>
      </c>
    </row>
    <row r="21" spans="1:16" x14ac:dyDescent="0.3">
      <c r="A21" s="162" t="s">
        <v>226</v>
      </c>
      <c r="B21" s="192" t="s">
        <v>227</v>
      </c>
      <c r="C21" s="216">
        <f t="shared" ref="C21:H21" si="2">+C17</f>
        <v>4870.0593031089629</v>
      </c>
      <c r="D21" s="216">
        <f t="shared" si="2"/>
        <v>4870.0593031089629</v>
      </c>
      <c r="E21" s="216">
        <f t="shared" si="2"/>
        <v>4702.721015108963</v>
      </c>
      <c r="F21" s="234">
        <f t="shared" si="2"/>
        <v>5690.0495912089636</v>
      </c>
      <c r="G21" s="216">
        <f t="shared" si="2"/>
        <v>5464.7460151089635</v>
      </c>
      <c r="H21" s="234">
        <f t="shared" si="2"/>
        <v>6478.2210151089639</v>
      </c>
    </row>
    <row r="22" spans="1:16" x14ac:dyDescent="0.3">
      <c r="A22" s="155" t="s">
        <v>228</v>
      </c>
      <c r="B22" s="161" t="s">
        <v>173</v>
      </c>
      <c r="C22" s="211" t="s">
        <v>252</v>
      </c>
      <c r="D22" s="159" t="str">
        <f>+C22</f>
        <v>***</v>
      </c>
      <c r="E22" s="159" t="str">
        <f>+D22</f>
        <v>***</v>
      </c>
      <c r="F22" s="158" t="str">
        <f>+E22</f>
        <v>***</v>
      </c>
      <c r="G22" s="213" t="str">
        <f>+H22</f>
        <v>***</v>
      </c>
      <c r="H22" s="235" t="s">
        <v>252</v>
      </c>
    </row>
    <row r="23" spans="1:16" x14ac:dyDescent="0.3">
      <c r="A23" s="155" t="s">
        <v>229</v>
      </c>
      <c r="B23" s="156" t="s">
        <v>230</v>
      </c>
      <c r="C23" s="211" t="str">
        <f>+D23</f>
        <v>*****</v>
      </c>
      <c r="D23" s="159" t="s">
        <v>256</v>
      </c>
      <c r="E23" s="159" t="s">
        <v>274</v>
      </c>
      <c r="F23" s="158" t="s">
        <v>231</v>
      </c>
      <c r="G23" s="213" t="str">
        <f>+D23</f>
        <v>*****</v>
      </c>
      <c r="H23" s="235" t="s">
        <v>275</v>
      </c>
      <c r="K23" s="19"/>
    </row>
    <row r="24" spans="1:16" x14ac:dyDescent="0.3">
      <c r="A24" s="155" t="s">
        <v>232</v>
      </c>
      <c r="B24" s="161" t="s">
        <v>233</v>
      </c>
      <c r="C24" s="211" t="str">
        <f>+D24</f>
        <v>******</v>
      </c>
      <c r="D24" s="221" t="s">
        <v>257</v>
      </c>
      <c r="E24" s="221" t="str">
        <f>+D24</f>
        <v>******</v>
      </c>
      <c r="F24" s="160" t="str">
        <f>+E24</f>
        <v>******</v>
      </c>
      <c r="G24" s="213" t="str">
        <f>+F24</f>
        <v>******</v>
      </c>
      <c r="H24" s="232" t="str">
        <f>+G24</f>
        <v>******</v>
      </c>
    </row>
    <row r="25" spans="1:16" ht="15.75" thickBot="1" x14ac:dyDescent="0.35">
      <c r="A25" s="166" t="s">
        <v>234</v>
      </c>
      <c r="B25" s="167" t="s">
        <v>235</v>
      </c>
      <c r="C25" s="222"/>
      <c r="D25" s="170"/>
      <c r="E25" s="223"/>
      <c r="F25" s="169"/>
      <c r="G25" s="223"/>
      <c r="H25" s="240"/>
    </row>
    <row r="26" spans="1:16" ht="15.75" thickTop="1" x14ac:dyDescent="0.3"/>
    <row r="27" spans="1:16" x14ac:dyDescent="0.3">
      <c r="A27" s="174"/>
      <c r="B27" s="286" t="s">
        <v>248</v>
      </c>
      <c r="C27" s="227"/>
      <c r="D27" s="227"/>
      <c r="E27" s="227"/>
      <c r="F27" s="227"/>
      <c r="G27" s="206"/>
      <c r="H27" s="206"/>
      <c r="I27" s="206"/>
      <c r="J27" s="206"/>
      <c r="K27" s="206"/>
      <c r="L27" s="206"/>
      <c r="M27" s="206"/>
      <c r="N27" s="206"/>
      <c r="O27" s="206"/>
      <c r="P27" s="206"/>
    </row>
    <row r="28" spans="1:16" x14ac:dyDescent="0.3">
      <c r="A28" s="174"/>
      <c r="B28" s="196"/>
      <c r="C28" s="227"/>
      <c r="D28" s="227"/>
      <c r="E28" s="227"/>
      <c r="F28" s="227"/>
      <c r="G28" s="206"/>
      <c r="H28" s="206"/>
      <c r="I28" s="206"/>
      <c r="J28" s="206"/>
      <c r="K28" s="206"/>
      <c r="L28" s="206"/>
      <c r="M28" s="206"/>
      <c r="N28" s="206"/>
      <c r="O28" s="206"/>
      <c r="P28" s="206"/>
    </row>
    <row r="29" spans="1:16" ht="15.05" customHeight="1" x14ac:dyDescent="0.3">
      <c r="A29" s="174" t="s">
        <v>210</v>
      </c>
      <c r="B29" s="706" t="str">
        <f>+NARIÑO!B29</f>
        <v>De acuerdo con lo establecido en la Resolución MME 91349 de 2014</v>
      </c>
      <c r="C29" s="706"/>
      <c r="D29" s="706"/>
      <c r="E29" s="706"/>
      <c r="F29" s="706"/>
      <c r="G29" s="706"/>
      <c r="H29" s="706"/>
      <c r="I29" s="706"/>
      <c r="J29" s="706"/>
      <c r="K29" s="228"/>
      <c r="L29" s="228"/>
      <c r="M29" s="228"/>
      <c r="N29" s="228"/>
      <c r="O29" s="228"/>
      <c r="P29" s="228"/>
    </row>
    <row r="30" spans="1:16" ht="26.2" customHeight="1" x14ac:dyDescent="0.3">
      <c r="A30" s="174" t="s">
        <v>237</v>
      </c>
      <c r="B30" s="689" t="s">
        <v>292</v>
      </c>
      <c r="C30" s="689"/>
      <c r="D30" s="689"/>
      <c r="E30" s="689"/>
      <c r="F30" s="689"/>
      <c r="G30" s="689"/>
      <c r="H30" s="689"/>
      <c r="I30" s="689"/>
      <c r="J30" s="689"/>
      <c r="K30" s="206"/>
      <c r="L30" s="206"/>
      <c r="M30" s="206"/>
      <c r="N30" s="206"/>
      <c r="O30" s="206"/>
      <c r="P30" s="206"/>
    </row>
    <row r="31" spans="1:16" ht="57.15" customHeight="1" x14ac:dyDescent="0.3">
      <c r="A31" s="174" t="s">
        <v>136</v>
      </c>
      <c r="B31" s="706" t="s">
        <v>357</v>
      </c>
      <c r="C31" s="706"/>
      <c r="D31" s="706"/>
      <c r="E31" s="706"/>
      <c r="F31" s="706"/>
      <c r="G31" s="706"/>
      <c r="H31" s="706"/>
      <c r="I31" s="706"/>
      <c r="J31" s="706"/>
      <c r="K31" s="206"/>
      <c r="L31" s="206"/>
      <c r="M31" s="206"/>
      <c r="N31" s="206"/>
      <c r="O31" s="206"/>
      <c r="P31" s="206"/>
    </row>
    <row r="32" spans="1:16" x14ac:dyDescent="0.3">
      <c r="A32" s="174"/>
      <c r="B32" s="196"/>
      <c r="C32" s="227"/>
      <c r="D32" s="227"/>
      <c r="E32" s="227"/>
      <c r="F32" s="227"/>
      <c r="G32" s="206"/>
      <c r="H32" s="206"/>
      <c r="I32" s="206"/>
      <c r="J32" s="206"/>
      <c r="K32" s="206"/>
      <c r="L32" s="206"/>
      <c r="M32" s="206"/>
      <c r="N32" s="206"/>
      <c r="O32" s="206"/>
      <c r="P32" s="206"/>
    </row>
    <row r="33" spans="1:16" ht="15.05" customHeight="1" x14ac:dyDescent="0.3">
      <c r="A33" s="197" t="s">
        <v>103</v>
      </c>
      <c r="B33" s="688" t="s">
        <v>249</v>
      </c>
      <c r="C33" s="688"/>
      <c r="D33" s="688"/>
      <c r="E33" s="688"/>
      <c r="F33" s="688"/>
      <c r="G33" s="688"/>
      <c r="H33" s="688"/>
      <c r="I33" s="688"/>
      <c r="J33" s="688"/>
      <c r="K33" s="206"/>
      <c r="L33" s="206"/>
      <c r="M33" s="206"/>
      <c r="N33" s="206"/>
      <c r="O33" s="206"/>
      <c r="P33" s="206"/>
    </row>
    <row r="34" spans="1:16" ht="15.05" customHeight="1" x14ac:dyDescent="0.3">
      <c r="A34" s="197" t="s">
        <v>250</v>
      </c>
      <c r="B34" s="706" t="s">
        <v>278</v>
      </c>
      <c r="C34" s="706"/>
      <c r="D34" s="706"/>
      <c r="E34" s="706"/>
      <c r="F34" s="706"/>
      <c r="G34" s="706"/>
      <c r="H34" s="706"/>
      <c r="I34" s="706"/>
      <c r="J34" s="706"/>
      <c r="K34" s="206"/>
      <c r="L34" s="206"/>
      <c r="M34" s="206"/>
      <c r="N34" s="206"/>
      <c r="O34" s="206"/>
      <c r="P34" s="206"/>
    </row>
    <row r="35" spans="1:16" ht="15.05" customHeight="1" x14ac:dyDescent="0.3">
      <c r="A35" s="174" t="s">
        <v>252</v>
      </c>
      <c r="B35" s="706" t="s">
        <v>253</v>
      </c>
      <c r="C35" s="706"/>
      <c r="D35" s="706"/>
      <c r="E35" s="706"/>
      <c r="F35" s="706"/>
      <c r="G35" s="706"/>
      <c r="H35" s="706"/>
      <c r="I35" s="174"/>
      <c r="J35" s="688"/>
      <c r="K35" s="688"/>
      <c r="L35" s="688"/>
      <c r="M35" s="688"/>
      <c r="N35" s="688"/>
      <c r="O35" s="688"/>
      <c r="P35" s="688"/>
    </row>
    <row r="36" spans="1:16" ht="15.05" customHeight="1" x14ac:dyDescent="0.3">
      <c r="A36" s="174" t="s">
        <v>254</v>
      </c>
      <c r="B36" s="688" t="s">
        <v>505</v>
      </c>
      <c r="C36" s="688"/>
      <c r="D36" s="688"/>
      <c r="E36" s="688"/>
      <c r="F36" s="688"/>
      <c r="G36" s="688"/>
      <c r="H36" s="688"/>
      <c r="I36" s="174"/>
      <c r="J36" s="295"/>
      <c r="K36" s="295"/>
      <c r="L36" s="295"/>
      <c r="M36" s="295"/>
      <c r="N36" s="295"/>
      <c r="O36" s="295"/>
      <c r="P36" s="295"/>
    </row>
    <row r="37" spans="1:16" ht="23.4" customHeight="1" x14ac:dyDescent="0.3">
      <c r="A37" s="197" t="s">
        <v>256</v>
      </c>
      <c r="B37" s="706" t="s">
        <v>258</v>
      </c>
      <c r="C37" s="706"/>
      <c r="D37" s="706"/>
      <c r="E37" s="706"/>
      <c r="F37" s="706"/>
      <c r="G37" s="706"/>
      <c r="H37" s="706"/>
      <c r="I37" s="706"/>
      <c r="J37" s="706"/>
      <c r="K37" s="206"/>
      <c r="L37" s="206"/>
      <c r="M37" s="206"/>
      <c r="N37" s="206"/>
      <c r="O37" s="206"/>
      <c r="P37" s="206"/>
    </row>
    <row r="38" spans="1:16" x14ac:dyDescent="0.3">
      <c r="A38" s="197" t="s">
        <v>257</v>
      </c>
      <c r="B38" s="706" t="s">
        <v>315</v>
      </c>
      <c r="C38" s="706"/>
      <c r="D38" s="706"/>
      <c r="E38" s="706"/>
      <c r="F38" s="706"/>
      <c r="G38" s="706"/>
      <c r="H38" s="706"/>
      <c r="I38" s="706"/>
      <c r="J38" s="706"/>
      <c r="K38" s="206"/>
      <c r="L38" s="206"/>
      <c r="M38" s="206"/>
      <c r="N38" s="206"/>
      <c r="O38" s="206"/>
      <c r="P38" s="206"/>
    </row>
    <row r="39" spans="1:16" x14ac:dyDescent="0.3">
      <c r="B39" s="739" t="s">
        <v>494</v>
      </c>
      <c r="C39" s="739"/>
      <c r="D39" s="739"/>
      <c r="E39" s="739"/>
      <c r="F39" s="739"/>
      <c r="G39" s="739"/>
      <c r="H39" s="739"/>
      <c r="I39" s="739"/>
    </row>
    <row r="40" spans="1:16" ht="87.9" customHeight="1" x14ac:dyDescent="0.3">
      <c r="A40" s="690" t="s">
        <v>160</v>
      </c>
      <c r="B40" s="690"/>
      <c r="C40" s="690"/>
      <c r="D40" s="690"/>
      <c r="E40" s="690"/>
      <c r="F40" s="690"/>
      <c r="G40" s="690"/>
      <c r="H40" s="690"/>
      <c r="I40" s="690"/>
      <c r="J40" s="690"/>
    </row>
  </sheetData>
  <sheetProtection algorithmName="SHA-512" hashValue="0VNTn7b6rh6tnNwze9IiWFDwP40CWa1Nsh4pOZpLc0yP/1TP/PsYl8+HqWwcOqGcwOpj242XXZtRLxcaTTqLQA==" saltValue="bXo/0T1hB0hE+W5uD3rWmw==" spinCount="100000" sheet="1" objects="1" scenarios="1"/>
  <mergeCells count="17">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 ref="B39:I39"/>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D17:H17 D21:F21 D13:H13 D14:H14 D15:H15 E11:F11 H11" formula="1"/>
    <ignoredError sqref="C12:H12"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41"/>
  <sheetViews>
    <sheetView zoomScale="85" zoomScaleNormal="85" workbookViewId="0">
      <selection activeCell="K31" sqref="K31"/>
    </sheetView>
  </sheetViews>
  <sheetFormatPr baseColWidth="10" defaultRowHeight="15.05" x14ac:dyDescent="0.3"/>
  <cols>
    <col min="2" max="2" width="45.88671875" customWidth="1"/>
    <col min="3" max="3" width="12.33203125" customWidth="1"/>
    <col min="4" max="4" width="15.77734375" customWidth="1"/>
    <col min="5" max="5" width="13.6640625" hidden="1" customWidth="1"/>
    <col min="6" max="6" width="18.6640625" customWidth="1"/>
    <col min="7" max="7" width="19.33203125" customWidth="1"/>
    <col min="8" max="8" width="17.77734375" customWidth="1"/>
    <col min="10" max="10" width="0" hidden="1" customWidth="1"/>
  </cols>
  <sheetData>
    <row r="1" spans="1:10" x14ac:dyDescent="0.3">
      <c r="A1" s="150"/>
      <c r="B1" s="150" t="str">
        <f>+AMAZONAS!C1</f>
        <v>Vigencia: 14 de Agosto de 2021; 00:00 horas</v>
      </c>
    </row>
    <row r="2" spans="1:10" ht="15.75" thickBot="1" x14ac:dyDescent="0.35">
      <c r="A2" s="177" t="s">
        <v>199</v>
      </c>
      <c r="B2" s="177"/>
      <c r="D2" s="453"/>
    </row>
    <row r="3" spans="1:10" ht="15.9" customHeight="1" thickTop="1" x14ac:dyDescent="0.3">
      <c r="A3" s="207"/>
      <c r="B3" s="208" t="s">
        <v>345</v>
      </c>
      <c r="C3" s="707" t="s">
        <v>200</v>
      </c>
      <c r="D3" s="708"/>
      <c r="E3" s="708"/>
      <c r="F3" s="709"/>
      <c r="G3" s="713" t="s">
        <v>270</v>
      </c>
      <c r="H3" s="714"/>
    </row>
    <row r="4" spans="1:10" x14ac:dyDescent="0.3">
      <c r="A4" s="152"/>
      <c r="B4" s="307" t="s">
        <v>346</v>
      </c>
      <c r="C4" s="710"/>
      <c r="D4" s="711"/>
      <c r="E4" s="711"/>
      <c r="F4" s="712"/>
      <c r="G4" s="715"/>
      <c r="H4" s="716"/>
    </row>
    <row r="5" spans="1:10" ht="38.299999999999997" customHeight="1" x14ac:dyDescent="0.3">
      <c r="A5" s="691" t="s">
        <v>201</v>
      </c>
      <c r="B5" s="693" t="s">
        <v>202</v>
      </c>
      <c r="C5" s="695" t="s">
        <v>261</v>
      </c>
      <c r="D5" s="447" t="s">
        <v>97</v>
      </c>
      <c r="E5" s="447" t="s">
        <v>191</v>
      </c>
      <c r="F5" s="447" t="str">
        <f>+'NORTE SANTANDER'!F5</f>
        <v>Biodiesel B10</v>
      </c>
      <c r="G5" s="447" t="s">
        <v>97</v>
      </c>
      <c r="H5" s="445" t="str">
        <f>+F5</f>
        <v>Biodiesel B10</v>
      </c>
    </row>
    <row r="6" spans="1:10" x14ac:dyDescent="0.3">
      <c r="A6" s="691"/>
      <c r="B6" s="693"/>
      <c r="C6" s="696"/>
      <c r="D6" s="609">
        <v>0.08</v>
      </c>
      <c r="E6" s="201">
        <v>0.02</v>
      </c>
      <c r="F6" s="184">
        <f>+'NORTE SANTANDER'!F6</f>
        <v>0.1</v>
      </c>
      <c r="G6" s="609">
        <v>0.08</v>
      </c>
      <c r="H6" s="184">
        <f>+F6</f>
        <v>0.1</v>
      </c>
    </row>
    <row r="7" spans="1:10" x14ac:dyDescent="0.3">
      <c r="A7" s="692"/>
      <c r="B7" s="694"/>
      <c r="C7" s="446" t="s">
        <v>203</v>
      </c>
      <c r="D7" s="447" t="s">
        <v>203</v>
      </c>
      <c r="E7" s="447" t="s">
        <v>203</v>
      </c>
      <c r="F7" s="447" t="s">
        <v>203</v>
      </c>
      <c r="G7" s="446" t="s">
        <v>203</v>
      </c>
      <c r="H7" s="445" t="s">
        <v>203</v>
      </c>
    </row>
    <row r="8" spans="1:10" x14ac:dyDescent="0.3">
      <c r="A8" s="155" t="s">
        <v>204</v>
      </c>
      <c r="B8" s="161" t="s">
        <v>205</v>
      </c>
      <c r="C8" s="225">
        <f>+'Calculo IP ZDF'!B38</f>
        <v>4566.0570440000001</v>
      </c>
      <c r="D8" s="231">
        <f>+'Calculo IP ZDF'!H38</f>
        <v>4907.0124804799998</v>
      </c>
      <c r="E8" s="233">
        <f>+'Calculo IP ZDF'!F38</f>
        <v>4467.6149999999998</v>
      </c>
      <c r="F8" s="232">
        <f>+'Calculo IP ZDF'!I38</f>
        <v>5462.5650758000002</v>
      </c>
      <c r="G8" s="210">
        <f>+'GAS CTE'!E9</f>
        <v>4946.4399999999996</v>
      </c>
      <c r="H8" s="235">
        <f>+BIODIESEL!G9</f>
        <v>5697.2049999999999</v>
      </c>
    </row>
    <row r="9" spans="1:10" x14ac:dyDescent="0.3">
      <c r="A9" s="155" t="s">
        <v>206</v>
      </c>
      <c r="B9" s="161" t="s">
        <v>207</v>
      </c>
      <c r="C9" s="211" t="str">
        <f t="shared" ref="C9:C13" si="0">+D9</f>
        <v>------------------</v>
      </c>
      <c r="D9" s="186" t="s">
        <v>208</v>
      </c>
      <c r="E9" s="212" t="s">
        <v>208</v>
      </c>
      <c r="F9" s="158" t="s">
        <v>208</v>
      </c>
      <c r="G9" s="210">
        <f>+'GAS CTE'!E10</f>
        <v>510.64599999999996</v>
      </c>
      <c r="H9" s="236">
        <f>+BIODIESEL!G10</f>
        <v>478.14</v>
      </c>
    </row>
    <row r="10" spans="1:10" x14ac:dyDescent="0.3">
      <c r="A10" s="155"/>
      <c r="B10" s="161" t="s">
        <v>135</v>
      </c>
      <c r="C10" s="211" t="str">
        <f>+D10</f>
        <v>------------------</v>
      </c>
      <c r="D10" s="186" t="s">
        <v>208</v>
      </c>
      <c r="E10" s="212" t="s">
        <v>208</v>
      </c>
      <c r="F10" s="158" t="s">
        <v>208</v>
      </c>
      <c r="G10" s="226" t="str">
        <f>+COMBUSTIBLES!B12</f>
        <v>(3)</v>
      </c>
      <c r="H10" s="236" t="str">
        <f>+BIODIESEL!G11</f>
        <v>(3)</v>
      </c>
    </row>
    <row r="11" spans="1:10" x14ac:dyDescent="0.3">
      <c r="A11" s="155"/>
      <c r="B11" s="161" t="s">
        <v>137</v>
      </c>
      <c r="C11" s="211" t="str">
        <f>+GUAINIA!C11</f>
        <v>(4)</v>
      </c>
      <c r="D11" s="186" t="str">
        <f>+C11</f>
        <v>(4)</v>
      </c>
      <c r="E11" s="212" t="str">
        <f>+C11</f>
        <v>(4)</v>
      </c>
      <c r="F11" s="158" t="str">
        <f>+C11</f>
        <v>(4)</v>
      </c>
      <c r="G11" s="210" t="str">
        <f>+D11</f>
        <v>(4)</v>
      </c>
      <c r="H11" s="232" t="str">
        <f>+F11</f>
        <v>(4)</v>
      </c>
    </row>
    <row r="12" spans="1:10" x14ac:dyDescent="0.3">
      <c r="A12" s="155" t="s">
        <v>209</v>
      </c>
      <c r="B12" s="161" t="s">
        <v>291</v>
      </c>
      <c r="C12" s="211" t="str">
        <f t="shared" si="0"/>
        <v>(2)</v>
      </c>
      <c r="D12" s="185" t="s">
        <v>237</v>
      </c>
      <c r="E12" s="159" t="s">
        <v>237</v>
      </c>
      <c r="F12" s="158" t="s">
        <v>237</v>
      </c>
      <c r="G12" s="210" t="str">
        <f>+F12</f>
        <v>(2)</v>
      </c>
      <c r="H12" s="235" t="s">
        <v>237</v>
      </c>
    </row>
    <row r="13" spans="1:10" x14ac:dyDescent="0.3">
      <c r="A13" s="155" t="s">
        <v>272</v>
      </c>
      <c r="B13" s="161" t="s">
        <v>462</v>
      </c>
      <c r="C13" s="211" t="str">
        <f t="shared" si="0"/>
        <v>N.A.</v>
      </c>
      <c r="D13" s="185" t="s">
        <v>274</v>
      </c>
      <c r="E13" s="212" t="s">
        <v>238</v>
      </c>
      <c r="F13" s="160" t="str">
        <f>+E13</f>
        <v>(4)</v>
      </c>
      <c r="G13" s="210" t="s">
        <v>274</v>
      </c>
      <c r="H13" s="232" t="str">
        <f>+F13</f>
        <v>(4)</v>
      </c>
    </row>
    <row r="14" spans="1:10" x14ac:dyDescent="0.3">
      <c r="A14" s="155" t="s">
        <v>211</v>
      </c>
      <c r="B14" s="161" t="s">
        <v>212</v>
      </c>
      <c r="C14" s="211">
        <f>+RUBROS!Z19</f>
        <v>22.249601678692599</v>
      </c>
      <c r="D14" s="185">
        <f>+C14</f>
        <v>22.249601678692599</v>
      </c>
      <c r="E14" s="159">
        <f>+C14</f>
        <v>22.249601678692599</v>
      </c>
      <c r="F14" s="158">
        <f>+C14</f>
        <v>22.249601678692599</v>
      </c>
      <c r="G14" s="210">
        <f>+C14</f>
        <v>22.249601678692599</v>
      </c>
      <c r="H14" s="235">
        <f>+G14</f>
        <v>22.249601678692599</v>
      </c>
      <c r="J14" s="474" t="s">
        <v>456</v>
      </c>
    </row>
    <row r="15" spans="1:10" x14ac:dyDescent="0.3">
      <c r="A15" s="155" t="s">
        <v>215</v>
      </c>
      <c r="B15" s="230" t="s">
        <v>216</v>
      </c>
      <c r="C15" s="211">
        <f>+RUBROS!AP41</f>
        <v>12.938273064269636</v>
      </c>
      <c r="D15" s="185">
        <f>+C15</f>
        <v>12.938273064269636</v>
      </c>
      <c r="E15" s="213">
        <f>+C15</f>
        <v>12.938273064269636</v>
      </c>
      <c r="F15" s="158">
        <f>+C15</f>
        <v>12.938273064269636</v>
      </c>
      <c r="G15" s="210">
        <f>+C15</f>
        <v>12.938273064269636</v>
      </c>
      <c r="H15" s="235">
        <f>+C15</f>
        <v>12.938273064269636</v>
      </c>
      <c r="J15" s="474" t="s">
        <v>456</v>
      </c>
    </row>
    <row r="16" spans="1:10" hidden="1" x14ac:dyDescent="0.3">
      <c r="A16" s="155"/>
      <c r="B16" s="161" t="s">
        <v>217</v>
      </c>
      <c r="C16" s="211"/>
      <c r="D16" s="352"/>
      <c r="E16" s="215"/>
      <c r="F16" s="158"/>
      <c r="G16" s="210"/>
      <c r="H16" s="237"/>
    </row>
    <row r="17" spans="1:16" x14ac:dyDescent="0.3">
      <c r="A17" s="162" t="s">
        <v>218</v>
      </c>
      <c r="B17" s="192" t="s">
        <v>219</v>
      </c>
      <c r="C17" s="216">
        <f>SUM(C8:C16)</f>
        <v>4601.244918742962</v>
      </c>
      <c r="D17" s="353">
        <f t="shared" ref="D17:H17" si="1">SUM(D8:D16)</f>
        <v>4942.2003552229617</v>
      </c>
      <c r="E17" s="217">
        <f t="shared" si="1"/>
        <v>4502.8028747429616</v>
      </c>
      <c r="F17" s="218">
        <f t="shared" si="1"/>
        <v>5497.752950542962</v>
      </c>
      <c r="G17" s="219">
        <f t="shared" si="1"/>
        <v>5492.2738747429612</v>
      </c>
      <c r="H17" s="238">
        <f t="shared" si="1"/>
        <v>6210.5328747429621</v>
      </c>
    </row>
    <row r="18" spans="1:16" x14ac:dyDescent="0.3">
      <c r="A18" s="155" t="s">
        <v>220</v>
      </c>
      <c r="B18" s="161" t="s">
        <v>221</v>
      </c>
      <c r="C18" s="211" t="s">
        <v>252</v>
      </c>
      <c r="D18" s="354" t="str">
        <f>+C18</f>
        <v>***</v>
      </c>
      <c r="E18" s="220" t="str">
        <f>+C18</f>
        <v>***</v>
      </c>
      <c r="F18" s="158" t="str">
        <f>+C18</f>
        <v>***</v>
      </c>
      <c r="G18" s="213" t="str">
        <f>+H18</f>
        <v>***</v>
      </c>
      <c r="H18" s="239" t="s">
        <v>252</v>
      </c>
    </row>
    <row r="19" spans="1:16" x14ac:dyDescent="0.3">
      <c r="A19" s="155" t="s">
        <v>222</v>
      </c>
      <c r="B19" s="161" t="s">
        <v>223</v>
      </c>
      <c r="C19" s="211" t="str">
        <f>+D19</f>
        <v>**</v>
      </c>
      <c r="D19" s="191" t="s">
        <v>250</v>
      </c>
      <c r="E19" s="221" t="s">
        <v>250</v>
      </c>
      <c r="F19" s="158" t="s">
        <v>250</v>
      </c>
      <c r="G19" s="213" t="str">
        <f>+H19</f>
        <v>**</v>
      </c>
      <c r="H19" s="232" t="s">
        <v>250</v>
      </c>
    </row>
    <row r="20" spans="1:16" x14ac:dyDescent="0.3">
      <c r="A20" s="155" t="s">
        <v>224</v>
      </c>
      <c r="B20" s="161" t="s">
        <v>225</v>
      </c>
      <c r="C20" s="211" t="str">
        <f>+D20</f>
        <v>****</v>
      </c>
      <c r="D20" s="185" t="s">
        <v>254</v>
      </c>
      <c r="E20" s="159" t="str">
        <f>+D20</f>
        <v>****</v>
      </c>
      <c r="F20" s="158" t="str">
        <f>+E20</f>
        <v>****</v>
      </c>
      <c r="G20" s="213" t="str">
        <f>+F20</f>
        <v>****</v>
      </c>
      <c r="H20" s="235" t="str">
        <f>+F20</f>
        <v>****</v>
      </c>
    </row>
    <row r="21" spans="1:16" x14ac:dyDescent="0.3">
      <c r="A21" s="162" t="s">
        <v>226</v>
      </c>
      <c r="B21" s="192" t="s">
        <v>227</v>
      </c>
      <c r="C21" s="216">
        <f t="shared" ref="C21:H21" si="2">+C17</f>
        <v>4601.244918742962</v>
      </c>
      <c r="D21" s="355">
        <f t="shared" si="2"/>
        <v>4942.2003552229617</v>
      </c>
      <c r="E21" s="216">
        <f t="shared" si="2"/>
        <v>4502.8028747429616</v>
      </c>
      <c r="F21" s="234">
        <f t="shared" si="2"/>
        <v>5497.752950542962</v>
      </c>
      <c r="G21" s="216">
        <f t="shared" si="2"/>
        <v>5492.2738747429612</v>
      </c>
      <c r="H21" s="234">
        <f t="shared" si="2"/>
        <v>6210.5328747429621</v>
      </c>
    </row>
    <row r="22" spans="1:16" x14ac:dyDescent="0.3">
      <c r="A22" s="155" t="s">
        <v>228</v>
      </c>
      <c r="B22" s="161" t="s">
        <v>173</v>
      </c>
      <c r="C22" s="211" t="s">
        <v>252</v>
      </c>
      <c r="D22" s="185" t="str">
        <f>+C22</f>
        <v>***</v>
      </c>
      <c r="E22" s="159" t="str">
        <f>+D22</f>
        <v>***</v>
      </c>
      <c r="F22" s="158" t="str">
        <f>+E22</f>
        <v>***</v>
      </c>
      <c r="G22" s="213" t="str">
        <f>+H22</f>
        <v>***</v>
      </c>
      <c r="H22" s="235" t="s">
        <v>252</v>
      </c>
    </row>
    <row r="23" spans="1:16" x14ac:dyDescent="0.3">
      <c r="A23" s="155" t="s">
        <v>229</v>
      </c>
      <c r="B23" s="156" t="s">
        <v>230</v>
      </c>
      <c r="C23" s="211" t="str">
        <f>+D23</f>
        <v>*****</v>
      </c>
      <c r="D23" s="185" t="s">
        <v>256</v>
      </c>
      <c r="E23" s="159" t="s">
        <v>274</v>
      </c>
      <c r="F23" s="158" t="s">
        <v>231</v>
      </c>
      <c r="G23" s="213" t="str">
        <f>+D23</f>
        <v>*****</v>
      </c>
      <c r="H23" s="235" t="s">
        <v>275</v>
      </c>
    </row>
    <row r="24" spans="1:16" x14ac:dyDescent="0.3">
      <c r="A24" s="155" t="s">
        <v>232</v>
      </c>
      <c r="B24" s="161" t="s">
        <v>233</v>
      </c>
      <c r="C24" s="211" t="str">
        <f>+D24</f>
        <v>******</v>
      </c>
      <c r="D24" s="191" t="s">
        <v>257</v>
      </c>
      <c r="E24" s="221" t="str">
        <f>+D24</f>
        <v>******</v>
      </c>
      <c r="F24" s="160" t="str">
        <f>+E24</f>
        <v>******</v>
      </c>
      <c r="G24" s="213" t="str">
        <f>+F24</f>
        <v>******</v>
      </c>
      <c r="H24" s="232" t="str">
        <f>+G24</f>
        <v>******</v>
      </c>
    </row>
    <row r="25" spans="1:16" ht="15.75" thickBot="1" x14ac:dyDescent="0.35">
      <c r="A25" s="166" t="s">
        <v>234</v>
      </c>
      <c r="B25" s="167" t="s">
        <v>235</v>
      </c>
      <c r="C25" s="222"/>
      <c r="D25" s="170"/>
      <c r="E25" s="223"/>
      <c r="F25" s="169"/>
      <c r="G25" s="223"/>
      <c r="H25" s="240"/>
    </row>
    <row r="26" spans="1:16" ht="15.75" thickTop="1" x14ac:dyDescent="0.3"/>
    <row r="27" spans="1:16" x14ac:dyDescent="0.3">
      <c r="A27" s="174"/>
      <c r="B27" s="286" t="s">
        <v>248</v>
      </c>
      <c r="C27" s="227"/>
      <c r="D27" s="227"/>
      <c r="E27" s="227"/>
      <c r="F27" s="227"/>
      <c r="G27" s="206"/>
      <c r="H27" s="206"/>
      <c r="I27" s="206"/>
      <c r="J27" s="206"/>
      <c r="K27" s="206"/>
      <c r="L27" s="206"/>
      <c r="M27" s="206"/>
      <c r="N27" s="206"/>
      <c r="O27" s="206"/>
      <c r="P27" s="206"/>
    </row>
    <row r="28" spans="1:16" x14ac:dyDescent="0.3">
      <c r="A28" s="174"/>
      <c r="B28" s="196"/>
      <c r="C28" s="227"/>
      <c r="D28" s="227"/>
      <c r="E28" s="227"/>
      <c r="F28" s="227"/>
      <c r="G28" s="206"/>
      <c r="H28" s="206"/>
      <c r="I28" s="206"/>
      <c r="J28" s="206"/>
      <c r="K28" s="206"/>
      <c r="L28" s="206"/>
      <c r="M28" s="206"/>
      <c r="N28" s="206"/>
      <c r="O28" s="206"/>
      <c r="P28" s="206"/>
    </row>
    <row r="29" spans="1:16" ht="15.05" customHeight="1" x14ac:dyDescent="0.3">
      <c r="A29" s="174" t="s">
        <v>210</v>
      </c>
      <c r="B29" s="706" t="str">
        <f>+'NORTE SANTANDER'!B29:J29</f>
        <v>De acuerdo con lo establecido en la Resolución MME 91349 de 2014</v>
      </c>
      <c r="C29" s="706"/>
      <c r="D29" s="706"/>
      <c r="E29" s="706"/>
      <c r="F29" s="706"/>
      <c r="G29" s="706"/>
      <c r="H29" s="706"/>
      <c r="I29" s="706"/>
      <c r="J29" s="706"/>
      <c r="K29" s="228"/>
      <c r="L29" s="228"/>
      <c r="M29" s="228"/>
      <c r="N29" s="228"/>
      <c r="O29" s="228"/>
      <c r="P29" s="228"/>
    </row>
    <row r="30" spans="1:16" ht="27.2" customHeight="1" x14ac:dyDescent="0.3">
      <c r="A30" s="174" t="s">
        <v>237</v>
      </c>
      <c r="B30" s="689" t="s">
        <v>292</v>
      </c>
      <c r="C30" s="689"/>
      <c r="D30" s="689"/>
      <c r="E30" s="689"/>
      <c r="F30" s="689"/>
      <c r="G30" s="689"/>
      <c r="H30" s="689"/>
      <c r="I30" s="689"/>
      <c r="J30" s="689"/>
      <c r="K30" s="206"/>
      <c r="L30" s="206"/>
      <c r="M30" s="206"/>
      <c r="N30" s="206"/>
      <c r="O30" s="206"/>
      <c r="P30" s="206"/>
    </row>
    <row r="31" spans="1:16" ht="65.3" customHeight="1" x14ac:dyDescent="0.3">
      <c r="A31" s="174" t="s">
        <v>136</v>
      </c>
      <c r="B31" s="706" t="s">
        <v>357</v>
      </c>
      <c r="C31" s="706"/>
      <c r="D31" s="706"/>
      <c r="E31" s="706"/>
      <c r="F31" s="706"/>
      <c r="G31" s="706"/>
      <c r="H31" s="706"/>
      <c r="I31" s="706"/>
      <c r="J31" s="706"/>
      <c r="K31" s="206"/>
      <c r="L31" s="206"/>
      <c r="M31" s="206"/>
      <c r="N31" s="206"/>
      <c r="O31" s="206"/>
      <c r="P31" s="206"/>
    </row>
    <row r="32" spans="1:16" ht="65.3" customHeight="1" x14ac:dyDescent="0.3">
      <c r="A32" s="174" t="s">
        <v>238</v>
      </c>
      <c r="B32" s="705" t="s">
        <v>436</v>
      </c>
      <c r="C32" s="705"/>
      <c r="D32" s="705"/>
      <c r="E32" s="705"/>
      <c r="F32" s="705"/>
      <c r="G32" s="705"/>
      <c r="H32" s="705"/>
      <c r="I32" s="705"/>
      <c r="J32" s="705"/>
      <c r="K32" s="206"/>
      <c r="L32" s="206"/>
      <c r="M32" s="206"/>
      <c r="N32" s="206"/>
      <c r="O32" s="206"/>
      <c r="P32" s="206"/>
    </row>
    <row r="33" spans="1:16" x14ac:dyDescent="0.3">
      <c r="A33" s="174"/>
      <c r="B33" s="196"/>
      <c r="C33" s="227"/>
      <c r="D33" s="227"/>
      <c r="E33" s="227"/>
      <c r="F33" s="227"/>
      <c r="G33" s="206"/>
      <c r="H33" s="206"/>
      <c r="I33" s="206"/>
      <c r="J33" s="206"/>
      <c r="K33" s="206"/>
      <c r="L33" s="206"/>
      <c r="M33" s="206"/>
      <c r="N33" s="206"/>
      <c r="O33" s="206"/>
      <c r="P33" s="206"/>
    </row>
    <row r="34" spans="1:16" ht="15.05" customHeight="1" x14ac:dyDescent="0.3">
      <c r="A34" s="197" t="s">
        <v>103</v>
      </c>
      <c r="B34" s="688" t="s">
        <v>249</v>
      </c>
      <c r="C34" s="688"/>
      <c r="D34" s="688"/>
      <c r="E34" s="688"/>
      <c r="F34" s="688"/>
      <c r="G34" s="688"/>
      <c r="H34" s="688"/>
      <c r="I34" s="688"/>
      <c r="J34" s="688"/>
      <c r="K34" s="206"/>
      <c r="L34" s="206"/>
      <c r="M34" s="206"/>
      <c r="N34" s="206"/>
      <c r="O34" s="206"/>
      <c r="P34" s="206"/>
    </row>
    <row r="35" spans="1:16" ht="15.05" customHeight="1" x14ac:dyDescent="0.3">
      <c r="A35" s="197" t="s">
        <v>250</v>
      </c>
      <c r="B35" s="706" t="s">
        <v>347</v>
      </c>
      <c r="C35" s="706"/>
      <c r="D35" s="706"/>
      <c r="E35" s="706"/>
      <c r="F35" s="706"/>
      <c r="G35" s="706"/>
      <c r="H35" s="706"/>
      <c r="I35" s="706"/>
      <c r="J35" s="706"/>
      <c r="K35" s="206"/>
      <c r="L35" s="206"/>
      <c r="M35" s="206"/>
      <c r="N35" s="206"/>
      <c r="O35" s="206"/>
      <c r="P35" s="206"/>
    </row>
    <row r="36" spans="1:16" ht="15.05" customHeight="1" x14ac:dyDescent="0.3">
      <c r="A36" s="174" t="s">
        <v>252</v>
      </c>
      <c r="B36" s="706" t="s">
        <v>253</v>
      </c>
      <c r="C36" s="706"/>
      <c r="D36" s="706"/>
      <c r="E36" s="706"/>
      <c r="F36" s="706"/>
      <c r="G36" s="706"/>
      <c r="H36" s="706"/>
      <c r="I36" s="174"/>
      <c r="J36" s="688"/>
      <c r="K36" s="688"/>
      <c r="L36" s="688"/>
      <c r="M36" s="688"/>
      <c r="N36" s="688"/>
      <c r="O36" s="688"/>
      <c r="P36" s="688"/>
    </row>
    <row r="37" spans="1:16" ht="15.05" customHeight="1" x14ac:dyDescent="0.3">
      <c r="A37" s="174" t="s">
        <v>254</v>
      </c>
      <c r="B37" s="688" t="s">
        <v>505</v>
      </c>
      <c r="C37" s="688"/>
      <c r="D37" s="688"/>
      <c r="E37" s="688"/>
      <c r="F37" s="688"/>
      <c r="G37" s="688"/>
      <c r="H37" s="688"/>
      <c r="I37" s="174"/>
      <c r="J37" s="444"/>
      <c r="K37" s="444"/>
      <c r="L37" s="444"/>
      <c r="M37" s="444"/>
      <c r="N37" s="444"/>
      <c r="O37" s="444"/>
      <c r="P37" s="444"/>
    </row>
    <row r="38" spans="1:16" ht="24.05" customHeight="1" x14ac:dyDescent="0.3">
      <c r="A38" s="197" t="s">
        <v>256</v>
      </c>
      <c r="B38" s="706" t="s">
        <v>258</v>
      </c>
      <c r="C38" s="706"/>
      <c r="D38" s="706"/>
      <c r="E38" s="706"/>
      <c r="F38" s="706"/>
      <c r="G38" s="706"/>
      <c r="H38" s="706"/>
      <c r="I38" s="706"/>
      <c r="J38" s="706"/>
      <c r="K38" s="206"/>
      <c r="L38" s="206"/>
      <c r="M38" s="206"/>
      <c r="N38" s="206"/>
      <c r="O38" s="206"/>
      <c r="P38" s="206"/>
    </row>
    <row r="39" spans="1:16" x14ac:dyDescent="0.3">
      <c r="A39" s="197" t="s">
        <v>257</v>
      </c>
      <c r="B39" s="706" t="s">
        <v>299</v>
      </c>
      <c r="C39" s="706"/>
      <c r="D39" s="706"/>
      <c r="E39" s="706"/>
      <c r="F39" s="706"/>
      <c r="G39" s="706"/>
      <c r="H39" s="706"/>
      <c r="I39" s="706"/>
      <c r="J39" s="706"/>
      <c r="K39" s="206"/>
      <c r="L39" s="206"/>
      <c r="M39" s="206"/>
      <c r="N39" s="206"/>
      <c r="O39" s="206"/>
      <c r="P39" s="206"/>
    </row>
    <row r="41" spans="1:16" ht="87.9" customHeight="1" x14ac:dyDescent="0.3">
      <c r="A41" s="690" t="s">
        <v>160</v>
      </c>
      <c r="B41" s="690"/>
      <c r="C41" s="690"/>
      <c r="D41" s="690"/>
      <c r="E41" s="690"/>
      <c r="F41" s="690"/>
      <c r="G41" s="690"/>
      <c r="H41" s="690"/>
      <c r="I41" s="690"/>
      <c r="J41" s="690"/>
    </row>
  </sheetData>
  <sheetProtection algorithmName="SHA-512" hashValue="Kr60LIsgXaPzCku0epbxj3EMFmmCzGUzHkLVGVpHadCzlDerhUwBtnqod8YW1hkz+U7LIqUdYs68XfjLTJm3OQ==" saltValue="eFrL13qbdNss0LcJEukAKA==" spinCount="100000"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xr:uid="{00000000-0004-0000-13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rgb="FFFFFF00"/>
  </sheetPr>
  <dimension ref="A1:P41"/>
  <sheetViews>
    <sheetView zoomScale="90" zoomScaleNormal="90" workbookViewId="0">
      <selection activeCell="H13" sqref="H13"/>
    </sheetView>
  </sheetViews>
  <sheetFormatPr baseColWidth="10" defaultRowHeight="15.05" x14ac:dyDescent="0.3"/>
  <cols>
    <col min="2" max="2" width="47.33203125" customWidth="1"/>
    <col min="3" max="3" width="12.33203125" customWidth="1"/>
    <col min="4" max="4" width="15.77734375" customWidth="1"/>
    <col min="5" max="5" width="13.6640625" customWidth="1"/>
    <col min="6" max="6" width="16.109375" hidden="1" customWidth="1"/>
    <col min="7" max="7" width="19.88671875" customWidth="1"/>
    <col min="8" max="8" width="14.77734375" customWidth="1"/>
    <col min="10" max="10" width="0" hidden="1" customWidth="1"/>
  </cols>
  <sheetData>
    <row r="1" spans="1:10" x14ac:dyDescent="0.3">
      <c r="A1" s="150"/>
      <c r="B1" s="150" t="str">
        <f>+AMAZONAS!C1</f>
        <v>Vigencia: 14 de Agosto de 2021; 00:00 horas</v>
      </c>
    </row>
    <row r="2" spans="1:10" ht="15.75" thickBot="1" x14ac:dyDescent="0.35">
      <c r="A2" s="177" t="s">
        <v>199</v>
      </c>
      <c r="B2" s="177"/>
      <c r="D2" s="510"/>
      <c r="I2" s="555"/>
    </row>
    <row r="3" spans="1:10" ht="15.9" customHeight="1" thickTop="1" x14ac:dyDescent="0.3">
      <c r="A3" s="207"/>
      <c r="B3" s="208" t="s">
        <v>316</v>
      </c>
      <c r="C3" s="707" t="s">
        <v>200</v>
      </c>
      <c r="D3" s="708"/>
      <c r="E3" s="708"/>
      <c r="F3" s="709"/>
      <c r="G3" s="713" t="s">
        <v>270</v>
      </c>
      <c r="H3" s="714"/>
    </row>
    <row r="4" spans="1:10" x14ac:dyDescent="0.3">
      <c r="A4" s="152"/>
      <c r="B4" s="209" t="s">
        <v>317</v>
      </c>
      <c r="C4" s="710"/>
      <c r="D4" s="711"/>
      <c r="E4" s="711"/>
      <c r="F4" s="712"/>
      <c r="G4" s="715"/>
      <c r="H4" s="716"/>
    </row>
    <row r="5" spans="1:10" ht="38.299999999999997" customHeight="1" x14ac:dyDescent="0.3">
      <c r="A5" s="691" t="s">
        <v>201</v>
      </c>
      <c r="B5" s="693" t="s">
        <v>202</v>
      </c>
      <c r="C5" s="695" t="s">
        <v>261</v>
      </c>
      <c r="D5" s="183" t="s">
        <v>97</v>
      </c>
      <c r="E5" s="183" t="s">
        <v>191</v>
      </c>
      <c r="F5" s="183" t="e">
        <f>+#REF!</f>
        <v>#REF!</v>
      </c>
      <c r="G5" s="183" t="s">
        <v>97</v>
      </c>
      <c r="H5" s="297" t="str">
        <f>+E5</f>
        <v xml:space="preserve">Biodiesel B2 con destino a mezcla </v>
      </c>
    </row>
    <row r="6" spans="1:10" x14ac:dyDescent="0.3">
      <c r="A6" s="691"/>
      <c r="B6" s="693"/>
      <c r="C6" s="696"/>
      <c r="D6" s="612">
        <v>0.08</v>
      </c>
      <c r="E6" s="201">
        <v>0.02</v>
      </c>
      <c r="F6" s="419" t="e">
        <f>+#REF!</f>
        <v>#REF!</v>
      </c>
      <c r="G6" s="612">
        <v>0.08</v>
      </c>
      <c r="H6" s="184">
        <f>+E6</f>
        <v>0.02</v>
      </c>
    </row>
    <row r="7" spans="1:10" x14ac:dyDescent="0.3">
      <c r="A7" s="692"/>
      <c r="B7" s="694"/>
      <c r="C7" s="153" t="s">
        <v>203</v>
      </c>
      <c r="D7" s="183" t="s">
        <v>203</v>
      </c>
      <c r="E7" s="183" t="s">
        <v>203</v>
      </c>
      <c r="F7" s="183" t="s">
        <v>203</v>
      </c>
      <c r="G7" s="153" t="s">
        <v>203</v>
      </c>
      <c r="H7" s="297" t="s">
        <v>203</v>
      </c>
    </row>
    <row r="8" spans="1:10" x14ac:dyDescent="0.3">
      <c r="A8" s="155" t="s">
        <v>204</v>
      </c>
      <c r="B8" s="161" t="s">
        <v>205</v>
      </c>
      <c r="C8" s="225">
        <f>+'Calculo IP ZDF'!B39</f>
        <v>4608.92</v>
      </c>
      <c r="D8" s="231">
        <f>+'Calculo IP ZDF'!B39</f>
        <v>4608.92</v>
      </c>
      <c r="E8" s="233">
        <f>+'Calculo IP ZDF'!F39</f>
        <v>4385.5249999999996</v>
      </c>
      <c r="F8" s="232">
        <f>+'Calculo IP ZDF'!I39</f>
        <v>5387.1735761</v>
      </c>
      <c r="G8" s="210">
        <f>+'GAS CTE'!C6</f>
        <v>4608.92</v>
      </c>
      <c r="H8" s="235">
        <f>+BIODIESEL!E9</f>
        <v>4723.12</v>
      </c>
    </row>
    <row r="9" spans="1:10" x14ac:dyDescent="0.3">
      <c r="A9" s="155" t="s">
        <v>206</v>
      </c>
      <c r="B9" s="161" t="s">
        <v>207</v>
      </c>
      <c r="C9" s="211" t="str">
        <f t="shared" ref="C9:C12" si="0">+D9</f>
        <v>------------------</v>
      </c>
      <c r="D9" s="212" t="s">
        <v>208</v>
      </c>
      <c r="E9" s="212" t="s">
        <v>208</v>
      </c>
      <c r="F9" s="158" t="s">
        <v>208</v>
      </c>
      <c r="G9" s="210">
        <f>+'GAS CTE'!C10</f>
        <v>555.04999999999995</v>
      </c>
      <c r="H9" s="236">
        <f>+BIODIESEL!E10</f>
        <v>520.64</v>
      </c>
    </row>
    <row r="10" spans="1:10" x14ac:dyDescent="0.3">
      <c r="A10" s="155"/>
      <c r="B10" s="161" t="s">
        <v>135</v>
      </c>
      <c r="C10" s="211" t="str">
        <f>+D10</f>
        <v>------------------</v>
      </c>
      <c r="D10" s="212" t="s">
        <v>208</v>
      </c>
      <c r="E10" s="212" t="s">
        <v>208</v>
      </c>
      <c r="F10" s="158" t="s">
        <v>208</v>
      </c>
      <c r="G10" s="226" t="str">
        <f>+COMBUSTIBLES!B12</f>
        <v>(3)</v>
      </c>
      <c r="H10" s="236" t="str">
        <f>+BIODIESEL!G11</f>
        <v>(3)</v>
      </c>
    </row>
    <row r="11" spans="1:10" x14ac:dyDescent="0.3">
      <c r="A11" s="155"/>
      <c r="B11" s="161" t="s">
        <v>137</v>
      </c>
      <c r="C11" s="211" t="str">
        <f>+PUTUMAYO!C11</f>
        <v>(4)</v>
      </c>
      <c r="D11" s="212" t="str">
        <f>+C11</f>
        <v>(4)</v>
      </c>
      <c r="E11" s="212" t="str">
        <f>+C11</f>
        <v>(4)</v>
      </c>
      <c r="F11" s="158" t="str">
        <f>+C11</f>
        <v>(4)</v>
      </c>
      <c r="G11" s="210" t="str">
        <f>+C11</f>
        <v>(4)</v>
      </c>
      <c r="H11" s="232" t="str">
        <f>+C11</f>
        <v>(4)</v>
      </c>
    </row>
    <row r="12" spans="1:10" x14ac:dyDescent="0.3">
      <c r="A12" s="155" t="s">
        <v>209</v>
      </c>
      <c r="B12" s="161" t="s">
        <v>314</v>
      </c>
      <c r="C12" s="211" t="str">
        <f t="shared" si="0"/>
        <v>(2)</v>
      </c>
      <c r="D12" s="159" t="s">
        <v>237</v>
      </c>
      <c r="E12" s="159" t="s">
        <v>237</v>
      </c>
      <c r="F12" s="158" t="s">
        <v>237</v>
      </c>
      <c r="G12" s="210" t="str">
        <f>+F12</f>
        <v>(2)</v>
      </c>
      <c r="H12" s="235" t="s">
        <v>237</v>
      </c>
    </row>
    <row r="13" spans="1:10" x14ac:dyDescent="0.3">
      <c r="A13" s="155" t="s">
        <v>211</v>
      </c>
      <c r="B13" s="161" t="s">
        <v>212</v>
      </c>
      <c r="C13" s="211">
        <f>+RUBROS!Z19</f>
        <v>22.249601678692599</v>
      </c>
      <c r="D13" s="159">
        <f>+C13</f>
        <v>22.249601678692599</v>
      </c>
      <c r="E13" s="159">
        <f>+D13</f>
        <v>22.249601678692599</v>
      </c>
      <c r="F13" s="158">
        <f>+E13</f>
        <v>22.249601678692599</v>
      </c>
      <c r="G13" s="210">
        <f>+C13</f>
        <v>22.249601678692599</v>
      </c>
      <c r="H13" s="235">
        <f>+G13</f>
        <v>22.249601678692599</v>
      </c>
    </row>
    <row r="14" spans="1:10" x14ac:dyDescent="0.3">
      <c r="A14" s="155" t="s">
        <v>215</v>
      </c>
      <c r="B14" s="230" t="s">
        <v>216</v>
      </c>
      <c r="C14" s="211">
        <f>+RUBROS!AP41</f>
        <v>12.938273064269636</v>
      </c>
      <c r="D14" s="159">
        <f>+C14</f>
        <v>12.938273064269636</v>
      </c>
      <c r="E14" s="213">
        <f>+C14</f>
        <v>12.938273064269636</v>
      </c>
      <c r="F14" s="158">
        <f>+C14</f>
        <v>12.938273064269636</v>
      </c>
      <c r="G14" s="210">
        <f>+C14</f>
        <v>12.938273064269636</v>
      </c>
      <c r="H14" s="235">
        <f>+C14</f>
        <v>12.938273064269636</v>
      </c>
      <c r="J14" s="474" t="s">
        <v>456</v>
      </c>
    </row>
    <row r="15" spans="1:10" hidden="1" x14ac:dyDescent="0.3">
      <c r="A15" s="155"/>
      <c r="B15" s="161" t="s">
        <v>217</v>
      </c>
      <c r="C15" s="211"/>
      <c r="D15" s="214"/>
      <c r="E15" s="215"/>
      <c r="F15" s="158"/>
      <c r="G15" s="210"/>
      <c r="H15" s="237"/>
    </row>
    <row r="16" spans="1:10" x14ac:dyDescent="0.3">
      <c r="A16" s="162" t="s">
        <v>218</v>
      </c>
      <c r="B16" s="192" t="s">
        <v>219</v>
      </c>
      <c r="C16" s="216">
        <f>SUM(C8:C15)</f>
        <v>4644.1078747429619</v>
      </c>
      <c r="D16" s="217">
        <f t="shared" ref="D16:H16" si="1">SUM(D8:D15)</f>
        <v>4644.1078747429619</v>
      </c>
      <c r="E16" s="217">
        <f t="shared" si="1"/>
        <v>4420.7128747429615</v>
      </c>
      <c r="F16" s="218">
        <f t="shared" si="1"/>
        <v>5422.3614508429619</v>
      </c>
      <c r="G16" s="219">
        <f t="shared" si="1"/>
        <v>5199.1578747429621</v>
      </c>
      <c r="H16" s="238">
        <f t="shared" si="1"/>
        <v>5278.9478747429621</v>
      </c>
    </row>
    <row r="17" spans="1:16" x14ac:dyDescent="0.3">
      <c r="A17" s="155" t="s">
        <v>220</v>
      </c>
      <c r="B17" s="161" t="s">
        <v>221</v>
      </c>
      <c r="C17" s="211" t="s">
        <v>252</v>
      </c>
      <c r="D17" s="220" t="str">
        <f>+C17</f>
        <v>***</v>
      </c>
      <c r="E17" s="220" t="str">
        <f>+C17</f>
        <v>***</v>
      </c>
      <c r="F17" s="158" t="str">
        <f>+C17</f>
        <v>***</v>
      </c>
      <c r="G17" s="213" t="str">
        <f>+H17</f>
        <v>***</v>
      </c>
      <c r="H17" s="239" t="s">
        <v>252</v>
      </c>
    </row>
    <row r="18" spans="1:16" x14ac:dyDescent="0.3">
      <c r="A18" s="155" t="s">
        <v>222</v>
      </c>
      <c r="B18" s="161" t="s">
        <v>223</v>
      </c>
      <c r="C18" s="211" t="str">
        <f>+D18</f>
        <v>**</v>
      </c>
      <c r="D18" s="221" t="s">
        <v>250</v>
      </c>
      <c r="E18" s="221" t="s">
        <v>250</v>
      </c>
      <c r="F18" s="158" t="s">
        <v>250</v>
      </c>
      <c r="G18" s="213" t="str">
        <f>+H18</f>
        <v>**</v>
      </c>
      <c r="H18" s="232" t="s">
        <v>250</v>
      </c>
      <c r="L18" s="19"/>
    </row>
    <row r="19" spans="1:16" x14ac:dyDescent="0.3">
      <c r="A19" s="155" t="s">
        <v>224</v>
      </c>
      <c r="B19" s="161" t="s">
        <v>225</v>
      </c>
      <c r="C19" s="211" t="str">
        <f>+D19</f>
        <v>****</v>
      </c>
      <c r="D19" s="159" t="s">
        <v>254</v>
      </c>
      <c r="E19" s="159" t="str">
        <f>+D19</f>
        <v>****</v>
      </c>
      <c r="F19" s="158" t="str">
        <f>+E19</f>
        <v>****</v>
      </c>
      <c r="G19" s="213" t="str">
        <f>+F19</f>
        <v>****</v>
      </c>
      <c r="H19" s="235" t="str">
        <f>+F19</f>
        <v>****</v>
      </c>
    </row>
    <row r="20" spans="1:16" x14ac:dyDescent="0.3">
      <c r="A20" s="162" t="s">
        <v>226</v>
      </c>
      <c r="B20" s="192" t="s">
        <v>227</v>
      </c>
      <c r="C20" s="216">
        <f t="shared" ref="C20:H20" si="2">+C16</f>
        <v>4644.1078747429619</v>
      </c>
      <c r="D20" s="216">
        <f t="shared" si="2"/>
        <v>4644.1078747429619</v>
      </c>
      <c r="E20" s="216">
        <f t="shared" si="2"/>
        <v>4420.7128747429615</v>
      </c>
      <c r="F20" s="234">
        <f t="shared" si="2"/>
        <v>5422.3614508429619</v>
      </c>
      <c r="G20" s="216">
        <f t="shared" si="2"/>
        <v>5199.1578747429621</v>
      </c>
      <c r="H20" s="234">
        <f t="shared" si="2"/>
        <v>5278.9478747429621</v>
      </c>
      <c r="M20" s="19"/>
    </row>
    <row r="21" spans="1:16" x14ac:dyDescent="0.3">
      <c r="A21" s="155" t="s">
        <v>228</v>
      </c>
      <c r="B21" s="161" t="s">
        <v>173</v>
      </c>
      <c r="C21" s="211" t="s">
        <v>252</v>
      </c>
      <c r="D21" s="159" t="str">
        <f>+C21</f>
        <v>***</v>
      </c>
      <c r="E21" s="159" t="str">
        <f>+D21</f>
        <v>***</v>
      </c>
      <c r="F21" s="158" t="str">
        <f>+E21</f>
        <v>***</v>
      </c>
      <c r="G21" s="213" t="str">
        <f>+H21</f>
        <v>***</v>
      </c>
      <c r="H21" s="235" t="s">
        <v>252</v>
      </c>
    </row>
    <row r="22" spans="1:16" x14ac:dyDescent="0.3">
      <c r="A22" s="155" t="s">
        <v>229</v>
      </c>
      <c r="B22" s="156" t="s">
        <v>230</v>
      </c>
      <c r="C22" s="211" t="str">
        <f>+D22</f>
        <v>*****</v>
      </c>
      <c r="D22" s="159" t="s">
        <v>256</v>
      </c>
      <c r="E22" s="159" t="s">
        <v>274</v>
      </c>
      <c r="F22" s="158" t="s">
        <v>231</v>
      </c>
      <c r="G22" s="213" t="str">
        <f>+D22</f>
        <v>*****</v>
      </c>
      <c r="H22" s="235" t="s">
        <v>275</v>
      </c>
    </row>
    <row r="23" spans="1:16" x14ac:dyDescent="0.3">
      <c r="A23" s="155" t="s">
        <v>232</v>
      </c>
      <c r="B23" s="161" t="s">
        <v>319</v>
      </c>
      <c r="C23" s="211" t="str">
        <f>+D23</f>
        <v>******</v>
      </c>
      <c r="D23" s="221" t="s">
        <v>257</v>
      </c>
      <c r="E23" s="221" t="str">
        <f>+D23</f>
        <v>******</v>
      </c>
      <c r="F23" s="160" t="str">
        <f>+E23</f>
        <v>******</v>
      </c>
      <c r="G23" s="213" t="str">
        <f>+F23</f>
        <v>******</v>
      </c>
      <c r="H23" s="232" t="str">
        <f>+G23</f>
        <v>******</v>
      </c>
    </row>
    <row r="24" spans="1:16" ht="15.75" thickBot="1" x14ac:dyDescent="0.35">
      <c r="A24" s="166" t="s">
        <v>234</v>
      </c>
      <c r="B24" s="167" t="s">
        <v>235</v>
      </c>
      <c r="C24" s="222"/>
      <c r="D24" s="170"/>
      <c r="E24" s="223"/>
      <c r="F24" s="169"/>
      <c r="G24" s="223"/>
      <c r="H24" s="240"/>
    </row>
    <row r="25" spans="1:16" ht="15.75" thickTop="1" x14ac:dyDescent="0.3"/>
    <row r="26" spans="1:16" x14ac:dyDescent="0.3">
      <c r="A26" s="174"/>
      <c r="B26" s="286" t="s">
        <v>248</v>
      </c>
      <c r="C26" s="227"/>
      <c r="D26" s="227"/>
      <c r="E26" s="227"/>
      <c r="F26" s="227"/>
      <c r="G26" s="206"/>
      <c r="H26" s="206"/>
      <c r="I26" s="206"/>
      <c r="J26" s="206"/>
      <c r="K26" s="206"/>
      <c r="L26" s="206"/>
      <c r="N26" s="206"/>
      <c r="O26" s="206"/>
      <c r="P26" s="206"/>
    </row>
    <row r="27" spans="1:16" x14ac:dyDescent="0.3">
      <c r="A27" s="174"/>
      <c r="B27" s="196"/>
      <c r="C27" s="227"/>
      <c r="D27" s="227"/>
      <c r="E27" s="227"/>
      <c r="F27" s="227"/>
      <c r="G27" s="206"/>
      <c r="H27" s="206"/>
      <c r="I27" s="206"/>
      <c r="J27" s="206"/>
      <c r="K27" s="206"/>
      <c r="L27" s="206"/>
      <c r="M27" s="206"/>
      <c r="N27" s="206"/>
      <c r="O27" s="206"/>
      <c r="P27" s="206"/>
    </row>
    <row r="28" spans="1:16" ht="15.05" customHeight="1" x14ac:dyDescent="0.3">
      <c r="A28" s="174" t="s">
        <v>210</v>
      </c>
      <c r="B28" s="706" t="s">
        <v>441</v>
      </c>
      <c r="C28" s="706"/>
      <c r="D28" s="706"/>
      <c r="E28" s="706"/>
      <c r="F28" s="706"/>
      <c r="G28" s="706"/>
      <c r="H28" s="706"/>
      <c r="I28" s="706"/>
      <c r="J28" s="706"/>
      <c r="K28" s="228"/>
      <c r="L28" s="228"/>
      <c r="M28" s="228"/>
      <c r="N28" s="228"/>
      <c r="O28" s="228"/>
      <c r="P28" s="228"/>
    </row>
    <row r="29" spans="1:16" ht="26.2" customHeight="1" x14ac:dyDescent="0.3">
      <c r="A29" s="174" t="s">
        <v>237</v>
      </c>
      <c r="B29" s="689" t="s">
        <v>292</v>
      </c>
      <c r="C29" s="689"/>
      <c r="D29" s="689"/>
      <c r="E29" s="689"/>
      <c r="F29" s="689"/>
      <c r="G29" s="689"/>
      <c r="H29" s="689"/>
      <c r="I29" s="689"/>
      <c r="J29" s="689"/>
      <c r="K29" s="206"/>
      <c r="L29" s="206"/>
      <c r="M29" s="206"/>
      <c r="N29" s="206"/>
      <c r="O29" s="206"/>
      <c r="P29" s="206"/>
    </row>
    <row r="30" spans="1:16" ht="54.65" customHeight="1" x14ac:dyDescent="0.3">
      <c r="A30" s="174" t="s">
        <v>136</v>
      </c>
      <c r="B30" s="706" t="s">
        <v>357</v>
      </c>
      <c r="C30" s="706"/>
      <c r="D30" s="706"/>
      <c r="E30" s="706"/>
      <c r="F30" s="706"/>
      <c r="G30" s="706"/>
      <c r="H30" s="706"/>
      <c r="I30" s="706"/>
      <c r="J30" s="706"/>
      <c r="K30" s="206"/>
      <c r="L30" s="206"/>
      <c r="M30" s="206"/>
      <c r="N30" s="206"/>
      <c r="O30" s="206"/>
      <c r="P30" s="206"/>
    </row>
    <row r="31" spans="1:16" ht="54.65" customHeight="1" x14ac:dyDescent="0.3">
      <c r="A31" s="174" t="s">
        <v>238</v>
      </c>
      <c r="B31" s="705" t="s">
        <v>436</v>
      </c>
      <c r="C31" s="705"/>
      <c r="D31" s="705"/>
      <c r="E31" s="705"/>
      <c r="F31" s="705"/>
      <c r="G31" s="705"/>
      <c r="H31" s="705"/>
      <c r="I31" s="705"/>
      <c r="J31" s="705"/>
      <c r="K31" s="206"/>
      <c r="L31" s="206"/>
      <c r="M31" s="206"/>
      <c r="N31" s="206"/>
      <c r="O31" s="206"/>
      <c r="P31" s="206"/>
    </row>
    <row r="32" spans="1:16" ht="31.6" customHeight="1" x14ac:dyDescent="0.3">
      <c r="A32" s="174"/>
      <c r="B32" s="428"/>
      <c r="C32" s="428"/>
      <c r="D32" s="428"/>
      <c r="E32" s="428"/>
      <c r="F32" s="428"/>
      <c r="G32" s="428"/>
      <c r="H32" s="428"/>
      <c r="I32" s="428"/>
      <c r="J32" s="428"/>
      <c r="K32" s="206"/>
      <c r="L32" s="206"/>
      <c r="M32" s="206"/>
      <c r="N32" s="206"/>
      <c r="O32" s="206"/>
      <c r="P32" s="206"/>
    </row>
    <row r="33" spans="1:16" x14ac:dyDescent="0.3">
      <c r="A33" s="174"/>
      <c r="B33" s="196"/>
      <c r="C33" s="227"/>
      <c r="D33" s="227"/>
      <c r="E33" s="227"/>
      <c r="F33" s="227"/>
      <c r="G33" s="206"/>
      <c r="H33" s="206"/>
      <c r="I33" s="206"/>
      <c r="J33" s="206"/>
      <c r="K33" s="206"/>
      <c r="L33" s="206"/>
      <c r="M33" s="206"/>
      <c r="N33" s="206"/>
      <c r="O33" s="206"/>
      <c r="P33" s="206"/>
    </row>
    <row r="34" spans="1:16" ht="15.05" customHeight="1" x14ac:dyDescent="0.3">
      <c r="A34" s="197" t="s">
        <v>103</v>
      </c>
      <c r="B34" s="688" t="s">
        <v>249</v>
      </c>
      <c r="C34" s="688"/>
      <c r="D34" s="688"/>
      <c r="E34" s="688"/>
      <c r="F34" s="688"/>
      <c r="G34" s="688"/>
      <c r="H34" s="688"/>
      <c r="I34" s="688"/>
      <c r="J34" s="688"/>
      <c r="K34" s="206"/>
      <c r="L34" s="206"/>
      <c r="M34" s="206"/>
      <c r="N34" s="206"/>
      <c r="O34" s="206"/>
      <c r="P34" s="206"/>
    </row>
    <row r="35" spans="1:16" ht="15.05" customHeight="1" x14ac:dyDescent="0.3">
      <c r="A35" s="197" t="s">
        <v>250</v>
      </c>
      <c r="B35" s="706" t="s">
        <v>318</v>
      </c>
      <c r="C35" s="706"/>
      <c r="D35" s="706"/>
      <c r="E35" s="706"/>
      <c r="F35" s="706"/>
      <c r="G35" s="706"/>
      <c r="H35" s="706"/>
      <c r="I35" s="706"/>
      <c r="J35" s="706"/>
      <c r="K35" s="206"/>
      <c r="L35" s="206"/>
      <c r="M35" s="206"/>
      <c r="N35" s="206"/>
      <c r="O35" s="206"/>
      <c r="P35" s="206"/>
    </row>
    <row r="36" spans="1:16" ht="15.05" customHeight="1" x14ac:dyDescent="0.3">
      <c r="A36" s="174" t="s">
        <v>252</v>
      </c>
      <c r="B36" s="706" t="s">
        <v>253</v>
      </c>
      <c r="C36" s="706"/>
      <c r="D36" s="706"/>
      <c r="E36" s="706"/>
      <c r="F36" s="706"/>
      <c r="G36" s="706"/>
      <c r="H36" s="706"/>
      <c r="I36" s="174"/>
      <c r="J36" s="688"/>
      <c r="K36" s="688"/>
      <c r="L36" s="688"/>
      <c r="M36" s="688"/>
      <c r="N36" s="688"/>
      <c r="O36" s="688"/>
      <c r="P36" s="688"/>
    </row>
    <row r="37" spans="1:16" ht="15.05" customHeight="1" x14ac:dyDescent="0.3">
      <c r="A37" s="174" t="s">
        <v>254</v>
      </c>
      <c r="B37" s="688" t="s">
        <v>505</v>
      </c>
      <c r="C37" s="688"/>
      <c r="D37" s="688"/>
      <c r="E37" s="688"/>
      <c r="F37" s="688"/>
      <c r="G37" s="688"/>
      <c r="H37" s="688"/>
      <c r="I37" s="174"/>
      <c r="J37" s="295"/>
      <c r="K37" s="295"/>
      <c r="L37" s="295"/>
      <c r="M37" s="295"/>
      <c r="N37" s="295"/>
      <c r="O37" s="295"/>
      <c r="P37" s="295"/>
    </row>
    <row r="38" spans="1:16" ht="26.2" customHeight="1" x14ac:dyDescent="0.3">
      <c r="A38" s="197" t="s">
        <v>256</v>
      </c>
      <c r="B38" s="706" t="s">
        <v>258</v>
      </c>
      <c r="C38" s="706"/>
      <c r="D38" s="706"/>
      <c r="E38" s="706"/>
      <c r="F38" s="706"/>
      <c r="G38" s="706"/>
      <c r="H38" s="706"/>
      <c r="I38" s="706"/>
      <c r="J38" s="706"/>
      <c r="K38" s="206"/>
      <c r="L38" s="206"/>
      <c r="M38" s="206"/>
      <c r="N38" s="206"/>
      <c r="O38" s="206"/>
      <c r="P38" s="206"/>
    </row>
    <row r="39" spans="1:16" x14ac:dyDescent="0.3">
      <c r="A39" s="197" t="s">
        <v>257</v>
      </c>
      <c r="B39" s="706" t="s">
        <v>320</v>
      </c>
      <c r="C39" s="706"/>
      <c r="D39" s="706"/>
      <c r="E39" s="706"/>
      <c r="F39" s="706"/>
      <c r="G39" s="706"/>
      <c r="H39" s="706"/>
      <c r="I39" s="706"/>
      <c r="J39" s="706"/>
      <c r="K39" s="206"/>
      <c r="L39" s="206"/>
      <c r="M39" s="206"/>
      <c r="N39" s="206"/>
      <c r="O39" s="206"/>
      <c r="P39" s="206"/>
    </row>
    <row r="40" spans="1:16" x14ac:dyDescent="0.3">
      <c r="B40" s="739" t="s">
        <v>494</v>
      </c>
      <c r="C40" s="739"/>
      <c r="D40" s="739"/>
      <c r="E40" s="739"/>
      <c r="F40" s="739"/>
      <c r="G40" s="739"/>
      <c r="H40" s="739"/>
      <c r="I40" s="739"/>
    </row>
    <row r="41" spans="1:16" ht="87.9" customHeight="1" x14ac:dyDescent="0.3">
      <c r="A41" s="690" t="s">
        <v>160</v>
      </c>
      <c r="B41" s="690"/>
      <c r="C41" s="690"/>
      <c r="D41" s="690"/>
      <c r="E41" s="690"/>
      <c r="F41" s="690"/>
      <c r="G41" s="690"/>
      <c r="H41" s="690"/>
      <c r="I41" s="690"/>
      <c r="J41" s="690"/>
    </row>
  </sheetData>
  <sheetProtection algorithmName="SHA-512" hashValue="/PhvTYEqJYFxftpicdpvZZ/OJoybdd0Yd5QqGV9npYaNHIGy8RFitp11Cgjo7fACrkTAx8sX7WUGNmTAaIJqsg==" saltValue="fy8W9bkYqiKBYBf5jH10uA==" spinCount="100000" sheet="1" objects="1" scenarios="1"/>
  <mergeCells count="18">
    <mergeCell ref="B28:J28"/>
    <mergeCell ref="C3:F4"/>
    <mergeCell ref="G3:H4"/>
    <mergeCell ref="A5:A7"/>
    <mergeCell ref="B5:B7"/>
    <mergeCell ref="C5:C6"/>
    <mergeCell ref="B37:H37"/>
    <mergeCell ref="B38:J38"/>
    <mergeCell ref="B39:J39"/>
    <mergeCell ref="A41:J41"/>
    <mergeCell ref="B29:J29"/>
    <mergeCell ref="B30:J30"/>
    <mergeCell ref="B34:J34"/>
    <mergeCell ref="B35:J35"/>
    <mergeCell ref="B36:H36"/>
    <mergeCell ref="J36:P36"/>
    <mergeCell ref="B31:J31"/>
    <mergeCell ref="B40:I40"/>
  </mergeCells>
  <hyperlinks>
    <hyperlink ref="B26" location="VAUPES!A40" display="Ver Nota Informativa" xr:uid="{00000000-0004-0000-1400-000000000000}"/>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P64"/>
  <sheetViews>
    <sheetView showGridLines="0" zoomScale="115" zoomScaleNormal="115" workbookViewId="0">
      <selection activeCell="F17" sqref="F17"/>
    </sheetView>
  </sheetViews>
  <sheetFormatPr baseColWidth="10" defaultRowHeight="15.05" x14ac:dyDescent="0.3"/>
  <cols>
    <col min="3" max="3" width="31.109375" customWidth="1"/>
    <col min="4" max="4" width="19" customWidth="1"/>
    <col min="5" max="5" width="25" customWidth="1"/>
  </cols>
  <sheetData>
    <row r="3" spans="2:16" ht="47.3" customHeight="1" x14ac:dyDescent="0.3"/>
    <row r="5" spans="2:16" ht="29.95" x14ac:dyDescent="0.3">
      <c r="C5" s="524" t="s">
        <v>472</v>
      </c>
      <c r="D5" s="540" t="s">
        <v>473</v>
      </c>
      <c r="E5" s="525" t="s">
        <v>474</v>
      </c>
    </row>
    <row r="6" spans="2:16" x14ac:dyDescent="0.3">
      <c r="B6" s="636" t="s">
        <v>475</v>
      </c>
      <c r="C6" s="526" t="s">
        <v>476</v>
      </c>
      <c r="D6" s="527">
        <v>8.3800000000000008</v>
      </c>
      <c r="E6" s="527" t="s">
        <v>477</v>
      </c>
    </row>
    <row r="7" spans="2:16" x14ac:dyDescent="0.3">
      <c r="B7" s="637"/>
      <c r="C7" s="539" t="s">
        <v>487</v>
      </c>
      <c r="D7" s="527"/>
      <c r="E7" s="527" t="s">
        <v>490</v>
      </c>
      <c r="O7" s="510"/>
    </row>
    <row r="8" spans="2:16" x14ac:dyDescent="0.3">
      <c r="B8" s="636" t="s">
        <v>478</v>
      </c>
      <c r="C8" s="526" t="s">
        <v>482</v>
      </c>
      <c r="D8" s="527">
        <v>8.3800000000000008</v>
      </c>
      <c r="E8" s="527" t="s">
        <v>477</v>
      </c>
      <c r="H8" s="535"/>
      <c r="I8" s="536">
        <v>0.03</v>
      </c>
      <c r="J8" s="535"/>
      <c r="K8" s="535"/>
      <c r="L8" s="537">
        <v>2018</v>
      </c>
      <c r="M8" s="537">
        <v>2019</v>
      </c>
      <c r="N8" s="537">
        <v>2020</v>
      </c>
      <c r="O8" s="537">
        <v>2021</v>
      </c>
      <c r="P8" s="535"/>
    </row>
    <row r="9" spans="2:16" x14ac:dyDescent="0.3">
      <c r="B9" s="638"/>
      <c r="C9" s="539" t="s">
        <v>488</v>
      </c>
      <c r="D9" s="527"/>
      <c r="E9" s="527" t="str">
        <f>+E7</f>
        <v>4,55.</v>
      </c>
      <c r="H9" s="535">
        <v>6.82</v>
      </c>
      <c r="I9" s="535">
        <f t="shared" ref="I9:P11" si="0">+H9*(1+$I$8)</f>
        <v>7.0246000000000004</v>
      </c>
      <c r="J9" s="535">
        <f t="shared" si="0"/>
        <v>7.2353380000000005</v>
      </c>
      <c r="K9" s="535">
        <f t="shared" si="0"/>
        <v>7.4523981400000006</v>
      </c>
      <c r="L9" s="535">
        <f t="shared" si="0"/>
        <v>7.6759700842000012</v>
      </c>
      <c r="M9" s="535">
        <f t="shared" si="0"/>
        <v>7.9062491867260016</v>
      </c>
      <c r="N9" s="535">
        <f t="shared" si="0"/>
        <v>8.1434366623277814</v>
      </c>
      <c r="O9" s="538">
        <f t="shared" si="0"/>
        <v>8.3877397621976151</v>
      </c>
      <c r="P9" s="538">
        <f t="shared" si="0"/>
        <v>8.6393719550635435</v>
      </c>
    </row>
    <row r="10" spans="2:16" x14ac:dyDescent="0.3">
      <c r="B10" s="636" t="s">
        <v>479</v>
      </c>
      <c r="C10" s="526" t="s">
        <v>308</v>
      </c>
      <c r="D10" s="527">
        <v>8.3800000000000008</v>
      </c>
      <c r="E10" s="527" t="s">
        <v>477</v>
      </c>
      <c r="H10" s="535">
        <v>3.7</v>
      </c>
      <c r="I10" s="535">
        <f t="shared" si="0"/>
        <v>3.8110000000000004</v>
      </c>
      <c r="J10" s="535">
        <f t="shared" si="0"/>
        <v>3.9253300000000007</v>
      </c>
      <c r="K10" s="535">
        <f t="shared" si="0"/>
        <v>4.0430899000000009</v>
      </c>
      <c r="L10" s="535">
        <f t="shared" si="0"/>
        <v>4.1643825970000012</v>
      </c>
      <c r="M10" s="535">
        <f t="shared" si="0"/>
        <v>4.2893140749100018</v>
      </c>
      <c r="N10" s="535">
        <f t="shared" si="0"/>
        <v>4.4179934971573021</v>
      </c>
      <c r="O10" s="535">
        <f t="shared" si="0"/>
        <v>4.5505333020720213</v>
      </c>
      <c r="P10" s="535">
        <f t="shared" si="0"/>
        <v>4.6870493011341825</v>
      </c>
    </row>
    <row r="11" spans="2:16" x14ac:dyDescent="0.3">
      <c r="B11" s="638"/>
      <c r="C11" s="539" t="s">
        <v>489</v>
      </c>
      <c r="D11" s="527"/>
      <c r="E11" s="527" t="str">
        <f>+E9</f>
        <v>4,55.</v>
      </c>
      <c r="H11" s="535">
        <v>10.52</v>
      </c>
      <c r="I11" s="535">
        <f t="shared" si="0"/>
        <v>10.835599999999999</v>
      </c>
      <c r="J11" s="535">
        <f t="shared" si="0"/>
        <v>11.160667999999999</v>
      </c>
      <c r="K11" s="535">
        <f t="shared" si="0"/>
        <v>11.49548804</v>
      </c>
      <c r="L11" s="535">
        <f t="shared" si="0"/>
        <v>11.840352681200001</v>
      </c>
      <c r="M11" s="535">
        <f t="shared" si="0"/>
        <v>12.195563261636002</v>
      </c>
      <c r="N11" s="535">
        <f t="shared" si="0"/>
        <v>12.561430159485083</v>
      </c>
      <c r="O11" s="535">
        <f t="shared" si="0"/>
        <v>12.938273064269636</v>
      </c>
      <c r="P11" s="535">
        <f t="shared" si="0"/>
        <v>13.326421256197724</v>
      </c>
    </row>
    <row r="12" spans="2:16" x14ac:dyDescent="0.3">
      <c r="B12" s="637" t="s">
        <v>480</v>
      </c>
      <c r="C12" s="526" t="s">
        <v>483</v>
      </c>
      <c r="D12" s="527">
        <v>8.3800000000000008</v>
      </c>
      <c r="E12" s="527" t="s">
        <v>477</v>
      </c>
      <c r="H12" s="535"/>
      <c r="I12" s="535"/>
      <c r="J12" s="535"/>
      <c r="K12" s="535"/>
      <c r="L12" s="535"/>
      <c r="M12" s="535"/>
      <c r="N12" s="535"/>
      <c r="O12" s="535">
        <f>12.94-8.38</f>
        <v>4.5599999999999987</v>
      </c>
      <c r="P12" s="535"/>
    </row>
    <row r="13" spans="2:16" x14ac:dyDescent="0.3">
      <c r="B13" s="638"/>
      <c r="C13" s="526" t="s">
        <v>483</v>
      </c>
      <c r="D13" s="527"/>
      <c r="E13" s="527" t="str">
        <f>+E11</f>
        <v>4,55.</v>
      </c>
    </row>
    <row r="15" spans="2:16" x14ac:dyDescent="0.3">
      <c r="C15" s="478" t="s">
        <v>481</v>
      </c>
    </row>
    <row r="62" spans="3:3" x14ac:dyDescent="0.3">
      <c r="C62" t="s">
        <v>484</v>
      </c>
    </row>
    <row r="63" spans="3:3" x14ac:dyDescent="0.3">
      <c r="C63" t="s">
        <v>486</v>
      </c>
    </row>
    <row r="64" spans="3:3" x14ac:dyDescent="0.3">
      <c r="C64" t="s">
        <v>485</v>
      </c>
    </row>
  </sheetData>
  <mergeCells count="4">
    <mergeCell ref="B6:B7"/>
    <mergeCell ref="B8:B9"/>
    <mergeCell ref="B10:B11"/>
    <mergeCell ref="B12:B13"/>
  </mergeCell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P65"/>
  <sheetViews>
    <sheetView zoomScale="85" zoomScaleNormal="85" workbookViewId="0">
      <selection activeCell="H13" sqref="H13"/>
    </sheetView>
  </sheetViews>
  <sheetFormatPr baseColWidth="10" defaultRowHeight="15.05" x14ac:dyDescent="0.3"/>
  <cols>
    <col min="2" max="2" width="47.33203125" customWidth="1"/>
    <col min="3" max="3" width="12.33203125" customWidth="1"/>
    <col min="4" max="4" width="15.77734375" customWidth="1"/>
    <col min="5" max="5" width="13.6640625" customWidth="1"/>
    <col min="6" max="6" width="16.109375" hidden="1" customWidth="1"/>
    <col min="7" max="7" width="18.88671875" customWidth="1"/>
    <col min="8" max="8" width="21.6640625" customWidth="1"/>
    <col min="9" max="9" width="17.109375" customWidth="1"/>
    <col min="10" max="10" width="0" hidden="1" customWidth="1"/>
  </cols>
  <sheetData>
    <row r="1" spans="1:10" x14ac:dyDescent="0.3">
      <c r="A1" s="150"/>
      <c r="B1" s="150" t="str">
        <f>+AMAZONAS!C1</f>
        <v>Vigencia: 14 de Agosto de 2021; 00:00 horas</v>
      </c>
    </row>
    <row r="2" spans="1:10" ht="15.75" thickBot="1" x14ac:dyDescent="0.35">
      <c r="A2" s="177" t="s">
        <v>199</v>
      </c>
      <c r="B2" s="177"/>
    </row>
    <row r="3" spans="1:10" ht="15.9" customHeight="1" thickTop="1" x14ac:dyDescent="0.3">
      <c r="A3" s="207"/>
      <c r="B3" s="208" t="s">
        <v>360</v>
      </c>
      <c r="C3" s="707" t="s">
        <v>200</v>
      </c>
      <c r="D3" s="708"/>
      <c r="E3" s="708"/>
      <c r="F3" s="709"/>
      <c r="G3" s="713" t="s">
        <v>270</v>
      </c>
      <c r="H3" s="714"/>
    </row>
    <row r="4" spans="1:10" x14ac:dyDescent="0.3">
      <c r="A4" s="152"/>
      <c r="B4" s="209" t="s">
        <v>359</v>
      </c>
      <c r="C4" s="710"/>
      <c r="D4" s="711"/>
      <c r="E4" s="711"/>
      <c r="F4" s="712"/>
      <c r="G4" s="715"/>
      <c r="H4" s="716"/>
    </row>
    <row r="5" spans="1:10" ht="38.299999999999997" customHeight="1" x14ac:dyDescent="0.3">
      <c r="A5" s="691" t="s">
        <v>201</v>
      </c>
      <c r="B5" s="693" t="s">
        <v>202</v>
      </c>
      <c r="C5" s="695" t="s">
        <v>261</v>
      </c>
      <c r="D5" s="361" t="s">
        <v>97</v>
      </c>
      <c r="E5" s="361" t="s">
        <v>191</v>
      </c>
      <c r="F5" s="361" t="e">
        <f>+VAUPES!F5</f>
        <v>#REF!</v>
      </c>
      <c r="G5" s="361" t="s">
        <v>97</v>
      </c>
      <c r="H5" s="359" t="str">
        <f>+E5</f>
        <v xml:space="preserve">Biodiesel B2 con destino a mezcla </v>
      </c>
    </row>
    <row r="6" spans="1:10" x14ac:dyDescent="0.3">
      <c r="A6" s="691"/>
      <c r="B6" s="693"/>
      <c r="C6" s="696"/>
      <c r="D6" s="612">
        <v>0.08</v>
      </c>
      <c r="E6" s="201">
        <v>0.02</v>
      </c>
      <c r="F6" s="419" t="e">
        <f>+VAUPES!F6</f>
        <v>#REF!</v>
      </c>
      <c r="G6" s="612">
        <v>0.08</v>
      </c>
      <c r="H6" s="184">
        <f>+E6</f>
        <v>0.02</v>
      </c>
    </row>
    <row r="7" spans="1:10" x14ac:dyDescent="0.3">
      <c r="A7" s="692"/>
      <c r="B7" s="694"/>
      <c r="C7" s="360" t="s">
        <v>203</v>
      </c>
      <c r="D7" s="361" t="s">
        <v>203</v>
      </c>
      <c r="E7" s="361" t="s">
        <v>203</v>
      </c>
      <c r="F7" s="361" t="s">
        <v>203</v>
      </c>
      <c r="G7" s="360" t="s">
        <v>203</v>
      </c>
      <c r="H7" s="359" t="s">
        <v>203</v>
      </c>
    </row>
    <row r="8" spans="1:10" x14ac:dyDescent="0.3">
      <c r="A8" s="155" t="s">
        <v>204</v>
      </c>
      <c r="B8" s="161" t="s">
        <v>205</v>
      </c>
      <c r="C8" s="225">
        <f>+'Calculo IP ZDF'!B40</f>
        <v>4447.6077999999998</v>
      </c>
      <c r="D8" s="231">
        <f>+'Calculo IP ZDF'!B40</f>
        <v>4447.6077999999998</v>
      </c>
      <c r="E8" s="233">
        <f>+'Calculo IP ZDF'!F40</f>
        <v>4240.2133979999999</v>
      </c>
      <c r="F8" s="232">
        <f>+'Calculo IP ZDF'!I40</f>
        <v>5253.7265900000002</v>
      </c>
      <c r="G8" s="210">
        <f>+'GAS CTE'!C6</f>
        <v>4608.92</v>
      </c>
      <c r="H8" s="235">
        <f>+BIODIESEL!E9</f>
        <v>4723.12</v>
      </c>
    </row>
    <row r="9" spans="1:10" x14ac:dyDescent="0.3">
      <c r="A9" s="155" t="s">
        <v>206</v>
      </c>
      <c r="B9" s="161" t="s">
        <v>207</v>
      </c>
      <c r="C9" s="211" t="str">
        <f t="shared" ref="C9:C12" si="0">+D9</f>
        <v>------------------</v>
      </c>
      <c r="D9" s="212" t="s">
        <v>208</v>
      </c>
      <c r="E9" s="212" t="s">
        <v>208</v>
      </c>
      <c r="F9" s="158" t="s">
        <v>208</v>
      </c>
      <c r="G9" s="210">
        <f>+'GAS CTE'!C10</f>
        <v>555.04999999999995</v>
      </c>
      <c r="H9" s="236">
        <f>+BIODIESEL!E10</f>
        <v>520.64</v>
      </c>
    </row>
    <row r="10" spans="1:10" x14ac:dyDescent="0.3">
      <c r="A10" s="155"/>
      <c r="B10" s="161" t="s">
        <v>135</v>
      </c>
      <c r="C10" s="211" t="str">
        <f>+D10</f>
        <v>------------------</v>
      </c>
      <c r="D10" s="212" t="s">
        <v>208</v>
      </c>
      <c r="E10" s="212" t="s">
        <v>208</v>
      </c>
      <c r="F10" s="158" t="s">
        <v>208</v>
      </c>
      <c r="G10" s="226" t="str">
        <f>+COMBUSTIBLES!B12</f>
        <v>(3)</v>
      </c>
      <c r="H10" s="236" t="str">
        <f>+BIODIESEL!G11</f>
        <v>(3)</v>
      </c>
    </row>
    <row r="11" spans="1:10" x14ac:dyDescent="0.3">
      <c r="A11" s="155"/>
      <c r="B11" s="161" t="s">
        <v>137</v>
      </c>
      <c r="C11" s="211" t="str">
        <f>+VAUPES!C11</f>
        <v>(4)</v>
      </c>
      <c r="D11" s="212" t="str">
        <f>+C11</f>
        <v>(4)</v>
      </c>
      <c r="E11" s="212" t="str">
        <f>+C11</f>
        <v>(4)</v>
      </c>
      <c r="F11" s="158" t="str">
        <f>+C11</f>
        <v>(4)</v>
      </c>
      <c r="G11" s="210" t="str">
        <f>+C11</f>
        <v>(4)</v>
      </c>
      <c r="H11" s="232" t="str">
        <f>+C11</f>
        <v>(4)</v>
      </c>
    </row>
    <row r="12" spans="1:10" x14ac:dyDescent="0.3">
      <c r="A12" s="155" t="s">
        <v>209</v>
      </c>
      <c r="B12" s="161" t="s">
        <v>314</v>
      </c>
      <c r="C12" s="211" t="str">
        <f t="shared" si="0"/>
        <v>(2)</v>
      </c>
      <c r="D12" s="159" t="s">
        <v>237</v>
      </c>
      <c r="E12" s="159" t="s">
        <v>237</v>
      </c>
      <c r="F12" s="158" t="s">
        <v>237</v>
      </c>
      <c r="G12" s="210" t="str">
        <f>+F12</f>
        <v>(2)</v>
      </c>
      <c r="H12" s="235" t="s">
        <v>237</v>
      </c>
    </row>
    <row r="13" spans="1:10" x14ac:dyDescent="0.3">
      <c r="A13" s="155" t="s">
        <v>211</v>
      </c>
      <c r="B13" s="161" t="s">
        <v>212</v>
      </c>
      <c r="C13" s="211">
        <f>+RUBROS!Z20</f>
        <v>10.288613527118255</v>
      </c>
      <c r="D13" s="159">
        <f>+C13</f>
        <v>10.288613527118255</v>
      </c>
      <c r="E13" s="159">
        <f>+D13</f>
        <v>10.288613527118255</v>
      </c>
      <c r="F13" s="158">
        <f>+E13</f>
        <v>10.288613527118255</v>
      </c>
      <c r="G13" s="210">
        <f>+RUBROS!AA20</f>
        <v>22.249601678692599</v>
      </c>
      <c r="H13" s="235">
        <f>+G13</f>
        <v>22.249601678692599</v>
      </c>
      <c r="I13" s="507"/>
      <c r="J13" s="474" t="s">
        <v>456</v>
      </c>
    </row>
    <row r="14" spans="1:10" x14ac:dyDescent="0.3">
      <c r="A14" s="155" t="s">
        <v>215</v>
      </c>
      <c r="B14" s="230" t="s">
        <v>216</v>
      </c>
      <c r="C14" s="211">
        <f>+RUBROS!AP31</f>
        <v>12.938273064269636</v>
      </c>
      <c r="D14" s="159">
        <f>+C14</f>
        <v>12.938273064269636</v>
      </c>
      <c r="E14" s="213">
        <f>+C14</f>
        <v>12.938273064269636</v>
      </c>
      <c r="F14" s="158">
        <f>+C14</f>
        <v>12.938273064269636</v>
      </c>
      <c r="G14" s="210">
        <f>+C14</f>
        <v>12.938273064269636</v>
      </c>
      <c r="H14" s="235">
        <f>+C14</f>
        <v>12.938273064269636</v>
      </c>
      <c r="J14" s="474" t="s">
        <v>456</v>
      </c>
    </row>
    <row r="15" spans="1:10" hidden="1" x14ac:dyDescent="0.3">
      <c r="A15" s="155"/>
      <c r="B15" s="161" t="s">
        <v>217</v>
      </c>
      <c r="C15" s="211"/>
      <c r="D15" s="214"/>
      <c r="E15" s="215"/>
      <c r="F15" s="158"/>
      <c r="G15" s="210"/>
      <c r="H15" s="237"/>
    </row>
    <row r="16" spans="1:10" x14ac:dyDescent="0.3">
      <c r="A16" s="162" t="s">
        <v>218</v>
      </c>
      <c r="B16" s="192" t="s">
        <v>219</v>
      </c>
      <c r="C16" s="216">
        <f>SUM(C8:C15)</f>
        <v>4470.8346865913873</v>
      </c>
      <c r="D16" s="217">
        <f t="shared" ref="D16:H16" si="1">SUM(D8:D15)</f>
        <v>4470.8346865913873</v>
      </c>
      <c r="E16" s="217">
        <f t="shared" si="1"/>
        <v>4263.4402845913874</v>
      </c>
      <c r="F16" s="218">
        <f t="shared" si="1"/>
        <v>5276.9534765913877</v>
      </c>
      <c r="G16" s="219">
        <f t="shared" si="1"/>
        <v>5199.1578747429621</v>
      </c>
      <c r="H16" s="238">
        <f t="shared" si="1"/>
        <v>5278.9478747429621</v>
      </c>
    </row>
    <row r="17" spans="1:11" x14ac:dyDescent="0.3">
      <c r="A17" s="155" t="s">
        <v>220</v>
      </c>
      <c r="B17" s="161" t="s">
        <v>221</v>
      </c>
      <c r="C17" s="211" t="s">
        <v>252</v>
      </c>
      <c r="D17" s="220" t="str">
        <f>+C17</f>
        <v>***</v>
      </c>
      <c r="E17" s="220" t="str">
        <f>+C17</f>
        <v>***</v>
      </c>
      <c r="F17" s="158" t="str">
        <f>+C17</f>
        <v>***</v>
      </c>
      <c r="G17" s="213" t="str">
        <f>+H17</f>
        <v>***</v>
      </c>
      <c r="H17" s="239" t="s">
        <v>252</v>
      </c>
      <c r="K17" s="19"/>
    </row>
    <row r="18" spans="1:11" x14ac:dyDescent="0.3">
      <c r="A18" s="155" t="s">
        <v>222</v>
      </c>
      <c r="B18" s="161" t="s">
        <v>223</v>
      </c>
      <c r="C18" s="211" t="str">
        <f>+D18</f>
        <v>**</v>
      </c>
      <c r="D18" s="221" t="s">
        <v>250</v>
      </c>
      <c r="E18" s="221" t="s">
        <v>250</v>
      </c>
      <c r="F18" s="158" t="s">
        <v>250</v>
      </c>
      <c r="G18" s="213" t="str">
        <f>+H18</f>
        <v>**</v>
      </c>
      <c r="H18" s="232" t="s">
        <v>250</v>
      </c>
    </row>
    <row r="19" spans="1:11" x14ac:dyDescent="0.3">
      <c r="A19" s="155" t="s">
        <v>224</v>
      </c>
      <c r="B19" s="161" t="s">
        <v>225</v>
      </c>
      <c r="C19" s="211" t="str">
        <f>+D19</f>
        <v>****</v>
      </c>
      <c r="D19" s="159" t="s">
        <v>254</v>
      </c>
      <c r="E19" s="159" t="str">
        <f>+D19</f>
        <v>****</v>
      </c>
      <c r="F19" s="158" t="str">
        <f>+E19</f>
        <v>****</v>
      </c>
      <c r="G19" s="213" t="str">
        <f>+F19</f>
        <v>****</v>
      </c>
      <c r="H19" s="235" t="str">
        <f>+F19</f>
        <v>****</v>
      </c>
    </row>
    <row r="20" spans="1:11" x14ac:dyDescent="0.3">
      <c r="A20" s="162" t="s">
        <v>226</v>
      </c>
      <c r="B20" s="192" t="s">
        <v>227</v>
      </c>
      <c r="C20" s="216">
        <f t="shared" ref="C20:H20" si="2">+C16</f>
        <v>4470.8346865913873</v>
      </c>
      <c r="D20" s="216">
        <f t="shared" si="2"/>
        <v>4470.8346865913873</v>
      </c>
      <c r="E20" s="216">
        <f t="shared" si="2"/>
        <v>4263.4402845913874</v>
      </c>
      <c r="F20" s="234">
        <f t="shared" si="2"/>
        <v>5276.9534765913877</v>
      </c>
      <c r="G20" s="216">
        <f t="shared" si="2"/>
        <v>5199.1578747429621</v>
      </c>
      <c r="H20" s="234">
        <f t="shared" si="2"/>
        <v>5278.9478747429621</v>
      </c>
      <c r="K20" s="19"/>
    </row>
    <row r="21" spans="1:11" x14ac:dyDescent="0.3">
      <c r="A21" s="155" t="s">
        <v>228</v>
      </c>
      <c r="B21" s="161" t="s">
        <v>173</v>
      </c>
      <c r="C21" s="211" t="s">
        <v>252</v>
      </c>
      <c r="D21" s="159" t="str">
        <f>+C21</f>
        <v>***</v>
      </c>
      <c r="E21" s="159" t="str">
        <f>+D21</f>
        <v>***</v>
      </c>
      <c r="F21" s="158" t="str">
        <f>+E21</f>
        <v>***</v>
      </c>
      <c r="G21" s="213" t="str">
        <f>+H21</f>
        <v>***</v>
      </c>
      <c r="H21" s="235" t="s">
        <v>252</v>
      </c>
    </row>
    <row r="22" spans="1:11" x14ac:dyDescent="0.3">
      <c r="A22" s="155" t="s">
        <v>229</v>
      </c>
      <c r="B22" s="156" t="s">
        <v>230</v>
      </c>
      <c r="C22" s="211" t="str">
        <f>+D22</f>
        <v>*****</v>
      </c>
      <c r="D22" s="159" t="s">
        <v>256</v>
      </c>
      <c r="E22" s="159" t="s">
        <v>274</v>
      </c>
      <c r="F22" s="158" t="s">
        <v>231</v>
      </c>
      <c r="G22" s="213" t="str">
        <f>+D22</f>
        <v>*****</v>
      </c>
      <c r="H22" s="235" t="s">
        <v>275</v>
      </c>
    </row>
    <row r="23" spans="1:11" x14ac:dyDescent="0.3">
      <c r="A23" s="155" t="s">
        <v>232</v>
      </c>
      <c r="B23" s="161" t="s">
        <v>319</v>
      </c>
      <c r="C23" s="211" t="str">
        <f>+D23</f>
        <v>******</v>
      </c>
      <c r="D23" s="221" t="s">
        <v>257</v>
      </c>
      <c r="E23" s="221" t="str">
        <f>+D23</f>
        <v>******</v>
      </c>
      <c r="F23" s="160" t="str">
        <f>+E23</f>
        <v>******</v>
      </c>
      <c r="G23" s="213" t="str">
        <f>+F23</f>
        <v>******</v>
      </c>
      <c r="H23" s="232" t="str">
        <f>+G23</f>
        <v>******</v>
      </c>
    </row>
    <row r="24" spans="1:11" ht="15.75" thickBot="1" x14ac:dyDescent="0.35">
      <c r="A24" s="166" t="s">
        <v>234</v>
      </c>
      <c r="B24" s="167" t="s">
        <v>235</v>
      </c>
      <c r="C24" s="222"/>
      <c r="D24" s="170"/>
      <c r="E24" s="223"/>
      <c r="F24" s="169"/>
      <c r="G24" s="223"/>
      <c r="H24" s="240"/>
    </row>
    <row r="25" spans="1:11" ht="15.75" thickTop="1" x14ac:dyDescent="0.3"/>
    <row r="26" spans="1:11" ht="15.75" thickBot="1" x14ac:dyDescent="0.35"/>
    <row r="27" spans="1:11" ht="15.75" thickTop="1" x14ac:dyDescent="0.3">
      <c r="A27" s="207"/>
      <c r="B27" s="208" t="s">
        <v>361</v>
      </c>
      <c r="C27" s="707" t="s">
        <v>200</v>
      </c>
      <c r="D27" s="708"/>
      <c r="E27" s="708"/>
      <c r="F27" s="709"/>
      <c r="G27" s="713" t="s">
        <v>270</v>
      </c>
      <c r="H27" s="714"/>
    </row>
    <row r="28" spans="1:11" x14ac:dyDescent="0.3">
      <c r="A28" s="152"/>
      <c r="B28" s="209" t="s">
        <v>359</v>
      </c>
      <c r="C28" s="710"/>
      <c r="D28" s="711"/>
      <c r="E28" s="711"/>
      <c r="F28" s="712"/>
      <c r="G28" s="715"/>
      <c r="H28" s="716"/>
    </row>
    <row r="29" spans="1:11" ht="26.2" x14ac:dyDescent="0.3">
      <c r="A29" s="691" t="s">
        <v>201</v>
      </c>
      <c r="B29" s="693" t="s">
        <v>202</v>
      </c>
      <c r="C29" s="695" t="s">
        <v>261</v>
      </c>
      <c r="D29" s="361" t="s">
        <v>97</v>
      </c>
      <c r="E29" s="361" t="s">
        <v>191</v>
      </c>
      <c r="F29" s="361" t="e">
        <f>+F5</f>
        <v>#REF!</v>
      </c>
      <c r="G29" s="361" t="s">
        <v>97</v>
      </c>
      <c r="H29" s="359" t="e">
        <f>+F29</f>
        <v>#REF!</v>
      </c>
    </row>
    <row r="30" spans="1:11" x14ac:dyDescent="0.3">
      <c r="A30" s="691"/>
      <c r="B30" s="693"/>
      <c r="C30" s="696"/>
      <c r="D30" s="612">
        <v>0.08</v>
      </c>
      <c r="E30" s="201">
        <v>0.02</v>
      </c>
      <c r="F30" s="419" t="e">
        <f>+F6</f>
        <v>#REF!</v>
      </c>
      <c r="G30" s="612">
        <v>0.08</v>
      </c>
      <c r="H30" s="184" t="e">
        <f>+F30</f>
        <v>#REF!</v>
      </c>
    </row>
    <row r="31" spans="1:11" x14ac:dyDescent="0.3">
      <c r="A31" s="692"/>
      <c r="B31" s="694"/>
      <c r="C31" s="360" t="s">
        <v>203</v>
      </c>
      <c r="D31" s="361" t="s">
        <v>203</v>
      </c>
      <c r="E31" s="361" t="s">
        <v>203</v>
      </c>
      <c r="F31" s="361" t="s">
        <v>203</v>
      </c>
      <c r="G31" s="360" t="s">
        <v>203</v>
      </c>
      <c r="H31" s="359" t="s">
        <v>203</v>
      </c>
    </row>
    <row r="32" spans="1:11" x14ac:dyDescent="0.3">
      <c r="A32" s="155" t="s">
        <v>204</v>
      </c>
      <c r="B32" s="161" t="s">
        <v>205</v>
      </c>
      <c r="C32" s="225">
        <f>+'Calculo IP ZDF'!B41</f>
        <v>4608.92</v>
      </c>
      <c r="D32" s="231">
        <f>+'Calculo IP ZDF'!B41</f>
        <v>4608.92</v>
      </c>
      <c r="E32" s="233">
        <f>+'Calculo IP ZDF'!F41</f>
        <v>4385.5249999999996</v>
      </c>
      <c r="F32" s="232">
        <f>+'Calculo IP ZDF'!I41</f>
        <v>5387.1735761</v>
      </c>
      <c r="G32" s="210">
        <f>+'GAS CTE'!C6</f>
        <v>4608.92</v>
      </c>
      <c r="H32" s="235">
        <f>+H8</f>
        <v>4723.12</v>
      </c>
    </row>
    <row r="33" spans="1:10" x14ac:dyDescent="0.3">
      <c r="A33" s="155" t="s">
        <v>206</v>
      </c>
      <c r="B33" s="161" t="s">
        <v>207</v>
      </c>
      <c r="C33" s="225" t="str">
        <f t="shared" ref="C33:H39" si="3">+C9</f>
        <v>------------------</v>
      </c>
      <c r="D33" s="231" t="str">
        <f t="shared" si="3"/>
        <v>------------------</v>
      </c>
      <c r="E33" s="233" t="str">
        <f t="shared" si="3"/>
        <v>------------------</v>
      </c>
      <c r="F33" s="232" t="str">
        <f t="shared" si="3"/>
        <v>------------------</v>
      </c>
      <c r="G33" s="210">
        <f>+'GAS CTE'!C10</f>
        <v>555.04999999999995</v>
      </c>
      <c r="H33" s="235">
        <f t="shared" si="3"/>
        <v>520.64</v>
      </c>
    </row>
    <row r="34" spans="1:10" x14ac:dyDescent="0.3">
      <c r="A34" s="155"/>
      <c r="B34" s="161" t="s">
        <v>135</v>
      </c>
      <c r="C34" s="225" t="str">
        <f t="shared" si="3"/>
        <v>------------------</v>
      </c>
      <c r="D34" s="231" t="str">
        <f t="shared" si="3"/>
        <v>------------------</v>
      </c>
      <c r="E34" s="233" t="str">
        <f t="shared" si="3"/>
        <v>------------------</v>
      </c>
      <c r="F34" s="232" t="str">
        <f t="shared" si="3"/>
        <v>------------------</v>
      </c>
      <c r="G34" s="210" t="str">
        <f t="shared" si="3"/>
        <v>(3)</v>
      </c>
      <c r="H34" s="235" t="str">
        <f t="shared" si="3"/>
        <v>(3)</v>
      </c>
    </row>
    <row r="35" spans="1:10" x14ac:dyDescent="0.3">
      <c r="A35" s="155"/>
      <c r="B35" s="161" t="s">
        <v>137</v>
      </c>
      <c r="C35" s="225" t="str">
        <f t="shared" si="3"/>
        <v>(4)</v>
      </c>
      <c r="D35" s="231" t="str">
        <f t="shared" si="3"/>
        <v>(4)</v>
      </c>
      <c r="E35" s="233" t="str">
        <f t="shared" si="3"/>
        <v>(4)</v>
      </c>
      <c r="F35" s="232" t="str">
        <f t="shared" si="3"/>
        <v>(4)</v>
      </c>
      <c r="G35" s="210" t="str">
        <f t="shared" si="3"/>
        <v>(4)</v>
      </c>
      <c r="H35" s="235" t="str">
        <f t="shared" si="3"/>
        <v>(4)</v>
      </c>
    </row>
    <row r="36" spans="1:10" x14ac:dyDescent="0.3">
      <c r="A36" s="155" t="s">
        <v>209</v>
      </c>
      <c r="B36" s="161" t="s">
        <v>314</v>
      </c>
      <c r="C36" s="225" t="str">
        <f t="shared" si="3"/>
        <v>(2)</v>
      </c>
      <c r="D36" s="231" t="str">
        <f t="shared" si="3"/>
        <v>(2)</v>
      </c>
      <c r="E36" s="233" t="str">
        <f t="shared" si="3"/>
        <v>(2)</v>
      </c>
      <c r="F36" s="232" t="str">
        <f t="shared" si="3"/>
        <v>(2)</v>
      </c>
      <c r="G36" s="210" t="str">
        <f t="shared" si="3"/>
        <v>(2)</v>
      </c>
      <c r="H36" s="235" t="str">
        <f t="shared" si="3"/>
        <v>(2)</v>
      </c>
    </row>
    <row r="37" spans="1:10" x14ac:dyDescent="0.3">
      <c r="A37" s="155" t="s">
        <v>211</v>
      </c>
      <c r="B37" s="161" t="s">
        <v>212</v>
      </c>
      <c r="C37" s="225">
        <f t="shared" si="3"/>
        <v>10.288613527118255</v>
      </c>
      <c r="D37" s="231">
        <f t="shared" si="3"/>
        <v>10.288613527118255</v>
      </c>
      <c r="E37" s="233">
        <f t="shared" si="3"/>
        <v>10.288613527118255</v>
      </c>
      <c r="F37" s="232">
        <f t="shared" si="3"/>
        <v>10.288613527118255</v>
      </c>
      <c r="G37" s="210">
        <f t="shared" si="3"/>
        <v>22.249601678692599</v>
      </c>
      <c r="H37" s="235">
        <f t="shared" si="3"/>
        <v>22.249601678692599</v>
      </c>
      <c r="J37" s="474" t="s">
        <v>456</v>
      </c>
    </row>
    <row r="38" spans="1:10" x14ac:dyDescent="0.3">
      <c r="A38" s="155" t="s">
        <v>215</v>
      </c>
      <c r="B38" s="230" t="s">
        <v>216</v>
      </c>
      <c r="C38" s="225">
        <f t="shared" si="3"/>
        <v>12.938273064269636</v>
      </c>
      <c r="D38" s="231">
        <f t="shared" si="3"/>
        <v>12.938273064269636</v>
      </c>
      <c r="E38" s="233">
        <f t="shared" si="3"/>
        <v>12.938273064269636</v>
      </c>
      <c r="F38" s="232">
        <f t="shared" si="3"/>
        <v>12.938273064269636</v>
      </c>
      <c r="G38" s="210">
        <f t="shared" si="3"/>
        <v>12.938273064269636</v>
      </c>
      <c r="H38" s="235">
        <f t="shared" si="3"/>
        <v>12.938273064269636</v>
      </c>
      <c r="J38" s="474" t="s">
        <v>456</v>
      </c>
    </row>
    <row r="39" spans="1:10" x14ac:dyDescent="0.3">
      <c r="A39" s="155"/>
      <c r="B39" s="161" t="s">
        <v>217</v>
      </c>
      <c r="C39" s="225">
        <f t="shared" si="3"/>
        <v>0</v>
      </c>
      <c r="D39" s="231">
        <f t="shared" si="3"/>
        <v>0</v>
      </c>
      <c r="E39" s="233">
        <f t="shared" si="3"/>
        <v>0</v>
      </c>
      <c r="F39" s="232">
        <f t="shared" si="3"/>
        <v>0</v>
      </c>
      <c r="G39" s="210">
        <f t="shared" si="3"/>
        <v>0</v>
      </c>
      <c r="H39" s="235">
        <f t="shared" si="3"/>
        <v>0</v>
      </c>
    </row>
    <row r="40" spans="1:10" x14ac:dyDescent="0.3">
      <c r="A40" s="162" t="s">
        <v>218</v>
      </c>
      <c r="B40" s="192" t="s">
        <v>219</v>
      </c>
      <c r="C40" s="216">
        <f>SUM(C32:C39)</f>
        <v>4632.1468865913876</v>
      </c>
      <c r="D40" s="217">
        <f t="shared" ref="D40:H40" si="4">SUM(D32:D39)</f>
        <v>4632.1468865913876</v>
      </c>
      <c r="E40" s="217">
        <f t="shared" si="4"/>
        <v>4408.7518865913871</v>
      </c>
      <c r="F40" s="218">
        <f t="shared" si="4"/>
        <v>5410.4004626913875</v>
      </c>
      <c r="G40" s="219">
        <f t="shared" si="4"/>
        <v>5199.1578747429621</v>
      </c>
      <c r="H40" s="238">
        <f t="shared" si="4"/>
        <v>5278.9478747429621</v>
      </c>
    </row>
    <row r="41" spans="1:10" x14ac:dyDescent="0.3">
      <c r="A41" s="155" t="s">
        <v>220</v>
      </c>
      <c r="B41" s="161" t="s">
        <v>221</v>
      </c>
      <c r="C41" s="211" t="s">
        <v>252</v>
      </c>
      <c r="D41" s="220" t="str">
        <f>+C41</f>
        <v>***</v>
      </c>
      <c r="E41" s="220" t="str">
        <f>+C41</f>
        <v>***</v>
      </c>
      <c r="F41" s="158" t="str">
        <f>+C41</f>
        <v>***</v>
      </c>
      <c r="G41" s="213" t="str">
        <f>+H41</f>
        <v>***</v>
      </c>
      <c r="H41" s="239" t="s">
        <v>252</v>
      </c>
    </row>
    <row r="42" spans="1:10" x14ac:dyDescent="0.3">
      <c r="A42" s="155" t="s">
        <v>222</v>
      </c>
      <c r="B42" s="161" t="s">
        <v>223</v>
      </c>
      <c r="C42" s="211" t="str">
        <f>+D42</f>
        <v>**</v>
      </c>
      <c r="D42" s="221" t="s">
        <v>250</v>
      </c>
      <c r="E42" s="221" t="s">
        <v>250</v>
      </c>
      <c r="F42" s="158" t="s">
        <v>250</v>
      </c>
      <c r="G42" s="213" t="str">
        <f>+H42</f>
        <v>**</v>
      </c>
      <c r="H42" s="232" t="s">
        <v>250</v>
      </c>
    </row>
    <row r="43" spans="1:10" x14ac:dyDescent="0.3">
      <c r="A43" s="155" t="s">
        <v>224</v>
      </c>
      <c r="B43" s="161" t="s">
        <v>225</v>
      </c>
      <c r="C43" s="211" t="str">
        <f>+D43</f>
        <v>****</v>
      </c>
      <c r="D43" s="159" t="s">
        <v>254</v>
      </c>
      <c r="E43" s="159" t="str">
        <f>+D43</f>
        <v>****</v>
      </c>
      <c r="F43" s="158" t="str">
        <f>+E43</f>
        <v>****</v>
      </c>
      <c r="G43" s="213" t="str">
        <f>+F43</f>
        <v>****</v>
      </c>
      <c r="H43" s="235" t="str">
        <f>+F43</f>
        <v>****</v>
      </c>
    </row>
    <row r="44" spans="1:10" x14ac:dyDescent="0.3">
      <c r="A44" s="162" t="s">
        <v>226</v>
      </c>
      <c r="B44" s="192" t="s">
        <v>227</v>
      </c>
      <c r="C44" s="216">
        <f t="shared" ref="C44:H44" si="5">+C40</f>
        <v>4632.1468865913876</v>
      </c>
      <c r="D44" s="216">
        <f t="shared" si="5"/>
        <v>4632.1468865913876</v>
      </c>
      <c r="E44" s="216">
        <f t="shared" si="5"/>
        <v>4408.7518865913871</v>
      </c>
      <c r="F44" s="234">
        <f t="shared" si="5"/>
        <v>5410.4004626913875</v>
      </c>
      <c r="G44" s="216">
        <f t="shared" si="5"/>
        <v>5199.1578747429621</v>
      </c>
      <c r="H44" s="234">
        <f t="shared" si="5"/>
        <v>5278.9478747429621</v>
      </c>
    </row>
    <row r="45" spans="1:10" x14ac:dyDescent="0.3">
      <c r="A45" s="155" t="s">
        <v>228</v>
      </c>
      <c r="B45" s="161" t="s">
        <v>173</v>
      </c>
      <c r="C45" s="211" t="s">
        <v>252</v>
      </c>
      <c r="D45" s="159" t="str">
        <f>+C45</f>
        <v>***</v>
      </c>
      <c r="E45" s="159" t="str">
        <f>+D45</f>
        <v>***</v>
      </c>
      <c r="F45" s="158" t="str">
        <f>+E45</f>
        <v>***</v>
      </c>
      <c r="G45" s="213" t="str">
        <f>+H45</f>
        <v>***</v>
      </c>
      <c r="H45" s="235" t="s">
        <v>252</v>
      </c>
    </row>
    <row r="46" spans="1:10" x14ac:dyDescent="0.3">
      <c r="A46" s="155" t="s">
        <v>229</v>
      </c>
      <c r="B46" s="156" t="s">
        <v>230</v>
      </c>
      <c r="C46" s="211" t="str">
        <f>+D46</f>
        <v>*****</v>
      </c>
      <c r="D46" s="159" t="s">
        <v>256</v>
      </c>
      <c r="E46" s="159" t="s">
        <v>274</v>
      </c>
      <c r="F46" s="158" t="s">
        <v>231</v>
      </c>
      <c r="G46" s="213" t="str">
        <f>+D46</f>
        <v>*****</v>
      </c>
      <c r="H46" s="235" t="s">
        <v>275</v>
      </c>
    </row>
    <row r="47" spans="1:10" x14ac:dyDescent="0.3">
      <c r="A47" s="155" t="s">
        <v>232</v>
      </c>
      <c r="B47" s="161" t="s">
        <v>319</v>
      </c>
      <c r="C47" s="211" t="str">
        <f>+D47</f>
        <v>******</v>
      </c>
      <c r="D47" s="221" t="s">
        <v>257</v>
      </c>
      <c r="E47" s="221" t="str">
        <f>+D47</f>
        <v>******</v>
      </c>
      <c r="F47" s="160" t="str">
        <f>+E47</f>
        <v>******</v>
      </c>
      <c r="G47" s="213" t="str">
        <f>+F47</f>
        <v>******</v>
      </c>
      <c r="H47" s="232" t="str">
        <f>+G47</f>
        <v>******</v>
      </c>
    </row>
    <row r="48" spans="1:10" ht="15.75" thickBot="1" x14ac:dyDescent="0.35">
      <c r="A48" s="166" t="s">
        <v>234</v>
      </c>
      <c r="B48" s="167" t="s">
        <v>235</v>
      </c>
      <c r="C48" s="222"/>
      <c r="D48" s="170"/>
      <c r="E48" s="223"/>
      <c r="F48" s="169"/>
      <c r="G48" s="223"/>
      <c r="H48" s="240"/>
    </row>
    <row r="49" spans="1:16" ht="15.75" thickTop="1" x14ac:dyDescent="0.3"/>
    <row r="51" spans="1:16" x14ac:dyDescent="0.3">
      <c r="A51" s="174"/>
      <c r="B51" s="286" t="s">
        <v>248</v>
      </c>
      <c r="C51" s="227"/>
      <c r="D51" s="227"/>
      <c r="E51" s="227"/>
      <c r="F51" s="227"/>
      <c r="G51" s="206"/>
      <c r="H51" s="206"/>
      <c r="I51" s="206"/>
      <c r="J51" s="206"/>
      <c r="K51" s="206"/>
      <c r="L51" s="206"/>
      <c r="M51" s="206"/>
      <c r="N51" s="206"/>
      <c r="O51" s="206"/>
      <c r="P51" s="206"/>
    </row>
    <row r="52" spans="1:16" x14ac:dyDescent="0.3">
      <c r="A52" s="174"/>
      <c r="B52" s="196"/>
      <c r="C52" s="227"/>
      <c r="D52" s="227"/>
      <c r="E52" s="227"/>
      <c r="F52" s="227"/>
      <c r="G52" s="206"/>
      <c r="H52" s="206"/>
      <c r="I52" s="206"/>
      <c r="J52" s="206"/>
      <c r="K52" s="206"/>
      <c r="L52" s="206"/>
      <c r="M52" s="206"/>
      <c r="N52" s="206"/>
      <c r="O52" s="206"/>
      <c r="P52" s="206"/>
    </row>
    <row r="53" spans="1:16" ht="15.05" customHeight="1" x14ac:dyDescent="0.3">
      <c r="A53" s="174" t="s">
        <v>210</v>
      </c>
      <c r="B53" s="706" t="str">
        <f>+VAUPES!B28</f>
        <v>De acuerdo con lo establecido en la Resolución MME 91349 de 2014</v>
      </c>
      <c r="C53" s="706"/>
      <c r="D53" s="706"/>
      <c r="E53" s="706"/>
      <c r="F53" s="706"/>
      <c r="G53" s="706"/>
      <c r="H53" s="706"/>
      <c r="I53" s="706"/>
      <c r="J53" s="706"/>
      <c r="K53" s="228"/>
      <c r="L53" s="228"/>
      <c r="M53" s="228"/>
      <c r="N53" s="228"/>
      <c r="O53" s="228"/>
      <c r="P53" s="228"/>
    </row>
    <row r="54" spans="1:16" ht="26.2" customHeight="1" x14ac:dyDescent="0.3">
      <c r="A54" s="174" t="s">
        <v>237</v>
      </c>
      <c r="B54" s="689" t="s">
        <v>292</v>
      </c>
      <c r="C54" s="689"/>
      <c r="D54" s="689"/>
      <c r="E54" s="689"/>
      <c r="F54" s="689"/>
      <c r="G54" s="689"/>
      <c r="H54" s="689"/>
      <c r="I54" s="689"/>
      <c r="J54" s="689"/>
      <c r="K54" s="206"/>
      <c r="L54" s="206"/>
      <c r="M54" s="206"/>
      <c r="N54" s="206"/>
      <c r="O54" s="206"/>
      <c r="P54" s="206"/>
    </row>
    <row r="55" spans="1:16" ht="54.65" customHeight="1" x14ac:dyDescent="0.3">
      <c r="A55" s="174" t="s">
        <v>136</v>
      </c>
      <c r="B55" s="706" t="s">
        <v>357</v>
      </c>
      <c r="C55" s="706"/>
      <c r="D55" s="706"/>
      <c r="E55" s="706"/>
      <c r="F55" s="706"/>
      <c r="G55" s="706"/>
      <c r="H55" s="706"/>
      <c r="I55" s="706"/>
      <c r="J55" s="706"/>
      <c r="K55" s="206"/>
      <c r="L55" s="206"/>
      <c r="M55" s="206"/>
      <c r="N55" s="206"/>
      <c r="O55" s="206"/>
      <c r="P55" s="206"/>
    </row>
    <row r="56" spans="1:16" ht="54.65" customHeight="1" x14ac:dyDescent="0.3">
      <c r="A56" s="174" t="s">
        <v>238</v>
      </c>
      <c r="B56" s="705" t="s">
        <v>436</v>
      </c>
      <c r="C56" s="705"/>
      <c r="D56" s="705"/>
      <c r="E56" s="705"/>
      <c r="F56" s="705"/>
      <c r="G56" s="705"/>
      <c r="H56" s="705"/>
      <c r="I56" s="705"/>
      <c r="J56" s="705"/>
      <c r="K56" s="206"/>
      <c r="L56" s="206"/>
      <c r="M56" s="206"/>
      <c r="N56" s="206"/>
      <c r="O56" s="206"/>
      <c r="P56" s="206"/>
    </row>
    <row r="57" spans="1:16" x14ac:dyDescent="0.3">
      <c r="A57" s="174"/>
      <c r="B57" s="196"/>
      <c r="C57" s="227"/>
      <c r="D57" s="227"/>
      <c r="E57" s="227"/>
      <c r="F57" s="227"/>
      <c r="G57" s="206"/>
      <c r="H57" s="206"/>
      <c r="I57" s="206"/>
      <c r="J57" s="206"/>
      <c r="K57" s="206"/>
      <c r="L57" s="206"/>
      <c r="M57" s="206"/>
      <c r="N57" s="206"/>
      <c r="O57" s="206"/>
      <c r="P57" s="206"/>
    </row>
    <row r="58" spans="1:16" ht="15.05" customHeight="1" x14ac:dyDescent="0.3">
      <c r="A58" s="197" t="s">
        <v>103</v>
      </c>
      <c r="B58" s="688" t="s">
        <v>249</v>
      </c>
      <c r="C58" s="688"/>
      <c r="D58" s="688"/>
      <c r="E58" s="688"/>
      <c r="F58" s="688"/>
      <c r="G58" s="688"/>
      <c r="H58" s="688"/>
      <c r="I58" s="688"/>
      <c r="J58" s="688"/>
      <c r="K58" s="206"/>
      <c r="L58" s="206"/>
      <c r="M58" s="206"/>
      <c r="N58" s="206"/>
      <c r="O58" s="206"/>
      <c r="P58" s="206"/>
    </row>
    <row r="59" spans="1:16" ht="15.05" customHeight="1" x14ac:dyDescent="0.3">
      <c r="A59" s="197" t="s">
        <v>250</v>
      </c>
      <c r="B59" s="706" t="s">
        <v>318</v>
      </c>
      <c r="C59" s="706"/>
      <c r="D59" s="706"/>
      <c r="E59" s="706"/>
      <c r="F59" s="706"/>
      <c r="G59" s="706"/>
      <c r="H59" s="706"/>
      <c r="I59" s="706"/>
      <c r="J59" s="706"/>
      <c r="K59" s="206"/>
      <c r="L59" s="206"/>
      <c r="M59" s="206"/>
      <c r="N59" s="206"/>
      <c r="O59" s="206"/>
      <c r="P59" s="206"/>
    </row>
    <row r="60" spans="1:16" ht="15.05" customHeight="1" x14ac:dyDescent="0.3">
      <c r="A60" s="174" t="s">
        <v>252</v>
      </c>
      <c r="B60" s="706" t="s">
        <v>253</v>
      </c>
      <c r="C60" s="706"/>
      <c r="D60" s="706"/>
      <c r="E60" s="706"/>
      <c r="F60" s="706"/>
      <c r="G60" s="706"/>
      <c r="H60" s="706"/>
      <c r="I60" s="174"/>
      <c r="J60" s="688"/>
      <c r="K60" s="688"/>
      <c r="L60" s="688"/>
      <c r="M60" s="688"/>
      <c r="N60" s="688"/>
      <c r="O60" s="688"/>
      <c r="P60" s="688"/>
    </row>
    <row r="61" spans="1:16" ht="15.05" customHeight="1" x14ac:dyDescent="0.3">
      <c r="A61" s="174" t="s">
        <v>254</v>
      </c>
      <c r="B61" s="688" t="s">
        <v>505</v>
      </c>
      <c r="C61" s="688"/>
      <c r="D61" s="688"/>
      <c r="E61" s="688"/>
      <c r="F61" s="688"/>
      <c r="G61" s="688"/>
      <c r="H61" s="688"/>
      <c r="I61" s="174"/>
      <c r="J61" s="358"/>
      <c r="K61" s="358"/>
      <c r="L61" s="358"/>
      <c r="M61" s="358"/>
      <c r="N61" s="358"/>
      <c r="O61" s="358"/>
      <c r="P61" s="358"/>
    </row>
    <row r="62" spans="1:16" x14ac:dyDescent="0.3">
      <c r="A62" s="197" t="s">
        <v>256</v>
      </c>
      <c r="B62" s="706" t="s">
        <v>258</v>
      </c>
      <c r="C62" s="706"/>
      <c r="D62" s="706"/>
      <c r="E62" s="706"/>
      <c r="F62" s="706"/>
      <c r="G62" s="706"/>
      <c r="H62" s="706"/>
      <c r="I62" s="706"/>
      <c r="J62" s="706"/>
      <c r="K62" s="206"/>
      <c r="L62" s="206"/>
      <c r="M62" s="206"/>
      <c r="N62" s="206"/>
      <c r="O62" s="206"/>
      <c r="P62" s="206"/>
    </row>
    <row r="63" spans="1:16" x14ac:dyDescent="0.3">
      <c r="A63" s="197" t="s">
        <v>257</v>
      </c>
      <c r="B63" s="706" t="s">
        <v>320</v>
      </c>
      <c r="C63" s="706"/>
      <c r="D63" s="706"/>
      <c r="E63" s="706"/>
      <c r="F63" s="706"/>
      <c r="G63" s="706"/>
      <c r="H63" s="706"/>
      <c r="I63" s="706"/>
      <c r="J63" s="706"/>
      <c r="K63" s="206"/>
      <c r="L63" s="206"/>
      <c r="M63" s="206"/>
      <c r="N63" s="206"/>
      <c r="O63" s="206"/>
      <c r="P63" s="206"/>
    </row>
    <row r="65" spans="1:10" ht="87.9" customHeight="1" x14ac:dyDescent="0.3">
      <c r="A65" s="690" t="s">
        <v>160</v>
      </c>
      <c r="B65" s="690"/>
      <c r="C65" s="690"/>
      <c r="D65" s="690"/>
      <c r="E65" s="690"/>
      <c r="F65" s="690"/>
      <c r="G65" s="690"/>
      <c r="H65" s="690"/>
      <c r="I65" s="690"/>
      <c r="J65" s="690"/>
    </row>
  </sheetData>
  <sheetProtection algorithmName="SHA-512" hashValue="Lvnj27n1NwI0KDlBfVHVzEac65GnqjLXrfGUPzByTCnSdLJYvM+MLwj/ddH3Hl5YQ7lS3ChlXKLrTQwHvEFAsQ==" saltValue="3i9WnqrziczhSiv4WFPJDQ==" spinCount="100000" sheet="1" objects="1" scenarios="1"/>
  <mergeCells count="22">
    <mergeCell ref="B53:J53"/>
    <mergeCell ref="C3:F4"/>
    <mergeCell ref="G3:H4"/>
    <mergeCell ref="A5:A7"/>
    <mergeCell ref="B5:B7"/>
    <mergeCell ref="C5:C6"/>
    <mergeCell ref="C27:F28"/>
    <mergeCell ref="G27:H28"/>
    <mergeCell ref="A29:A31"/>
    <mergeCell ref="B29:B31"/>
    <mergeCell ref="C29:C30"/>
    <mergeCell ref="B61:H61"/>
    <mergeCell ref="B62:J62"/>
    <mergeCell ref="B63:J63"/>
    <mergeCell ref="A65:J65"/>
    <mergeCell ref="B54:J54"/>
    <mergeCell ref="B55:J55"/>
    <mergeCell ref="B58:J58"/>
    <mergeCell ref="B59:J59"/>
    <mergeCell ref="B60:H60"/>
    <mergeCell ref="J60:P60"/>
    <mergeCell ref="B56:J56"/>
  </mergeCells>
  <hyperlinks>
    <hyperlink ref="B51" location="VAUPES!A40" display="Ver Nota Informativa" xr:uid="{00000000-0004-0000-15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H31"/>
  <sheetViews>
    <sheetView showGridLines="0" zoomScale="85" zoomScaleNormal="85" workbookViewId="0">
      <selection activeCell="C8" sqref="C8"/>
    </sheetView>
  </sheetViews>
  <sheetFormatPr baseColWidth="10" defaultRowHeight="15.05" x14ac:dyDescent="0.3"/>
  <cols>
    <col min="1" max="1" width="65.77734375" customWidth="1"/>
    <col min="2" max="2" width="32.33203125" customWidth="1"/>
    <col min="3" max="3" width="31" customWidth="1"/>
    <col min="4" max="4" width="32.77734375" hidden="1" customWidth="1"/>
    <col min="7" max="8" width="0" hidden="1" customWidth="1"/>
  </cols>
  <sheetData>
    <row r="1" spans="1:7" x14ac:dyDescent="0.3">
      <c r="A1" s="751" t="s">
        <v>321</v>
      </c>
      <c r="B1" s="751"/>
      <c r="C1" s="751"/>
      <c r="D1" s="751"/>
      <c r="E1" s="327">
        <v>2826.91</v>
      </c>
    </row>
    <row r="2" spans="1:7" x14ac:dyDescent="0.3">
      <c r="A2" s="751" t="s">
        <v>322</v>
      </c>
      <c r="B2" s="751"/>
      <c r="C2" s="751"/>
      <c r="D2" s="751"/>
      <c r="E2" s="326"/>
    </row>
    <row r="3" spans="1:7" x14ac:dyDescent="0.3">
      <c r="A3" s="751" t="s">
        <v>323</v>
      </c>
      <c r="B3" s="751"/>
      <c r="C3" s="751"/>
      <c r="D3" s="751"/>
      <c r="E3" s="326"/>
    </row>
    <row r="4" spans="1:7" x14ac:dyDescent="0.3">
      <c r="A4" s="325"/>
      <c r="B4" s="325"/>
      <c r="C4" s="326"/>
      <c r="D4" s="326"/>
      <c r="E4" s="326"/>
    </row>
    <row r="5" spans="1:7" ht="15.75" thickBot="1" x14ac:dyDescent="0.35">
      <c r="A5" s="328" t="str">
        <f>+AMAZONAS!C1</f>
        <v>Vigencia: 14 de Agosto de 2021; 00:00 horas</v>
      </c>
      <c r="B5" s="325"/>
      <c r="C5" s="326"/>
      <c r="D5" s="326"/>
      <c r="E5" s="326"/>
    </row>
    <row r="6" spans="1:7" ht="15.9" customHeight="1" thickTop="1" x14ac:dyDescent="0.3">
      <c r="A6" s="752" t="s">
        <v>324</v>
      </c>
      <c r="B6" s="754" t="s">
        <v>519</v>
      </c>
      <c r="C6" s="754" t="s">
        <v>520</v>
      </c>
      <c r="D6" s="756" t="s">
        <v>434</v>
      </c>
      <c r="E6" s="326"/>
    </row>
    <row r="7" spans="1:7" ht="31.6" customHeight="1" x14ac:dyDescent="0.3">
      <c r="A7" s="753"/>
      <c r="B7" s="755"/>
      <c r="C7" s="755"/>
      <c r="D7" s="693"/>
      <c r="E7" s="326"/>
    </row>
    <row r="8" spans="1:7" x14ac:dyDescent="0.3">
      <c r="A8" s="339" t="s">
        <v>325</v>
      </c>
      <c r="B8" s="340">
        <f>+BIODIESEL!C6</f>
        <v>4479.59</v>
      </c>
      <c r="C8" s="341">
        <f>+BIODIESEL!E9</f>
        <v>4723.12</v>
      </c>
      <c r="D8" s="342">
        <f>+BIODIESEL!G9</f>
        <v>5697.2049999999999</v>
      </c>
      <c r="E8" s="326"/>
      <c r="G8" s="453" t="s">
        <v>445</v>
      </c>
    </row>
    <row r="9" spans="1:7" x14ac:dyDescent="0.3">
      <c r="A9" s="339" t="s">
        <v>326</v>
      </c>
      <c r="B9" s="341" t="s">
        <v>136</v>
      </c>
      <c r="C9" s="341" t="s">
        <v>136</v>
      </c>
      <c r="D9" s="342" t="s">
        <v>136</v>
      </c>
      <c r="E9" s="326"/>
    </row>
    <row r="10" spans="1:7" x14ac:dyDescent="0.3">
      <c r="A10" s="339" t="s">
        <v>327</v>
      </c>
      <c r="B10" s="341">
        <f>+BIODIESEL!C12</f>
        <v>179</v>
      </c>
      <c r="C10" s="341">
        <f>+BIODIESEL!E12</f>
        <v>175.42</v>
      </c>
      <c r="D10" s="342">
        <f>+BIODIESEL!G12</f>
        <v>161.1</v>
      </c>
      <c r="E10" s="326"/>
    </row>
    <row r="11" spans="1:7" x14ac:dyDescent="0.3">
      <c r="A11" s="339" t="s">
        <v>328</v>
      </c>
      <c r="B11" s="343">
        <f>+BIODIESEL!D13</f>
        <v>8.3842000000000017</v>
      </c>
      <c r="C11" s="343">
        <f>+BIODIESEL!E13</f>
        <v>8.3842000000000017</v>
      </c>
      <c r="D11" s="344">
        <f>+C11</f>
        <v>8.3842000000000017</v>
      </c>
      <c r="E11" s="326"/>
    </row>
    <row r="12" spans="1:7" x14ac:dyDescent="0.3">
      <c r="A12" s="345" t="s">
        <v>329</v>
      </c>
      <c r="B12" s="346" t="s">
        <v>132</v>
      </c>
      <c r="C12" s="346" t="s">
        <v>132</v>
      </c>
      <c r="D12" s="347" t="s">
        <v>132</v>
      </c>
      <c r="E12" s="326"/>
    </row>
    <row r="13" spans="1:7" hidden="1" x14ac:dyDescent="0.3">
      <c r="A13" s="348" t="s">
        <v>330</v>
      </c>
      <c r="B13" s="343"/>
      <c r="C13" s="343"/>
      <c r="D13" s="344"/>
      <c r="E13" s="326"/>
    </row>
    <row r="14" spans="1:7" x14ac:dyDescent="0.3">
      <c r="A14" s="345" t="s">
        <v>331</v>
      </c>
      <c r="B14" s="346" t="s">
        <v>210</v>
      </c>
      <c r="C14" s="346" t="s">
        <v>210</v>
      </c>
      <c r="D14" s="347" t="s">
        <v>210</v>
      </c>
      <c r="E14" s="326"/>
    </row>
    <row r="15" spans="1:7" x14ac:dyDescent="0.3">
      <c r="A15" s="345" t="s">
        <v>332</v>
      </c>
      <c r="B15" s="343" t="s">
        <v>147</v>
      </c>
      <c r="C15" s="343" t="s">
        <v>147</v>
      </c>
      <c r="D15" s="344" t="s">
        <v>147</v>
      </c>
      <c r="E15" s="326"/>
    </row>
    <row r="16" spans="1:7" x14ac:dyDescent="0.3">
      <c r="A16" s="345" t="s">
        <v>333</v>
      </c>
      <c r="B16" s="343" t="s">
        <v>139</v>
      </c>
      <c r="C16" s="343" t="s">
        <v>139</v>
      </c>
      <c r="D16" s="344" t="s">
        <v>139</v>
      </c>
      <c r="E16" s="326"/>
    </row>
    <row r="17" spans="1:8" ht="15.75" thickBot="1" x14ac:dyDescent="0.35">
      <c r="A17" s="349" t="s">
        <v>334</v>
      </c>
      <c r="B17" s="350" t="s">
        <v>237</v>
      </c>
      <c r="C17" s="350" t="s">
        <v>237</v>
      </c>
      <c r="D17" s="351" t="s">
        <v>237</v>
      </c>
      <c r="E17" s="326"/>
    </row>
    <row r="18" spans="1:8" ht="15.75" thickTop="1" x14ac:dyDescent="0.3">
      <c r="A18" s="338" t="s">
        <v>335</v>
      </c>
      <c r="B18" s="329"/>
      <c r="C18" s="326"/>
      <c r="D18" s="326"/>
      <c r="E18" s="326"/>
    </row>
    <row r="19" spans="1:8" x14ac:dyDescent="0.3">
      <c r="A19" s="330" t="s">
        <v>171</v>
      </c>
      <c r="B19" s="331"/>
      <c r="C19" s="326"/>
      <c r="D19" s="326"/>
      <c r="E19" s="326"/>
    </row>
    <row r="20" spans="1:8" x14ac:dyDescent="0.3">
      <c r="A20" s="286" t="s">
        <v>248</v>
      </c>
      <c r="B20" s="331"/>
      <c r="C20" s="326"/>
      <c r="D20" s="326"/>
      <c r="E20" s="326"/>
    </row>
    <row r="21" spans="1:8" x14ac:dyDescent="0.3">
      <c r="A21" s="332" t="s">
        <v>336</v>
      </c>
      <c r="B21" s="333"/>
      <c r="C21" s="326"/>
      <c r="D21" s="326"/>
      <c r="E21" s="326"/>
    </row>
    <row r="22" spans="1:8" x14ac:dyDescent="0.3">
      <c r="A22" s="332" t="s">
        <v>337</v>
      </c>
      <c r="B22" s="334"/>
      <c r="C22" s="326"/>
      <c r="D22" s="468"/>
      <c r="E22" s="326"/>
    </row>
    <row r="23" spans="1:8" x14ac:dyDescent="0.3">
      <c r="A23" s="332" t="s">
        <v>338</v>
      </c>
      <c r="B23" s="335"/>
      <c r="C23" s="326"/>
      <c r="D23" s="326"/>
      <c r="E23" s="326"/>
    </row>
    <row r="24" spans="1:8" ht="11.95" customHeight="1" x14ac:dyDescent="0.3">
      <c r="A24" s="332"/>
      <c r="B24" s="335"/>
      <c r="C24" s="326"/>
      <c r="D24" s="326"/>
      <c r="E24" s="326"/>
    </row>
    <row r="25" spans="1:8" x14ac:dyDescent="0.3">
      <c r="A25" s="330" t="s">
        <v>339</v>
      </c>
      <c r="B25" s="330"/>
      <c r="C25" s="326"/>
      <c r="D25" s="326"/>
      <c r="E25" s="326"/>
    </row>
    <row r="26" spans="1:8" x14ac:dyDescent="0.3">
      <c r="A26" s="330" t="s">
        <v>340</v>
      </c>
      <c r="B26" s="330"/>
      <c r="C26" s="326"/>
      <c r="D26" s="326"/>
      <c r="E26" s="326"/>
    </row>
    <row r="27" spans="1:8" x14ac:dyDescent="0.3">
      <c r="A27" s="757" t="s">
        <v>356</v>
      </c>
      <c r="B27" s="757"/>
      <c r="C27" s="757"/>
      <c r="D27" s="757"/>
      <c r="E27" s="757"/>
    </row>
    <row r="28" spans="1:8" ht="41.4" customHeight="1" x14ac:dyDescent="0.3">
      <c r="A28" s="757"/>
      <c r="B28" s="757"/>
      <c r="C28" s="757"/>
      <c r="D28" s="757"/>
      <c r="E28" s="757"/>
    </row>
    <row r="29" spans="1:8" x14ac:dyDescent="0.3">
      <c r="A29" s="739" t="s">
        <v>495</v>
      </c>
      <c r="B29" s="739"/>
      <c r="C29" s="739"/>
      <c r="D29" s="739"/>
      <c r="E29" s="739"/>
      <c r="F29" s="739"/>
      <c r="G29" s="739"/>
      <c r="H29" s="739"/>
    </row>
    <row r="30" spans="1:8" x14ac:dyDescent="0.3">
      <c r="A30" s="336" t="s">
        <v>171</v>
      </c>
      <c r="B30" s="337"/>
      <c r="C30" s="326"/>
      <c r="D30" s="326"/>
      <c r="E30" s="326"/>
    </row>
    <row r="31" spans="1:8" ht="90" customHeight="1" x14ac:dyDescent="0.3">
      <c r="A31" s="661" t="s">
        <v>160</v>
      </c>
      <c r="B31" s="661"/>
      <c r="C31" s="661"/>
      <c r="D31" s="661"/>
      <c r="E31" s="661"/>
    </row>
  </sheetData>
  <sheetProtection algorithmName="SHA-512" hashValue="xTWO/DrcIMdxQXxf7G2LI0lSI1dAKSTXK2Uh6AqVRq0RKbrws9rorO2UszYoBMlDCpnAqXv7gZ+sSGQdzIot6Q==" saltValue="aQro1s9cEyYMikFjVhOYOg==" spinCount="100000" sheet="1" objects="1" scenarios="1"/>
  <mergeCells count="10">
    <mergeCell ref="A1:D1"/>
    <mergeCell ref="A2:D2"/>
    <mergeCell ref="A3:D3"/>
    <mergeCell ref="A31:E31"/>
    <mergeCell ref="A6:A7"/>
    <mergeCell ref="C6:C7"/>
    <mergeCell ref="D6:D7"/>
    <mergeCell ref="A27:E28"/>
    <mergeCell ref="B6:B7"/>
    <mergeCell ref="A29:H29"/>
  </mergeCells>
  <hyperlinks>
    <hyperlink ref="A20" location="ELECTROCOMBUSTIBLE!A31" display="Ver Nota Informativa" xr:uid="{00000000-0004-0000-16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zoomScale="70" zoomScaleNormal="70" workbookViewId="0">
      <selection activeCell="P21" sqref="P21"/>
    </sheetView>
  </sheetViews>
  <sheetFormatPr baseColWidth="10" defaultColWidth="11.33203125" defaultRowHeight="15.05" x14ac:dyDescent="0.3"/>
  <cols>
    <col min="1" max="1" width="8.88671875" style="373" customWidth="1"/>
    <col min="2" max="2" width="9.6640625" style="373" customWidth="1"/>
    <col min="3" max="3" width="8.33203125" style="373" customWidth="1"/>
    <col min="4" max="4" width="4.6640625" style="373" customWidth="1"/>
    <col min="5" max="5" width="8.21875" style="373" customWidth="1"/>
    <col min="6" max="6" width="10.21875" style="373" customWidth="1"/>
    <col min="7" max="12" width="4.6640625" style="373" customWidth="1"/>
    <col min="13" max="13" width="10.21875" style="373" bestFit="1" customWidth="1"/>
    <col min="14" max="14" width="9" style="373" customWidth="1"/>
    <col min="15" max="15" width="15.77734375" style="373" customWidth="1"/>
    <col min="16" max="16" width="15.21875" style="375" customWidth="1"/>
    <col min="17" max="17" width="9.88671875" style="373" customWidth="1"/>
    <col min="18" max="18" width="13.33203125" style="373" bestFit="1" customWidth="1"/>
    <col min="19" max="19" width="17.109375" style="373" bestFit="1" customWidth="1"/>
    <col min="20" max="20" width="7.109375" style="373" customWidth="1"/>
    <col min="21" max="22" width="10.77734375" style="376" bestFit="1" customWidth="1"/>
    <col min="23" max="16384" width="11.33203125" style="373"/>
  </cols>
  <sheetData>
    <row r="1" spans="1:26" x14ac:dyDescent="0.3">
      <c r="A1" s="373" t="s">
        <v>375</v>
      </c>
      <c r="B1" s="373" t="s">
        <v>376</v>
      </c>
      <c r="C1" s="373" t="s">
        <v>377</v>
      </c>
      <c r="D1" s="373" t="s">
        <v>378</v>
      </c>
      <c r="E1" s="373" t="s">
        <v>379</v>
      </c>
      <c r="F1" s="373" t="s">
        <v>380</v>
      </c>
      <c r="G1" s="373" t="s">
        <v>381</v>
      </c>
      <c r="H1" s="373" t="s">
        <v>382</v>
      </c>
      <c r="I1" s="373" t="s">
        <v>383</v>
      </c>
      <c r="J1" s="373" t="s">
        <v>384</v>
      </c>
      <c r="K1" s="373" t="s">
        <v>385</v>
      </c>
      <c r="L1" s="373" t="s">
        <v>386</v>
      </c>
      <c r="M1" s="373" t="s">
        <v>387</v>
      </c>
      <c r="N1" s="373" t="s">
        <v>388</v>
      </c>
      <c r="O1" s="374" t="s">
        <v>389</v>
      </c>
      <c r="P1" s="375" t="s">
        <v>390</v>
      </c>
      <c r="Q1" s="373" t="s">
        <v>391</v>
      </c>
      <c r="R1" s="373" t="s">
        <v>392</v>
      </c>
      <c r="S1" s="373" t="s">
        <v>393</v>
      </c>
      <c r="T1" s="373" t="s">
        <v>394</v>
      </c>
      <c r="U1" s="376" t="s">
        <v>395</v>
      </c>
      <c r="V1" s="376" t="s">
        <v>396</v>
      </c>
    </row>
    <row r="2" spans="1:26" x14ac:dyDescent="0.3">
      <c r="A2" s="396" t="s">
        <v>397</v>
      </c>
      <c r="B2" s="396">
        <v>543</v>
      </c>
      <c r="C2" s="396" t="s">
        <v>398</v>
      </c>
      <c r="D2" s="396"/>
      <c r="E2" s="396"/>
      <c r="F2" s="396" t="s">
        <v>171</v>
      </c>
      <c r="G2" s="396"/>
      <c r="H2" s="396"/>
      <c r="I2" s="396"/>
      <c r="J2" s="396"/>
      <c r="K2" s="396"/>
      <c r="L2" s="396"/>
      <c r="M2" s="440" t="str">
        <f>+'Calculo IP ZDF'!J28</f>
        <v>Z61</v>
      </c>
      <c r="N2" s="396"/>
      <c r="O2" s="378">
        <f>+'Calculo IP ZDF'!B49</f>
        <v>30000002129</v>
      </c>
      <c r="P2" s="441">
        <f>ROUND('Calculo IP ZDF'!D28,2)</f>
        <v>4135.38</v>
      </c>
      <c r="Q2" s="396" t="s">
        <v>399</v>
      </c>
      <c r="R2" s="396">
        <v>1</v>
      </c>
      <c r="S2" s="396" t="s">
        <v>400</v>
      </c>
      <c r="T2" s="396" t="s">
        <v>401</v>
      </c>
      <c r="U2" s="377" t="str">
        <f>+'Calculo IP ZDF'!B46</f>
        <v>14.07.2021</v>
      </c>
      <c r="V2" s="377" t="str">
        <f>+'Calculo IP ZDF'!C46</f>
        <v>25.08.2021</v>
      </c>
      <c r="X2" s="373">
        <v>4242.59</v>
      </c>
      <c r="Y2" s="373">
        <f>+P2-X2</f>
        <v>-107.21000000000004</v>
      </c>
      <c r="Z2" s="467" t="s">
        <v>447</v>
      </c>
    </row>
    <row r="3" spans="1:26" x14ac:dyDescent="0.3">
      <c r="A3" s="373" t="s">
        <v>397</v>
      </c>
      <c r="B3" s="373">
        <v>543</v>
      </c>
      <c r="C3" s="373" t="s">
        <v>398</v>
      </c>
      <c r="F3" s="373" t="s">
        <v>171</v>
      </c>
      <c r="M3" s="379" t="str">
        <f>+'Calculo IP ZDF'!J29</f>
        <v>Z68</v>
      </c>
      <c r="O3" s="378">
        <f>+O2</f>
        <v>30000002129</v>
      </c>
      <c r="P3" s="374">
        <f>ROUND('Calculo IP ZDF'!D29,2)</f>
        <v>3916.76</v>
      </c>
      <c r="Q3" s="373" t="s">
        <v>399</v>
      </c>
      <c r="R3" s="373">
        <v>1</v>
      </c>
      <c r="S3" s="373" t="s">
        <v>400</v>
      </c>
      <c r="T3" s="373" t="s">
        <v>401</v>
      </c>
      <c r="U3" s="377" t="str">
        <f>+U2</f>
        <v>14.07.2021</v>
      </c>
      <c r="V3" s="377" t="str">
        <f>+V2</f>
        <v>25.08.2021</v>
      </c>
      <c r="X3" s="373">
        <v>4026.31</v>
      </c>
      <c r="Y3" s="373">
        <f t="shared" ref="Y3:Y46" si="0">+P3-X3</f>
        <v>-109.54999999999973</v>
      </c>
      <c r="Z3" s="467" t="s">
        <v>447</v>
      </c>
    </row>
    <row r="4" spans="1:26" x14ac:dyDescent="0.3">
      <c r="A4" s="373" t="s">
        <v>397</v>
      </c>
      <c r="B4" s="373">
        <v>543</v>
      </c>
      <c r="C4" s="373" t="s">
        <v>398</v>
      </c>
      <c r="M4" s="379" t="str">
        <f>+'Calculo IP ZDF'!J30</f>
        <v>Z67</v>
      </c>
      <c r="O4" s="378">
        <f t="shared" ref="O4:O27" si="1">+O3</f>
        <v>30000002129</v>
      </c>
      <c r="P4" s="374">
        <f>ROUND('Calculo IP ZDF'!D30,2)</f>
        <v>4216.59</v>
      </c>
      <c r="Q4" s="373" t="s">
        <v>399</v>
      </c>
      <c r="R4" s="373">
        <v>1</v>
      </c>
      <c r="S4" s="373" t="s">
        <v>400</v>
      </c>
      <c r="T4" s="373" t="s">
        <v>401</v>
      </c>
      <c r="U4" s="377" t="str">
        <f t="shared" ref="U4:V20" si="2">+U3</f>
        <v>14.07.2021</v>
      </c>
      <c r="V4" s="377" t="str">
        <f t="shared" si="2"/>
        <v>25.08.2021</v>
      </c>
      <c r="X4" s="373">
        <v>4147.91</v>
      </c>
      <c r="Y4" s="373">
        <f t="shared" si="0"/>
        <v>68.680000000000291</v>
      </c>
      <c r="Z4" s="467" t="s">
        <v>447</v>
      </c>
    </row>
    <row r="5" spans="1:26" x14ac:dyDescent="0.3">
      <c r="A5" s="434" t="s">
        <v>397</v>
      </c>
      <c r="B5" s="434">
        <v>543</v>
      </c>
      <c r="C5" s="434" t="s">
        <v>398</v>
      </c>
      <c r="D5" s="434"/>
      <c r="E5" s="434"/>
      <c r="F5" s="434"/>
      <c r="G5" s="434"/>
      <c r="H5" s="434"/>
      <c r="I5" s="434"/>
      <c r="J5" s="434"/>
      <c r="K5" s="434"/>
      <c r="L5" s="434"/>
      <c r="M5" s="433" t="str">
        <f>+'Calculo IP ZDF'!J31</f>
        <v xml:space="preserve">Z64  </v>
      </c>
      <c r="N5" s="434"/>
      <c r="O5" s="435">
        <f t="shared" si="1"/>
        <v>30000002129</v>
      </c>
      <c r="P5" s="436">
        <f>ROUND('Calculo IP ZDF'!D31,2)</f>
        <v>4390</v>
      </c>
      <c r="Q5" s="434" t="s">
        <v>399</v>
      </c>
      <c r="R5" s="434">
        <v>1</v>
      </c>
      <c r="S5" s="434" t="s">
        <v>400</v>
      </c>
      <c r="T5" s="434" t="s">
        <v>401</v>
      </c>
      <c r="U5" s="437" t="str">
        <f t="shared" si="2"/>
        <v>14.07.2021</v>
      </c>
      <c r="V5" s="437" t="str">
        <f t="shared" si="2"/>
        <v>25.08.2021</v>
      </c>
      <c r="X5" s="373">
        <v>4618.07</v>
      </c>
      <c r="Y5" s="373">
        <f t="shared" si="0"/>
        <v>-228.06999999999971</v>
      </c>
      <c r="Z5" s="467" t="s">
        <v>447</v>
      </c>
    </row>
    <row r="6" spans="1:26" x14ac:dyDescent="0.3">
      <c r="A6" s="373" t="s">
        <v>397</v>
      </c>
      <c r="B6" s="373">
        <v>543</v>
      </c>
      <c r="C6" s="373" t="s">
        <v>398</v>
      </c>
      <c r="M6" s="379" t="s">
        <v>439</v>
      </c>
      <c r="O6" s="378">
        <f t="shared" si="1"/>
        <v>30000002129</v>
      </c>
      <c r="P6" s="374">
        <f>ROUND('Calculo IP ZDF'!D32,2)</f>
        <v>4052.41</v>
      </c>
      <c r="Q6" s="373" t="s">
        <v>399</v>
      </c>
      <c r="R6" s="373">
        <v>1</v>
      </c>
      <c r="S6" s="373" t="s">
        <v>400</v>
      </c>
      <c r="T6" s="373" t="s">
        <v>401</v>
      </c>
      <c r="U6" s="377" t="str">
        <f t="shared" si="2"/>
        <v>14.07.2021</v>
      </c>
      <c r="V6" s="377" t="str">
        <f t="shared" si="2"/>
        <v>25.08.2021</v>
      </c>
      <c r="X6" s="373">
        <v>4029.1</v>
      </c>
      <c r="Y6" s="373">
        <f t="shared" si="0"/>
        <v>23.309999999999945</v>
      </c>
      <c r="Z6" s="467" t="s">
        <v>447</v>
      </c>
    </row>
    <row r="7" spans="1:26" x14ac:dyDescent="0.3">
      <c r="A7" s="373" t="s">
        <v>397</v>
      </c>
      <c r="B7" s="373">
        <v>543</v>
      </c>
      <c r="C7" s="373" t="s">
        <v>398</v>
      </c>
      <c r="M7" s="379" t="str">
        <f>+'Calculo IP ZDF'!J33</f>
        <v>Z65</v>
      </c>
      <c r="O7" s="378">
        <f t="shared" si="1"/>
        <v>30000002129</v>
      </c>
      <c r="P7" s="374">
        <f>ROUND('Calculo IP ZDF'!D33,2)</f>
        <v>4134.5</v>
      </c>
      <c r="Q7" s="373" t="s">
        <v>399</v>
      </c>
      <c r="R7" s="373">
        <v>1</v>
      </c>
      <c r="S7" s="373" t="s">
        <v>400</v>
      </c>
      <c r="T7" s="373" t="s">
        <v>401</v>
      </c>
      <c r="U7" s="377" t="str">
        <f t="shared" si="2"/>
        <v>14.07.2021</v>
      </c>
      <c r="V7" s="377" t="str">
        <f t="shared" si="2"/>
        <v>25.08.2021</v>
      </c>
      <c r="X7" s="373">
        <v>4618.07</v>
      </c>
      <c r="Y7" s="373">
        <f t="shared" si="0"/>
        <v>-483.56999999999971</v>
      </c>
      <c r="Z7" s="467" t="s">
        <v>447</v>
      </c>
    </row>
    <row r="8" spans="1:26" x14ac:dyDescent="0.3">
      <c r="A8" s="373" t="s">
        <v>397</v>
      </c>
      <c r="B8" s="373">
        <v>543</v>
      </c>
      <c r="C8" s="373" t="s">
        <v>398</v>
      </c>
      <c r="M8" s="379" t="str">
        <f>+'Calculo IP ZDF'!J34</f>
        <v>Z69</v>
      </c>
      <c r="O8" s="378">
        <f t="shared" si="1"/>
        <v>30000002129</v>
      </c>
      <c r="P8" s="374">
        <f>ROUND('Calculo IP ZDF'!D34,2)</f>
        <v>4192.45</v>
      </c>
      <c r="Q8" s="373" t="s">
        <v>399</v>
      </c>
      <c r="R8" s="373">
        <v>1</v>
      </c>
      <c r="S8" s="373" t="s">
        <v>400</v>
      </c>
      <c r="T8" s="373" t="s">
        <v>401</v>
      </c>
      <c r="U8" s="377" t="str">
        <f t="shared" si="2"/>
        <v>14.07.2021</v>
      </c>
      <c r="V8" s="377" t="str">
        <f t="shared" si="2"/>
        <v>25.08.2021</v>
      </c>
      <c r="X8" s="373">
        <v>4413.8599999999997</v>
      </c>
      <c r="Y8" s="373">
        <f t="shared" si="0"/>
        <v>-221.40999999999985</v>
      </c>
      <c r="Z8" s="467" t="s">
        <v>447</v>
      </c>
    </row>
    <row r="9" spans="1:26" x14ac:dyDescent="0.3">
      <c r="A9" s="373" t="s">
        <v>397</v>
      </c>
      <c r="B9" s="373">
        <v>543</v>
      </c>
      <c r="C9" s="373" t="s">
        <v>398</v>
      </c>
      <c r="M9" s="379" t="str">
        <f>+'Calculo IP ZDF'!J36</f>
        <v>Z62</v>
      </c>
      <c r="O9" s="378">
        <f>+O8</f>
        <v>30000002129</v>
      </c>
      <c r="P9" s="374">
        <f>ROUND('Calculo IP ZDF'!D36,2)</f>
        <v>4134.5</v>
      </c>
      <c r="Q9" s="373" t="s">
        <v>399</v>
      </c>
      <c r="R9" s="373">
        <v>1</v>
      </c>
      <c r="S9" s="373" t="s">
        <v>400</v>
      </c>
      <c r="T9" s="373" t="s">
        <v>401</v>
      </c>
      <c r="U9" s="377" t="str">
        <f>+U8</f>
        <v>14.07.2021</v>
      </c>
      <c r="V9" s="377" t="str">
        <f>+V8</f>
        <v>25.08.2021</v>
      </c>
      <c r="X9" s="373">
        <v>4406.43</v>
      </c>
      <c r="Y9" s="373">
        <f t="shared" si="0"/>
        <v>-271.93000000000029</v>
      </c>
      <c r="Z9" s="467" t="s">
        <v>447</v>
      </c>
    </row>
    <row r="10" spans="1:26" s="386" customFormat="1" x14ac:dyDescent="0.3">
      <c r="A10" s="386" t="s">
        <v>397</v>
      </c>
      <c r="B10" s="386">
        <v>543</v>
      </c>
      <c r="C10" s="386" t="s">
        <v>398</v>
      </c>
      <c r="M10" s="387" t="str">
        <f>+M9</f>
        <v>Z62</v>
      </c>
      <c r="O10" s="388">
        <f>+'Calculo IP ZDF'!B51</f>
        <v>30000009250</v>
      </c>
      <c r="P10" s="389">
        <f>+P9</f>
        <v>4134.5</v>
      </c>
      <c r="Q10" s="386" t="s">
        <v>399</v>
      </c>
      <c r="R10" s="386">
        <v>1</v>
      </c>
      <c r="S10" s="386" t="s">
        <v>400</v>
      </c>
      <c r="T10" s="386" t="s">
        <v>401</v>
      </c>
      <c r="U10" s="390" t="str">
        <f>+U9</f>
        <v>14.07.2021</v>
      </c>
      <c r="V10" s="390" t="str">
        <f>+V9</f>
        <v>25.08.2021</v>
      </c>
      <c r="X10" s="386">
        <v>4406.43</v>
      </c>
      <c r="Y10" s="373">
        <f t="shared" si="0"/>
        <v>-271.93000000000029</v>
      </c>
      <c r="Z10" s="386" t="s">
        <v>447</v>
      </c>
    </row>
    <row r="11" spans="1:26" x14ac:dyDescent="0.3">
      <c r="A11" s="373" t="s">
        <v>397</v>
      </c>
      <c r="B11" s="373">
        <v>543</v>
      </c>
      <c r="C11" s="373" t="s">
        <v>398</v>
      </c>
      <c r="M11" s="379" t="str">
        <f>+'Calculo IP ZDF'!J37</f>
        <v>Z60</v>
      </c>
      <c r="O11" s="378">
        <f>+O2</f>
        <v>30000002129</v>
      </c>
      <c r="P11" s="374">
        <f>ROUND('Calculo IP ZDF'!D37,2)</f>
        <v>4052.41</v>
      </c>
      <c r="Q11" s="373" t="s">
        <v>399</v>
      </c>
      <c r="R11" s="373">
        <v>1</v>
      </c>
      <c r="S11" s="373" t="s">
        <v>400</v>
      </c>
      <c r="T11" s="373" t="s">
        <v>401</v>
      </c>
      <c r="U11" s="377" t="str">
        <f>+U9</f>
        <v>14.07.2021</v>
      </c>
      <c r="V11" s="377" t="str">
        <f>+V9</f>
        <v>25.08.2021</v>
      </c>
      <c r="X11" s="373">
        <v>4334.03</v>
      </c>
      <c r="Y11" s="373">
        <f t="shared" si="0"/>
        <v>-281.61999999999989</v>
      </c>
      <c r="Z11" s="467" t="s">
        <v>447</v>
      </c>
    </row>
    <row r="12" spans="1:26" x14ac:dyDescent="0.3">
      <c r="A12" s="396" t="s">
        <v>397</v>
      </c>
      <c r="B12" s="396">
        <v>543</v>
      </c>
      <c r="C12" s="396" t="s">
        <v>398</v>
      </c>
      <c r="D12" s="396"/>
      <c r="E12" s="396"/>
      <c r="F12" s="396"/>
      <c r="G12" s="396"/>
      <c r="H12" s="396"/>
      <c r="I12" s="396"/>
      <c r="J12" s="396"/>
      <c r="K12" s="396"/>
      <c r="L12" s="396"/>
      <c r="M12" s="440" t="str">
        <f>+'Calculo IP ZDF'!J38</f>
        <v>Z63</v>
      </c>
      <c r="N12" s="396"/>
      <c r="O12" s="378">
        <f t="shared" si="1"/>
        <v>30000002129</v>
      </c>
      <c r="P12" s="441">
        <f>ROUND('Calculo IP ZDF'!D38,2)</f>
        <v>4134.5</v>
      </c>
      <c r="Q12" s="396" t="s">
        <v>399</v>
      </c>
      <c r="R12" s="396">
        <v>1</v>
      </c>
      <c r="S12" s="396" t="s">
        <v>400</v>
      </c>
      <c r="T12" s="396" t="s">
        <v>401</v>
      </c>
      <c r="U12" s="377" t="str">
        <f>+U11</f>
        <v>14.07.2021</v>
      </c>
      <c r="V12" s="377" t="str">
        <f>+'Calculo IP ZDF'!C46</f>
        <v>25.08.2021</v>
      </c>
      <c r="X12" s="373">
        <v>4399.01</v>
      </c>
      <c r="Y12" s="373">
        <f t="shared" si="0"/>
        <v>-264.51000000000022</v>
      </c>
      <c r="Z12" s="467" t="s">
        <v>447</v>
      </c>
    </row>
    <row r="13" spans="1:26" x14ac:dyDescent="0.3">
      <c r="A13" s="373" t="s">
        <v>397</v>
      </c>
      <c r="B13" s="373">
        <v>543</v>
      </c>
      <c r="C13" s="373" t="s">
        <v>398</v>
      </c>
      <c r="M13" s="379" t="str">
        <f>+'Calculo IP ZDF'!J39</f>
        <v>Z70</v>
      </c>
      <c r="O13" s="378">
        <f t="shared" si="1"/>
        <v>30000002129</v>
      </c>
      <c r="P13" s="374">
        <f>ROUND('Calculo IP ZDF'!D39,2)</f>
        <v>4052.41</v>
      </c>
      <c r="Q13" s="373" t="s">
        <v>399</v>
      </c>
      <c r="R13" s="373">
        <v>1</v>
      </c>
      <c r="S13" s="373" t="s">
        <v>400</v>
      </c>
      <c r="T13" s="373" t="s">
        <v>401</v>
      </c>
      <c r="U13" s="377" t="str">
        <f t="shared" si="2"/>
        <v>14.07.2021</v>
      </c>
      <c r="V13" s="377" t="str">
        <f t="shared" si="2"/>
        <v>25.08.2021</v>
      </c>
      <c r="X13" s="373">
        <v>4618.07</v>
      </c>
      <c r="Y13" s="373">
        <f t="shared" si="0"/>
        <v>-565.65999999999985</v>
      </c>
      <c r="Z13" s="467" t="s">
        <v>447</v>
      </c>
    </row>
    <row r="14" spans="1:26" x14ac:dyDescent="0.3">
      <c r="A14" s="373" t="s">
        <v>397</v>
      </c>
      <c r="B14" s="373">
        <v>543</v>
      </c>
      <c r="C14" s="373" t="s">
        <v>398</v>
      </c>
      <c r="M14" s="379" t="str">
        <f>+'Calculo IP ZDF'!J40</f>
        <v>Z75</v>
      </c>
      <c r="O14" s="378">
        <f t="shared" si="1"/>
        <v>30000002129</v>
      </c>
      <c r="P14" s="374">
        <f>ROUND('Calculo IP ZDF'!D40,2)</f>
        <v>3907.1</v>
      </c>
      <c r="Q14" s="373" t="s">
        <v>399</v>
      </c>
      <c r="R14" s="373">
        <v>1</v>
      </c>
      <c r="S14" s="373" t="s">
        <v>400</v>
      </c>
      <c r="T14" s="373" t="s">
        <v>401</v>
      </c>
      <c r="U14" s="377" t="str">
        <f t="shared" si="2"/>
        <v>14.07.2021</v>
      </c>
      <c r="V14" s="377" t="str">
        <f t="shared" si="2"/>
        <v>25.08.2021</v>
      </c>
      <c r="X14" s="373">
        <v>4017.03</v>
      </c>
      <c r="Y14" s="373">
        <f t="shared" si="0"/>
        <v>-109.93000000000029</v>
      </c>
      <c r="Z14" s="467" t="s">
        <v>447</v>
      </c>
    </row>
    <row r="15" spans="1:26" x14ac:dyDescent="0.3">
      <c r="A15" s="396" t="s">
        <v>402</v>
      </c>
      <c r="B15" s="396">
        <v>543</v>
      </c>
      <c r="C15" s="396" t="s">
        <v>398</v>
      </c>
      <c r="D15" s="396"/>
      <c r="E15" s="396"/>
      <c r="F15" s="396"/>
      <c r="G15" s="396"/>
      <c r="H15" s="396"/>
      <c r="I15" s="396"/>
      <c r="J15" s="396"/>
      <c r="K15" s="396"/>
      <c r="L15" s="396"/>
      <c r="M15" s="440" t="str">
        <f>+'Calculo IP ZDF'!J28</f>
        <v>Z61</v>
      </c>
      <c r="N15" s="396"/>
      <c r="O15" s="378">
        <f t="shared" si="1"/>
        <v>30000002129</v>
      </c>
      <c r="P15" s="442">
        <f>ROUND('Calculo IP ZDF'!E28,2)</f>
        <v>333.12</v>
      </c>
      <c r="Q15" s="396" t="s">
        <v>399</v>
      </c>
      <c r="R15" s="396">
        <v>1</v>
      </c>
      <c r="S15" s="396" t="s">
        <v>400</v>
      </c>
      <c r="T15" s="396" t="s">
        <v>401</v>
      </c>
      <c r="U15" s="377" t="str">
        <f>+U14</f>
        <v>14.07.2021</v>
      </c>
      <c r="V15" s="377" t="str">
        <f>+V12</f>
        <v>25.08.2021</v>
      </c>
      <c r="X15" s="373">
        <v>230.3</v>
      </c>
      <c r="Y15" s="373">
        <f t="shared" si="0"/>
        <v>102.82</v>
      </c>
      <c r="Z15" s="467" t="s">
        <v>447</v>
      </c>
    </row>
    <row r="16" spans="1:26" x14ac:dyDescent="0.3">
      <c r="A16" s="373" t="s">
        <v>402</v>
      </c>
      <c r="B16" s="373">
        <v>543</v>
      </c>
      <c r="C16" s="373" t="s">
        <v>398</v>
      </c>
      <c r="M16" s="379" t="str">
        <f>+'Calculo IP ZDF'!J29</f>
        <v>Z68</v>
      </c>
      <c r="O16" s="378">
        <f t="shared" si="1"/>
        <v>30000002129</v>
      </c>
      <c r="P16" s="375">
        <f>ROUND('Calculo IP ZDF'!E29,2)</f>
        <v>333.12</v>
      </c>
      <c r="Q16" s="373" t="s">
        <v>399</v>
      </c>
      <c r="R16" s="373">
        <v>1</v>
      </c>
      <c r="S16" s="373" t="s">
        <v>400</v>
      </c>
      <c r="T16" s="373" t="s">
        <v>401</v>
      </c>
      <c r="U16" s="377" t="str">
        <f t="shared" si="2"/>
        <v>14.07.2021</v>
      </c>
      <c r="V16" s="377" t="str">
        <f t="shared" si="2"/>
        <v>25.08.2021</v>
      </c>
      <c r="X16" s="373">
        <v>230.3</v>
      </c>
      <c r="Y16" s="373">
        <f t="shared" si="0"/>
        <v>102.82</v>
      </c>
      <c r="Z16" s="467" t="s">
        <v>447</v>
      </c>
    </row>
    <row r="17" spans="1:26" x14ac:dyDescent="0.3">
      <c r="A17" s="373" t="s">
        <v>402</v>
      </c>
      <c r="B17" s="373">
        <v>543</v>
      </c>
      <c r="C17" s="373" t="s">
        <v>398</v>
      </c>
      <c r="M17" s="379" t="str">
        <f>+'Calculo IP ZDF'!J30</f>
        <v>Z67</v>
      </c>
      <c r="O17" s="378">
        <f t="shared" si="1"/>
        <v>30000002129</v>
      </c>
      <c r="P17" s="375">
        <f>ROUND('Calculo IP ZDF'!E30,2)</f>
        <v>333.12</v>
      </c>
      <c r="Q17" s="373" t="s">
        <v>399</v>
      </c>
      <c r="R17" s="373">
        <v>1</v>
      </c>
      <c r="S17" s="373" t="s">
        <v>400</v>
      </c>
      <c r="T17" s="373" t="s">
        <v>401</v>
      </c>
      <c r="U17" s="377" t="str">
        <f t="shared" si="2"/>
        <v>14.07.2021</v>
      </c>
      <c r="V17" s="377" t="str">
        <f t="shared" si="2"/>
        <v>25.08.2021</v>
      </c>
      <c r="X17" s="373">
        <v>230.3</v>
      </c>
      <c r="Y17" s="373">
        <f t="shared" si="0"/>
        <v>102.82</v>
      </c>
      <c r="Z17" s="467" t="s">
        <v>447</v>
      </c>
    </row>
    <row r="18" spans="1:26" x14ac:dyDescent="0.3">
      <c r="A18" s="434" t="s">
        <v>402</v>
      </c>
      <c r="B18" s="434">
        <v>543</v>
      </c>
      <c r="C18" s="434" t="s">
        <v>398</v>
      </c>
      <c r="D18" s="434"/>
      <c r="E18" s="434"/>
      <c r="F18" s="434"/>
      <c r="G18" s="434"/>
      <c r="H18" s="434"/>
      <c r="I18" s="434"/>
      <c r="J18" s="434"/>
      <c r="K18" s="434"/>
      <c r="L18" s="434"/>
      <c r="M18" s="433" t="str">
        <f>+M5</f>
        <v xml:space="preserve">Z64  </v>
      </c>
      <c r="N18" s="434"/>
      <c r="O18" s="435">
        <f t="shared" si="1"/>
        <v>30000002129</v>
      </c>
      <c r="P18" s="397">
        <f>ROUND('Calculo IP ZDF'!E31,2)</f>
        <v>333.12</v>
      </c>
      <c r="Q18" s="434" t="s">
        <v>399</v>
      </c>
      <c r="R18" s="434">
        <v>1</v>
      </c>
      <c r="S18" s="434" t="s">
        <v>400</v>
      </c>
      <c r="T18" s="434" t="s">
        <v>401</v>
      </c>
      <c r="U18" s="437" t="str">
        <f t="shared" si="2"/>
        <v>14.07.2021</v>
      </c>
      <c r="V18" s="437" t="str">
        <f t="shared" si="2"/>
        <v>25.08.2021</v>
      </c>
      <c r="X18" s="373">
        <v>230.3</v>
      </c>
      <c r="Y18" s="373">
        <f t="shared" si="0"/>
        <v>102.82</v>
      </c>
      <c r="Z18" s="467" t="s">
        <v>447</v>
      </c>
    </row>
    <row r="19" spans="1:26" x14ac:dyDescent="0.3">
      <c r="A19" s="373" t="s">
        <v>402</v>
      </c>
      <c r="B19" s="373">
        <v>543</v>
      </c>
      <c r="C19" s="373" t="s">
        <v>398</v>
      </c>
      <c r="M19" s="379" t="str">
        <f>+M6</f>
        <v>Z74</v>
      </c>
      <c r="O19" s="378">
        <f t="shared" si="1"/>
        <v>30000002129</v>
      </c>
      <c r="P19" s="375">
        <f>ROUND('Calculo IP ZDF'!E32,2)</f>
        <v>333.12</v>
      </c>
      <c r="Q19" s="373" t="s">
        <v>399</v>
      </c>
      <c r="R19" s="373">
        <v>1</v>
      </c>
      <c r="S19" s="373" t="s">
        <v>400</v>
      </c>
      <c r="T19" s="373" t="s">
        <v>401</v>
      </c>
      <c r="U19" s="377" t="str">
        <f t="shared" si="2"/>
        <v>14.07.2021</v>
      </c>
      <c r="V19" s="377" t="str">
        <f t="shared" si="2"/>
        <v>25.08.2021</v>
      </c>
      <c r="X19" s="373">
        <v>230.3</v>
      </c>
      <c r="Y19" s="373">
        <f t="shared" si="0"/>
        <v>102.82</v>
      </c>
      <c r="Z19" s="467" t="s">
        <v>447</v>
      </c>
    </row>
    <row r="20" spans="1:26" x14ac:dyDescent="0.3">
      <c r="A20" s="373" t="s">
        <v>402</v>
      </c>
      <c r="B20" s="373">
        <v>543</v>
      </c>
      <c r="C20" s="373" t="s">
        <v>398</v>
      </c>
      <c r="M20" s="379" t="str">
        <f>+'Calculo IP ZDF'!J33</f>
        <v>Z65</v>
      </c>
      <c r="O20" s="378">
        <f t="shared" si="1"/>
        <v>30000002129</v>
      </c>
      <c r="P20" s="375">
        <f>ROUND('Calculo IP ZDF'!E33,2)</f>
        <v>333.12</v>
      </c>
      <c r="Q20" s="373" t="s">
        <v>399</v>
      </c>
      <c r="R20" s="373">
        <v>1</v>
      </c>
      <c r="S20" s="373" t="s">
        <v>400</v>
      </c>
      <c r="T20" s="373" t="s">
        <v>401</v>
      </c>
      <c r="U20" s="377" t="str">
        <f t="shared" si="2"/>
        <v>14.07.2021</v>
      </c>
      <c r="V20" s="377" t="str">
        <f t="shared" si="2"/>
        <v>25.08.2021</v>
      </c>
      <c r="X20" s="373">
        <v>230.3</v>
      </c>
      <c r="Y20" s="373">
        <f t="shared" si="0"/>
        <v>102.82</v>
      </c>
      <c r="Z20" s="467" t="s">
        <v>447</v>
      </c>
    </row>
    <row r="21" spans="1:26" x14ac:dyDescent="0.3">
      <c r="A21" s="373" t="s">
        <v>402</v>
      </c>
      <c r="B21" s="373">
        <v>543</v>
      </c>
      <c r="C21" s="373" t="s">
        <v>398</v>
      </c>
      <c r="M21" s="379" t="str">
        <f>+'Calculo IP ZDF'!J34</f>
        <v>Z69</v>
      </c>
      <c r="O21" s="378">
        <f t="shared" si="1"/>
        <v>30000002129</v>
      </c>
      <c r="P21" s="375">
        <f>ROUND('Calculo IP ZDF'!E34,2)</f>
        <v>333.12</v>
      </c>
      <c r="Q21" s="373" t="s">
        <v>399</v>
      </c>
      <c r="R21" s="373">
        <v>1</v>
      </c>
      <c r="S21" s="373" t="s">
        <v>400</v>
      </c>
      <c r="T21" s="373" t="s">
        <v>401</v>
      </c>
      <c r="U21" s="377" t="str">
        <f t="shared" ref="U21:V36" si="3">+U20</f>
        <v>14.07.2021</v>
      </c>
      <c r="V21" s="377" t="str">
        <f t="shared" si="3"/>
        <v>25.08.2021</v>
      </c>
      <c r="X21" s="373">
        <v>230.3</v>
      </c>
      <c r="Y21" s="373">
        <f t="shared" si="0"/>
        <v>102.82</v>
      </c>
      <c r="Z21" s="467" t="s">
        <v>447</v>
      </c>
    </row>
    <row r="22" spans="1:26" x14ac:dyDescent="0.3">
      <c r="A22" s="373" t="s">
        <v>402</v>
      </c>
      <c r="B22" s="373">
        <v>543</v>
      </c>
      <c r="C22" s="373" t="s">
        <v>398</v>
      </c>
      <c r="M22" s="379" t="str">
        <f>+'Calculo IP ZDF'!J36</f>
        <v>Z62</v>
      </c>
      <c r="O22" s="378">
        <f t="shared" si="1"/>
        <v>30000002129</v>
      </c>
      <c r="P22" s="375">
        <f>ROUND('Calculo IP ZDF'!E36,2)</f>
        <v>333.12</v>
      </c>
      <c r="Q22" s="373" t="s">
        <v>399</v>
      </c>
      <c r="R22" s="373">
        <v>1</v>
      </c>
      <c r="S22" s="373" t="s">
        <v>400</v>
      </c>
      <c r="T22" s="373" t="s">
        <v>401</v>
      </c>
      <c r="U22" s="377" t="str">
        <f>+U21</f>
        <v>14.07.2021</v>
      </c>
      <c r="V22" s="377" t="str">
        <f>+V21</f>
        <v>25.08.2021</v>
      </c>
      <c r="X22" s="373">
        <v>230.3</v>
      </c>
      <c r="Y22" s="373">
        <f t="shared" si="0"/>
        <v>102.82</v>
      </c>
      <c r="Z22" s="467" t="s">
        <v>447</v>
      </c>
    </row>
    <row r="23" spans="1:26" s="386" customFormat="1" x14ac:dyDescent="0.3">
      <c r="A23" s="386" t="s">
        <v>402</v>
      </c>
      <c r="B23" s="386">
        <v>543</v>
      </c>
      <c r="C23" s="386" t="s">
        <v>398</v>
      </c>
      <c r="M23" s="387" t="str">
        <f>+M22</f>
        <v>Z62</v>
      </c>
      <c r="O23" s="391">
        <f>+O10</f>
        <v>30000009250</v>
      </c>
      <c r="P23" s="392">
        <f>ROUND('Calculo IP ZDF'!E37,2)</f>
        <v>333.12</v>
      </c>
      <c r="Q23" s="386" t="s">
        <v>399</v>
      </c>
      <c r="R23" s="386">
        <v>1</v>
      </c>
      <c r="S23" s="386" t="s">
        <v>400</v>
      </c>
      <c r="T23" s="386" t="s">
        <v>401</v>
      </c>
      <c r="U23" s="390" t="str">
        <f>+U22</f>
        <v>14.07.2021</v>
      </c>
      <c r="V23" s="390" t="str">
        <f>+V22</f>
        <v>25.08.2021</v>
      </c>
      <c r="X23" s="386">
        <v>230.3</v>
      </c>
      <c r="Y23" s="373">
        <f t="shared" si="0"/>
        <v>102.82</v>
      </c>
      <c r="Z23" s="386" t="s">
        <v>447</v>
      </c>
    </row>
    <row r="24" spans="1:26" x14ac:dyDescent="0.3">
      <c r="A24" s="373" t="s">
        <v>402</v>
      </c>
      <c r="B24" s="373">
        <v>543</v>
      </c>
      <c r="C24" s="373" t="s">
        <v>398</v>
      </c>
      <c r="M24" s="379" t="str">
        <f>+'Calculo IP ZDF'!J37</f>
        <v>Z60</v>
      </c>
      <c r="O24" s="378">
        <f>+O22</f>
        <v>30000002129</v>
      </c>
      <c r="P24" s="375">
        <f>ROUND('Calculo IP ZDF'!E37,2)</f>
        <v>333.12</v>
      </c>
      <c r="Q24" s="373" t="s">
        <v>399</v>
      </c>
      <c r="R24" s="373">
        <v>1</v>
      </c>
      <c r="S24" s="373" t="s">
        <v>400</v>
      </c>
      <c r="T24" s="373" t="s">
        <v>401</v>
      </c>
      <c r="U24" s="377" t="str">
        <f>+U22</f>
        <v>14.07.2021</v>
      </c>
      <c r="V24" s="377" t="str">
        <f>+V22</f>
        <v>25.08.2021</v>
      </c>
      <c r="X24" s="373">
        <v>230.3</v>
      </c>
      <c r="Y24" s="373">
        <f t="shared" si="0"/>
        <v>102.82</v>
      </c>
      <c r="Z24" s="467" t="s">
        <v>447</v>
      </c>
    </row>
    <row r="25" spans="1:26" x14ac:dyDescent="0.3">
      <c r="A25" s="396" t="s">
        <v>402</v>
      </c>
      <c r="B25" s="396">
        <v>543</v>
      </c>
      <c r="C25" s="396" t="s">
        <v>398</v>
      </c>
      <c r="D25" s="396"/>
      <c r="E25" s="396"/>
      <c r="F25" s="396"/>
      <c r="G25" s="396"/>
      <c r="H25" s="396"/>
      <c r="I25" s="396"/>
      <c r="J25" s="396"/>
      <c r="K25" s="396"/>
      <c r="L25" s="396"/>
      <c r="M25" s="440" t="str">
        <f>+'Calculo IP ZDF'!J38</f>
        <v>Z63</v>
      </c>
      <c r="N25" s="396"/>
      <c r="O25" s="378">
        <f t="shared" si="1"/>
        <v>30000002129</v>
      </c>
      <c r="P25" s="442">
        <f>ROUND('Calculo IP ZDF'!E38,2)</f>
        <v>333.12</v>
      </c>
      <c r="Q25" s="396" t="s">
        <v>399</v>
      </c>
      <c r="R25" s="396">
        <v>1</v>
      </c>
      <c r="S25" s="396" t="s">
        <v>400</v>
      </c>
      <c r="T25" s="396" t="s">
        <v>401</v>
      </c>
      <c r="U25" s="377" t="str">
        <f>+U24</f>
        <v>14.07.2021</v>
      </c>
      <c r="V25" s="377" t="str">
        <f>+V15</f>
        <v>25.08.2021</v>
      </c>
      <c r="X25" s="373">
        <v>230.3</v>
      </c>
      <c r="Y25" s="373">
        <f t="shared" si="0"/>
        <v>102.82</v>
      </c>
      <c r="Z25" s="467" t="s">
        <v>447</v>
      </c>
    </row>
    <row r="26" spans="1:26" x14ac:dyDescent="0.3">
      <c r="A26" s="373" t="s">
        <v>402</v>
      </c>
      <c r="B26" s="373">
        <v>543</v>
      </c>
      <c r="C26" s="373" t="s">
        <v>398</v>
      </c>
      <c r="M26" s="379" t="str">
        <f>+'Calculo IP ZDF'!J39</f>
        <v>Z70</v>
      </c>
      <c r="O26" s="378">
        <f t="shared" si="1"/>
        <v>30000002129</v>
      </c>
      <c r="P26" s="375">
        <f>ROUND('Calculo IP ZDF'!E39,2)</f>
        <v>333.12</v>
      </c>
      <c r="Q26" s="373" t="s">
        <v>399</v>
      </c>
      <c r="R26" s="373">
        <v>1</v>
      </c>
      <c r="S26" s="373" t="s">
        <v>400</v>
      </c>
      <c r="T26" s="373" t="s">
        <v>401</v>
      </c>
      <c r="U26" s="377" t="str">
        <f t="shared" si="3"/>
        <v>14.07.2021</v>
      </c>
      <c r="V26" s="377" t="str">
        <f t="shared" si="3"/>
        <v>25.08.2021</v>
      </c>
      <c r="X26" s="373">
        <v>230.3</v>
      </c>
      <c r="Y26" s="373">
        <f t="shared" si="0"/>
        <v>102.82</v>
      </c>
      <c r="Z26" s="467" t="s">
        <v>447</v>
      </c>
    </row>
    <row r="27" spans="1:26" x14ac:dyDescent="0.3">
      <c r="A27" s="373" t="s">
        <v>402</v>
      </c>
      <c r="B27" s="373">
        <v>543</v>
      </c>
      <c r="C27" s="373" t="s">
        <v>398</v>
      </c>
      <c r="M27" s="379" t="str">
        <f>+'Calculo IP ZDF'!J40</f>
        <v>Z75</v>
      </c>
      <c r="O27" s="378">
        <f t="shared" si="1"/>
        <v>30000002129</v>
      </c>
      <c r="P27" s="375">
        <f>ROUND('Calculo IP ZDF'!E40,2)</f>
        <v>333.12</v>
      </c>
      <c r="Q27" s="373" t="s">
        <v>399</v>
      </c>
      <c r="R27" s="373">
        <v>1</v>
      </c>
      <c r="S27" s="373" t="s">
        <v>400</v>
      </c>
      <c r="T27" s="373" t="s">
        <v>401</v>
      </c>
      <c r="U27" s="377" t="str">
        <f t="shared" si="3"/>
        <v>14.07.2021</v>
      </c>
      <c r="V27" s="377" t="str">
        <f t="shared" si="3"/>
        <v>25.08.2021</v>
      </c>
      <c r="X27" s="373">
        <v>230.3</v>
      </c>
      <c r="Y27" s="373">
        <f t="shared" si="0"/>
        <v>102.82</v>
      </c>
      <c r="Z27" s="467" t="s">
        <v>447</v>
      </c>
    </row>
    <row r="28" spans="1:26" x14ac:dyDescent="0.3">
      <c r="A28" s="396" t="s">
        <v>403</v>
      </c>
      <c r="B28" s="396">
        <v>543</v>
      </c>
      <c r="C28" s="396" t="s">
        <v>398</v>
      </c>
      <c r="D28" s="396"/>
      <c r="E28" s="396"/>
      <c r="F28" s="396"/>
      <c r="G28" s="396"/>
      <c r="H28" s="396"/>
      <c r="I28" s="396"/>
      <c r="J28" s="396"/>
      <c r="K28" s="396"/>
      <c r="L28" s="396"/>
      <c r="M28" s="440" t="str">
        <f>+'Calculo IP ZDF'!J28</f>
        <v>Z61</v>
      </c>
      <c r="N28" s="396"/>
      <c r="O28" s="396">
        <f>+'Calculo IP ZDF'!B50</f>
        <v>30000000070</v>
      </c>
      <c r="P28" s="442">
        <f>ROUND('Calculo IP ZDF'!B28,2)</f>
        <v>4566.9799999999996</v>
      </c>
      <c r="Q28" s="396" t="s">
        <v>399</v>
      </c>
      <c r="R28" s="396">
        <v>1</v>
      </c>
      <c r="S28" s="396" t="s">
        <v>400</v>
      </c>
      <c r="T28" s="396" t="s">
        <v>401</v>
      </c>
      <c r="U28" s="377" t="str">
        <f>+U27</f>
        <v>14.07.2021</v>
      </c>
      <c r="V28" s="377" t="str">
        <f>+V25</f>
        <v>25.08.2021</v>
      </c>
      <c r="X28" s="373">
        <v>3980</v>
      </c>
      <c r="Y28" s="373">
        <f t="shared" si="0"/>
        <v>586.97999999999956</v>
      </c>
      <c r="Z28" s="466" t="s">
        <v>449</v>
      </c>
    </row>
    <row r="29" spans="1:26" x14ac:dyDescent="0.3">
      <c r="A29" s="373" t="s">
        <v>403</v>
      </c>
      <c r="B29" s="373">
        <v>543</v>
      </c>
      <c r="C29" s="373" t="s">
        <v>398</v>
      </c>
      <c r="M29" s="379" t="str">
        <f>+'Calculo IP ZDF'!J29</f>
        <v>Z68</v>
      </c>
      <c r="O29" s="373">
        <f>+O28</f>
        <v>30000000070</v>
      </c>
      <c r="P29" s="375">
        <f>ROUND('Calculo IP ZDF'!B29,2)</f>
        <v>4447.6099999999997</v>
      </c>
      <c r="Q29" s="373" t="s">
        <v>399</v>
      </c>
      <c r="R29" s="373">
        <v>1</v>
      </c>
      <c r="S29" s="373" t="s">
        <v>400</v>
      </c>
      <c r="T29" s="373" t="s">
        <v>401</v>
      </c>
      <c r="U29" s="377" t="str">
        <f t="shared" si="3"/>
        <v>14.07.2021</v>
      </c>
      <c r="V29" s="377" t="str">
        <f t="shared" si="3"/>
        <v>25.08.2021</v>
      </c>
      <c r="X29" s="373">
        <v>3980</v>
      </c>
      <c r="Y29" s="373">
        <f t="shared" si="0"/>
        <v>467.60999999999967</v>
      </c>
      <c r="Z29" s="466" t="s">
        <v>449</v>
      </c>
    </row>
    <row r="30" spans="1:26" x14ac:dyDescent="0.3">
      <c r="A30" s="373" t="s">
        <v>403</v>
      </c>
      <c r="B30" s="373">
        <v>543</v>
      </c>
      <c r="C30" s="373" t="s">
        <v>398</v>
      </c>
      <c r="M30" s="379" t="str">
        <f>+'Calculo IP ZDF'!J30</f>
        <v>Z67</v>
      </c>
      <c r="O30" s="373">
        <f t="shared" ref="O30:O39" si="4">+O29</f>
        <v>30000000070</v>
      </c>
      <c r="P30" s="375">
        <f>ROUND('Calculo IP ZDF'!B30,2)</f>
        <v>4523.6499999999996</v>
      </c>
      <c r="Q30" s="373" t="s">
        <v>399</v>
      </c>
      <c r="R30" s="373">
        <v>1</v>
      </c>
      <c r="S30" s="373" t="s">
        <v>400</v>
      </c>
      <c r="T30" s="373" t="s">
        <v>401</v>
      </c>
      <c r="U30" s="377" t="str">
        <f t="shared" si="3"/>
        <v>14.07.2021</v>
      </c>
      <c r="V30" s="377" t="str">
        <f t="shared" si="3"/>
        <v>25.08.2021</v>
      </c>
      <c r="X30" s="373">
        <v>3980</v>
      </c>
      <c r="Y30" s="373">
        <f t="shared" si="0"/>
        <v>543.64999999999964</v>
      </c>
      <c r="Z30" s="466" t="s">
        <v>449</v>
      </c>
    </row>
    <row r="31" spans="1:26" x14ac:dyDescent="0.3">
      <c r="A31" s="434" t="s">
        <v>403</v>
      </c>
      <c r="B31" s="434">
        <v>543</v>
      </c>
      <c r="C31" s="434" t="s">
        <v>398</v>
      </c>
      <c r="D31" s="434"/>
      <c r="E31" s="434"/>
      <c r="F31" s="434"/>
      <c r="G31" s="434"/>
      <c r="H31" s="434"/>
      <c r="I31" s="434"/>
      <c r="J31" s="434"/>
      <c r="K31" s="434"/>
      <c r="L31" s="434"/>
      <c r="M31" s="433" t="str">
        <f>+M18</f>
        <v xml:space="preserve">Z64  </v>
      </c>
      <c r="N31" s="434"/>
      <c r="O31" s="434">
        <f t="shared" si="4"/>
        <v>30000000070</v>
      </c>
      <c r="P31" s="397">
        <f>ROUND('Calculo IP ZDF'!B31,2)</f>
        <v>4560.07</v>
      </c>
      <c r="Q31" s="434" t="s">
        <v>399</v>
      </c>
      <c r="R31" s="434">
        <v>1</v>
      </c>
      <c r="S31" s="434" t="s">
        <v>400</v>
      </c>
      <c r="T31" s="434" t="s">
        <v>401</v>
      </c>
      <c r="U31" s="437" t="str">
        <f t="shared" si="3"/>
        <v>14.07.2021</v>
      </c>
      <c r="V31" s="437" t="str">
        <f t="shared" si="3"/>
        <v>25.08.2021</v>
      </c>
      <c r="X31" s="373">
        <v>3980</v>
      </c>
      <c r="Y31" s="373">
        <f t="shared" si="0"/>
        <v>580.06999999999971</v>
      </c>
      <c r="Z31" s="466" t="s">
        <v>449</v>
      </c>
    </row>
    <row r="32" spans="1:26" x14ac:dyDescent="0.3">
      <c r="A32" s="373" t="s">
        <v>403</v>
      </c>
      <c r="B32" s="373">
        <v>543</v>
      </c>
      <c r="C32" s="373" t="s">
        <v>398</v>
      </c>
      <c r="M32" s="379" t="str">
        <f>+M19</f>
        <v>Z74</v>
      </c>
      <c r="O32" s="373">
        <f t="shared" si="4"/>
        <v>30000000070</v>
      </c>
      <c r="P32" s="375">
        <f>ROUND('Calculo IP ZDF'!B32,2)</f>
        <v>4571.13</v>
      </c>
      <c r="Q32" s="373" t="s">
        <v>399</v>
      </c>
      <c r="R32" s="373">
        <v>1</v>
      </c>
      <c r="S32" s="373" t="s">
        <v>400</v>
      </c>
      <c r="T32" s="373" t="s">
        <v>401</v>
      </c>
      <c r="U32" s="377" t="str">
        <f t="shared" si="3"/>
        <v>14.07.2021</v>
      </c>
      <c r="V32" s="377" t="str">
        <f t="shared" si="3"/>
        <v>25.08.2021</v>
      </c>
      <c r="X32" s="373">
        <v>3980</v>
      </c>
      <c r="Y32" s="373">
        <f t="shared" si="0"/>
        <v>591.13000000000011</v>
      </c>
      <c r="Z32" s="466" t="s">
        <v>449</v>
      </c>
    </row>
    <row r="33" spans="1:26" x14ac:dyDescent="0.3">
      <c r="A33" s="373" t="s">
        <v>403</v>
      </c>
      <c r="B33" s="373">
        <v>543</v>
      </c>
      <c r="C33" s="373" t="s">
        <v>398</v>
      </c>
      <c r="M33" s="379" t="str">
        <f>+'Calculo IP ZDF'!J33</f>
        <v>Z65</v>
      </c>
      <c r="O33" s="373">
        <f t="shared" si="4"/>
        <v>30000000070</v>
      </c>
      <c r="P33" s="375">
        <f>ROUND('Calculo IP ZDF'!B33,2)</f>
        <v>4576.66</v>
      </c>
      <c r="Q33" s="373" t="s">
        <v>399</v>
      </c>
      <c r="R33" s="373">
        <v>1</v>
      </c>
      <c r="S33" s="373" t="s">
        <v>400</v>
      </c>
      <c r="T33" s="373" t="s">
        <v>401</v>
      </c>
      <c r="U33" s="377" t="str">
        <f t="shared" si="3"/>
        <v>14.07.2021</v>
      </c>
      <c r="V33" s="377" t="str">
        <f t="shared" si="3"/>
        <v>25.08.2021</v>
      </c>
      <c r="X33" s="373">
        <v>3980</v>
      </c>
      <c r="Y33" s="373">
        <f t="shared" si="0"/>
        <v>596.65999999999985</v>
      </c>
      <c r="Z33" s="466" t="s">
        <v>449</v>
      </c>
    </row>
    <row r="34" spans="1:26" x14ac:dyDescent="0.3">
      <c r="A34" s="373" t="s">
        <v>403</v>
      </c>
      <c r="B34" s="373">
        <v>543</v>
      </c>
      <c r="C34" s="373" t="s">
        <v>398</v>
      </c>
      <c r="M34" s="379" t="str">
        <f>+'Calculo IP ZDF'!J34</f>
        <v>Z69</v>
      </c>
      <c r="O34" s="373">
        <f t="shared" si="4"/>
        <v>30000000070</v>
      </c>
      <c r="P34" s="375">
        <f>ROUND('Calculo IP ZDF'!B34,2)</f>
        <v>4608.92</v>
      </c>
      <c r="Q34" s="373" t="s">
        <v>399</v>
      </c>
      <c r="R34" s="373">
        <v>1</v>
      </c>
      <c r="S34" s="373" t="s">
        <v>400</v>
      </c>
      <c r="T34" s="373" t="s">
        <v>401</v>
      </c>
      <c r="U34" s="377" t="str">
        <f t="shared" si="3"/>
        <v>14.07.2021</v>
      </c>
      <c r="V34" s="377" t="str">
        <f t="shared" si="3"/>
        <v>25.08.2021</v>
      </c>
      <c r="X34" s="373">
        <v>3980</v>
      </c>
      <c r="Y34" s="373">
        <f t="shared" si="0"/>
        <v>628.92000000000007</v>
      </c>
      <c r="Z34" s="466" t="s">
        <v>449</v>
      </c>
    </row>
    <row r="35" spans="1:26" x14ac:dyDescent="0.3">
      <c r="A35" s="373" t="s">
        <v>403</v>
      </c>
      <c r="B35" s="373">
        <v>543</v>
      </c>
      <c r="C35" s="373" t="s">
        <v>398</v>
      </c>
      <c r="M35" s="379" t="str">
        <f>+'Calculo IP ZDF'!J36</f>
        <v>Z62</v>
      </c>
      <c r="O35" s="373">
        <f t="shared" si="4"/>
        <v>30000000070</v>
      </c>
      <c r="P35" s="375">
        <f>ROUND('Calculo IP ZDF'!B36,2)</f>
        <v>4573.8900000000003</v>
      </c>
      <c r="Q35" s="373" t="s">
        <v>399</v>
      </c>
      <c r="R35" s="373">
        <v>1</v>
      </c>
      <c r="S35" s="373" t="s">
        <v>400</v>
      </c>
      <c r="T35" s="373" t="s">
        <v>401</v>
      </c>
      <c r="U35" s="377" t="str">
        <f t="shared" si="3"/>
        <v>14.07.2021</v>
      </c>
      <c r="V35" s="377" t="str">
        <f t="shared" si="3"/>
        <v>25.08.2021</v>
      </c>
      <c r="X35" s="373">
        <v>3980</v>
      </c>
      <c r="Y35" s="373">
        <f t="shared" si="0"/>
        <v>593.89000000000033</v>
      </c>
      <c r="Z35" s="466" t="s">
        <v>449</v>
      </c>
    </row>
    <row r="36" spans="1:26" x14ac:dyDescent="0.3">
      <c r="A36" s="373" t="s">
        <v>403</v>
      </c>
      <c r="B36" s="373">
        <v>543</v>
      </c>
      <c r="C36" s="373" t="s">
        <v>398</v>
      </c>
      <c r="M36" s="379" t="str">
        <f>+'Calculo IP ZDF'!J37</f>
        <v>Z60</v>
      </c>
      <c r="O36" s="373">
        <f t="shared" si="4"/>
        <v>30000000070</v>
      </c>
      <c r="P36" s="375">
        <f>ROUND('Calculo IP ZDF'!B37,2)</f>
        <v>4569.28</v>
      </c>
      <c r="Q36" s="373" t="s">
        <v>399</v>
      </c>
      <c r="R36" s="373">
        <v>1</v>
      </c>
      <c r="S36" s="373" t="s">
        <v>400</v>
      </c>
      <c r="T36" s="373" t="s">
        <v>401</v>
      </c>
      <c r="U36" s="377" t="str">
        <f t="shared" si="3"/>
        <v>14.07.2021</v>
      </c>
      <c r="V36" s="377" t="str">
        <f t="shared" si="3"/>
        <v>25.08.2021</v>
      </c>
      <c r="X36" s="373">
        <v>3980</v>
      </c>
      <c r="Y36" s="373">
        <f t="shared" si="0"/>
        <v>589.27999999999975</v>
      </c>
      <c r="Z36" s="466" t="s">
        <v>449</v>
      </c>
    </row>
    <row r="37" spans="1:26" x14ac:dyDescent="0.3">
      <c r="A37" s="396" t="s">
        <v>403</v>
      </c>
      <c r="B37" s="396">
        <v>543</v>
      </c>
      <c r="C37" s="396" t="s">
        <v>398</v>
      </c>
      <c r="D37" s="396"/>
      <c r="E37" s="396"/>
      <c r="F37" s="396"/>
      <c r="G37" s="396"/>
      <c r="H37" s="396"/>
      <c r="I37" s="396"/>
      <c r="J37" s="396"/>
      <c r="K37" s="396"/>
      <c r="L37" s="396"/>
      <c r="M37" s="440" t="str">
        <f>+'Calculo IP ZDF'!J38</f>
        <v>Z63</v>
      </c>
      <c r="N37" s="396"/>
      <c r="O37" s="396">
        <f t="shared" si="4"/>
        <v>30000000070</v>
      </c>
      <c r="P37" s="442">
        <f>ROUND('Calculo IP ZDF'!B38,2)</f>
        <v>4566.0600000000004</v>
      </c>
      <c r="Q37" s="396" t="s">
        <v>399</v>
      </c>
      <c r="R37" s="396">
        <v>1</v>
      </c>
      <c r="S37" s="396" t="s">
        <v>400</v>
      </c>
      <c r="T37" s="396" t="s">
        <v>401</v>
      </c>
      <c r="U37" s="377" t="str">
        <f>+U36</f>
        <v>14.07.2021</v>
      </c>
      <c r="V37" s="377" t="str">
        <f>+V28</f>
        <v>25.08.2021</v>
      </c>
      <c r="X37" s="373">
        <v>3980</v>
      </c>
      <c r="Y37" s="373">
        <f t="shared" si="0"/>
        <v>586.0600000000004</v>
      </c>
      <c r="Z37" s="466" t="s">
        <v>449</v>
      </c>
    </row>
    <row r="38" spans="1:26" x14ac:dyDescent="0.3">
      <c r="A38" s="373" t="s">
        <v>403</v>
      </c>
      <c r="B38" s="373">
        <v>543</v>
      </c>
      <c r="C38" s="373" t="s">
        <v>398</v>
      </c>
      <c r="M38" s="379" t="str">
        <f>+'Calculo IP ZDF'!J39</f>
        <v>Z70</v>
      </c>
      <c r="O38" s="373">
        <f t="shared" si="4"/>
        <v>30000000070</v>
      </c>
      <c r="P38" s="375">
        <f>ROUND('Calculo IP ZDF'!B39,2)</f>
        <v>4608.92</v>
      </c>
      <c r="Q38" s="373" t="s">
        <v>399</v>
      </c>
      <c r="R38" s="373">
        <v>1</v>
      </c>
      <c r="S38" s="373" t="s">
        <v>400</v>
      </c>
      <c r="T38" s="373" t="s">
        <v>401</v>
      </c>
      <c r="U38" s="377" t="str">
        <f t="shared" ref="U38:V43" si="5">+U37</f>
        <v>14.07.2021</v>
      </c>
      <c r="V38" s="377" t="str">
        <f t="shared" si="5"/>
        <v>25.08.2021</v>
      </c>
      <c r="X38" s="373">
        <v>3980</v>
      </c>
      <c r="Y38" s="373">
        <f t="shared" si="0"/>
        <v>628.92000000000007</v>
      </c>
      <c r="Z38" s="466" t="s">
        <v>449</v>
      </c>
    </row>
    <row r="39" spans="1:26" x14ac:dyDescent="0.3">
      <c r="A39" s="373" t="s">
        <v>403</v>
      </c>
      <c r="B39" s="373">
        <v>543</v>
      </c>
      <c r="C39" s="373" t="s">
        <v>398</v>
      </c>
      <c r="M39" s="379" t="str">
        <f>+'Calculo IP ZDF'!J40</f>
        <v>Z75</v>
      </c>
      <c r="O39" s="373">
        <f t="shared" si="4"/>
        <v>30000000070</v>
      </c>
      <c r="P39" s="375">
        <f>ROUND('Calculo IP ZDF'!B40,2)</f>
        <v>4447.6099999999997</v>
      </c>
      <c r="Q39" s="373" t="s">
        <v>399</v>
      </c>
      <c r="R39" s="373">
        <v>1</v>
      </c>
      <c r="S39" s="373" t="s">
        <v>400</v>
      </c>
      <c r="T39" s="373" t="s">
        <v>401</v>
      </c>
      <c r="U39" s="377" t="str">
        <f t="shared" si="5"/>
        <v>14.07.2021</v>
      </c>
      <c r="V39" s="377" t="str">
        <f t="shared" si="5"/>
        <v>25.08.2021</v>
      </c>
      <c r="X39" s="373">
        <v>3980</v>
      </c>
      <c r="Y39" s="373">
        <f t="shared" si="0"/>
        <v>467.60999999999967</v>
      </c>
      <c r="Z39" s="466" t="s">
        <v>449</v>
      </c>
    </row>
    <row r="40" spans="1:26" x14ac:dyDescent="0.3">
      <c r="A40" s="373" t="s">
        <v>403</v>
      </c>
      <c r="B40" s="396">
        <v>587</v>
      </c>
      <c r="C40" s="373" t="s">
        <v>398</v>
      </c>
      <c r="F40" s="373">
        <v>3003</v>
      </c>
      <c r="M40" s="379" t="s">
        <v>370</v>
      </c>
      <c r="O40" s="373">
        <v>30000009113</v>
      </c>
      <c r="P40" s="375">
        <f>ROUND(+'Calculo IP ZDF'!B36,2)</f>
        <v>4573.8900000000003</v>
      </c>
      <c r="Q40" s="373" t="s">
        <v>399</v>
      </c>
      <c r="R40" s="373">
        <v>1</v>
      </c>
      <c r="S40" s="373" t="s">
        <v>400</v>
      </c>
      <c r="T40" s="373" t="s">
        <v>401</v>
      </c>
      <c r="U40" s="377" t="str">
        <f t="shared" si="5"/>
        <v>14.07.2021</v>
      </c>
      <c r="V40" s="377" t="str">
        <f t="shared" si="5"/>
        <v>25.08.2021</v>
      </c>
      <c r="X40" s="373">
        <v>3980</v>
      </c>
      <c r="Y40" s="373">
        <f t="shared" si="0"/>
        <v>593.89000000000033</v>
      </c>
      <c r="Z40" s="373" t="s">
        <v>448</v>
      </c>
    </row>
    <row r="41" spans="1:26" x14ac:dyDescent="0.3">
      <c r="A41" s="373" t="s">
        <v>424</v>
      </c>
      <c r="B41" s="396">
        <v>587</v>
      </c>
      <c r="C41" s="373" t="s">
        <v>398</v>
      </c>
      <c r="F41" s="373">
        <v>3003</v>
      </c>
      <c r="M41" s="379" t="s">
        <v>370</v>
      </c>
      <c r="O41" s="373">
        <v>30000009113</v>
      </c>
      <c r="P41" s="452">
        <v>8.3800000000000008</v>
      </c>
      <c r="Q41" s="373" t="s">
        <v>399</v>
      </c>
      <c r="R41" s="373">
        <v>1</v>
      </c>
      <c r="S41" s="373" t="s">
        <v>400</v>
      </c>
      <c r="T41" s="373" t="s">
        <v>401</v>
      </c>
      <c r="U41" s="377" t="str">
        <f t="shared" si="5"/>
        <v>14.07.2021</v>
      </c>
      <c r="V41" s="377" t="str">
        <f t="shared" si="5"/>
        <v>25.08.2021</v>
      </c>
      <c r="X41" s="373">
        <v>8.14</v>
      </c>
      <c r="Y41" s="373">
        <f t="shared" si="0"/>
        <v>0.24000000000000021</v>
      </c>
      <c r="Z41" s="373" t="s">
        <v>448</v>
      </c>
    </row>
    <row r="42" spans="1:26" x14ac:dyDescent="0.3">
      <c r="A42" s="373" t="s">
        <v>403</v>
      </c>
      <c r="B42" s="396">
        <v>587</v>
      </c>
      <c r="C42" s="373" t="s">
        <v>398</v>
      </c>
      <c r="F42" s="373">
        <v>3003</v>
      </c>
      <c r="M42" s="379" t="s">
        <v>370</v>
      </c>
      <c r="O42" s="373">
        <v>30000000003</v>
      </c>
      <c r="P42" s="375">
        <f>ROUND(+'Calculo IP ZDF'!C36,2)</f>
        <v>4218.88</v>
      </c>
      <c r="Q42" s="373" t="s">
        <v>399</v>
      </c>
      <c r="R42" s="373">
        <v>1</v>
      </c>
      <c r="S42" s="373" t="s">
        <v>400</v>
      </c>
      <c r="T42" s="373" t="s">
        <v>401</v>
      </c>
      <c r="U42" s="377" t="str">
        <f t="shared" si="5"/>
        <v>14.07.2021</v>
      </c>
      <c r="V42" s="377" t="str">
        <f t="shared" si="5"/>
        <v>25.08.2021</v>
      </c>
      <c r="X42" s="373">
        <v>4496.3599999999997</v>
      </c>
      <c r="Y42" s="373">
        <f t="shared" si="0"/>
        <v>-277.47999999999956</v>
      </c>
      <c r="Z42" s="373" t="s">
        <v>107</v>
      </c>
    </row>
    <row r="43" spans="1:26" x14ac:dyDescent="0.3">
      <c r="A43" s="373" t="s">
        <v>424</v>
      </c>
      <c r="B43" s="396">
        <v>587</v>
      </c>
      <c r="C43" s="373" t="s">
        <v>398</v>
      </c>
      <c r="F43" s="373">
        <v>3003</v>
      </c>
      <c r="M43" s="379" t="s">
        <v>370</v>
      </c>
      <c r="O43" s="373">
        <v>30000000003</v>
      </c>
      <c r="P43" s="397">
        <f>+P41</f>
        <v>8.3800000000000008</v>
      </c>
      <c r="Q43" s="373" t="s">
        <v>399</v>
      </c>
      <c r="R43" s="373">
        <v>1</v>
      </c>
      <c r="S43" s="373" t="s">
        <v>400</v>
      </c>
      <c r="T43" s="373" t="s">
        <v>401</v>
      </c>
      <c r="U43" s="377" t="str">
        <f t="shared" si="5"/>
        <v>14.07.2021</v>
      </c>
      <c r="V43" s="377" t="str">
        <f t="shared" si="5"/>
        <v>25.08.2021</v>
      </c>
      <c r="X43" s="373">
        <v>8.14</v>
      </c>
      <c r="Y43" s="373">
        <f t="shared" si="0"/>
        <v>0.24000000000000021</v>
      </c>
      <c r="Z43" s="373" t="s">
        <v>107</v>
      </c>
    </row>
    <row r="44" spans="1:26" x14ac:dyDescent="0.3">
      <c r="A44" s="373" t="s">
        <v>397</v>
      </c>
      <c r="B44" s="373">
        <v>543</v>
      </c>
      <c r="C44" s="373" t="s">
        <v>398</v>
      </c>
      <c r="M44" s="433" t="str">
        <f>+'Calculo IP ZDF'!J41</f>
        <v>Z66</v>
      </c>
      <c r="O44" s="373">
        <v>30000002129</v>
      </c>
      <c r="P44" s="375">
        <f>ROUND(+'Calculo IP ZDF'!D41,2)</f>
        <v>4052.41</v>
      </c>
      <c r="Q44" s="373" t="s">
        <v>399</v>
      </c>
      <c r="R44" s="373">
        <v>1</v>
      </c>
      <c r="S44" s="373" t="s">
        <v>400</v>
      </c>
      <c r="T44" s="373" t="s">
        <v>401</v>
      </c>
      <c r="U44" s="377" t="str">
        <f t="shared" ref="U44:V46" si="6">+U43</f>
        <v>14.07.2021</v>
      </c>
      <c r="V44" s="377" t="str">
        <f t="shared" si="6"/>
        <v>25.08.2021</v>
      </c>
      <c r="X44" s="373">
        <v>4618.07</v>
      </c>
      <c r="Y44" s="373">
        <f t="shared" si="0"/>
        <v>-565.65999999999985</v>
      </c>
      <c r="Z44" s="467" t="s">
        <v>447</v>
      </c>
    </row>
    <row r="45" spans="1:26" x14ac:dyDescent="0.3">
      <c r="A45" s="373" t="s">
        <v>402</v>
      </c>
      <c r="B45" s="373">
        <v>543</v>
      </c>
      <c r="C45" s="373" t="s">
        <v>398</v>
      </c>
      <c r="M45" s="433" t="str">
        <f>+M44</f>
        <v>Z66</v>
      </c>
      <c r="O45" s="373">
        <v>30000002129</v>
      </c>
      <c r="P45" s="375">
        <f>ROUND(+'Calculo IP ZDF'!E41,2)</f>
        <v>333.12</v>
      </c>
      <c r="Q45" s="373" t="s">
        <v>399</v>
      </c>
      <c r="R45" s="373">
        <v>1</v>
      </c>
      <c r="S45" s="373" t="s">
        <v>400</v>
      </c>
      <c r="T45" s="373" t="s">
        <v>401</v>
      </c>
      <c r="U45" s="377" t="str">
        <f t="shared" si="6"/>
        <v>14.07.2021</v>
      </c>
      <c r="V45" s="377" t="str">
        <f t="shared" si="6"/>
        <v>25.08.2021</v>
      </c>
      <c r="X45" s="373">
        <v>230.3</v>
      </c>
      <c r="Y45" s="373">
        <f t="shared" si="0"/>
        <v>102.82</v>
      </c>
      <c r="Z45" s="467" t="s">
        <v>447</v>
      </c>
    </row>
    <row r="46" spans="1:26" x14ac:dyDescent="0.3">
      <c r="A46" s="373" t="s">
        <v>403</v>
      </c>
      <c r="B46" s="373">
        <v>543</v>
      </c>
      <c r="C46" s="373" t="s">
        <v>398</v>
      </c>
      <c r="M46" s="379" t="str">
        <f>+M45</f>
        <v>Z66</v>
      </c>
      <c r="O46" s="373">
        <f>+'Calculo IP ZDF'!B50</f>
        <v>30000000070</v>
      </c>
      <c r="P46" s="375">
        <f>ROUND(+'Calculo IP ZDF'!B41,2)</f>
        <v>4608.92</v>
      </c>
      <c r="Q46" s="373" t="s">
        <v>399</v>
      </c>
      <c r="R46" s="373">
        <v>1</v>
      </c>
      <c r="S46" s="373" t="s">
        <v>400</v>
      </c>
      <c r="T46" s="373" t="s">
        <v>401</v>
      </c>
      <c r="U46" s="377" t="str">
        <f t="shared" si="6"/>
        <v>14.07.2021</v>
      </c>
      <c r="V46" s="377" t="str">
        <f t="shared" si="6"/>
        <v>25.08.2021</v>
      </c>
      <c r="X46" s="373">
        <v>3980</v>
      </c>
      <c r="Y46" s="373">
        <f t="shared" si="0"/>
        <v>628.92000000000007</v>
      </c>
      <c r="Z46" s="466" t="s">
        <v>449</v>
      </c>
    </row>
  </sheetData>
  <autoFilter ref="A1:V46" xr:uid="{00000000-0009-0000-0000-000017000000}"/>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P21" sqref="P21"/>
    </sheetView>
  </sheetViews>
  <sheetFormatPr baseColWidth="10" defaultColWidth="11.33203125" defaultRowHeight="15.05" x14ac:dyDescent="0.3"/>
  <cols>
    <col min="1" max="1" width="7.33203125" style="373" customWidth="1"/>
    <col min="2" max="2" width="9.21875" style="373" customWidth="1"/>
    <col min="3" max="3" width="7.6640625" style="373" customWidth="1"/>
    <col min="4" max="8" width="8.21875" style="373" customWidth="1"/>
    <col min="9" max="9" width="11" style="373" customWidth="1"/>
    <col min="10" max="11" width="8.21875" style="373" customWidth="1"/>
    <col min="12" max="12" width="8" style="373" bestFit="1" customWidth="1"/>
    <col min="13" max="13" width="6.88671875" style="373" customWidth="1"/>
    <col min="14" max="14" width="11.109375" style="373" customWidth="1"/>
    <col min="15" max="15" width="12.21875" style="373" bestFit="1" customWidth="1"/>
    <col min="16" max="16" width="11.77734375" style="375" bestFit="1" customWidth="1"/>
    <col min="17" max="17" width="7.6640625" style="373" customWidth="1"/>
    <col min="18" max="18" width="8.77734375" style="373" customWidth="1"/>
    <col min="19" max="19" width="9.88671875" style="373" customWidth="1"/>
    <col min="20" max="20" width="5.6640625" style="373" customWidth="1"/>
    <col min="21" max="22" width="10.77734375" style="376" bestFit="1" customWidth="1"/>
    <col min="23" max="16384" width="11.33203125" style="373"/>
  </cols>
  <sheetData>
    <row r="1" spans="1:24" x14ac:dyDescent="0.3">
      <c r="A1" s="373" t="s">
        <v>375</v>
      </c>
      <c r="B1" s="373" t="s">
        <v>376</v>
      </c>
      <c r="C1" s="373" t="s">
        <v>377</v>
      </c>
      <c r="D1" s="373" t="s">
        <v>378</v>
      </c>
      <c r="E1" s="373" t="s">
        <v>379</v>
      </c>
      <c r="F1" s="373" t="s">
        <v>380</v>
      </c>
      <c r="G1" s="373" t="s">
        <v>381</v>
      </c>
      <c r="H1" s="373" t="s">
        <v>382</v>
      </c>
      <c r="I1" s="373" t="s">
        <v>383</v>
      </c>
      <c r="J1" s="373" t="s">
        <v>384</v>
      </c>
      <c r="K1" s="373" t="s">
        <v>385</v>
      </c>
      <c r="L1" s="373" t="s">
        <v>386</v>
      </c>
      <c r="M1" s="373" t="s">
        <v>387</v>
      </c>
      <c r="N1" s="373" t="s">
        <v>388</v>
      </c>
      <c r="O1" s="374" t="s">
        <v>389</v>
      </c>
      <c r="P1" s="375" t="s">
        <v>390</v>
      </c>
      <c r="Q1" s="373" t="s">
        <v>391</v>
      </c>
      <c r="R1" s="373" t="s">
        <v>392</v>
      </c>
      <c r="S1" s="373" t="s">
        <v>393</v>
      </c>
      <c r="T1" s="373" t="s">
        <v>394</v>
      </c>
      <c r="U1" s="376" t="s">
        <v>395</v>
      </c>
      <c r="V1" s="376" t="s">
        <v>396</v>
      </c>
    </row>
    <row r="2" spans="1:24" x14ac:dyDescent="0.3">
      <c r="A2" s="373" t="s">
        <v>403</v>
      </c>
      <c r="B2" s="373">
        <v>543</v>
      </c>
      <c r="C2" s="373" t="s">
        <v>417</v>
      </c>
      <c r="F2" s="373" t="s">
        <v>171</v>
      </c>
      <c r="M2" s="440" t="s">
        <v>420</v>
      </c>
      <c r="O2" s="417">
        <v>30000000003</v>
      </c>
      <c r="P2" s="374">
        <f>ROUND('Calculo IP ZDF'!C31,2)</f>
        <v>4479.59</v>
      </c>
      <c r="Q2" s="373" t="s">
        <v>399</v>
      </c>
      <c r="R2" s="373">
        <v>1</v>
      </c>
      <c r="S2" s="373" t="s">
        <v>418</v>
      </c>
      <c r="T2" s="373" t="s">
        <v>401</v>
      </c>
      <c r="U2" s="377" t="str">
        <f>+'Calculo IP ZDF'!B46</f>
        <v>14.07.2021</v>
      </c>
      <c r="V2" s="377" t="str">
        <f>+'Calculo IP ZDF'!C46</f>
        <v>25.08.2021</v>
      </c>
      <c r="X2" s="396" t="s">
        <v>109</v>
      </c>
    </row>
    <row r="3" spans="1:24" x14ac:dyDescent="0.3">
      <c r="A3" s="373" t="s">
        <v>403</v>
      </c>
      <c r="B3" s="373">
        <v>543</v>
      </c>
      <c r="C3" s="373" t="s">
        <v>417</v>
      </c>
      <c r="M3" s="582" t="s">
        <v>419</v>
      </c>
      <c r="O3" s="417">
        <v>30000000003</v>
      </c>
      <c r="P3" s="374">
        <f>ROUND('Calculo IP ZDF'!C32,2)</f>
        <v>4135.1099999999997</v>
      </c>
      <c r="Q3" s="373" t="s">
        <v>399</v>
      </c>
      <c r="R3" s="373">
        <v>1</v>
      </c>
      <c r="S3" s="373" t="s">
        <v>418</v>
      </c>
      <c r="T3" s="373" t="s">
        <v>401</v>
      </c>
      <c r="U3" s="583" t="str">
        <f>+U2</f>
        <v>14.07.2021</v>
      </c>
      <c r="V3" s="583" t="str">
        <f>+V2</f>
        <v>25.08.2021</v>
      </c>
      <c r="X3" s="581" t="s">
        <v>518</v>
      </c>
    </row>
    <row r="4" spans="1:24" x14ac:dyDescent="0.3">
      <c r="A4" s="373" t="s">
        <v>403</v>
      </c>
      <c r="B4" s="373">
        <v>543</v>
      </c>
      <c r="C4" s="373" t="s">
        <v>417</v>
      </c>
      <c r="M4" s="577" t="str">
        <f>+'Calculo IP ZDF'!J33</f>
        <v>Z65</v>
      </c>
      <c r="O4" s="417">
        <v>30000000003</v>
      </c>
      <c r="P4" s="374">
        <f>ROUND('Calculo IP ZDF'!C33,2)</f>
        <v>4218.88</v>
      </c>
      <c r="Q4" s="373" t="s">
        <v>399</v>
      </c>
      <c r="R4" s="373">
        <v>1</v>
      </c>
      <c r="S4" s="373" t="s">
        <v>418</v>
      </c>
      <c r="T4" s="373" t="s">
        <v>401</v>
      </c>
      <c r="U4" s="578" t="str">
        <f t="shared" ref="U4:U6" si="0">+U3</f>
        <v>14.07.2021</v>
      </c>
      <c r="V4" s="578" t="str">
        <f t="shared" ref="V4:V6" si="1">+V3</f>
        <v>25.08.2021</v>
      </c>
      <c r="X4" s="576" t="s">
        <v>516</v>
      </c>
    </row>
    <row r="5" spans="1:24" x14ac:dyDescent="0.3">
      <c r="A5" s="373" t="s">
        <v>403</v>
      </c>
      <c r="B5" s="373">
        <v>543</v>
      </c>
      <c r="C5" s="373" t="s">
        <v>417</v>
      </c>
      <c r="M5" s="579" t="str">
        <f>+'Calculo IP ZDF'!J35</f>
        <v>Z73</v>
      </c>
      <c r="O5" s="417">
        <v>30000000003</v>
      </c>
      <c r="P5" s="374">
        <f>ROUND('Calculo IP ZDF'!C35,2)</f>
        <v>4135.1099999999997</v>
      </c>
      <c r="Q5" s="373" t="s">
        <v>399</v>
      </c>
      <c r="R5" s="373">
        <v>1</v>
      </c>
      <c r="S5" s="373" t="s">
        <v>418</v>
      </c>
      <c r="T5" s="373" t="s">
        <v>401</v>
      </c>
      <c r="U5" s="377" t="str">
        <f t="shared" si="0"/>
        <v>14.07.2021</v>
      </c>
      <c r="V5" s="377" t="str">
        <f t="shared" si="1"/>
        <v>25.08.2021</v>
      </c>
      <c r="X5" s="580" t="s">
        <v>517</v>
      </c>
    </row>
    <row r="6" spans="1:24" x14ac:dyDescent="0.3">
      <c r="A6" s="373" t="s">
        <v>403</v>
      </c>
      <c r="B6" s="373">
        <v>543</v>
      </c>
      <c r="C6" s="373" t="s">
        <v>417</v>
      </c>
      <c r="M6" s="575" t="str">
        <f>+'Calculo IP ZDF'!J36</f>
        <v>Z62</v>
      </c>
      <c r="O6" s="417">
        <v>30000000003</v>
      </c>
      <c r="P6" s="374">
        <f>ROUND('Calculo IP ZDF'!C36,2)</f>
        <v>4218.88</v>
      </c>
      <c r="Q6" s="373" t="s">
        <v>399</v>
      </c>
      <c r="R6" s="373">
        <v>1</v>
      </c>
      <c r="S6" s="373" t="s">
        <v>418</v>
      </c>
      <c r="T6" s="373" t="s">
        <v>401</v>
      </c>
      <c r="U6" s="573" t="str">
        <f t="shared" si="0"/>
        <v>14.07.2021</v>
      </c>
      <c r="V6" s="573" t="str">
        <f t="shared" si="1"/>
        <v>25.08.2021</v>
      </c>
      <c r="W6" s="574"/>
      <c r="X6" s="574" t="s">
        <v>111</v>
      </c>
    </row>
    <row r="7" spans="1:24" x14ac:dyDescent="0.3">
      <c r="A7" s="373" t="s">
        <v>403</v>
      </c>
      <c r="B7" s="373">
        <v>543</v>
      </c>
      <c r="C7" s="373" t="s">
        <v>417</v>
      </c>
      <c r="M7" s="440" t="str">
        <f>+M2</f>
        <v xml:space="preserve">Z64  </v>
      </c>
      <c r="O7" s="378">
        <v>30000000070</v>
      </c>
      <c r="P7" s="374">
        <f>ROUND('Calculo IP ZDF'!B31,2)</f>
        <v>4560.07</v>
      </c>
      <c r="Q7" s="373" t="s">
        <v>399</v>
      </c>
      <c r="R7" s="373">
        <v>1</v>
      </c>
      <c r="S7" s="373" t="s">
        <v>418</v>
      </c>
      <c r="T7" s="373" t="s">
        <v>401</v>
      </c>
      <c r="U7" s="377" t="str">
        <f t="shared" ref="U7:U10" si="2">+U6</f>
        <v>14.07.2021</v>
      </c>
      <c r="V7" s="377" t="str">
        <f t="shared" ref="V7:V21" si="3">+V6</f>
        <v>25.08.2021</v>
      </c>
      <c r="X7" s="396" t="s">
        <v>109</v>
      </c>
    </row>
    <row r="8" spans="1:24" x14ac:dyDescent="0.3">
      <c r="A8" s="373" t="s">
        <v>403</v>
      </c>
      <c r="B8" s="373">
        <v>543</v>
      </c>
      <c r="C8" s="373" t="s">
        <v>417</v>
      </c>
      <c r="M8" s="582" t="str">
        <f t="shared" ref="M8:M11" si="4">+M3</f>
        <v>Z51</v>
      </c>
      <c r="O8" s="378">
        <v>30000000070</v>
      </c>
      <c r="P8" s="374">
        <f>ROUND('Calculo IP ZDF'!B32,2)</f>
        <v>4571.13</v>
      </c>
      <c r="Q8" s="373" t="s">
        <v>399</v>
      </c>
      <c r="R8" s="373">
        <v>1</v>
      </c>
      <c r="S8" s="373" t="s">
        <v>418</v>
      </c>
      <c r="T8" s="373" t="s">
        <v>401</v>
      </c>
      <c r="U8" s="583" t="str">
        <f t="shared" si="2"/>
        <v>14.07.2021</v>
      </c>
      <c r="V8" s="583" t="str">
        <f t="shared" si="3"/>
        <v>25.08.2021</v>
      </c>
      <c r="X8" s="581" t="s">
        <v>518</v>
      </c>
    </row>
    <row r="9" spans="1:24" x14ac:dyDescent="0.3">
      <c r="A9" s="373" t="s">
        <v>403</v>
      </c>
      <c r="B9" s="373">
        <v>543</v>
      </c>
      <c r="C9" s="373" t="s">
        <v>417</v>
      </c>
      <c r="M9" s="577" t="str">
        <f t="shared" si="4"/>
        <v>Z65</v>
      </c>
      <c r="O9" s="378">
        <v>30000000070</v>
      </c>
      <c r="P9" s="374">
        <f>ROUND('Calculo IP ZDF'!B33,2)</f>
        <v>4576.66</v>
      </c>
      <c r="Q9" s="373" t="s">
        <v>399</v>
      </c>
      <c r="R9" s="373">
        <v>1</v>
      </c>
      <c r="S9" s="373" t="s">
        <v>418</v>
      </c>
      <c r="T9" s="373" t="s">
        <v>401</v>
      </c>
      <c r="U9" s="578" t="str">
        <f t="shared" si="2"/>
        <v>14.07.2021</v>
      </c>
      <c r="V9" s="578" t="str">
        <f t="shared" si="3"/>
        <v>25.08.2021</v>
      </c>
      <c r="X9" s="576" t="s">
        <v>516</v>
      </c>
    </row>
    <row r="10" spans="1:24" x14ac:dyDescent="0.3">
      <c r="A10" s="373" t="s">
        <v>403</v>
      </c>
      <c r="B10" s="373">
        <v>543</v>
      </c>
      <c r="C10" s="373" t="s">
        <v>417</v>
      </c>
      <c r="M10" s="579" t="str">
        <f t="shared" si="4"/>
        <v>Z73</v>
      </c>
      <c r="O10" s="378">
        <v>30000000070</v>
      </c>
      <c r="P10" s="374">
        <f>ROUND('Calculo IP ZDF'!B35,2)</f>
        <v>4209.33</v>
      </c>
      <c r="Q10" s="373" t="s">
        <v>399</v>
      </c>
      <c r="R10" s="373">
        <v>1</v>
      </c>
      <c r="S10" s="373" t="s">
        <v>418</v>
      </c>
      <c r="T10" s="373" t="s">
        <v>401</v>
      </c>
      <c r="U10" s="377" t="str">
        <f t="shared" si="2"/>
        <v>14.07.2021</v>
      </c>
      <c r="V10" s="377" t="str">
        <f t="shared" si="3"/>
        <v>25.08.2021</v>
      </c>
      <c r="X10" s="580" t="s">
        <v>517</v>
      </c>
    </row>
    <row r="11" spans="1:24" x14ac:dyDescent="0.3">
      <c r="A11" s="373" t="s">
        <v>403</v>
      </c>
      <c r="B11" s="373">
        <v>543</v>
      </c>
      <c r="C11" s="373" t="s">
        <v>417</v>
      </c>
      <c r="M11" s="575" t="str">
        <f t="shared" si="4"/>
        <v>Z62</v>
      </c>
      <c r="O11" s="378">
        <v>30000000070</v>
      </c>
      <c r="P11" s="374">
        <f>ROUND('Calculo IP ZDF'!B36,2)</f>
        <v>4573.8900000000003</v>
      </c>
      <c r="Q11" s="373" t="s">
        <v>399</v>
      </c>
      <c r="R11" s="373">
        <v>1</v>
      </c>
      <c r="S11" s="373" t="s">
        <v>418</v>
      </c>
      <c r="T11" s="373" t="s">
        <v>401</v>
      </c>
      <c r="U11" s="573" t="str">
        <f>+U10</f>
        <v>14.07.2021</v>
      </c>
      <c r="V11" s="573" t="str">
        <f t="shared" si="3"/>
        <v>25.08.2021</v>
      </c>
      <c r="W11" s="574"/>
      <c r="X11" s="574" t="s">
        <v>111</v>
      </c>
    </row>
    <row r="12" spans="1:24" x14ac:dyDescent="0.3">
      <c r="A12" s="373" t="s">
        <v>397</v>
      </c>
      <c r="B12" s="373">
        <v>543</v>
      </c>
      <c r="C12" s="373" t="s">
        <v>417</v>
      </c>
      <c r="F12" s="373" t="s">
        <v>171</v>
      </c>
      <c r="M12" s="440" t="str">
        <f t="shared" ref="M12:M21" si="5">+M2</f>
        <v xml:space="preserve">Z64  </v>
      </c>
      <c r="O12" s="391">
        <v>30000002129</v>
      </c>
      <c r="P12" s="374">
        <f>ROUND('Calculo IP ZDF'!D31,2)</f>
        <v>4390</v>
      </c>
      <c r="Q12" s="373" t="s">
        <v>399</v>
      </c>
      <c r="R12" s="373">
        <v>1</v>
      </c>
      <c r="S12" s="373" t="s">
        <v>418</v>
      </c>
      <c r="T12" s="373" t="s">
        <v>401</v>
      </c>
      <c r="U12" s="377" t="str">
        <f t="shared" ref="U12:U16" si="6">+U11</f>
        <v>14.07.2021</v>
      </c>
      <c r="V12" s="377" t="str">
        <f t="shared" si="3"/>
        <v>25.08.2021</v>
      </c>
      <c r="X12" s="396" t="s">
        <v>109</v>
      </c>
    </row>
    <row r="13" spans="1:24" x14ac:dyDescent="0.3">
      <c r="A13" s="373" t="s">
        <v>397</v>
      </c>
      <c r="B13" s="373">
        <v>543</v>
      </c>
      <c r="C13" s="373" t="s">
        <v>417</v>
      </c>
      <c r="M13" s="582" t="str">
        <f t="shared" si="5"/>
        <v>Z51</v>
      </c>
      <c r="O13" s="391">
        <v>30000002129</v>
      </c>
      <c r="P13" s="374">
        <f>ROUND('Calculo IP ZDF'!D32,2)</f>
        <v>4052.41</v>
      </c>
      <c r="Q13" s="373" t="s">
        <v>399</v>
      </c>
      <c r="R13" s="373">
        <v>1</v>
      </c>
      <c r="S13" s="373" t="s">
        <v>418</v>
      </c>
      <c r="T13" s="373" t="s">
        <v>401</v>
      </c>
      <c r="U13" s="583" t="str">
        <f t="shared" si="6"/>
        <v>14.07.2021</v>
      </c>
      <c r="V13" s="583" t="str">
        <f t="shared" si="3"/>
        <v>25.08.2021</v>
      </c>
      <c r="X13" s="581" t="s">
        <v>518</v>
      </c>
    </row>
    <row r="14" spans="1:24" x14ac:dyDescent="0.3">
      <c r="A14" s="373" t="s">
        <v>397</v>
      </c>
      <c r="B14" s="373">
        <v>543</v>
      </c>
      <c r="C14" s="373" t="s">
        <v>417</v>
      </c>
      <c r="M14" s="577" t="str">
        <f t="shared" si="5"/>
        <v>Z65</v>
      </c>
      <c r="O14" s="391">
        <v>30000002129</v>
      </c>
      <c r="P14" s="374">
        <f>ROUND('Calculo IP ZDF'!D33,2)</f>
        <v>4134.5</v>
      </c>
      <c r="Q14" s="373" t="s">
        <v>399</v>
      </c>
      <c r="R14" s="373">
        <v>1</v>
      </c>
      <c r="S14" s="373" t="s">
        <v>418</v>
      </c>
      <c r="T14" s="373" t="s">
        <v>401</v>
      </c>
      <c r="U14" s="578" t="str">
        <f t="shared" si="6"/>
        <v>14.07.2021</v>
      </c>
      <c r="V14" s="578" t="str">
        <f t="shared" si="3"/>
        <v>25.08.2021</v>
      </c>
      <c r="X14" s="576" t="s">
        <v>516</v>
      </c>
    </row>
    <row r="15" spans="1:24" x14ac:dyDescent="0.3">
      <c r="A15" s="373" t="s">
        <v>397</v>
      </c>
      <c r="B15" s="373">
        <v>543</v>
      </c>
      <c r="C15" s="373" t="s">
        <v>417</v>
      </c>
      <c r="M15" s="579" t="str">
        <f t="shared" si="5"/>
        <v>Z73</v>
      </c>
      <c r="O15" s="391">
        <v>30000002129</v>
      </c>
      <c r="P15" s="374">
        <f>ROUND('Calculo IP ZDF'!D35,2)</f>
        <v>4052.41</v>
      </c>
      <c r="Q15" s="373" t="s">
        <v>399</v>
      </c>
      <c r="R15" s="373">
        <v>1</v>
      </c>
      <c r="S15" s="373" t="s">
        <v>418</v>
      </c>
      <c r="T15" s="373" t="s">
        <v>401</v>
      </c>
      <c r="U15" s="377" t="str">
        <f t="shared" si="6"/>
        <v>14.07.2021</v>
      </c>
      <c r="V15" s="377" t="str">
        <f t="shared" si="3"/>
        <v>25.08.2021</v>
      </c>
      <c r="X15" s="580" t="s">
        <v>517</v>
      </c>
    </row>
    <row r="16" spans="1:24" x14ac:dyDescent="0.3">
      <c r="A16" s="373" t="s">
        <v>397</v>
      </c>
      <c r="B16" s="373">
        <v>543</v>
      </c>
      <c r="C16" s="373" t="s">
        <v>417</v>
      </c>
      <c r="M16" s="575" t="str">
        <f t="shared" si="5"/>
        <v>Z62</v>
      </c>
      <c r="O16" s="391">
        <v>30000002129</v>
      </c>
      <c r="P16" s="374">
        <f>ROUND('Calculo IP ZDF'!D36,2)</f>
        <v>4134.5</v>
      </c>
      <c r="Q16" s="373" t="s">
        <v>399</v>
      </c>
      <c r="R16" s="373">
        <v>1</v>
      </c>
      <c r="S16" s="373" t="s">
        <v>418</v>
      </c>
      <c r="T16" s="373" t="s">
        <v>401</v>
      </c>
      <c r="U16" s="573" t="str">
        <f t="shared" si="6"/>
        <v>14.07.2021</v>
      </c>
      <c r="V16" s="573" t="str">
        <f t="shared" si="3"/>
        <v>25.08.2021</v>
      </c>
      <c r="W16" s="574"/>
      <c r="X16" s="574" t="s">
        <v>111</v>
      </c>
    </row>
    <row r="17" spans="1:25" x14ac:dyDescent="0.3">
      <c r="A17" s="373" t="s">
        <v>402</v>
      </c>
      <c r="B17" s="373">
        <v>543</v>
      </c>
      <c r="C17" s="373" t="s">
        <v>417</v>
      </c>
      <c r="F17" s="373" t="s">
        <v>171</v>
      </c>
      <c r="M17" s="440" t="str">
        <f t="shared" si="5"/>
        <v xml:space="preserve">Z64  </v>
      </c>
      <c r="O17" s="391">
        <v>30000002129</v>
      </c>
      <c r="P17" s="374">
        <f>ROUND('Calculo IP ZDF'!E31,2)</f>
        <v>333.12</v>
      </c>
      <c r="Q17" s="373" t="s">
        <v>399</v>
      </c>
      <c r="R17" s="373">
        <v>1</v>
      </c>
      <c r="S17" s="373" t="s">
        <v>418</v>
      </c>
      <c r="T17" s="373" t="s">
        <v>401</v>
      </c>
      <c r="U17" s="377" t="str">
        <f t="shared" ref="U17:U21" si="7">+U16</f>
        <v>14.07.2021</v>
      </c>
      <c r="V17" s="377" t="str">
        <f t="shared" si="3"/>
        <v>25.08.2021</v>
      </c>
      <c r="X17" s="396" t="s">
        <v>109</v>
      </c>
    </row>
    <row r="18" spans="1:25" x14ac:dyDescent="0.3">
      <c r="A18" s="373" t="s">
        <v>402</v>
      </c>
      <c r="B18" s="373">
        <v>543</v>
      </c>
      <c r="C18" s="373" t="s">
        <v>417</v>
      </c>
      <c r="M18" s="582" t="str">
        <f t="shared" si="5"/>
        <v>Z51</v>
      </c>
      <c r="O18" s="391">
        <v>30000002129</v>
      </c>
      <c r="P18" s="374">
        <f>ROUND('Calculo IP ZDF'!E32,2)</f>
        <v>333.12</v>
      </c>
      <c r="Q18" s="373" t="s">
        <v>399</v>
      </c>
      <c r="R18" s="373">
        <v>1</v>
      </c>
      <c r="S18" s="373" t="s">
        <v>418</v>
      </c>
      <c r="T18" s="373" t="s">
        <v>401</v>
      </c>
      <c r="U18" s="583" t="str">
        <f t="shared" si="7"/>
        <v>14.07.2021</v>
      </c>
      <c r="V18" s="583" t="str">
        <f t="shared" si="3"/>
        <v>25.08.2021</v>
      </c>
      <c r="X18" s="581" t="s">
        <v>518</v>
      </c>
    </row>
    <row r="19" spans="1:25" x14ac:dyDescent="0.3">
      <c r="A19" s="373" t="s">
        <v>402</v>
      </c>
      <c r="B19" s="373">
        <v>543</v>
      </c>
      <c r="C19" s="373" t="s">
        <v>417</v>
      </c>
      <c r="M19" s="577" t="str">
        <f t="shared" si="5"/>
        <v>Z65</v>
      </c>
      <c r="O19" s="391">
        <v>30000002129</v>
      </c>
      <c r="P19" s="374">
        <f>ROUND('Calculo IP ZDF'!E33,2)</f>
        <v>333.12</v>
      </c>
      <c r="Q19" s="373" t="s">
        <v>399</v>
      </c>
      <c r="R19" s="373">
        <v>1</v>
      </c>
      <c r="S19" s="373" t="s">
        <v>418</v>
      </c>
      <c r="T19" s="373" t="s">
        <v>401</v>
      </c>
      <c r="U19" s="578" t="str">
        <f t="shared" si="7"/>
        <v>14.07.2021</v>
      </c>
      <c r="V19" s="578" t="str">
        <f t="shared" si="3"/>
        <v>25.08.2021</v>
      </c>
      <c r="X19" s="576" t="s">
        <v>516</v>
      </c>
    </row>
    <row r="20" spans="1:25" x14ac:dyDescent="0.3">
      <c r="A20" s="373" t="s">
        <v>402</v>
      </c>
      <c r="B20" s="373">
        <v>543</v>
      </c>
      <c r="C20" s="373" t="s">
        <v>417</v>
      </c>
      <c r="M20" s="579" t="str">
        <f t="shared" si="5"/>
        <v>Z73</v>
      </c>
      <c r="O20" s="391">
        <v>30000002129</v>
      </c>
      <c r="P20" s="374">
        <f>ROUND('Calculo IP ZDF'!E35,2)</f>
        <v>333.12</v>
      </c>
      <c r="Q20" s="373" t="s">
        <v>399</v>
      </c>
      <c r="R20" s="373">
        <v>1</v>
      </c>
      <c r="S20" s="373" t="s">
        <v>418</v>
      </c>
      <c r="T20" s="373" t="s">
        <v>401</v>
      </c>
      <c r="U20" s="377" t="str">
        <f t="shared" si="7"/>
        <v>14.07.2021</v>
      </c>
      <c r="V20" s="377" t="str">
        <f t="shared" si="3"/>
        <v>25.08.2021</v>
      </c>
      <c r="X20" s="580" t="s">
        <v>517</v>
      </c>
    </row>
    <row r="21" spans="1:25" x14ac:dyDescent="0.3">
      <c r="A21" s="373" t="s">
        <v>402</v>
      </c>
      <c r="B21" s="373">
        <v>543</v>
      </c>
      <c r="C21" s="373" t="s">
        <v>417</v>
      </c>
      <c r="M21" s="575" t="str">
        <f t="shared" si="5"/>
        <v>Z62</v>
      </c>
      <c r="O21" s="391">
        <v>30000002129</v>
      </c>
      <c r="P21" s="374">
        <f>ROUND('Calculo IP ZDF'!E36,2)</f>
        <v>333.12</v>
      </c>
      <c r="Q21" s="373" t="s">
        <v>399</v>
      </c>
      <c r="R21" s="373">
        <v>1</v>
      </c>
      <c r="S21" s="373" t="s">
        <v>418</v>
      </c>
      <c r="T21" s="373" t="s">
        <v>401</v>
      </c>
      <c r="U21" s="573" t="str">
        <f t="shared" si="7"/>
        <v>14.07.2021</v>
      </c>
      <c r="V21" s="573" t="str">
        <f t="shared" si="3"/>
        <v>25.08.2021</v>
      </c>
      <c r="W21" s="574"/>
      <c r="X21" s="574" t="s">
        <v>111</v>
      </c>
    </row>
    <row r="22" spans="1:25" x14ac:dyDescent="0.3">
      <c r="A22" s="373" t="s">
        <v>403</v>
      </c>
      <c r="B22" s="373">
        <v>549</v>
      </c>
      <c r="C22" s="373" t="s">
        <v>417</v>
      </c>
      <c r="I22" s="373">
        <v>9000014799</v>
      </c>
      <c r="M22" s="575" t="str">
        <f>+M21</f>
        <v>Z62</v>
      </c>
      <c r="O22" s="373">
        <v>30000000003</v>
      </c>
      <c r="P22" s="374">
        <f>ROUND('Calculo IP ZDF'!C36,2)</f>
        <v>4218.88</v>
      </c>
      <c r="Q22" s="373" t="s">
        <v>399</v>
      </c>
      <c r="R22" s="373">
        <v>1</v>
      </c>
      <c r="S22" s="373" t="s">
        <v>418</v>
      </c>
      <c r="T22" s="373" t="s">
        <v>401</v>
      </c>
      <c r="U22" s="376" t="str">
        <f>+U21</f>
        <v>14.07.2021</v>
      </c>
      <c r="V22" s="376" t="str">
        <f>+V21</f>
        <v>25.08.2021</v>
      </c>
      <c r="W22" s="423" t="s">
        <v>432</v>
      </c>
      <c r="X22" s="424"/>
      <c r="Y22" s="424"/>
    </row>
    <row r="27" spans="1:25" x14ac:dyDescent="0.3">
      <c r="I27" s="396" t="s">
        <v>471</v>
      </c>
      <c r="J27" s="396"/>
      <c r="K27" s="396"/>
      <c r="L27" s="396"/>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33203125" defaultRowHeight="15.05" x14ac:dyDescent="0.3"/>
  <cols>
    <col min="1" max="1" width="0" style="2" hidden="1" customWidth="1"/>
    <col min="2" max="2" width="11.33203125" style="2"/>
    <col min="3" max="3" width="3.88671875" style="2" customWidth="1"/>
    <col min="4" max="4" width="81.21875" style="2" customWidth="1"/>
    <col min="5" max="5" width="15.88671875" style="3" customWidth="1"/>
    <col min="6" max="6" width="21.21875" style="2" customWidth="1"/>
    <col min="7" max="10" width="11.33203125" style="2"/>
    <col min="11" max="11" width="12.88671875" style="2" customWidth="1"/>
    <col min="12" max="16384" width="11.33203125" style="2"/>
  </cols>
  <sheetData>
    <row r="2" spans="2:12" ht="36.65" x14ac:dyDescent="0.65">
      <c r="B2" s="1">
        <v>3</v>
      </c>
      <c r="D2" s="2" t="s">
        <v>13</v>
      </c>
    </row>
    <row r="4" spans="2:12" ht="20.3" x14ac:dyDescent="0.35">
      <c r="D4" s="4" t="s">
        <v>0</v>
      </c>
      <c r="E4" s="5" t="s">
        <v>1</v>
      </c>
      <c r="F4" s="6" t="s">
        <v>2</v>
      </c>
    </row>
    <row r="5" spans="2:12" ht="21.3" x14ac:dyDescent="0.4">
      <c r="D5" s="4"/>
      <c r="E5" s="5"/>
      <c r="F5" s="6" t="s">
        <v>14</v>
      </c>
    </row>
    <row r="6" spans="2:12" x14ac:dyDescent="0.3">
      <c r="D6" s="11" t="s">
        <v>15</v>
      </c>
      <c r="E6" s="7" t="s">
        <v>16</v>
      </c>
      <c r="F6" s="639" t="s">
        <v>17</v>
      </c>
      <c r="G6" s="639"/>
      <c r="H6" s="639"/>
      <c r="I6" s="639"/>
      <c r="J6" s="639"/>
      <c r="K6" s="8">
        <v>4169.6138703799988</v>
      </c>
      <c r="L6" s="13"/>
    </row>
    <row r="7" spans="2:12" x14ac:dyDescent="0.3">
      <c r="D7" s="11" t="s">
        <v>18</v>
      </c>
      <c r="E7" s="7" t="s">
        <v>19</v>
      </c>
      <c r="F7" s="639" t="s">
        <v>17</v>
      </c>
      <c r="G7" s="639"/>
      <c r="H7" s="639"/>
      <c r="I7" s="639"/>
      <c r="J7" s="639"/>
      <c r="K7" s="8">
        <v>4923.01</v>
      </c>
      <c r="L7" s="13"/>
    </row>
    <row r="10" spans="2:12" ht="20.3" x14ac:dyDescent="0.35">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0.3" x14ac:dyDescent="0.35">
      <c r="D19" s="640" t="s">
        <v>9</v>
      </c>
      <c r="E19" s="641" t="s">
        <v>1</v>
      </c>
      <c r="F19" s="642" t="s">
        <v>2</v>
      </c>
      <c r="G19" s="643"/>
      <c r="H19" s="643"/>
      <c r="I19" s="643"/>
      <c r="J19" s="644"/>
    </row>
    <row r="20" spans="4:12" ht="20.3" x14ac:dyDescent="0.35">
      <c r="D20" s="640"/>
      <c r="E20" s="641"/>
      <c r="F20" s="645" t="s">
        <v>23</v>
      </c>
      <c r="G20" s="646"/>
      <c r="H20" s="646"/>
      <c r="I20" s="646"/>
      <c r="J20" s="647"/>
    </row>
    <row r="21" spans="4:12" x14ac:dyDescent="0.3">
      <c r="D21" s="12" t="s">
        <v>24</v>
      </c>
      <c r="E21" s="14" t="s">
        <v>10</v>
      </c>
      <c r="F21" s="639" t="s">
        <v>25</v>
      </c>
      <c r="G21" s="639"/>
      <c r="H21" s="639"/>
      <c r="I21" s="639"/>
      <c r="J21" s="639"/>
      <c r="K21" s="15">
        <v>4915.26</v>
      </c>
      <c r="L21" s="2" t="s">
        <v>348</v>
      </c>
    </row>
    <row r="22" spans="4:12" x14ac:dyDescent="0.3">
      <c r="D22" s="12" t="s">
        <v>26</v>
      </c>
      <c r="E22" s="14" t="s">
        <v>11</v>
      </c>
      <c r="F22" s="639" t="s">
        <v>27</v>
      </c>
      <c r="G22" s="639"/>
      <c r="H22" s="639"/>
      <c r="I22" s="639"/>
      <c r="J22" s="639"/>
      <c r="K22" s="15">
        <v>203.74</v>
      </c>
      <c r="L22" s="2" t="s">
        <v>348</v>
      </c>
    </row>
    <row r="23" spans="4:12" x14ac:dyDescent="0.3">
      <c r="D23" s="12" t="s">
        <v>28</v>
      </c>
      <c r="E23" s="14" t="s">
        <v>4</v>
      </c>
      <c r="F23" s="639" t="s">
        <v>29</v>
      </c>
      <c r="G23" s="639"/>
      <c r="H23" s="639"/>
      <c r="I23" s="639"/>
      <c r="J23" s="639"/>
      <c r="K23" s="15">
        <v>4923.01</v>
      </c>
      <c r="L23" s="2" t="s">
        <v>348</v>
      </c>
    </row>
    <row r="24" spans="4:12" x14ac:dyDescent="0.3">
      <c r="D24" s="12" t="s">
        <v>30</v>
      </c>
      <c r="E24" s="14" t="s">
        <v>3</v>
      </c>
      <c r="F24" s="639" t="s">
        <v>29</v>
      </c>
      <c r="G24" s="639"/>
      <c r="H24" s="639"/>
      <c r="I24" s="639"/>
      <c r="J24" s="639"/>
      <c r="K24" s="15">
        <v>5015.57</v>
      </c>
      <c r="L24" s="2" t="s">
        <v>350</v>
      </c>
    </row>
    <row r="25" spans="4:12" x14ac:dyDescent="0.3">
      <c r="D25" s="12" t="s">
        <v>31</v>
      </c>
      <c r="E25" s="14" t="s">
        <v>12</v>
      </c>
      <c r="F25" s="639" t="s">
        <v>32</v>
      </c>
      <c r="G25" s="639"/>
      <c r="H25" s="639"/>
      <c r="I25" s="639"/>
      <c r="J25" s="639"/>
      <c r="K25" s="15">
        <v>4254.7080309999992</v>
      </c>
      <c r="L25" s="364" t="s">
        <v>348</v>
      </c>
    </row>
    <row r="26" spans="4:12" x14ac:dyDescent="0.3">
      <c r="D26" s="12" t="s">
        <v>33</v>
      </c>
      <c r="E26" s="14" t="s">
        <v>34</v>
      </c>
      <c r="F26" s="639" t="s">
        <v>32</v>
      </c>
      <c r="G26" s="639"/>
      <c r="H26" s="639"/>
      <c r="I26" s="639"/>
      <c r="J26" s="639"/>
      <c r="K26" s="15">
        <v>4391.8172209999993</v>
      </c>
      <c r="L26" s="2" t="s">
        <v>348</v>
      </c>
    </row>
    <row r="27" spans="4:12" ht="15.05" customHeight="1" x14ac:dyDescent="0.3">
      <c r="D27" s="12" t="s">
        <v>35</v>
      </c>
      <c r="E27" s="14" t="s">
        <v>36</v>
      </c>
      <c r="F27" s="639" t="s">
        <v>32</v>
      </c>
      <c r="G27" s="639"/>
      <c r="H27" s="639"/>
      <c r="I27" s="639"/>
      <c r="J27" s="639"/>
      <c r="K27" s="15">
        <v>4384.4327060000005</v>
      </c>
      <c r="L27" s="2" t="s">
        <v>348</v>
      </c>
    </row>
    <row r="28" spans="4:12" ht="15.05" customHeight="1" x14ac:dyDescent="0.3">
      <c r="D28" s="12" t="s">
        <v>37</v>
      </c>
      <c r="E28" s="14" t="s">
        <v>38</v>
      </c>
      <c r="F28" s="639" t="s">
        <v>32</v>
      </c>
      <c r="G28" s="639"/>
      <c r="H28" s="639"/>
      <c r="I28" s="639"/>
      <c r="J28" s="639"/>
      <c r="K28" s="15">
        <v>4505.5387520000004</v>
      </c>
      <c r="L28" s="2" t="s">
        <v>348</v>
      </c>
    </row>
    <row r="29" spans="4:12" ht="15.05" customHeight="1" x14ac:dyDescent="0.3">
      <c r="D29" s="12" t="s">
        <v>39</v>
      </c>
      <c r="E29" s="14" t="s">
        <v>40</v>
      </c>
      <c r="F29" s="639" t="s">
        <v>32</v>
      </c>
      <c r="G29" s="639"/>
      <c r="H29" s="639"/>
      <c r="I29" s="639"/>
      <c r="J29" s="639"/>
      <c r="K29" s="15">
        <v>4234.7732020000003</v>
      </c>
      <c r="L29" s="2" t="s">
        <v>348</v>
      </c>
    </row>
    <row r="30" spans="4:12" x14ac:dyDescent="0.3">
      <c r="D30" s="12" t="s">
        <v>41</v>
      </c>
      <c r="E30" s="14" t="s">
        <v>42</v>
      </c>
      <c r="F30" s="639" t="s">
        <v>32</v>
      </c>
      <c r="G30" s="639"/>
      <c r="H30" s="639"/>
      <c r="I30" s="639"/>
      <c r="J30" s="639"/>
      <c r="K30" s="15">
        <v>4923.01</v>
      </c>
      <c r="L30" s="2" t="s">
        <v>348</v>
      </c>
    </row>
    <row r="31" spans="4:12" ht="14.4" x14ac:dyDescent="0.3">
      <c r="D31" s="12" t="s">
        <v>43</v>
      </c>
      <c r="E31" s="14" t="s">
        <v>4</v>
      </c>
      <c r="F31" s="639" t="s">
        <v>29</v>
      </c>
      <c r="G31" s="639"/>
      <c r="H31" s="639"/>
      <c r="I31" s="639"/>
      <c r="J31" s="639"/>
      <c r="K31" s="15">
        <v>4923.01</v>
      </c>
      <c r="L31" s="2" t="s">
        <v>348</v>
      </c>
    </row>
    <row r="32" spans="4:12" ht="14.4" x14ac:dyDescent="0.3">
      <c r="D32" s="12" t="s">
        <v>44</v>
      </c>
      <c r="E32" s="14" t="s">
        <v>40</v>
      </c>
      <c r="F32" s="639" t="s">
        <v>45</v>
      </c>
      <c r="G32" s="639"/>
      <c r="H32" s="639"/>
      <c r="I32" s="639"/>
      <c r="J32" s="639"/>
      <c r="K32" s="15">
        <v>4923.01</v>
      </c>
      <c r="L32" s="2" t="s">
        <v>348</v>
      </c>
    </row>
    <row r="33" spans="4:12" ht="14.4" x14ac:dyDescent="0.3">
      <c r="D33" s="12" t="s">
        <v>46</v>
      </c>
      <c r="E33" s="14" t="s">
        <v>47</v>
      </c>
      <c r="F33" s="639" t="s">
        <v>32</v>
      </c>
      <c r="G33" s="639"/>
      <c r="H33" s="639"/>
      <c r="I33" s="639"/>
      <c r="J33" s="639"/>
      <c r="K33" s="15">
        <v>4056.8112165399998</v>
      </c>
      <c r="L33" s="2" t="s">
        <v>350</v>
      </c>
    </row>
    <row r="34" spans="4:12" ht="14.4" x14ac:dyDescent="0.3">
      <c r="D34" s="12" t="s">
        <v>48</v>
      </c>
      <c r="E34" s="14">
        <v>0</v>
      </c>
      <c r="F34" s="639"/>
      <c r="G34" s="639"/>
      <c r="H34" s="639"/>
      <c r="I34" s="639"/>
      <c r="J34" s="639"/>
      <c r="K34" s="15"/>
      <c r="L34" s="2" t="s">
        <v>348</v>
      </c>
    </row>
    <row r="35" spans="4:12" x14ac:dyDescent="0.3">
      <c r="D35" s="12" t="s">
        <v>49</v>
      </c>
      <c r="E35" s="14" t="s">
        <v>50</v>
      </c>
      <c r="F35" s="639" t="s">
        <v>32</v>
      </c>
      <c r="G35" s="639"/>
      <c r="H35" s="639"/>
      <c r="I35" s="639"/>
      <c r="J35" s="639"/>
      <c r="K35" s="15">
        <v>3853.07121654</v>
      </c>
      <c r="L35" s="2" t="s">
        <v>348</v>
      </c>
    </row>
    <row r="36" spans="4:12" x14ac:dyDescent="0.3">
      <c r="D36" s="12" t="s">
        <v>51</v>
      </c>
      <c r="E36" s="14" t="s">
        <v>52</v>
      </c>
      <c r="F36" s="639" t="s">
        <v>32</v>
      </c>
      <c r="G36" s="639"/>
      <c r="H36" s="639"/>
      <c r="I36" s="639"/>
      <c r="J36" s="639"/>
      <c r="K36" s="15">
        <v>203.74</v>
      </c>
      <c r="L36" s="2" t="s">
        <v>348</v>
      </c>
    </row>
    <row r="37" spans="4:12" x14ac:dyDescent="0.3">
      <c r="D37" s="12" t="s">
        <v>53</v>
      </c>
      <c r="E37" s="14" t="s">
        <v>54</v>
      </c>
      <c r="F37" s="639" t="s">
        <v>55</v>
      </c>
      <c r="G37" s="639"/>
      <c r="H37" s="639"/>
      <c r="I37" s="639"/>
      <c r="J37" s="639"/>
      <c r="K37" s="15">
        <v>4345.8234222199999</v>
      </c>
      <c r="L37" s="16" t="s">
        <v>349</v>
      </c>
    </row>
    <row r="38" spans="4:12" x14ac:dyDescent="0.3">
      <c r="D38" s="12" t="s">
        <v>56</v>
      </c>
      <c r="E38" s="14" t="s">
        <v>57</v>
      </c>
      <c r="F38" s="639" t="s">
        <v>55</v>
      </c>
      <c r="G38" s="639"/>
      <c r="H38" s="639"/>
      <c r="I38" s="639"/>
      <c r="J38" s="639"/>
      <c r="K38" s="15">
        <v>4142.0884222200002</v>
      </c>
      <c r="L38" s="2" t="s">
        <v>348</v>
      </c>
    </row>
    <row r="39" spans="4:12" x14ac:dyDescent="0.3">
      <c r="D39" s="12" t="s">
        <v>58</v>
      </c>
      <c r="E39" s="14" t="s">
        <v>59</v>
      </c>
      <c r="F39" s="639" t="s">
        <v>55</v>
      </c>
      <c r="G39" s="639"/>
      <c r="H39" s="639"/>
      <c r="I39" s="639"/>
      <c r="J39" s="639"/>
      <c r="K39" s="15">
        <v>203.73500000000001</v>
      </c>
      <c r="L39" s="2" t="s">
        <v>348</v>
      </c>
    </row>
    <row r="40" spans="4:12" x14ac:dyDescent="0.3">
      <c r="D40" s="12" t="s">
        <v>60</v>
      </c>
      <c r="E40" s="14" t="s">
        <v>61</v>
      </c>
      <c r="F40" s="639" t="s">
        <v>62</v>
      </c>
      <c r="G40" s="639"/>
      <c r="H40" s="639"/>
      <c r="I40" s="639"/>
      <c r="J40" s="639"/>
      <c r="K40" s="15">
        <v>4180.670733259999</v>
      </c>
      <c r="L40" s="16" t="s">
        <v>349</v>
      </c>
    </row>
    <row r="41" spans="4:12" x14ac:dyDescent="0.3">
      <c r="D41" s="12" t="s">
        <v>63</v>
      </c>
      <c r="E41" s="14" t="s">
        <v>64</v>
      </c>
      <c r="F41" s="639" t="s">
        <v>62</v>
      </c>
      <c r="G41" s="639"/>
      <c r="H41" s="639"/>
      <c r="I41" s="639"/>
      <c r="J41" s="639"/>
      <c r="K41" s="15">
        <v>3976.9357332599993</v>
      </c>
      <c r="L41" s="17" t="s">
        <v>348</v>
      </c>
    </row>
    <row r="42" spans="4:12" x14ac:dyDescent="0.3">
      <c r="D42" s="12" t="s">
        <v>65</v>
      </c>
      <c r="E42" s="14" t="s">
        <v>66</v>
      </c>
      <c r="F42" s="639" t="s">
        <v>62</v>
      </c>
      <c r="G42" s="639"/>
      <c r="H42" s="639"/>
      <c r="I42" s="639"/>
      <c r="J42" s="639"/>
      <c r="K42" s="15">
        <v>203.73500000000001</v>
      </c>
      <c r="L42" s="2" t="s">
        <v>348</v>
      </c>
    </row>
    <row r="43" spans="4:12" x14ac:dyDescent="0.3">
      <c r="D43" s="12" t="s">
        <v>67</v>
      </c>
      <c r="E43" s="14" t="s">
        <v>68</v>
      </c>
      <c r="F43" s="639" t="s">
        <v>69</v>
      </c>
      <c r="G43" s="639"/>
      <c r="H43" s="639"/>
      <c r="I43" s="639"/>
      <c r="J43" s="639"/>
      <c r="K43" s="15">
        <v>4373.3488703799985</v>
      </c>
      <c r="L43" s="16" t="s">
        <v>348</v>
      </c>
    </row>
    <row r="44" spans="4:12" x14ac:dyDescent="0.3">
      <c r="D44" s="12" t="s">
        <v>70</v>
      </c>
      <c r="E44" s="14" t="s">
        <v>16</v>
      </c>
      <c r="F44" s="639" t="s">
        <v>69</v>
      </c>
      <c r="G44" s="639"/>
      <c r="H44" s="639"/>
      <c r="I44" s="639"/>
      <c r="J44" s="639"/>
      <c r="K44" s="15">
        <v>4169.6138703799988</v>
      </c>
      <c r="L44" s="2" t="s">
        <v>348</v>
      </c>
    </row>
    <row r="45" spans="4:12" x14ac:dyDescent="0.3">
      <c r="D45" s="12" t="s">
        <v>71</v>
      </c>
      <c r="E45" s="14" t="s">
        <v>72</v>
      </c>
      <c r="F45" s="639" t="s">
        <v>69</v>
      </c>
      <c r="G45" s="639"/>
      <c r="H45" s="639"/>
      <c r="I45" s="639"/>
      <c r="J45" s="639"/>
      <c r="K45" s="15">
        <v>203.73500000000001</v>
      </c>
      <c r="L45" s="2" t="s">
        <v>348</v>
      </c>
    </row>
    <row r="46" spans="4:12" x14ac:dyDescent="0.3">
      <c r="D46" s="12" t="s">
        <v>73</v>
      </c>
      <c r="E46" s="10">
        <v>0</v>
      </c>
      <c r="F46" s="639"/>
      <c r="G46" s="639"/>
      <c r="H46" s="639"/>
      <c r="I46" s="639"/>
      <c r="J46" s="639"/>
      <c r="K46" s="15"/>
      <c r="L46" s="2" t="s">
        <v>350</v>
      </c>
    </row>
    <row r="47" spans="4:12" x14ac:dyDescent="0.3">
      <c r="D47" s="363" t="s">
        <v>351</v>
      </c>
      <c r="E47" s="18"/>
      <c r="F47" s="2" t="s">
        <v>352</v>
      </c>
      <c r="K47" s="2">
        <f>+'Calculo IP ZDF'!C36</f>
        <v>4218.8778620000003</v>
      </c>
      <c r="L47" s="2" t="s">
        <v>348</v>
      </c>
    </row>
    <row r="48" spans="4:12" x14ac:dyDescent="0.3">
      <c r="D48" s="363" t="s">
        <v>353</v>
      </c>
      <c r="E48" s="18"/>
      <c r="F48" s="2" t="s">
        <v>354</v>
      </c>
      <c r="K48" s="2">
        <f>+'Calculo IP ZDF'!C32</f>
        <v>4135.1095290000003</v>
      </c>
      <c r="L48" s="364" t="s">
        <v>348</v>
      </c>
    </row>
    <row r="49" spans="4:12" x14ac:dyDescent="0.3">
      <c r="D49" s="362" t="s">
        <v>355</v>
      </c>
      <c r="K49" s="2">
        <f>+'Calculo IP ZDF'!C35</f>
        <v>4135.1095290000003</v>
      </c>
      <c r="L49" s="364" t="s">
        <v>348</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S52"/>
  <sheetViews>
    <sheetView topLeftCell="A19" zoomScaleNormal="100" workbookViewId="0">
      <selection activeCell="F17" sqref="F17"/>
    </sheetView>
  </sheetViews>
  <sheetFormatPr baseColWidth="10" defaultRowHeight="15.05" x14ac:dyDescent="0.3"/>
  <cols>
    <col min="1" max="1" width="28.21875" customWidth="1"/>
    <col min="2" max="2" width="11.6640625" customWidth="1"/>
    <col min="4" max="5" width="11.33203125" customWidth="1"/>
    <col min="7" max="8" width="16.88671875" customWidth="1"/>
    <col min="9" max="9" width="11.33203125" customWidth="1"/>
    <col min="10" max="10" width="22.109375" customWidth="1"/>
  </cols>
  <sheetData>
    <row r="1" spans="1:15" x14ac:dyDescent="0.3">
      <c r="A1" s="367"/>
      <c r="O1" t="s">
        <v>171</v>
      </c>
    </row>
    <row r="2" spans="1:15" x14ac:dyDescent="0.3">
      <c r="A2" s="649" t="s">
        <v>121</v>
      </c>
      <c r="B2" s="648" t="s">
        <v>120</v>
      </c>
      <c r="C2" s="648"/>
      <c r="G2" t="s">
        <v>171</v>
      </c>
    </row>
    <row r="3" spans="1:15" x14ac:dyDescent="0.3">
      <c r="A3" s="649"/>
      <c r="B3" s="368" t="s">
        <v>446</v>
      </c>
      <c r="C3" s="369" t="s">
        <v>107</v>
      </c>
    </row>
    <row r="4" spans="1:15" x14ac:dyDescent="0.3">
      <c r="A4" s="22" t="s">
        <v>108</v>
      </c>
      <c r="B4" s="563">
        <v>0.9909</v>
      </c>
      <c r="C4" s="563">
        <v>0.94199999999999995</v>
      </c>
      <c r="F4" s="474" t="s">
        <v>528</v>
      </c>
      <c r="G4" s="474"/>
      <c r="H4" s="474"/>
      <c r="I4" s="474"/>
    </row>
    <row r="5" spans="1:15" x14ac:dyDescent="0.3">
      <c r="A5" s="22" t="s">
        <v>116</v>
      </c>
      <c r="B5" s="563">
        <v>0.96499999999999997</v>
      </c>
      <c r="C5" s="563">
        <v>0.89219999999999999</v>
      </c>
    </row>
    <row r="6" spans="1:15" x14ac:dyDescent="0.3">
      <c r="A6" s="22" t="s">
        <v>113</v>
      </c>
      <c r="B6" s="563">
        <v>0.98150000000000004</v>
      </c>
      <c r="C6" s="563">
        <v>0.96050000000000002</v>
      </c>
    </row>
    <row r="7" spans="1:15" x14ac:dyDescent="0.3">
      <c r="A7" s="22" t="s">
        <v>109</v>
      </c>
      <c r="B7" s="563">
        <v>0.98939999999999995</v>
      </c>
      <c r="C7" s="563">
        <v>1</v>
      </c>
    </row>
    <row r="8" spans="1:15" x14ac:dyDescent="0.3">
      <c r="A8" s="22" t="s">
        <v>114</v>
      </c>
      <c r="B8" s="563">
        <v>0.99180000000000001</v>
      </c>
      <c r="C8" s="563">
        <v>0.92310000000000003</v>
      </c>
    </row>
    <row r="9" spans="1:15" x14ac:dyDescent="0.3">
      <c r="A9" s="22" t="s">
        <v>499</v>
      </c>
      <c r="B9" s="563">
        <v>0.98939999999999995</v>
      </c>
      <c r="C9" s="563">
        <v>1</v>
      </c>
      <c r="D9" t="s">
        <v>498</v>
      </c>
    </row>
    <row r="10" spans="1:15" x14ac:dyDescent="0.3">
      <c r="A10" s="22" t="s">
        <v>500</v>
      </c>
      <c r="B10" s="563">
        <v>0.98939999999999995</v>
      </c>
      <c r="C10" s="563">
        <v>1</v>
      </c>
      <c r="D10" t="s">
        <v>498</v>
      </c>
    </row>
    <row r="11" spans="1:15" x14ac:dyDescent="0.3">
      <c r="A11" s="22" t="s">
        <v>122</v>
      </c>
      <c r="B11" s="563">
        <v>0.99299999999999999</v>
      </c>
      <c r="C11" s="563">
        <v>0.94179999999999997</v>
      </c>
    </row>
    <row r="12" spans="1:15" x14ac:dyDescent="0.3">
      <c r="A12" s="22" t="s">
        <v>117</v>
      </c>
      <c r="B12" s="563">
        <v>1</v>
      </c>
      <c r="C12" s="563">
        <v>0.95499999999999996</v>
      </c>
    </row>
    <row r="13" spans="1:15" x14ac:dyDescent="0.3">
      <c r="A13" s="22" t="s">
        <v>112</v>
      </c>
      <c r="B13" s="563">
        <v>0.9133</v>
      </c>
      <c r="C13" s="563">
        <v>0.92310000000000003</v>
      </c>
    </row>
    <row r="14" spans="1:15" x14ac:dyDescent="0.3">
      <c r="A14" s="22" t="s">
        <v>497</v>
      </c>
      <c r="B14" s="563">
        <v>0.9133</v>
      </c>
      <c r="C14" s="563">
        <v>0.92310000000000003</v>
      </c>
      <c r="D14" t="s">
        <v>498</v>
      </c>
    </row>
    <row r="15" spans="1:15" x14ac:dyDescent="0.3">
      <c r="A15" s="22" t="s">
        <v>111</v>
      </c>
      <c r="B15" s="563">
        <v>0.99239999999999995</v>
      </c>
      <c r="C15" s="563">
        <v>0.94179999999999997</v>
      </c>
      <c r="I15" s="422"/>
    </row>
    <row r="16" spans="1:15" x14ac:dyDescent="0.3">
      <c r="A16" s="22" t="s">
        <v>110</v>
      </c>
      <c r="B16" s="563">
        <v>0.99139999999999995</v>
      </c>
      <c r="C16" s="563">
        <v>0.92310000000000003</v>
      </c>
    </row>
    <row r="17" spans="1:19" x14ac:dyDescent="0.3">
      <c r="A17" s="22" t="s">
        <v>344</v>
      </c>
      <c r="B17" s="563">
        <v>0.99070000000000003</v>
      </c>
      <c r="C17" s="563">
        <v>0.94179999999999997</v>
      </c>
    </row>
    <row r="18" spans="1:19" x14ac:dyDescent="0.3">
      <c r="A18" s="22" t="s">
        <v>118</v>
      </c>
      <c r="B18" s="563">
        <v>1</v>
      </c>
      <c r="C18" s="563">
        <v>0.92310000000000003</v>
      </c>
    </row>
    <row r="19" spans="1:19" x14ac:dyDescent="0.3">
      <c r="A19" s="22" t="s">
        <v>115</v>
      </c>
      <c r="B19" s="563">
        <v>0.96499999999999997</v>
      </c>
      <c r="C19" s="563">
        <v>0.89</v>
      </c>
    </row>
    <row r="20" spans="1:19" x14ac:dyDescent="0.3">
      <c r="A20" s="22" t="s">
        <v>358</v>
      </c>
      <c r="B20" s="563">
        <v>1</v>
      </c>
      <c r="C20" s="563">
        <v>0.92310000000000003</v>
      </c>
    </row>
    <row r="23" spans="1:19" x14ac:dyDescent="0.3">
      <c r="A23" s="370" t="s">
        <v>265</v>
      </c>
      <c r="B23" s="370" t="s">
        <v>119</v>
      </c>
      <c r="C23" s="370" t="s">
        <v>264</v>
      </c>
      <c r="D23" s="370" t="s">
        <v>266</v>
      </c>
      <c r="E23" s="370" t="s">
        <v>267</v>
      </c>
      <c r="F23" s="365"/>
      <c r="G23">
        <f>+D24*0.1</f>
        <v>1665.575</v>
      </c>
    </row>
    <row r="24" spans="1:19" ht="15.9" customHeight="1" x14ac:dyDescent="0.3">
      <c r="A24" s="22" t="s">
        <v>362</v>
      </c>
      <c r="B24" s="560">
        <v>4608.92</v>
      </c>
      <c r="C24" s="560">
        <v>4479.59</v>
      </c>
      <c r="D24" s="560">
        <v>16655.75</v>
      </c>
      <c r="E24" s="560">
        <v>8828</v>
      </c>
      <c r="G24" s="510"/>
      <c r="H24" s="510"/>
      <c r="I24" s="453" t="s">
        <v>452</v>
      </c>
    </row>
    <row r="25" spans="1:19" x14ac:dyDescent="0.3">
      <c r="B25" s="204"/>
      <c r="C25" s="204"/>
      <c r="D25" s="204"/>
      <c r="E25" s="204"/>
    </row>
    <row r="26" spans="1:19" x14ac:dyDescent="0.3">
      <c r="B26" s="204"/>
      <c r="C26" s="204"/>
      <c r="D26" s="204"/>
      <c r="E26" s="204"/>
      <c r="G26" s="509" t="s">
        <v>464</v>
      </c>
      <c r="H26" s="509"/>
      <c r="K26" t="s">
        <v>171</v>
      </c>
      <c r="P26" t="s">
        <v>415</v>
      </c>
      <c r="S26" t="s">
        <v>416</v>
      </c>
    </row>
    <row r="27" spans="1:19" s="366" customFormat="1" ht="65.95" customHeight="1" x14ac:dyDescent="0.3">
      <c r="A27" s="371" t="s">
        <v>263</v>
      </c>
      <c r="B27" s="372" t="s">
        <v>410</v>
      </c>
      <c r="C27" s="372" t="s">
        <v>411</v>
      </c>
      <c r="D27" s="383" t="s">
        <v>363</v>
      </c>
      <c r="E27" s="383" t="s">
        <v>364</v>
      </c>
      <c r="F27" s="384" t="s">
        <v>412</v>
      </c>
      <c r="G27" s="383" t="s">
        <v>507</v>
      </c>
      <c r="H27" s="610" t="s">
        <v>527</v>
      </c>
      <c r="I27" s="371" t="s">
        <v>433</v>
      </c>
      <c r="J27" s="394" t="s">
        <v>414</v>
      </c>
      <c r="K27" s="517" t="s">
        <v>465</v>
      </c>
      <c r="M27" s="383" t="s">
        <v>470</v>
      </c>
    </row>
    <row r="28" spans="1:19" x14ac:dyDescent="0.3">
      <c r="A28" s="205" t="s">
        <v>108</v>
      </c>
      <c r="B28" s="432">
        <f t="shared" ref="B28:C32" si="0">+B$24*B4</f>
        <v>4566.9788280000002</v>
      </c>
      <c r="C28" s="205">
        <f t="shared" si="0"/>
        <v>4219.7737799999995</v>
      </c>
      <c r="D28" s="205">
        <f>+ROUND(C28*0.98,2)</f>
        <v>4135.38</v>
      </c>
      <c r="E28" s="205">
        <f>+D$24*0.02</f>
        <v>333.11500000000001</v>
      </c>
      <c r="F28" s="432">
        <f>+ROUND(D28+E28,2)</f>
        <v>4468.5</v>
      </c>
      <c r="G28" s="224">
        <f>(B28*96%)+('GAS CTE'!D$8)</f>
        <v>4737.4196748799995</v>
      </c>
      <c r="H28" s="224">
        <f>(B28*92%)+('GAS CTE'!E$8)</f>
        <v>4907.8605217599998</v>
      </c>
      <c r="I28" s="554">
        <f>(C28*90%)+(BIODIESEL!G$8)</f>
        <v>5463.3714019999998</v>
      </c>
      <c r="J28" s="393" t="s">
        <v>365</v>
      </c>
      <c r="K28" s="478" t="s">
        <v>466</v>
      </c>
    </row>
    <row r="29" spans="1:19" x14ac:dyDescent="0.3">
      <c r="A29" s="205" t="s">
        <v>116</v>
      </c>
      <c r="B29" s="432">
        <f t="shared" si="0"/>
        <v>4447.6077999999998</v>
      </c>
      <c r="C29" s="205">
        <f t="shared" si="0"/>
        <v>3996.6901980000002</v>
      </c>
      <c r="D29" s="205">
        <f t="shared" ref="D29:D40" si="1">+C29*0.98</f>
        <v>3916.75639404</v>
      </c>
      <c r="E29" s="205">
        <f t="shared" ref="E29:E41" si="2">+D$24*0.02</f>
        <v>333.11500000000001</v>
      </c>
      <c r="F29" s="432">
        <f>+D29+E29</f>
        <v>4249.8713940400003</v>
      </c>
      <c r="G29" s="224">
        <f>(B29*96%)+('GAS CTE'!D$8)</f>
        <v>4622.8234879999991</v>
      </c>
      <c r="H29" s="566" t="s">
        <v>506</v>
      </c>
      <c r="I29" s="224">
        <f>(C29*90%)+(BIODIESEL!G$8)</f>
        <v>5262.5961782000004</v>
      </c>
      <c r="J29" s="393" t="s">
        <v>366</v>
      </c>
      <c r="K29" s="514" t="s">
        <v>468</v>
      </c>
    </row>
    <row r="30" spans="1:19" x14ac:dyDescent="0.3">
      <c r="A30" s="205" t="s">
        <v>113</v>
      </c>
      <c r="B30" s="432">
        <f t="shared" si="0"/>
        <v>4523.6549800000003</v>
      </c>
      <c r="C30" s="205">
        <f t="shared" si="0"/>
        <v>4302.6461950000003</v>
      </c>
      <c r="D30" s="205">
        <f t="shared" si="1"/>
        <v>4216.5932711000005</v>
      </c>
      <c r="E30" s="205">
        <f t="shared" si="2"/>
        <v>333.11500000000001</v>
      </c>
      <c r="F30" s="432">
        <f>+D30+E30</f>
        <v>4549.7082711000003</v>
      </c>
      <c r="G30" s="224">
        <f>(B30*96%)+('GAS CTE'!D$8)</f>
        <v>4695.8287807999995</v>
      </c>
      <c r="H30" s="224">
        <f>(B30*92%)+('GAS CTE'!E$8)</f>
        <v>4868.0025815999998</v>
      </c>
      <c r="I30" s="224">
        <f>(C30*90%)+(BIODIESEL!G$8)</f>
        <v>5537.9565755000003</v>
      </c>
      <c r="J30" s="393" t="s">
        <v>367</v>
      </c>
      <c r="K30" s="515">
        <f>(C30*88%)+BIODIESEL!H8</f>
        <v>5785.0186516000003</v>
      </c>
      <c r="L30" t="s">
        <v>525</v>
      </c>
    </row>
    <row r="31" spans="1:19" x14ac:dyDescent="0.3">
      <c r="A31" s="205" t="s">
        <v>109</v>
      </c>
      <c r="B31" s="432">
        <f t="shared" si="0"/>
        <v>4560.0654479999994</v>
      </c>
      <c r="C31" s="205">
        <f t="shared" si="0"/>
        <v>4479.59</v>
      </c>
      <c r="D31" s="205">
        <f t="shared" ref="D31:D39" si="3">+ROUND(C31*0.98,2)</f>
        <v>4390</v>
      </c>
      <c r="E31" s="205">
        <f t="shared" si="2"/>
        <v>333.11500000000001</v>
      </c>
      <c r="F31" s="432">
        <f t="shared" ref="F31:F41" si="4">+D31+E31</f>
        <v>4723.1149999999998</v>
      </c>
      <c r="G31" s="224">
        <f>(B31*96%)+('GAS CTE'!D$8)</f>
        <v>4730.7828300799993</v>
      </c>
      <c r="H31" s="224">
        <f>(B31*92%)+('GAS CTE'!E$8)</f>
        <v>4901.5002121599991</v>
      </c>
      <c r="I31" s="224">
        <f>(C31*90%)+(BIODIESEL!G$8)</f>
        <v>5697.2060000000001</v>
      </c>
      <c r="J31" s="393" t="s">
        <v>420</v>
      </c>
      <c r="K31" s="515">
        <f>(C31*88%)+(BIODIESEL!H$8)</f>
        <v>5940.7291999999998</v>
      </c>
      <c r="L31" t="s">
        <v>467</v>
      </c>
    </row>
    <row r="32" spans="1:19" x14ac:dyDescent="0.3">
      <c r="A32" s="205" t="s">
        <v>114</v>
      </c>
      <c r="B32" s="432">
        <f t="shared" si="0"/>
        <v>4571.1268559999999</v>
      </c>
      <c r="C32" s="205">
        <f t="shared" si="0"/>
        <v>4135.1095290000003</v>
      </c>
      <c r="D32" s="205">
        <f t="shared" si="3"/>
        <v>4052.41</v>
      </c>
      <c r="E32" s="205">
        <f t="shared" si="2"/>
        <v>333.11500000000001</v>
      </c>
      <c r="F32" s="432">
        <f t="shared" si="4"/>
        <v>4385.5249999999996</v>
      </c>
      <c r="G32" s="224">
        <f>(B32*96%)+('GAS CTE'!D$8)</f>
        <v>4741.4017817599997</v>
      </c>
      <c r="H32" s="566" t="s">
        <v>506</v>
      </c>
      <c r="I32" s="224">
        <f>(C32*90%)+(BIODIESEL!G$8)</f>
        <v>5387.1735761</v>
      </c>
      <c r="J32" s="393" t="s">
        <v>438</v>
      </c>
      <c r="K32" s="514" t="s">
        <v>468</v>
      </c>
    </row>
    <row r="33" spans="1:16" x14ac:dyDescent="0.3">
      <c r="A33" s="205" t="s">
        <v>122</v>
      </c>
      <c r="B33" s="432">
        <f t="shared" ref="B33:C35" si="5">+B$24*B11</f>
        <v>4576.6575599999996</v>
      </c>
      <c r="C33" s="205">
        <f t="shared" si="5"/>
        <v>4218.8778620000003</v>
      </c>
      <c r="D33" s="205">
        <f t="shared" si="3"/>
        <v>4134.5</v>
      </c>
      <c r="E33" s="205">
        <f t="shared" si="2"/>
        <v>333.11500000000001</v>
      </c>
      <c r="F33" s="432">
        <f t="shared" si="4"/>
        <v>4467.6149999999998</v>
      </c>
      <c r="G33" s="224">
        <f>(B33*96%)+('GAS CTE'!D$8)</f>
        <v>4746.711257599999</v>
      </c>
      <c r="H33" s="224">
        <f>(B33*92%)+('GAS CTE'!E$8)</f>
        <v>4916.7649551999993</v>
      </c>
      <c r="I33" s="513">
        <f>(C33*90%)+(BIODIESEL!G$8)</f>
        <v>5462.5650758000002</v>
      </c>
      <c r="J33" s="393" t="s">
        <v>368</v>
      </c>
      <c r="K33" s="478" t="s">
        <v>466</v>
      </c>
      <c r="N33" s="465" t="s">
        <v>417</v>
      </c>
    </row>
    <row r="34" spans="1:16" x14ac:dyDescent="0.3">
      <c r="A34" s="205" t="s">
        <v>117</v>
      </c>
      <c r="B34" s="432">
        <f t="shared" si="5"/>
        <v>4608.92</v>
      </c>
      <c r="C34" s="205">
        <f t="shared" si="5"/>
        <v>4278.0084500000003</v>
      </c>
      <c r="D34" s="205">
        <f t="shared" si="3"/>
        <v>4192.45</v>
      </c>
      <c r="E34" s="205">
        <f t="shared" si="2"/>
        <v>333.11500000000001</v>
      </c>
      <c r="F34" s="432">
        <f>+D34+E34</f>
        <v>4525.5649999999996</v>
      </c>
      <c r="G34" s="224">
        <f>(B34*96%)+('GAS CTE'!D$8)</f>
        <v>4777.6831999999995</v>
      </c>
      <c r="H34" s="566" t="s">
        <v>506</v>
      </c>
      <c r="I34" s="224">
        <f>(C34*90%)+(BIODIESEL!G$8)</f>
        <v>5515.7826050000003</v>
      </c>
      <c r="J34" s="393" t="s">
        <v>369</v>
      </c>
      <c r="K34" s="514" t="s">
        <v>468</v>
      </c>
    </row>
    <row r="35" spans="1:16" x14ac:dyDescent="0.3">
      <c r="A35" s="205" t="s">
        <v>112</v>
      </c>
      <c r="B35" s="432">
        <f t="shared" si="5"/>
        <v>4209.3266359999998</v>
      </c>
      <c r="C35" s="205">
        <f t="shared" si="5"/>
        <v>4135.1095290000003</v>
      </c>
      <c r="D35" s="205">
        <f t="shared" si="3"/>
        <v>4052.41</v>
      </c>
      <c r="E35" s="205">
        <f t="shared" si="2"/>
        <v>333.11500000000001</v>
      </c>
      <c r="F35" s="432">
        <f t="shared" si="4"/>
        <v>4385.5249999999996</v>
      </c>
      <c r="G35" s="224">
        <f>(B35*96%)+('GAS CTE'!D$8)</f>
        <v>4394.07357056</v>
      </c>
      <c r="H35" s="566" t="s">
        <v>506</v>
      </c>
      <c r="I35" s="224">
        <f>(C35*90%)+(BIODIESEL!G$8)</f>
        <v>5387.1735761</v>
      </c>
      <c r="J35" s="393" t="s">
        <v>413</v>
      </c>
      <c r="K35" s="514" t="s">
        <v>468</v>
      </c>
      <c r="N35" s="465" t="s">
        <v>417</v>
      </c>
    </row>
    <row r="36" spans="1:16" x14ac:dyDescent="0.3">
      <c r="A36" s="205" t="s">
        <v>111</v>
      </c>
      <c r="B36" s="432">
        <f t="shared" ref="B36:C41" si="6">+B$24*B15</f>
        <v>4573.8922080000002</v>
      </c>
      <c r="C36" s="205">
        <f t="shared" si="6"/>
        <v>4218.8778620000003</v>
      </c>
      <c r="D36" s="205">
        <f t="shared" si="3"/>
        <v>4134.5</v>
      </c>
      <c r="E36" s="205">
        <f t="shared" si="2"/>
        <v>333.11500000000001</v>
      </c>
      <c r="F36" s="432">
        <f t="shared" si="4"/>
        <v>4467.6149999999998</v>
      </c>
      <c r="G36" s="224">
        <f>(B36*96%)+('GAS CTE'!D$8)</f>
        <v>4744.0565196799998</v>
      </c>
      <c r="H36" s="224">
        <f>(B36*92%)+('GAS CTE'!E$8)</f>
        <v>4914.2208313600004</v>
      </c>
      <c r="I36" s="513">
        <f>(C36*90%)+(BIODIESEL!G$8)</f>
        <v>5462.5650758000002</v>
      </c>
      <c r="J36" s="393" t="s">
        <v>370</v>
      </c>
      <c r="K36" s="478" t="s">
        <v>466</v>
      </c>
      <c r="M36" s="204">
        <f>(B36*100%)+('GAS CTE'!D$8)*0</f>
        <v>4573.8922080000002</v>
      </c>
    </row>
    <row r="37" spans="1:16" x14ac:dyDescent="0.3">
      <c r="A37" s="205" t="s">
        <v>110</v>
      </c>
      <c r="B37" s="432">
        <f t="shared" si="6"/>
        <v>4569.2832879999996</v>
      </c>
      <c r="C37" s="205">
        <f t="shared" si="6"/>
        <v>4135.1095290000003</v>
      </c>
      <c r="D37" s="205">
        <f t="shared" si="3"/>
        <v>4052.41</v>
      </c>
      <c r="E37" s="205">
        <f t="shared" si="2"/>
        <v>333.11500000000001</v>
      </c>
      <c r="F37" s="432">
        <f t="shared" si="4"/>
        <v>4385.5249999999996</v>
      </c>
      <c r="G37" s="224">
        <f>(B37*96%)+('GAS CTE'!D$8)</f>
        <v>4739.6319564799996</v>
      </c>
      <c r="H37" s="566" t="s">
        <v>506</v>
      </c>
      <c r="I37" s="224">
        <f>(C37*90%)+(BIODIESEL!G$8)</f>
        <v>5387.1735761</v>
      </c>
      <c r="J37" s="393" t="s">
        <v>371</v>
      </c>
      <c r="K37" s="514" t="s">
        <v>468</v>
      </c>
    </row>
    <row r="38" spans="1:16" x14ac:dyDescent="0.3">
      <c r="A38" s="205" t="s">
        <v>344</v>
      </c>
      <c r="B38" s="432">
        <f t="shared" si="6"/>
        <v>4566.0570440000001</v>
      </c>
      <c r="C38" s="205">
        <f t="shared" si="6"/>
        <v>4218.8778620000003</v>
      </c>
      <c r="D38" s="205">
        <f t="shared" si="3"/>
        <v>4134.5</v>
      </c>
      <c r="E38" s="205">
        <f t="shared" si="2"/>
        <v>333.11500000000001</v>
      </c>
      <c r="F38" s="432">
        <f t="shared" si="4"/>
        <v>4467.6149999999998</v>
      </c>
      <c r="G38" s="224">
        <f>(B38*96%)+('GAS CTE'!D$8)</f>
        <v>4736.5347622399995</v>
      </c>
      <c r="H38" s="224">
        <f>(B38*92%)+('GAS CTE'!E$8)</f>
        <v>4907.0124804799998</v>
      </c>
      <c r="I38" s="513">
        <f>(C38*90%)+(BIODIESEL!G$8)</f>
        <v>5462.5650758000002</v>
      </c>
      <c r="J38" s="393" t="s">
        <v>372</v>
      </c>
      <c r="K38" s="478" t="s">
        <v>466</v>
      </c>
    </row>
    <row r="39" spans="1:16" x14ac:dyDescent="0.3">
      <c r="A39" s="205" t="s">
        <v>118</v>
      </c>
      <c r="B39" s="432">
        <f t="shared" si="6"/>
        <v>4608.92</v>
      </c>
      <c r="C39" s="205">
        <f t="shared" si="6"/>
        <v>4135.1095290000003</v>
      </c>
      <c r="D39" s="205">
        <f t="shared" si="3"/>
        <v>4052.41</v>
      </c>
      <c r="E39" s="205">
        <f t="shared" si="2"/>
        <v>333.11500000000001</v>
      </c>
      <c r="F39" s="432">
        <f t="shared" si="4"/>
        <v>4385.5249999999996</v>
      </c>
      <c r="G39" s="224">
        <f>(B39*96%)+('GAS CTE'!D$8)</f>
        <v>4777.6831999999995</v>
      </c>
      <c r="H39" s="566" t="s">
        <v>506</v>
      </c>
      <c r="I39" s="224">
        <f>(C39*90%)+(BIODIESEL!G$8)</f>
        <v>5387.1735761</v>
      </c>
      <c r="J39" s="393" t="s">
        <v>374</v>
      </c>
      <c r="K39" s="514" t="s">
        <v>468</v>
      </c>
    </row>
    <row r="40" spans="1:16" ht="15.9" customHeight="1" x14ac:dyDescent="0.3">
      <c r="A40" s="205" t="s">
        <v>423</v>
      </c>
      <c r="B40" s="432">
        <f t="shared" si="6"/>
        <v>4447.6077999999998</v>
      </c>
      <c r="C40" s="205">
        <f t="shared" si="6"/>
        <v>3986.8351000000002</v>
      </c>
      <c r="D40" s="205">
        <f t="shared" si="1"/>
        <v>3907.0983980000001</v>
      </c>
      <c r="E40" s="205">
        <f t="shared" si="2"/>
        <v>333.11500000000001</v>
      </c>
      <c r="F40" s="432">
        <f t="shared" si="4"/>
        <v>4240.2133979999999</v>
      </c>
      <c r="G40" s="224">
        <f>(B40*96%)+('GAS CTE'!D$8)</f>
        <v>4622.8234879999991</v>
      </c>
      <c r="H40" s="567">
        <f>(B40*92%)+('GAS CTE'!E$8)</f>
        <v>4798.0391760000002</v>
      </c>
      <c r="I40" s="224">
        <f>(C40*90%)+(BIODIESEL!G$8)</f>
        <v>5253.7265900000002</v>
      </c>
      <c r="J40" s="393" t="s">
        <v>437</v>
      </c>
      <c r="K40" s="514" t="s">
        <v>468</v>
      </c>
      <c r="P40" t="s">
        <v>171</v>
      </c>
    </row>
    <row r="41" spans="1:16" ht="15.9" customHeight="1" x14ac:dyDescent="0.3">
      <c r="A41" s="205" t="s">
        <v>422</v>
      </c>
      <c r="B41" s="432">
        <f t="shared" si="6"/>
        <v>4608.92</v>
      </c>
      <c r="C41" s="205">
        <f t="shared" si="6"/>
        <v>4135.1095290000003</v>
      </c>
      <c r="D41" s="205">
        <f>+ROUND(C41*0.98,2)</f>
        <v>4052.41</v>
      </c>
      <c r="E41" s="205">
        <f t="shared" si="2"/>
        <v>333.11500000000001</v>
      </c>
      <c r="F41" s="432">
        <f t="shared" si="4"/>
        <v>4385.5249999999996</v>
      </c>
      <c r="G41" s="224">
        <f>(B41*96%)+('GAS CTE'!D$8)</f>
        <v>4777.6831999999995</v>
      </c>
      <c r="H41" s="566" t="s">
        <v>506</v>
      </c>
      <c r="I41" s="224">
        <f>(C41*90%)+(BIODIESEL!G$8)</f>
        <v>5387.1735761</v>
      </c>
      <c r="J41" s="393" t="s">
        <v>373</v>
      </c>
      <c r="K41" s="514" t="s">
        <v>468</v>
      </c>
    </row>
    <row r="42" spans="1:16" ht="15.9" customHeight="1" x14ac:dyDescent="0.3">
      <c r="A42" s="568" t="s">
        <v>499</v>
      </c>
      <c r="B42" s="569">
        <f>+B$24*B9</f>
        <v>4560.0654479999994</v>
      </c>
      <c r="C42" s="569">
        <f>+C$24*C9</f>
        <v>4479.59</v>
      </c>
      <c r="D42" s="569">
        <f t="shared" ref="D42" si="7">+ROUND(C42*0.98,2)</f>
        <v>4390</v>
      </c>
      <c r="E42" s="569">
        <f t="shared" ref="E42" si="8">+D$24*0.02</f>
        <v>333.11500000000001</v>
      </c>
      <c r="F42" s="569">
        <f t="shared" ref="F42:F44" si="9">+D42+E42</f>
        <v>4723.1149999999998</v>
      </c>
      <c r="G42" s="569">
        <f>(B42*96%)+('GAS CTE'!D$8)</f>
        <v>4730.7828300799993</v>
      </c>
      <c r="H42" s="569"/>
      <c r="I42" s="569">
        <f>(C42*90%)+(BIODIESEL!G$8)</f>
        <v>5697.2060000000001</v>
      </c>
      <c r="J42" s="570"/>
      <c r="K42" s="571">
        <f>(C42*88%)+(BIODIESEL!H$8)</f>
        <v>5940.7291999999998</v>
      </c>
    </row>
    <row r="43" spans="1:16" ht="15.9" customHeight="1" x14ac:dyDescent="0.3">
      <c r="A43" s="568" t="s">
        <v>500</v>
      </c>
      <c r="B43" s="569">
        <f>+B$24*B10</f>
        <v>4560.0654479999994</v>
      </c>
      <c r="C43" s="569">
        <f>+C$24*C10</f>
        <v>4479.59</v>
      </c>
      <c r="D43" s="569">
        <f t="shared" ref="D43:D44" si="10">+ROUND(C43*0.98,2)</f>
        <v>4390</v>
      </c>
      <c r="E43" s="569">
        <f t="shared" ref="E43:E44" si="11">+D$24*0.02</f>
        <v>333.11500000000001</v>
      </c>
      <c r="F43" s="569">
        <f t="shared" si="9"/>
        <v>4723.1149999999998</v>
      </c>
      <c r="G43" s="569">
        <f>(B43*96%)+('GAS CTE'!D$8)</f>
        <v>4730.7828300799993</v>
      </c>
      <c r="H43" s="569"/>
      <c r="I43" s="569">
        <f>(C43*90%)+(BIODIESEL!G$8)</f>
        <v>5697.2060000000001</v>
      </c>
      <c r="J43" s="570"/>
      <c r="K43" s="571">
        <f>(C43*88%)+(BIODIESEL!H$8)</f>
        <v>5940.7291999999998</v>
      </c>
    </row>
    <row r="44" spans="1:16" ht="15.9" customHeight="1" x14ac:dyDescent="0.3">
      <c r="A44" s="568" t="s">
        <v>497</v>
      </c>
      <c r="B44" s="569">
        <f>+B$24*B14</f>
        <v>4209.3266359999998</v>
      </c>
      <c r="C44" s="569">
        <f>+C$24*C14</f>
        <v>4135.1095290000003</v>
      </c>
      <c r="D44" s="569">
        <f t="shared" si="10"/>
        <v>4052.41</v>
      </c>
      <c r="E44" s="569">
        <f t="shared" si="11"/>
        <v>333.11500000000001</v>
      </c>
      <c r="F44" s="569">
        <f t="shared" si="9"/>
        <v>4385.5249999999996</v>
      </c>
      <c r="G44" s="569">
        <f>(B44*96%)+('GAS CTE'!D$8)</f>
        <v>4394.07357056</v>
      </c>
      <c r="H44" s="569"/>
      <c r="I44" s="569">
        <f>(C44*90%)+(BIODIESEL!G$8)</f>
        <v>5387.1735761</v>
      </c>
      <c r="J44" s="570"/>
      <c r="K44" s="572"/>
    </row>
    <row r="46" spans="1:16" x14ac:dyDescent="0.3">
      <c r="A46" s="382" t="s">
        <v>409</v>
      </c>
      <c r="B46" s="544" t="s">
        <v>514</v>
      </c>
      <c r="C46" s="544" t="s">
        <v>515</v>
      </c>
      <c r="D46" s="448" t="s">
        <v>442</v>
      </c>
      <c r="E46" s="449"/>
      <c r="F46" s="20"/>
      <c r="G46" s="20"/>
      <c r="H46" s="20"/>
      <c r="I46" s="20"/>
      <c r="J46" s="20"/>
    </row>
    <row r="47" spans="1:16" x14ac:dyDescent="0.3">
      <c r="E47" s="449"/>
      <c r="F47" s="20"/>
      <c r="G47" s="20"/>
      <c r="H47" s="20"/>
      <c r="I47" s="20"/>
      <c r="J47" s="20"/>
    </row>
    <row r="48" spans="1:16" x14ac:dyDescent="0.3">
      <c r="A48" s="395" t="s">
        <v>406</v>
      </c>
      <c r="B48" s="395" t="s">
        <v>404</v>
      </c>
      <c r="C48" s="395" t="s">
        <v>405</v>
      </c>
      <c r="D48" t="s">
        <v>171</v>
      </c>
      <c r="E48" s="450"/>
      <c r="F48" s="20"/>
      <c r="G48" s="20"/>
      <c r="H48" s="20"/>
      <c r="I48" s="20"/>
      <c r="J48" s="20"/>
    </row>
    <row r="49" spans="1:10" x14ac:dyDescent="0.3">
      <c r="A49" s="380" t="s">
        <v>407</v>
      </c>
      <c r="B49" s="381">
        <v>30000002129</v>
      </c>
      <c r="C49" s="22"/>
      <c r="E49" s="449"/>
      <c r="F49" s="20"/>
      <c r="G49" s="20"/>
      <c r="H49" s="20"/>
      <c r="I49" s="20"/>
      <c r="J49" s="20"/>
    </row>
    <row r="50" spans="1:10" x14ac:dyDescent="0.3">
      <c r="A50" s="380" t="s">
        <v>408</v>
      </c>
      <c r="B50" s="381">
        <v>30000000070</v>
      </c>
      <c r="C50" s="381">
        <v>30000000070</v>
      </c>
    </row>
    <row r="51" spans="1:10" x14ac:dyDescent="0.3">
      <c r="A51" s="380" t="s">
        <v>421</v>
      </c>
      <c r="B51" s="385">
        <v>30000009250</v>
      </c>
      <c r="C51" s="381"/>
      <c r="E51" t="s">
        <v>171</v>
      </c>
    </row>
    <row r="52" spans="1:10" x14ac:dyDescent="0.3">
      <c r="A52" s="380" t="s">
        <v>107</v>
      </c>
      <c r="B52" s="381" t="s">
        <v>171</v>
      </c>
      <c r="C52" s="381">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0000"/>
  </sheetPr>
  <dimension ref="A1:J44"/>
  <sheetViews>
    <sheetView zoomScale="70" zoomScaleNormal="70" workbookViewId="0">
      <selection activeCell="F17" sqref="F17"/>
    </sheetView>
  </sheetViews>
  <sheetFormatPr baseColWidth="10" defaultColWidth="11.33203125" defaultRowHeight="14.4" outlineLevelCol="1" x14ac:dyDescent="0.3"/>
  <cols>
    <col min="1" max="1" width="59.88671875" style="92" customWidth="1"/>
    <col min="2" max="2" width="18.88671875" style="92" customWidth="1" outlineLevel="1"/>
    <col min="3" max="4" width="18.88671875" style="92" customWidth="1"/>
    <col min="5" max="5" width="18.88671875" style="92" customWidth="1" outlineLevel="1"/>
    <col min="6" max="6" width="19.33203125" style="92" customWidth="1"/>
    <col min="7" max="10" width="11.33203125" style="50"/>
    <col min="11" max="11" width="15.77734375" style="50" customWidth="1"/>
    <col min="12" max="16384" width="11.33203125" style="50"/>
  </cols>
  <sheetData>
    <row r="1" spans="1:10" ht="15.05" thickBot="1" x14ac:dyDescent="0.35">
      <c r="A1" s="45">
        <v>2020</v>
      </c>
      <c r="B1" s="46"/>
      <c r="C1" s="46">
        <v>7.2405999999999997</v>
      </c>
      <c r="D1" s="47"/>
      <c r="E1" s="48"/>
      <c r="F1" s="49"/>
    </row>
    <row r="2" spans="1:10" s="51" customFormat="1" ht="21.8" customHeight="1" thickTop="1" x14ac:dyDescent="0.3">
      <c r="A2" s="652" t="str">
        <f>CONCATENATE("ESTRUCTURAS DE PRECIOS DE COMBUSTIBLES LIQUIDOS VIGENTES A PARTIR DE ",$A$1)</f>
        <v>ESTRUCTURAS DE PRECIOS DE COMBUSTIBLES LIQUIDOS VIGENTES A PARTIR DE 2020</v>
      </c>
      <c r="B2" s="653"/>
      <c r="C2" s="653"/>
      <c r="D2" s="653"/>
      <c r="E2" s="653"/>
      <c r="F2" s="654"/>
    </row>
    <row r="3" spans="1:10" s="51" customFormat="1" ht="21.8" customHeight="1" x14ac:dyDescent="0.3">
      <c r="A3" s="52" t="s">
        <v>123</v>
      </c>
      <c r="B3" s="53"/>
      <c r="C3" s="53"/>
      <c r="D3" s="53"/>
      <c r="E3" s="53"/>
      <c r="F3" s="54"/>
    </row>
    <row r="4" spans="1:10" s="56" customFormat="1" ht="24.05" customHeight="1" x14ac:dyDescent="0.3">
      <c r="A4" s="655" t="s">
        <v>124</v>
      </c>
      <c r="B4" s="657" t="s">
        <v>97</v>
      </c>
      <c r="C4" s="659" t="s">
        <v>125</v>
      </c>
      <c r="D4" s="660"/>
      <c r="E4" s="657" t="s">
        <v>126</v>
      </c>
      <c r="F4" s="55"/>
    </row>
    <row r="5" spans="1:10" s="56" customFormat="1" ht="24.05" customHeight="1" x14ac:dyDescent="0.3">
      <c r="A5" s="655"/>
      <c r="B5" s="658"/>
      <c r="C5" s="57" t="s">
        <v>127</v>
      </c>
      <c r="D5" s="57" t="s">
        <v>128</v>
      </c>
      <c r="E5" s="658"/>
      <c r="F5" s="58"/>
    </row>
    <row r="6" spans="1:10" s="56" customFormat="1" ht="24.05" customHeight="1" thickBot="1" x14ac:dyDescent="0.35">
      <c r="A6" s="656"/>
      <c r="B6" s="59"/>
      <c r="C6" s="60"/>
      <c r="D6" s="59"/>
      <c r="E6" s="59"/>
      <c r="F6" s="61"/>
      <c r="G6" s="56" t="s">
        <v>453</v>
      </c>
      <c r="H6" s="56" t="s">
        <v>453</v>
      </c>
      <c r="I6" s="56" t="s">
        <v>453</v>
      </c>
    </row>
    <row r="7" spans="1:10" ht="22.6" customHeight="1" thickTop="1" x14ac:dyDescent="0.3">
      <c r="A7" s="62" t="s">
        <v>129</v>
      </c>
      <c r="B7" s="545">
        <v>4608.92</v>
      </c>
      <c r="C7" s="63">
        <v>7750</v>
      </c>
      <c r="D7" s="64">
        <f>+C7</f>
        <v>7750</v>
      </c>
      <c r="E7" s="545">
        <v>4479.59</v>
      </c>
      <c r="F7" s="469"/>
      <c r="G7" s="65"/>
      <c r="H7" s="50">
        <v>8757.4500000000007</v>
      </c>
      <c r="I7" s="50">
        <v>8933.6299999999992</v>
      </c>
      <c r="J7" s="443" t="s">
        <v>443</v>
      </c>
    </row>
    <row r="8" spans="1:10" ht="22.6" customHeight="1" x14ac:dyDescent="0.3">
      <c r="A8" s="66" t="s">
        <v>130</v>
      </c>
      <c r="B8" s="67">
        <v>8.3842000000000017</v>
      </c>
      <c r="C8" s="68">
        <f>+B8</f>
        <v>8.3842000000000017</v>
      </c>
      <c r="D8" s="68">
        <f>+C8</f>
        <v>8.3842000000000017</v>
      </c>
      <c r="E8" s="68">
        <v>8.3842000000000017</v>
      </c>
      <c r="F8" s="69"/>
    </row>
    <row r="9" spans="1:10" ht="22.6" customHeight="1" x14ac:dyDescent="0.3">
      <c r="A9" s="66" t="s">
        <v>131</v>
      </c>
      <c r="B9" s="70" t="s">
        <v>132</v>
      </c>
      <c r="C9" s="562" t="s">
        <v>132</v>
      </c>
      <c r="D9" s="562" t="s">
        <v>132</v>
      </c>
      <c r="E9" s="70" t="s">
        <v>132</v>
      </c>
      <c r="F9" s="71"/>
      <c r="H9" s="50" t="s">
        <v>132</v>
      </c>
      <c r="I9" s="50" t="s">
        <v>132</v>
      </c>
    </row>
    <row r="10" spans="1:10" ht="22.6" customHeight="1" x14ac:dyDescent="0.3">
      <c r="A10" s="66" t="s">
        <v>133</v>
      </c>
      <c r="B10" s="72">
        <v>0</v>
      </c>
      <c r="C10" s="68">
        <f>B10</f>
        <v>0</v>
      </c>
      <c r="D10" s="68">
        <f>B10</f>
        <v>0</v>
      </c>
      <c r="E10" s="72">
        <v>0</v>
      </c>
      <c r="F10" s="73"/>
    </row>
    <row r="11" spans="1:10" ht="22.6" customHeight="1" x14ac:dyDescent="0.3">
      <c r="A11" s="66" t="s">
        <v>134</v>
      </c>
      <c r="B11" s="505">
        <v>555.04999999999995</v>
      </c>
      <c r="C11" s="72">
        <f>+[5]Variables!C23</f>
        <v>1053.47</v>
      </c>
      <c r="D11" s="72">
        <f>+ROUND(C11,2)</f>
        <v>1053.47</v>
      </c>
      <c r="E11" s="506">
        <v>531.27</v>
      </c>
      <c r="F11" s="74"/>
      <c r="H11" s="75"/>
      <c r="I11" s="75"/>
    </row>
    <row r="12" spans="1:10" ht="22.6" customHeight="1" x14ac:dyDescent="0.3">
      <c r="A12" s="66" t="s">
        <v>135</v>
      </c>
      <c r="B12" s="76" t="s">
        <v>136</v>
      </c>
      <c r="C12" s="76" t="s">
        <v>136</v>
      </c>
      <c r="D12" s="76" t="s">
        <v>136</v>
      </c>
      <c r="E12" s="76" t="s">
        <v>136</v>
      </c>
      <c r="F12" s="77"/>
      <c r="H12" s="50" t="s">
        <v>136</v>
      </c>
      <c r="I12" s="50" t="s">
        <v>136</v>
      </c>
    </row>
    <row r="13" spans="1:10" ht="22.6" customHeight="1" x14ac:dyDescent="0.3">
      <c r="A13" s="66" t="s">
        <v>137</v>
      </c>
      <c r="B13" s="505">
        <v>159</v>
      </c>
      <c r="C13" s="72">
        <f>+B13</f>
        <v>159</v>
      </c>
      <c r="D13" s="72">
        <f>+C13</f>
        <v>159</v>
      </c>
      <c r="E13" s="506">
        <v>179</v>
      </c>
      <c r="F13" s="74"/>
    </row>
    <row r="14" spans="1:10" ht="22.6" customHeight="1" x14ac:dyDescent="0.3">
      <c r="A14" s="66" t="s">
        <v>138</v>
      </c>
      <c r="B14" s="70" t="s">
        <v>139</v>
      </c>
      <c r="C14" s="70"/>
      <c r="D14" s="70"/>
      <c r="E14" s="70" t="s">
        <v>139</v>
      </c>
      <c r="F14" s="71"/>
    </row>
    <row r="15" spans="1:10" ht="22.6" customHeight="1" x14ac:dyDescent="0.3">
      <c r="A15" s="66" t="s">
        <v>140</v>
      </c>
      <c r="B15" s="70" t="s">
        <v>141</v>
      </c>
      <c r="C15" s="70"/>
      <c r="D15" s="70"/>
      <c r="E15" s="70" t="s">
        <v>141</v>
      </c>
      <c r="F15" s="78"/>
    </row>
    <row r="16" spans="1:10" ht="22.6" customHeight="1" x14ac:dyDescent="0.3">
      <c r="A16" s="66" t="s">
        <v>142</v>
      </c>
      <c r="B16" s="506"/>
      <c r="C16" s="72"/>
      <c r="D16" s="72"/>
      <c r="E16" s="506"/>
      <c r="F16" s="79"/>
    </row>
    <row r="17" spans="1:7" ht="22.6" customHeight="1" x14ac:dyDescent="0.3">
      <c r="A17" s="66" t="s">
        <v>144</v>
      </c>
      <c r="B17" s="70" t="s">
        <v>139</v>
      </c>
      <c r="C17" s="70" t="s">
        <v>139</v>
      </c>
      <c r="D17" s="70" t="s">
        <v>139</v>
      </c>
      <c r="E17" s="70" t="s">
        <v>139</v>
      </c>
      <c r="F17" s="79"/>
    </row>
    <row r="18" spans="1:7" ht="22.6" customHeight="1" x14ac:dyDescent="0.3">
      <c r="A18" s="66" t="s">
        <v>145</v>
      </c>
      <c r="B18" s="70" t="s">
        <v>141</v>
      </c>
      <c r="C18" s="70"/>
      <c r="D18" s="70"/>
      <c r="E18" s="70" t="s">
        <v>141</v>
      </c>
      <c r="F18" s="79"/>
    </row>
    <row r="19" spans="1:7" ht="22.6" customHeight="1" x14ac:dyDescent="0.3">
      <c r="A19" s="66" t="s">
        <v>146</v>
      </c>
      <c r="B19" s="70" t="s">
        <v>147</v>
      </c>
      <c r="C19" s="70"/>
      <c r="D19" s="70"/>
      <c r="E19" s="70"/>
      <c r="F19" s="80"/>
      <c r="G19" s="50" t="s">
        <v>143</v>
      </c>
    </row>
    <row r="20" spans="1:7" ht="22.6" customHeight="1" x14ac:dyDescent="0.3">
      <c r="A20" s="66" t="s">
        <v>148</v>
      </c>
      <c r="B20" s="70" t="s">
        <v>141</v>
      </c>
      <c r="C20" s="72"/>
      <c r="D20" s="72"/>
      <c r="E20" s="70" t="s">
        <v>141</v>
      </c>
      <c r="F20" s="79"/>
      <c r="G20" s="50" t="s">
        <v>143</v>
      </c>
    </row>
    <row r="21" spans="1:7" ht="22.6" customHeight="1" thickBot="1" x14ac:dyDescent="0.35">
      <c r="A21" s="81" t="s">
        <v>149</v>
      </c>
      <c r="B21" s="82" t="s">
        <v>139</v>
      </c>
      <c r="C21" s="82" t="s">
        <v>139</v>
      </c>
      <c r="D21" s="82" t="s">
        <v>139</v>
      </c>
      <c r="E21" s="82" t="s">
        <v>139</v>
      </c>
      <c r="F21" s="83"/>
      <c r="G21" s="50" t="s">
        <v>143</v>
      </c>
    </row>
    <row r="22" spans="1:7" ht="21.8" customHeight="1" thickTop="1" x14ac:dyDescent="0.3">
      <c r="A22" s="650"/>
      <c r="B22" s="651"/>
      <c r="C22" s="651"/>
      <c r="D22" s="651"/>
      <c r="E22" s="651"/>
      <c r="F22" s="651"/>
    </row>
    <row r="23" spans="1:7" s="84" customFormat="1" ht="29.95" customHeight="1" x14ac:dyDescent="0.3">
      <c r="A23" s="662" t="s">
        <v>150</v>
      </c>
      <c r="B23" s="662"/>
      <c r="C23" s="662"/>
      <c r="D23" s="662"/>
      <c r="E23" s="662"/>
      <c r="F23" s="662"/>
    </row>
    <row r="24" spans="1:7" s="84" customFormat="1" ht="11.3" customHeight="1" x14ac:dyDescent="0.3">
      <c r="A24" s="85"/>
      <c r="B24" s="85"/>
      <c r="C24" s="85"/>
      <c r="D24" s="85"/>
      <c r="E24" s="85"/>
      <c r="F24" s="85"/>
    </row>
    <row r="25" spans="1:7" s="84" customFormat="1" ht="31.6" customHeight="1" x14ac:dyDescent="0.3">
      <c r="A25" s="662" t="s">
        <v>151</v>
      </c>
      <c r="B25" s="662"/>
      <c r="C25" s="662"/>
      <c r="D25" s="662"/>
      <c r="E25" s="662"/>
      <c r="F25" s="662"/>
    </row>
    <row r="26" spans="1:7" s="84" customFormat="1" ht="7.55" customHeight="1" x14ac:dyDescent="0.3">
      <c r="A26" s="86"/>
      <c r="B26" s="87"/>
      <c r="C26" s="87"/>
      <c r="D26" s="87"/>
      <c r="E26" s="87"/>
      <c r="F26" s="87"/>
    </row>
    <row r="27" spans="1:7" ht="43.55" customHeight="1" x14ac:dyDescent="0.3">
      <c r="A27" s="663" t="s">
        <v>152</v>
      </c>
      <c r="B27" s="663"/>
      <c r="C27" s="663"/>
      <c r="D27" s="663"/>
      <c r="E27" s="663"/>
      <c r="F27" s="663"/>
    </row>
    <row r="28" spans="1:7" s="89" customFormat="1" ht="8.1999999999999993" customHeight="1" x14ac:dyDescent="0.3">
      <c r="A28" s="88"/>
      <c r="B28" s="88"/>
      <c r="C28" s="88"/>
      <c r="D28" s="88"/>
      <c r="E28" s="88"/>
      <c r="F28" s="88"/>
    </row>
    <row r="29" spans="1:7" ht="18" customHeight="1" x14ac:dyDescent="0.3">
      <c r="A29" s="662" t="s">
        <v>153</v>
      </c>
      <c r="B29" s="662"/>
      <c r="C29" s="662"/>
      <c r="D29" s="662"/>
      <c r="E29" s="662"/>
      <c r="F29" s="662"/>
    </row>
    <row r="30" spans="1:7" ht="7.55" customHeight="1" x14ac:dyDescent="0.3">
      <c r="A30" s="650"/>
      <c r="B30" s="651"/>
      <c r="C30" s="651"/>
      <c r="D30" s="651"/>
      <c r="E30" s="651"/>
      <c r="F30" s="651"/>
    </row>
    <row r="31" spans="1:7" ht="29.3" customHeight="1" x14ac:dyDescent="0.3">
      <c r="A31" s="662" t="s">
        <v>154</v>
      </c>
      <c r="B31" s="662"/>
      <c r="C31" s="662"/>
      <c r="D31" s="662"/>
      <c r="E31" s="662"/>
      <c r="F31" s="662"/>
    </row>
    <row r="32" spans="1:7" s="90" customFormat="1" ht="18" customHeight="1" x14ac:dyDescent="0.3">
      <c r="A32" s="662" t="s">
        <v>155</v>
      </c>
      <c r="B32" s="662"/>
      <c r="C32" s="662"/>
      <c r="D32" s="662"/>
      <c r="E32" s="662"/>
      <c r="F32" s="662"/>
    </row>
    <row r="33" spans="1:6" s="90" customFormat="1" x14ac:dyDescent="0.3">
      <c r="A33" s="662" t="s">
        <v>156</v>
      </c>
      <c r="B33" s="662"/>
      <c r="C33" s="662"/>
      <c r="D33" s="662"/>
      <c r="E33" s="662"/>
      <c r="F33" s="662"/>
    </row>
    <row r="34" spans="1:6" s="90" customFormat="1" x14ac:dyDescent="0.3">
      <c r="A34" s="85"/>
      <c r="B34" s="85"/>
      <c r="C34" s="85"/>
      <c r="D34" s="85"/>
      <c r="E34" s="85"/>
      <c r="F34" s="85"/>
    </row>
    <row r="35" spans="1:6" s="90" customFormat="1" x14ac:dyDescent="0.3">
      <c r="A35" s="662" t="s">
        <v>157</v>
      </c>
      <c r="B35" s="662"/>
      <c r="C35" s="662"/>
      <c r="D35" s="662"/>
      <c r="E35" s="662"/>
      <c r="F35" s="662"/>
    </row>
    <row r="36" spans="1:6" s="90" customFormat="1" ht="14.25" customHeight="1" x14ac:dyDescent="0.3">
      <c r="A36" s="662" t="s">
        <v>158</v>
      </c>
      <c r="B36" s="662"/>
      <c r="C36" s="662"/>
      <c r="D36" s="662"/>
      <c r="E36" s="662"/>
      <c r="F36" s="662"/>
    </row>
    <row r="37" spans="1:6" s="90" customFormat="1" x14ac:dyDescent="0.3">
      <c r="A37" s="662" t="s">
        <v>159</v>
      </c>
      <c r="B37" s="662"/>
      <c r="C37" s="662"/>
      <c r="D37" s="662"/>
      <c r="E37" s="662"/>
      <c r="F37" s="662"/>
    </row>
    <row r="38" spans="1:6" s="90" customFormat="1" ht="90" customHeight="1" x14ac:dyDescent="0.3">
      <c r="A38" s="661" t="s">
        <v>160</v>
      </c>
      <c r="B38" s="661"/>
      <c r="C38" s="661"/>
      <c r="D38" s="661"/>
      <c r="E38" s="661"/>
      <c r="F38" s="91"/>
    </row>
    <row r="39" spans="1:6" s="90" customFormat="1" x14ac:dyDescent="0.3">
      <c r="A39" s="91"/>
      <c r="B39" s="91"/>
      <c r="C39" s="91"/>
      <c r="D39" s="91"/>
      <c r="E39" s="91"/>
      <c r="F39" s="91"/>
    </row>
    <row r="40" spans="1:6" s="90" customFormat="1" x14ac:dyDescent="0.3">
      <c r="A40" s="91"/>
      <c r="B40" s="91"/>
      <c r="C40" s="91"/>
      <c r="D40" s="91"/>
      <c r="E40" s="91"/>
      <c r="F40" s="91"/>
    </row>
    <row r="41" spans="1:6" s="90" customFormat="1" x14ac:dyDescent="0.3">
      <c r="A41" s="91"/>
      <c r="B41" s="91"/>
      <c r="C41" s="91"/>
      <c r="D41" s="91"/>
      <c r="E41" s="91"/>
      <c r="F41" s="91"/>
    </row>
    <row r="42" spans="1:6" s="90" customFormat="1" x14ac:dyDescent="0.3">
      <c r="A42" s="91"/>
      <c r="B42" s="91"/>
      <c r="C42" s="91"/>
      <c r="D42" s="91"/>
      <c r="E42" s="91"/>
      <c r="F42" s="91"/>
    </row>
    <row r="43" spans="1:6" s="90" customFormat="1" x14ac:dyDescent="0.3">
      <c r="A43" s="91"/>
      <c r="B43" s="91"/>
      <c r="C43" s="91"/>
      <c r="D43" s="91"/>
      <c r="E43" s="91"/>
      <c r="F43" s="91"/>
    </row>
    <row r="44" spans="1:6" s="90" customFormat="1" x14ac:dyDescent="0.3">
      <c r="A44" s="92"/>
      <c r="B44" s="92"/>
      <c r="C44" s="92"/>
      <c r="D44" s="92"/>
      <c r="E44" s="92"/>
      <c r="F44" s="92"/>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J41"/>
  <sheetViews>
    <sheetView zoomScale="85" zoomScaleNormal="85" workbookViewId="0">
      <selection activeCell="F17" sqref="F17"/>
    </sheetView>
  </sheetViews>
  <sheetFormatPr baseColWidth="10" defaultColWidth="54.21875" defaultRowHeight="15.05" x14ac:dyDescent="0.3"/>
  <cols>
    <col min="2" max="2" width="19.109375" customWidth="1"/>
    <col min="3" max="3" width="17.88671875" customWidth="1"/>
    <col min="4" max="4" width="18.44140625" customWidth="1"/>
    <col min="5" max="5" width="17.5546875" customWidth="1"/>
    <col min="6" max="6" width="20.77734375" customWidth="1"/>
    <col min="7" max="7" width="12.44140625" customWidth="1"/>
    <col min="8" max="8" width="10.44140625" customWidth="1"/>
    <col min="9" max="9" width="13.6640625" customWidth="1"/>
    <col min="10" max="10" width="10.33203125" customWidth="1"/>
  </cols>
  <sheetData>
    <row r="1" spans="1:10" ht="33.9" customHeight="1" x14ac:dyDescent="0.3">
      <c r="A1" s="667" t="s">
        <v>450</v>
      </c>
      <c r="B1" s="668"/>
      <c r="C1" s="668"/>
      <c r="D1" s="668"/>
      <c r="E1" s="93"/>
    </row>
    <row r="2" spans="1:10" ht="17.7" x14ac:dyDescent="0.3">
      <c r="A2" s="669" t="s">
        <v>123</v>
      </c>
      <c r="B2" s="670"/>
      <c r="C2" s="670"/>
      <c r="D2" s="670"/>
      <c r="E2" s="93"/>
    </row>
    <row r="3" spans="1:10" ht="28.8" x14ac:dyDescent="0.3">
      <c r="A3" s="671" t="s">
        <v>124</v>
      </c>
      <c r="B3" s="672" t="s">
        <v>161</v>
      </c>
      <c r="C3" s="672" t="s">
        <v>162</v>
      </c>
      <c r="D3" s="94" t="s">
        <v>163</v>
      </c>
      <c r="E3" s="564" t="s">
        <v>163</v>
      </c>
    </row>
    <row r="4" spans="1:10" x14ac:dyDescent="0.3">
      <c r="A4" s="655"/>
      <c r="B4" s="658"/>
      <c r="C4" s="658"/>
      <c r="D4" s="95">
        <v>0.04</v>
      </c>
      <c r="E4" s="611">
        <v>0.08</v>
      </c>
      <c r="F4" s="585" t="s">
        <v>521</v>
      </c>
    </row>
    <row r="5" spans="1:10" ht="15.75" thickBot="1" x14ac:dyDescent="0.35">
      <c r="A5" s="656"/>
      <c r="B5" s="96"/>
      <c r="C5" s="60"/>
      <c r="D5" s="60"/>
      <c r="E5" s="60"/>
    </row>
    <row r="6" spans="1:10" ht="32.25" customHeight="1" thickTop="1" x14ac:dyDescent="0.3">
      <c r="A6" s="97" t="s">
        <v>129</v>
      </c>
      <c r="B6" s="546">
        <v>8828</v>
      </c>
      <c r="C6" s="546">
        <f>+COMBUSTIBLES!B7</f>
        <v>4608.92</v>
      </c>
      <c r="D6" s="98"/>
      <c r="E6" s="98"/>
      <c r="G6" s="443" t="s">
        <v>504</v>
      </c>
      <c r="H6" s="453"/>
      <c r="I6" s="588" t="s">
        <v>522</v>
      </c>
      <c r="J6" s="596">
        <v>0.08</v>
      </c>
    </row>
    <row r="7" spans="1:10" ht="28.8" x14ac:dyDescent="0.3">
      <c r="A7" s="99" t="s">
        <v>164</v>
      </c>
      <c r="B7" s="100"/>
      <c r="C7" s="101"/>
      <c r="D7" s="561">
        <v>4424.5600000000004</v>
      </c>
      <c r="E7" s="561">
        <v>4240.2</v>
      </c>
      <c r="G7" s="586">
        <f>C6*0.96</f>
        <v>4424.5631999999996</v>
      </c>
      <c r="H7" s="515">
        <f>+D7-G7</f>
        <v>-3.1999999991967343E-3</v>
      </c>
      <c r="I7" s="589">
        <f>+C6*(1-J6)</f>
        <v>4240.2064</v>
      </c>
      <c r="J7" s="590">
        <f>+I7-E7</f>
        <v>6.400000000212458E-3</v>
      </c>
    </row>
    <row r="8" spans="1:10" ht="22.25" customHeight="1" x14ac:dyDescent="0.3">
      <c r="A8" s="99" t="s">
        <v>165</v>
      </c>
      <c r="B8" s="100"/>
      <c r="C8" s="101"/>
      <c r="D8" s="561">
        <v>353.12</v>
      </c>
      <c r="E8" s="561">
        <v>706.24</v>
      </c>
      <c r="F8">
        <f>+B6*0.07</f>
        <v>617.96</v>
      </c>
      <c r="G8" s="586">
        <f>+B6*4%</f>
        <v>353.12</v>
      </c>
      <c r="H8" s="515">
        <f>+D8-G8</f>
        <v>0</v>
      </c>
      <c r="I8" s="589">
        <f>+B6*J6</f>
        <v>706.24</v>
      </c>
      <c r="J8" s="590">
        <f>+I8-E8</f>
        <v>0</v>
      </c>
    </row>
    <row r="9" spans="1:10" ht="28.8" x14ac:dyDescent="0.3">
      <c r="A9" s="99" t="s">
        <v>166</v>
      </c>
      <c r="B9" s="100"/>
      <c r="C9" s="101"/>
      <c r="D9" s="561">
        <v>4777.68</v>
      </c>
      <c r="E9" s="561">
        <v>4946.4399999999996</v>
      </c>
      <c r="G9" s="587">
        <f>+G7+G8</f>
        <v>4777.6831999999995</v>
      </c>
      <c r="H9" s="515">
        <f>+D9-G9</f>
        <v>-3.1999999991967343E-3</v>
      </c>
      <c r="I9" s="593">
        <f>+I7+I8</f>
        <v>4946.4463999999998</v>
      </c>
      <c r="J9" s="594">
        <f>+I9-E9</f>
        <v>6.400000000212458E-3</v>
      </c>
    </row>
    <row r="10" spans="1:10" ht="19" customHeight="1" x14ac:dyDescent="0.3">
      <c r="A10" s="253" t="s">
        <v>134</v>
      </c>
      <c r="B10" s="100"/>
      <c r="C10" s="254">
        <v>555.04999999999995</v>
      </c>
      <c r="D10" s="255">
        <v>532.84799999999996</v>
      </c>
      <c r="E10" s="255">
        <v>510.64599999999996</v>
      </c>
      <c r="F10" s="50"/>
      <c r="G10" s="592">
        <f>+C10*0.96</f>
        <v>532.84799999999996</v>
      </c>
      <c r="H10" s="515">
        <f>+G10-D10</f>
        <v>0</v>
      </c>
      <c r="I10" s="595">
        <f>+C10*(1-J6)</f>
        <v>510.64599999999996</v>
      </c>
      <c r="J10" s="594">
        <f>+E10-I10</f>
        <v>0</v>
      </c>
    </row>
    <row r="11" spans="1:10" x14ac:dyDescent="0.3">
      <c r="A11" s="99" t="s">
        <v>135</v>
      </c>
      <c r="B11" s="100"/>
      <c r="C11" s="67" t="s">
        <v>136</v>
      </c>
      <c r="D11" s="69" t="s">
        <v>136</v>
      </c>
      <c r="E11" s="69" t="s">
        <v>136</v>
      </c>
      <c r="F11" s="50"/>
      <c r="G11" s="453"/>
      <c r="H11" s="453"/>
      <c r="I11" s="595"/>
      <c r="J11" s="595"/>
    </row>
    <row r="12" spans="1:10" ht="19.649999999999999" customHeight="1" x14ac:dyDescent="0.3">
      <c r="A12" s="250" t="s">
        <v>137</v>
      </c>
      <c r="B12" s="100"/>
      <c r="C12" s="251">
        <v>159</v>
      </c>
      <c r="D12" s="252">
        <v>152.63999999999999</v>
      </c>
      <c r="E12" s="252">
        <v>146.28</v>
      </c>
      <c r="F12" s="50"/>
      <c r="G12" s="453">
        <f>+C12*0.96</f>
        <v>152.63999999999999</v>
      </c>
      <c r="H12" s="515">
        <f>+D12-G12</f>
        <v>0</v>
      </c>
      <c r="I12" s="595">
        <f>+C12*(1-J6)</f>
        <v>146.28</v>
      </c>
      <c r="J12" s="594">
        <f>+E12-I12</f>
        <v>0</v>
      </c>
    </row>
    <row r="13" spans="1:10" x14ac:dyDescent="0.3">
      <c r="A13" s="99" t="s">
        <v>130</v>
      </c>
      <c r="B13" s="100"/>
      <c r="C13" s="102">
        <v>8.3842000000000017</v>
      </c>
      <c r="D13" s="69">
        <v>8.3842000000000017</v>
      </c>
      <c r="E13" s="69">
        <v>8.3842000000000017</v>
      </c>
      <c r="F13" s="50"/>
    </row>
    <row r="14" spans="1:10" ht="28.8" x14ac:dyDescent="0.3">
      <c r="A14" s="99" t="s">
        <v>167</v>
      </c>
      <c r="B14" s="100"/>
      <c r="C14" s="101"/>
      <c r="D14" s="103" t="s">
        <v>132</v>
      </c>
      <c r="E14" s="103" t="s">
        <v>132</v>
      </c>
      <c r="F14" s="591">
        <f>+D12/C12</f>
        <v>0.96</v>
      </c>
    </row>
    <row r="15" spans="1:10" x14ac:dyDescent="0.3">
      <c r="A15" s="99" t="s">
        <v>168</v>
      </c>
      <c r="B15" s="100"/>
      <c r="C15" s="104"/>
      <c r="D15" s="103" t="s">
        <v>139</v>
      </c>
      <c r="E15" s="103" t="s">
        <v>139</v>
      </c>
      <c r="F15" s="50"/>
    </row>
    <row r="16" spans="1:10" x14ac:dyDescent="0.3">
      <c r="A16" s="99" t="s">
        <v>268</v>
      </c>
      <c r="B16" s="100"/>
      <c r="C16" s="101"/>
      <c r="D16" s="103">
        <v>0</v>
      </c>
      <c r="E16" s="103">
        <v>0</v>
      </c>
      <c r="F16" s="508"/>
    </row>
    <row r="17" spans="1:6" x14ac:dyDescent="0.3">
      <c r="A17" s="99" t="s">
        <v>169</v>
      </c>
      <c r="B17" s="100"/>
      <c r="C17" s="101" t="s">
        <v>141</v>
      </c>
      <c r="D17" s="103" t="s">
        <v>141</v>
      </c>
      <c r="E17" s="103" t="s">
        <v>141</v>
      </c>
      <c r="F17" s="50"/>
    </row>
    <row r="18" spans="1:6" x14ac:dyDescent="0.3">
      <c r="A18" s="99" t="s">
        <v>142</v>
      </c>
      <c r="B18" s="100"/>
      <c r="C18" s="101"/>
      <c r="D18" s="103" t="s">
        <v>508</v>
      </c>
      <c r="E18" s="103" t="s">
        <v>508</v>
      </c>
      <c r="F18" s="50"/>
    </row>
    <row r="19" spans="1:6" x14ac:dyDescent="0.3">
      <c r="A19" s="99" t="s">
        <v>170</v>
      </c>
      <c r="B19" s="100"/>
      <c r="C19" s="102" t="s">
        <v>171</v>
      </c>
      <c r="D19" s="103" t="s">
        <v>147</v>
      </c>
      <c r="E19" s="103" t="s">
        <v>147</v>
      </c>
      <c r="F19" s="50"/>
    </row>
    <row r="20" spans="1:6" x14ac:dyDescent="0.3">
      <c r="A20" s="99" t="s">
        <v>172</v>
      </c>
      <c r="B20" s="100"/>
      <c r="C20" s="101" t="s">
        <v>171</v>
      </c>
      <c r="D20" s="103" t="s">
        <v>141</v>
      </c>
      <c r="E20" s="103" t="s">
        <v>141</v>
      </c>
      <c r="F20" s="50"/>
    </row>
    <row r="21" spans="1:6" x14ac:dyDescent="0.3">
      <c r="A21" s="99" t="s">
        <v>173</v>
      </c>
      <c r="B21" s="100"/>
      <c r="C21" s="72" t="s">
        <v>171</v>
      </c>
      <c r="D21" s="103" t="s">
        <v>147</v>
      </c>
      <c r="E21" s="103" t="s">
        <v>147</v>
      </c>
      <c r="F21" s="50"/>
    </row>
    <row r="22" spans="1:6" x14ac:dyDescent="0.3">
      <c r="A22" s="99" t="s">
        <v>174</v>
      </c>
      <c r="B22" s="100"/>
      <c r="C22" s="101" t="s">
        <v>171</v>
      </c>
      <c r="D22" s="103" t="s">
        <v>175</v>
      </c>
      <c r="E22" s="103" t="s">
        <v>175</v>
      </c>
      <c r="F22" s="50"/>
    </row>
    <row r="23" spans="1:6" x14ac:dyDescent="0.3">
      <c r="A23" s="99" t="s">
        <v>148</v>
      </c>
      <c r="B23" s="100"/>
      <c r="C23" s="101" t="s">
        <v>171</v>
      </c>
      <c r="D23" s="103" t="s">
        <v>147</v>
      </c>
      <c r="E23" s="103" t="s">
        <v>147</v>
      </c>
      <c r="F23" s="50"/>
    </row>
    <row r="24" spans="1:6" ht="15.75" thickBot="1" x14ac:dyDescent="0.35">
      <c r="A24" s="105" t="s">
        <v>176</v>
      </c>
      <c r="B24" s="106"/>
      <c r="C24" s="107" t="s">
        <v>171</v>
      </c>
      <c r="D24" s="108" t="s">
        <v>141</v>
      </c>
      <c r="E24" s="108" t="s">
        <v>141</v>
      </c>
      <c r="F24" s="50"/>
    </row>
    <row r="25" spans="1:6" ht="15.75" thickTop="1" x14ac:dyDescent="0.3">
      <c r="A25" s="109"/>
      <c r="B25" s="109"/>
      <c r="C25" s="110"/>
      <c r="D25" s="111"/>
      <c r="E25" s="109"/>
    </row>
    <row r="26" spans="1:6" x14ac:dyDescent="0.3">
      <c r="A26" s="666" t="s">
        <v>177</v>
      </c>
      <c r="B26" s="666"/>
      <c r="C26" s="666"/>
      <c r="D26" s="666"/>
      <c r="E26" s="112"/>
    </row>
    <row r="27" spans="1:6" x14ac:dyDescent="0.3">
      <c r="A27" s="113"/>
      <c r="B27" s="113"/>
      <c r="C27" s="113"/>
      <c r="D27" s="113"/>
      <c r="E27" s="112"/>
    </row>
    <row r="28" spans="1:6" x14ac:dyDescent="0.3">
      <c r="A28" s="664" t="s">
        <v>178</v>
      </c>
      <c r="B28" s="664"/>
      <c r="C28" s="664"/>
      <c r="D28" s="664"/>
      <c r="E28" s="112"/>
    </row>
    <row r="29" spans="1:6" x14ac:dyDescent="0.3">
      <c r="A29" s="114"/>
      <c r="B29" s="114"/>
      <c r="C29" s="115"/>
      <c r="D29" s="115"/>
      <c r="E29" s="112"/>
    </row>
    <row r="30" spans="1:6" x14ac:dyDescent="0.3">
      <c r="A30" s="664" t="s">
        <v>179</v>
      </c>
      <c r="B30" s="664"/>
      <c r="C30" s="664"/>
      <c r="D30" s="664"/>
      <c r="E30" s="112"/>
    </row>
    <row r="31" spans="1:6" x14ac:dyDescent="0.3">
      <c r="A31" s="114"/>
      <c r="B31" s="114"/>
      <c r="C31" s="115"/>
      <c r="D31" s="115"/>
      <c r="E31" s="112"/>
    </row>
    <row r="32" spans="1:6" x14ac:dyDescent="0.3">
      <c r="A32" s="665" t="s">
        <v>180</v>
      </c>
      <c r="B32" s="665"/>
      <c r="C32" s="665"/>
      <c r="D32" s="665"/>
      <c r="E32" s="116"/>
    </row>
    <row r="33" spans="1:5" x14ac:dyDescent="0.3">
      <c r="A33" s="114"/>
      <c r="B33" s="114"/>
      <c r="C33" s="115"/>
      <c r="D33" s="115"/>
      <c r="E33" s="112"/>
    </row>
    <row r="34" spans="1:5" x14ac:dyDescent="0.3">
      <c r="A34" s="664" t="s">
        <v>181</v>
      </c>
      <c r="B34" s="664"/>
      <c r="C34" s="664"/>
      <c r="D34" s="664"/>
      <c r="E34" s="112"/>
    </row>
    <row r="35" spans="1:5" x14ac:dyDescent="0.3">
      <c r="A35" s="117"/>
      <c r="B35" s="117"/>
      <c r="C35" s="117"/>
      <c r="D35" s="117"/>
      <c r="E35" s="112"/>
    </row>
    <row r="36" spans="1:5" x14ac:dyDescent="0.3">
      <c r="A36" s="662" t="s">
        <v>154</v>
      </c>
      <c r="B36" s="662"/>
      <c r="C36" s="662"/>
      <c r="D36" s="662"/>
      <c r="E36" s="662"/>
    </row>
    <row r="37" spans="1:5" x14ac:dyDescent="0.3">
      <c r="A37" s="662" t="s">
        <v>157</v>
      </c>
      <c r="B37" s="662"/>
      <c r="C37" s="662"/>
      <c r="D37" s="662"/>
      <c r="E37" s="85"/>
    </row>
    <row r="38" spans="1:5" x14ac:dyDescent="0.3">
      <c r="A38" s="662" t="s">
        <v>158</v>
      </c>
      <c r="B38" s="662"/>
      <c r="C38" s="662"/>
      <c r="D38" s="662"/>
      <c r="E38" s="85"/>
    </row>
    <row r="39" spans="1:5" x14ac:dyDescent="0.3">
      <c r="A39" s="662" t="s">
        <v>159</v>
      </c>
      <c r="B39" s="662"/>
      <c r="C39" s="662"/>
      <c r="D39" s="662"/>
      <c r="E39" s="109"/>
    </row>
    <row r="40" spans="1:5" x14ac:dyDescent="0.3">
      <c r="A40" s="49"/>
      <c r="B40" s="49"/>
      <c r="C40" s="49"/>
      <c r="D40" s="49"/>
      <c r="E40" s="109"/>
    </row>
    <row r="41" spans="1:5" x14ac:dyDescent="0.3">
      <c r="A41" s="661" t="s">
        <v>160</v>
      </c>
      <c r="B41" s="661"/>
      <c r="C41" s="661"/>
      <c r="D41" s="661"/>
      <c r="E41" s="109"/>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FF0000"/>
  </sheetPr>
  <dimension ref="A1:F21"/>
  <sheetViews>
    <sheetView zoomScale="82" zoomScaleNormal="82" workbookViewId="0">
      <selection activeCell="D6" sqref="D6"/>
    </sheetView>
  </sheetViews>
  <sheetFormatPr baseColWidth="10" defaultRowHeight="15.05" x14ac:dyDescent="0.3"/>
  <cols>
    <col min="1" max="1" width="36.109375" customWidth="1"/>
    <col min="2" max="4" width="20.33203125" customWidth="1"/>
    <col min="5" max="5" width="14.88671875" customWidth="1"/>
    <col min="6" max="6" width="20.109375" customWidth="1"/>
  </cols>
  <sheetData>
    <row r="1" spans="1:6" ht="17.05" x14ac:dyDescent="0.3">
      <c r="A1" s="675" t="str">
        <f>CONCATENATE("ESTRUCTURA DE PRECIOS DE GASOLINA EXTRA OXIGENADA VIGENTE A PARTIR DE ",'[6]COMBUSTIBLES '!$A$1)</f>
        <v>ESTRUCTURA DE PRECIOS DE GASOLINA EXTRA OXIGENADA VIGENTE A PARTIR DE 1 DE ABRIL 2019</v>
      </c>
      <c r="B1" s="676"/>
      <c r="C1" s="676"/>
      <c r="D1" s="676"/>
    </row>
    <row r="2" spans="1:6" ht="16.399999999999999" x14ac:dyDescent="0.3">
      <c r="A2" s="677" t="s">
        <v>123</v>
      </c>
      <c r="B2" s="678"/>
      <c r="C2" s="678"/>
      <c r="D2" s="678"/>
    </row>
    <row r="3" spans="1:6" ht="29.95" customHeight="1" x14ac:dyDescent="0.3">
      <c r="A3" s="671" t="s">
        <v>124</v>
      </c>
      <c r="B3" s="672" t="s">
        <v>161</v>
      </c>
      <c r="C3" s="672" t="s">
        <v>425</v>
      </c>
      <c r="D3" s="398" t="s">
        <v>183</v>
      </c>
      <c r="E3" s="673" t="s">
        <v>426</v>
      </c>
      <c r="F3" s="399" t="s">
        <v>183</v>
      </c>
    </row>
    <row r="4" spans="1:6" x14ac:dyDescent="0.3">
      <c r="A4" s="655"/>
      <c r="B4" s="658"/>
      <c r="C4" s="658"/>
      <c r="D4" s="400">
        <v>0.1</v>
      </c>
      <c r="E4" s="674"/>
      <c r="F4" s="401">
        <v>0.1</v>
      </c>
    </row>
    <row r="5" spans="1:6" ht="43.85" thickBot="1" x14ac:dyDescent="0.35">
      <c r="A5" s="656"/>
      <c r="B5" s="118" t="s">
        <v>427</v>
      </c>
      <c r="C5" s="118" t="s">
        <v>427</v>
      </c>
      <c r="D5" s="402" t="s">
        <v>427</v>
      </c>
      <c r="E5" s="118" t="s">
        <v>427</v>
      </c>
      <c r="F5" s="119" t="s">
        <v>427</v>
      </c>
    </row>
    <row r="6" spans="1:6" ht="15.55" thickTop="1" x14ac:dyDescent="0.3">
      <c r="A6" s="62" t="s">
        <v>129</v>
      </c>
      <c r="B6" s="120">
        <v>8286.2999999999993</v>
      </c>
      <c r="C6" s="120">
        <v>5700</v>
      </c>
      <c r="D6" s="403">
        <v>5958.63</v>
      </c>
      <c r="E6" s="404">
        <v>5700</v>
      </c>
      <c r="F6" s="405">
        <v>5958.63</v>
      </c>
    </row>
    <row r="7" spans="1:6" x14ac:dyDescent="0.3">
      <c r="A7" s="66" t="s">
        <v>184</v>
      </c>
      <c r="B7" s="72"/>
      <c r="C7" s="72">
        <v>8.1370000000000005</v>
      </c>
      <c r="D7" s="406">
        <v>8.1370000000000005</v>
      </c>
      <c r="E7" s="406">
        <v>8.1370000000000005</v>
      </c>
      <c r="F7" s="74">
        <v>8.1370000000000005</v>
      </c>
    </row>
    <row r="8" spans="1:6" ht="28.8" x14ac:dyDescent="0.3">
      <c r="A8" s="66" t="s">
        <v>131</v>
      </c>
      <c r="B8" s="101"/>
      <c r="C8" s="101" t="s">
        <v>132</v>
      </c>
      <c r="D8" s="407" t="s">
        <v>132</v>
      </c>
      <c r="E8" s="407" t="s">
        <v>132</v>
      </c>
      <c r="F8" s="121" t="s">
        <v>132</v>
      </c>
    </row>
    <row r="9" spans="1:6" x14ac:dyDescent="0.3">
      <c r="A9" s="66" t="s">
        <v>268</v>
      </c>
      <c r="B9" s="101"/>
      <c r="C9" s="101">
        <v>71.510000000000005</v>
      </c>
      <c r="D9" s="407">
        <v>71.510000000000005</v>
      </c>
      <c r="E9" s="407">
        <v>71.510000000000005</v>
      </c>
      <c r="F9" s="121">
        <v>71.510000000000005</v>
      </c>
    </row>
    <row r="10" spans="1:6" ht="28.8" x14ac:dyDescent="0.3">
      <c r="A10" s="256" t="s">
        <v>134</v>
      </c>
      <c r="B10" s="72"/>
      <c r="C10" s="72">
        <v>1036.78</v>
      </c>
      <c r="D10" s="406">
        <v>933.1</v>
      </c>
      <c r="E10" s="72">
        <v>1036.78</v>
      </c>
      <c r="F10" s="408">
        <v>933.1</v>
      </c>
    </row>
    <row r="11" spans="1:6" x14ac:dyDescent="0.3">
      <c r="A11" s="66" t="s">
        <v>135</v>
      </c>
      <c r="B11" s="72"/>
      <c r="C11" s="68" t="s">
        <v>136</v>
      </c>
      <c r="D11" s="409" t="s">
        <v>136</v>
      </c>
      <c r="E11" s="68" t="s">
        <v>136</v>
      </c>
      <c r="F11" s="410" t="s">
        <v>136</v>
      </c>
    </row>
    <row r="12" spans="1:6" x14ac:dyDescent="0.3">
      <c r="A12" s="250" t="s">
        <v>137</v>
      </c>
      <c r="B12" s="72"/>
      <c r="C12" s="72">
        <v>155</v>
      </c>
      <c r="D12" s="406">
        <v>139.5</v>
      </c>
      <c r="E12" s="72">
        <v>155</v>
      </c>
      <c r="F12" s="408">
        <v>139.5</v>
      </c>
    </row>
    <row r="13" spans="1:6" ht="28.8" x14ac:dyDescent="0.3">
      <c r="A13" s="66" t="s">
        <v>185</v>
      </c>
      <c r="B13" s="101"/>
      <c r="C13" s="101" t="s">
        <v>139</v>
      </c>
      <c r="D13" s="407" t="s">
        <v>139</v>
      </c>
      <c r="E13" s="101" t="s">
        <v>139</v>
      </c>
      <c r="F13" s="411" t="s">
        <v>139</v>
      </c>
    </row>
    <row r="14" spans="1:6" x14ac:dyDescent="0.3">
      <c r="A14" s="66" t="s">
        <v>186</v>
      </c>
      <c r="B14" s="72"/>
      <c r="C14" s="122"/>
      <c r="D14" s="412"/>
      <c r="E14" s="122"/>
      <c r="F14" s="413"/>
    </row>
    <row r="15" spans="1:6" x14ac:dyDescent="0.3">
      <c r="A15" s="66" t="s">
        <v>142</v>
      </c>
      <c r="B15" s="72"/>
      <c r="C15" s="72">
        <v>1776.95</v>
      </c>
      <c r="D15" s="406">
        <v>1599.26</v>
      </c>
      <c r="E15" s="72">
        <v>1776.95</v>
      </c>
      <c r="F15" s="408">
        <v>1599.26</v>
      </c>
    </row>
    <row r="16" spans="1:6" ht="28.8" x14ac:dyDescent="0.3">
      <c r="A16" s="66" t="s">
        <v>144</v>
      </c>
      <c r="B16" s="124"/>
      <c r="C16" s="124"/>
      <c r="D16" s="414"/>
      <c r="E16" s="124"/>
      <c r="F16" s="415"/>
    </row>
    <row r="17" spans="1:6" x14ac:dyDescent="0.3">
      <c r="A17" s="66" t="s">
        <v>187</v>
      </c>
      <c r="B17" s="72"/>
      <c r="C17" s="122"/>
      <c r="D17" s="412"/>
      <c r="E17" s="122"/>
      <c r="F17" s="123"/>
    </row>
    <row r="18" spans="1:6" x14ac:dyDescent="0.3">
      <c r="A18" s="66" t="s">
        <v>146</v>
      </c>
      <c r="B18" s="72"/>
      <c r="C18" s="72"/>
      <c r="D18" s="406"/>
      <c r="E18" s="72"/>
      <c r="F18" s="74"/>
    </row>
    <row r="19" spans="1:6" ht="28.8" x14ac:dyDescent="0.3">
      <c r="A19" s="66" t="s">
        <v>148</v>
      </c>
      <c r="B19" s="72"/>
      <c r="C19" s="72"/>
      <c r="D19" s="406"/>
      <c r="E19" s="72"/>
      <c r="F19" s="74"/>
    </row>
    <row r="20" spans="1:6" ht="15.75" thickBot="1" x14ac:dyDescent="0.35">
      <c r="A20" s="81" t="s">
        <v>149</v>
      </c>
      <c r="B20" s="107"/>
      <c r="C20" s="107" t="s">
        <v>139</v>
      </c>
      <c r="D20" s="416" t="s">
        <v>139</v>
      </c>
      <c r="E20" s="107" t="s">
        <v>139</v>
      </c>
      <c r="F20" s="125" t="s">
        <v>139</v>
      </c>
    </row>
    <row r="21" spans="1:6" ht="15.55" thickTop="1" x14ac:dyDescent="0.3"/>
  </sheetData>
  <mergeCells count="6">
    <mergeCell ref="E3:E4"/>
    <mergeCell ref="A1:D1"/>
    <mergeCell ref="A2:D2"/>
    <mergeCell ref="A3:A5"/>
    <mergeCell ref="B3:B4"/>
    <mergeCell ref="C3:C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N24"/>
  <sheetViews>
    <sheetView zoomScale="85" zoomScaleNormal="85" workbookViewId="0">
      <selection activeCell="F17" sqref="F17"/>
    </sheetView>
  </sheetViews>
  <sheetFormatPr baseColWidth="10" defaultColWidth="11.33203125" defaultRowHeight="13.1" x14ac:dyDescent="0.25"/>
  <cols>
    <col min="1" max="1" width="48.33203125" style="126" customWidth="1"/>
    <col min="2" max="2" width="13.109375" style="126" bestFit="1" customWidth="1"/>
    <col min="3" max="5" width="14.5546875" style="126" customWidth="1"/>
    <col min="6" max="6" width="9.109375" style="126" customWidth="1"/>
    <col min="7" max="8" width="14.5546875" style="126" customWidth="1"/>
    <col min="9" max="9" width="11.33203125" style="126"/>
    <col min="10" max="10" width="14.33203125" style="126" customWidth="1"/>
    <col min="11" max="11" width="11.33203125" style="126"/>
    <col min="12" max="12" width="7.33203125" style="126" customWidth="1"/>
    <col min="13" max="13" width="14.44140625" style="126" customWidth="1"/>
    <col min="14" max="16384" width="11.33203125" style="126"/>
  </cols>
  <sheetData>
    <row r="1" spans="1:14" ht="34.549999999999997" customHeight="1" thickTop="1" x14ac:dyDescent="0.25">
      <c r="A1" s="679" t="s">
        <v>451</v>
      </c>
      <c r="B1" s="680"/>
      <c r="C1" s="680"/>
      <c r="D1" s="680"/>
      <c r="E1" s="680"/>
      <c r="F1" s="680"/>
      <c r="G1" s="680"/>
    </row>
    <row r="2" spans="1:14" x14ac:dyDescent="0.25">
      <c r="A2" s="681" t="s">
        <v>123</v>
      </c>
      <c r="B2" s="682"/>
      <c r="C2" s="682"/>
      <c r="D2" s="682"/>
      <c r="E2" s="682"/>
      <c r="F2" s="682"/>
      <c r="G2" s="682"/>
    </row>
    <row r="3" spans="1:14" ht="39.299999999999997" customHeight="1" x14ac:dyDescent="0.25">
      <c r="A3" s="683" t="s">
        <v>124</v>
      </c>
      <c r="B3" s="127" t="s">
        <v>188</v>
      </c>
      <c r="C3" s="686" t="s">
        <v>189</v>
      </c>
      <c r="D3" s="686" t="s">
        <v>190</v>
      </c>
      <c r="E3" s="128" t="s">
        <v>191</v>
      </c>
      <c r="F3" s="455" t="s">
        <v>192</v>
      </c>
      <c r="G3" s="128" t="s">
        <v>435</v>
      </c>
      <c r="H3" s="128" t="s">
        <v>469</v>
      </c>
    </row>
    <row r="4" spans="1:14" ht="19.649999999999999" customHeight="1" x14ac:dyDescent="0.25">
      <c r="A4" s="684"/>
      <c r="B4" s="129">
        <v>1</v>
      </c>
      <c r="C4" s="687"/>
      <c r="D4" s="687"/>
      <c r="E4" s="130">
        <v>0.02</v>
      </c>
      <c r="F4" s="456">
        <v>0.04</v>
      </c>
      <c r="G4" s="130">
        <v>0.1</v>
      </c>
      <c r="H4" s="130">
        <v>0.12</v>
      </c>
    </row>
    <row r="5" spans="1:14" ht="13.75" thickBot="1" x14ac:dyDescent="0.3">
      <c r="A5" s="685"/>
      <c r="B5" s="131" t="str">
        <f>+'[6]COMBUSTIBLES '!C5</f>
        <v>Ecopetrol</v>
      </c>
      <c r="C5" s="131" t="str">
        <f>+B5</f>
        <v>Ecopetrol</v>
      </c>
      <c r="D5" s="131" t="str">
        <f>+C5</f>
        <v>Ecopetrol</v>
      </c>
      <c r="E5" s="132" t="str">
        <f>+B5</f>
        <v>Ecopetrol</v>
      </c>
      <c r="F5" s="457" t="str">
        <f>+B5</f>
        <v>Ecopetrol</v>
      </c>
      <c r="G5" s="132" t="str">
        <f>+B5</f>
        <v>Ecopetrol</v>
      </c>
      <c r="H5" s="132" t="str">
        <f>+C5</f>
        <v>Ecopetrol</v>
      </c>
    </row>
    <row r="6" spans="1:14" ht="18.850000000000001" customHeight="1" thickTop="1" x14ac:dyDescent="0.25">
      <c r="A6" s="133" t="s">
        <v>129</v>
      </c>
      <c r="B6" s="547">
        <v>16655.75</v>
      </c>
      <c r="C6" s="548">
        <v>4479.59</v>
      </c>
      <c r="D6" s="548">
        <f>+C6</f>
        <v>4479.59</v>
      </c>
      <c r="E6" s="134"/>
      <c r="F6" s="458"/>
      <c r="G6" s="134"/>
      <c r="H6" s="134"/>
      <c r="J6" s="454" t="s">
        <v>523</v>
      </c>
      <c r="K6" s="597">
        <v>0.1</v>
      </c>
      <c r="M6" s="600" t="s">
        <v>524</v>
      </c>
      <c r="N6" s="601">
        <v>0.12</v>
      </c>
    </row>
    <row r="7" spans="1:14" ht="28.15" customHeight="1" x14ac:dyDescent="0.25">
      <c r="A7" s="135" t="s">
        <v>193</v>
      </c>
      <c r="B7" s="136"/>
      <c r="C7" s="137"/>
      <c r="D7" s="137"/>
      <c r="E7" s="549">
        <v>4390</v>
      </c>
      <c r="F7" s="459"/>
      <c r="G7" s="549">
        <v>4031.63</v>
      </c>
      <c r="H7" s="551">
        <v>3942.0390000000002</v>
      </c>
      <c r="I7" s="479"/>
      <c r="J7" s="598">
        <f>+D6*(1-K6)</f>
        <v>4031.6310000000003</v>
      </c>
      <c r="K7" s="599">
        <f>+J7-G7</f>
        <v>1.0000000002037268E-3</v>
      </c>
      <c r="M7" s="602">
        <f>+C6*(1-N6)</f>
        <v>3942.0392000000002</v>
      </c>
      <c r="N7" s="603">
        <f>+M7-H7</f>
        <v>1.9999999994979589E-4</v>
      </c>
    </row>
    <row r="8" spans="1:14" ht="32.1" customHeight="1" x14ac:dyDescent="0.25">
      <c r="A8" s="135" t="s">
        <v>194</v>
      </c>
      <c r="B8" s="139"/>
      <c r="C8" s="139"/>
      <c r="D8" s="139"/>
      <c r="E8" s="549">
        <v>333.12</v>
      </c>
      <c r="F8" s="459"/>
      <c r="G8" s="549">
        <v>1665.575</v>
      </c>
      <c r="H8" s="551">
        <v>1998.69</v>
      </c>
      <c r="I8" s="479"/>
      <c r="J8" s="599">
        <f>+B6*K6</f>
        <v>1665.575</v>
      </c>
      <c r="K8" s="599">
        <f>+J8-G8</f>
        <v>0</v>
      </c>
      <c r="M8" s="603">
        <f>+B6*N6</f>
        <v>1998.6899999999998</v>
      </c>
      <c r="N8" s="603">
        <f>+M8-H8</f>
        <v>0</v>
      </c>
    </row>
    <row r="9" spans="1:14" ht="26.2" x14ac:dyDescent="0.25">
      <c r="A9" s="135" t="s">
        <v>195</v>
      </c>
      <c r="B9" s="139"/>
      <c r="C9" s="139"/>
      <c r="D9" s="139"/>
      <c r="E9" s="550">
        <v>4723.12</v>
      </c>
      <c r="F9" s="460"/>
      <c r="G9" s="550">
        <v>5697.2049999999999</v>
      </c>
      <c r="H9" s="551">
        <v>5940.7290000000003</v>
      </c>
      <c r="I9" s="479"/>
      <c r="J9" s="599">
        <f>+J7+J8</f>
        <v>5697.2060000000001</v>
      </c>
      <c r="K9" s="599">
        <f>+J9-G9</f>
        <v>1.0000000002037268E-3</v>
      </c>
      <c r="M9" s="603">
        <f>+M7+M8</f>
        <v>5940.7291999999998</v>
      </c>
      <c r="N9" s="603">
        <f>+M9-H9</f>
        <v>1.9999999949504854E-4</v>
      </c>
    </row>
    <row r="10" spans="1:14" ht="21.45" customHeight="1" x14ac:dyDescent="0.25">
      <c r="A10" s="258" t="s">
        <v>134</v>
      </c>
      <c r="B10" s="139"/>
      <c r="C10" s="259">
        <v>531.27</v>
      </c>
      <c r="D10" s="259">
        <v>531.27</v>
      </c>
      <c r="E10" s="550">
        <v>520.64</v>
      </c>
      <c r="F10" s="461"/>
      <c r="G10" s="257">
        <v>478.14</v>
      </c>
      <c r="H10" s="551">
        <v>467.52</v>
      </c>
      <c r="J10" s="454">
        <f>+C10*0.9</f>
        <v>478.14299999999997</v>
      </c>
      <c r="K10" s="454"/>
      <c r="M10" s="465">
        <f>+C10*0.88</f>
        <v>467.51759999999996</v>
      </c>
      <c r="N10" s="465"/>
    </row>
    <row r="11" spans="1:14" ht="21.45" customHeight="1" x14ac:dyDescent="0.25">
      <c r="A11" s="135" t="s">
        <v>135</v>
      </c>
      <c r="B11" s="139"/>
      <c r="C11" s="139" t="s">
        <v>136</v>
      </c>
      <c r="D11" s="139" t="s">
        <v>136</v>
      </c>
      <c r="E11" s="138" t="s">
        <v>136</v>
      </c>
      <c r="F11" s="459"/>
      <c r="G11" s="138" t="s">
        <v>136</v>
      </c>
      <c r="H11" s="516" t="s">
        <v>136</v>
      </c>
      <c r="J11" s="454"/>
      <c r="K11" s="454"/>
      <c r="M11" s="465"/>
      <c r="N11" s="465"/>
    </row>
    <row r="12" spans="1:14" ht="21.45" customHeight="1" x14ac:dyDescent="0.25">
      <c r="A12" s="260" t="s">
        <v>137</v>
      </c>
      <c r="B12" s="139"/>
      <c r="C12" s="261">
        <v>179</v>
      </c>
      <c r="D12" s="261">
        <v>179</v>
      </c>
      <c r="E12" s="261">
        <v>175.42</v>
      </c>
      <c r="F12" s="462"/>
      <c r="G12" s="261">
        <v>161.1</v>
      </c>
      <c r="H12" s="516">
        <v>157.52000000000001</v>
      </c>
      <c r="I12" s="126">
        <f>+C12*0.98</f>
        <v>175.42</v>
      </c>
      <c r="J12" s="454">
        <f>+C12*(1-K6)</f>
        <v>161.1</v>
      </c>
      <c r="K12" s="599">
        <f>+G12-J12</f>
        <v>0</v>
      </c>
      <c r="M12" s="465">
        <f>+D12*(1-N6)</f>
        <v>157.52000000000001</v>
      </c>
      <c r="N12" s="604">
        <f>+H12-M12</f>
        <v>0</v>
      </c>
    </row>
    <row r="13" spans="1:14" ht="21.45" customHeight="1" x14ac:dyDescent="0.25">
      <c r="A13" s="135" t="s">
        <v>130</v>
      </c>
      <c r="B13" s="139"/>
      <c r="C13" s="140">
        <v>8.3842000000000017</v>
      </c>
      <c r="D13" s="140">
        <v>8.3842000000000017</v>
      </c>
      <c r="E13" s="138">
        <v>8.3842000000000017</v>
      </c>
      <c r="F13" s="459"/>
      <c r="G13" s="138">
        <v>8.3842000000000017</v>
      </c>
      <c r="H13" s="516">
        <v>8.3842000000000017</v>
      </c>
      <c r="J13" s="454"/>
      <c r="K13" s="454"/>
      <c r="M13" s="465"/>
      <c r="N13" s="465"/>
    </row>
    <row r="14" spans="1:14" ht="21.45" customHeight="1" x14ac:dyDescent="0.25">
      <c r="A14" s="135" t="s">
        <v>196</v>
      </c>
      <c r="B14" s="139"/>
      <c r="C14" s="139" t="s">
        <v>132</v>
      </c>
      <c r="D14" s="139" t="s">
        <v>132</v>
      </c>
      <c r="E14" s="138" t="s">
        <v>132</v>
      </c>
      <c r="F14" s="459"/>
      <c r="G14" s="138" t="s">
        <v>132</v>
      </c>
      <c r="H14" s="138" t="s">
        <v>132</v>
      </c>
      <c r="J14" s="454"/>
      <c r="K14" s="454"/>
      <c r="M14" s="465"/>
      <c r="N14" s="465"/>
    </row>
    <row r="15" spans="1:14" ht="21.45" customHeight="1" x14ac:dyDescent="0.25">
      <c r="A15" s="135" t="s">
        <v>197</v>
      </c>
      <c r="B15" s="139" t="s">
        <v>171</v>
      </c>
      <c r="C15" s="139"/>
      <c r="D15" s="139"/>
      <c r="E15" s="138" t="s">
        <v>139</v>
      </c>
      <c r="F15" s="459"/>
      <c r="G15" s="138" t="s">
        <v>139</v>
      </c>
      <c r="H15" s="138" t="s">
        <v>139</v>
      </c>
      <c r="J15" s="454"/>
      <c r="K15" s="454"/>
      <c r="M15" s="465"/>
      <c r="N15" s="465"/>
    </row>
    <row r="16" spans="1:14" ht="21.45" customHeight="1" x14ac:dyDescent="0.25">
      <c r="A16" s="141" t="s">
        <v>268</v>
      </c>
      <c r="B16" s="139"/>
      <c r="C16" s="139"/>
      <c r="D16" s="139"/>
      <c r="E16" s="138"/>
      <c r="F16" s="459"/>
      <c r="G16" s="138"/>
      <c r="H16" s="138"/>
      <c r="J16" s="454"/>
      <c r="K16" s="454"/>
      <c r="M16" s="465"/>
      <c r="N16" s="465"/>
    </row>
    <row r="17" spans="1:8" ht="21.45" customHeight="1" x14ac:dyDescent="0.25">
      <c r="A17" s="135" t="s">
        <v>169</v>
      </c>
      <c r="B17" s="139"/>
      <c r="C17" s="139"/>
      <c r="D17" s="139"/>
      <c r="E17" s="138"/>
      <c r="F17" s="459"/>
      <c r="G17" s="138"/>
      <c r="H17" s="138"/>
    </row>
    <row r="18" spans="1:8" ht="21.45" customHeight="1" x14ac:dyDescent="0.25">
      <c r="A18" s="135" t="s">
        <v>170</v>
      </c>
      <c r="B18" s="142"/>
      <c r="C18" s="143"/>
      <c r="D18" s="143"/>
      <c r="E18" s="144" t="s">
        <v>171</v>
      </c>
      <c r="F18" s="463"/>
      <c r="G18" s="145" t="s">
        <v>147</v>
      </c>
      <c r="H18" s="145" t="s">
        <v>147</v>
      </c>
    </row>
    <row r="19" spans="1:8" ht="21.45" customHeight="1" x14ac:dyDescent="0.25">
      <c r="A19" s="135" t="s">
        <v>172</v>
      </c>
      <c r="B19" s="142"/>
      <c r="C19" s="142"/>
      <c r="D19" s="142"/>
      <c r="E19" s="144" t="s">
        <v>171</v>
      </c>
      <c r="F19" s="463"/>
      <c r="G19" s="144" t="s">
        <v>141</v>
      </c>
      <c r="H19" s="144" t="s">
        <v>141</v>
      </c>
    </row>
    <row r="20" spans="1:8" ht="21.45" customHeight="1" x14ac:dyDescent="0.25">
      <c r="A20" s="135" t="s">
        <v>173</v>
      </c>
      <c r="B20" s="142"/>
      <c r="C20" s="142"/>
      <c r="D20" s="142"/>
      <c r="E20" s="144" t="s">
        <v>171</v>
      </c>
      <c r="F20" s="463"/>
      <c r="G20" s="138" t="s">
        <v>147</v>
      </c>
      <c r="H20" s="138" t="s">
        <v>147</v>
      </c>
    </row>
    <row r="21" spans="1:8" ht="21.45" customHeight="1" x14ac:dyDescent="0.25">
      <c r="A21" s="135" t="s">
        <v>198</v>
      </c>
      <c r="B21" s="142"/>
      <c r="C21" s="142"/>
      <c r="D21" s="142"/>
      <c r="E21" s="144" t="s">
        <v>171</v>
      </c>
      <c r="F21" s="463"/>
      <c r="G21" s="138" t="s">
        <v>147</v>
      </c>
      <c r="H21" s="138" t="s">
        <v>147</v>
      </c>
    </row>
    <row r="22" spans="1:8" ht="21.45" customHeight="1" x14ac:dyDescent="0.25">
      <c r="A22" s="146" t="s">
        <v>142</v>
      </c>
      <c r="B22" s="139"/>
      <c r="C22" s="139"/>
      <c r="D22" s="139"/>
      <c r="E22" s="138"/>
      <c r="F22" s="459"/>
      <c r="G22" s="138"/>
      <c r="H22" s="138">
        <v>301</v>
      </c>
    </row>
    <row r="23" spans="1:8" ht="13.75" thickBot="1" x14ac:dyDescent="0.3">
      <c r="A23" s="147" t="s">
        <v>176</v>
      </c>
      <c r="B23" s="148"/>
      <c r="C23" s="148"/>
      <c r="D23" s="148"/>
      <c r="E23" s="149" t="s">
        <v>171</v>
      </c>
      <c r="F23" s="464"/>
      <c r="G23" s="149"/>
      <c r="H23" s="149" t="s">
        <v>141</v>
      </c>
    </row>
    <row r="24" spans="1:8" ht="13.75" thickTop="1" x14ac:dyDescent="0.25">
      <c r="F24" s="126" t="s">
        <v>444</v>
      </c>
    </row>
  </sheetData>
  <mergeCells count="5">
    <mergeCell ref="A1:G1"/>
    <mergeCell ref="A2:G2"/>
    <mergeCell ref="A3:A5"/>
    <mergeCell ref="C3:C4"/>
    <mergeCell ref="D3: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K46"/>
  <sheetViews>
    <sheetView tabSelected="1" zoomScale="85" zoomScaleNormal="85" workbookViewId="0">
      <selection activeCell="E16" sqref="E16"/>
    </sheetView>
  </sheetViews>
  <sheetFormatPr baseColWidth="10" defaultRowHeight="15.05" x14ac:dyDescent="0.3"/>
  <cols>
    <col min="2" max="2" width="57.109375" customWidth="1"/>
    <col min="3" max="3" width="16" customWidth="1"/>
    <col min="4" max="4" width="15.21875" bestFit="1" customWidth="1"/>
    <col min="5" max="5" width="15.109375" customWidth="1"/>
    <col min="6" max="6" width="12.109375" customWidth="1"/>
    <col min="7" max="7" width="14.77734375" customWidth="1"/>
    <col min="8" max="8" width="15.6640625" customWidth="1"/>
    <col min="9" max="9" width="18.88671875" customWidth="1"/>
    <col min="10" max="10" width="0" hidden="1" customWidth="1"/>
  </cols>
  <sheetData>
    <row r="1" spans="1:11" x14ac:dyDescent="0.3">
      <c r="A1" s="150"/>
      <c r="B1" s="176" t="s">
        <v>526</v>
      </c>
      <c r="C1" s="451" t="s">
        <v>526</v>
      </c>
      <c r="D1" s="176"/>
      <c r="E1" s="151"/>
      <c r="F1" s="151"/>
      <c r="G1" s="151"/>
      <c r="H1" s="151"/>
    </row>
    <row r="2" spans="1:11" ht="15.75" thickBot="1" x14ac:dyDescent="0.35">
      <c r="A2" s="177" t="s">
        <v>199</v>
      </c>
      <c r="B2" s="178"/>
      <c r="C2" s="178"/>
      <c r="D2" s="552"/>
      <c r="E2" s="178"/>
      <c r="F2" s="552"/>
      <c r="G2" s="178"/>
      <c r="H2" s="178"/>
    </row>
    <row r="3" spans="1:11" ht="15.75" thickTop="1" x14ac:dyDescent="0.3">
      <c r="A3" s="179"/>
      <c r="B3" s="180" t="s">
        <v>239</v>
      </c>
      <c r="C3" s="697" t="s">
        <v>200</v>
      </c>
      <c r="D3" s="698"/>
      <c r="E3" s="698"/>
      <c r="F3" s="698"/>
      <c r="G3" s="701" t="s">
        <v>240</v>
      </c>
      <c r="H3" s="702"/>
    </row>
    <row r="4" spans="1:11" x14ac:dyDescent="0.3">
      <c r="A4" s="181"/>
      <c r="B4" s="182" t="s">
        <v>241</v>
      </c>
      <c r="C4" s="699"/>
      <c r="D4" s="700"/>
      <c r="E4" s="700"/>
      <c r="F4" s="700"/>
      <c r="G4" s="703"/>
      <c r="H4" s="704"/>
      <c r="K4" s="19"/>
    </row>
    <row r="5" spans="1:11" ht="26.2" x14ac:dyDescent="0.3">
      <c r="A5" s="691" t="s">
        <v>201</v>
      </c>
      <c r="B5" s="693" t="s">
        <v>202</v>
      </c>
      <c r="C5" s="695" t="s">
        <v>261</v>
      </c>
      <c r="D5" s="183" t="s">
        <v>97</v>
      </c>
      <c r="E5" s="183" t="s">
        <v>429</v>
      </c>
      <c r="F5" s="183" t="s">
        <v>435</v>
      </c>
      <c r="G5" s="183" t="s">
        <v>97</v>
      </c>
      <c r="H5" s="154" t="str">
        <f>+F5</f>
        <v>Biodiesel B10</v>
      </c>
    </row>
    <row r="6" spans="1:11" x14ac:dyDescent="0.3">
      <c r="A6" s="691"/>
      <c r="B6" s="693"/>
      <c r="C6" s="696"/>
      <c r="D6" s="609">
        <v>0.08</v>
      </c>
      <c r="E6" s="201">
        <v>0.02</v>
      </c>
      <c r="F6" s="184">
        <v>0.1</v>
      </c>
      <c r="G6" s="609">
        <v>0.08</v>
      </c>
      <c r="H6" s="184">
        <f>+F6</f>
        <v>0.1</v>
      </c>
    </row>
    <row r="7" spans="1:11" x14ac:dyDescent="0.3">
      <c r="A7" s="692"/>
      <c r="B7" s="694"/>
      <c r="C7" s="153" t="s">
        <v>203</v>
      </c>
      <c r="D7" s="183" t="s">
        <v>203</v>
      </c>
      <c r="E7" s="183" t="s">
        <v>203</v>
      </c>
      <c r="F7" s="183" t="s">
        <v>203</v>
      </c>
      <c r="G7" s="153" t="s">
        <v>203</v>
      </c>
      <c r="H7" s="154" t="s">
        <v>203</v>
      </c>
    </row>
    <row r="8" spans="1:11" x14ac:dyDescent="0.3">
      <c r="A8" s="155" t="s">
        <v>204</v>
      </c>
      <c r="B8" s="161" t="s">
        <v>205</v>
      </c>
      <c r="C8" s="157">
        <f>+'Calculo IP ZDF'!B28</f>
        <v>4566.9788280000002</v>
      </c>
      <c r="D8" s="185">
        <f>+'Calculo IP ZDF'!H28</f>
        <v>4907.8605217599998</v>
      </c>
      <c r="E8" s="185">
        <f>+'Calculo IP ZDF'!F28</f>
        <v>4468.5</v>
      </c>
      <c r="F8" s="553">
        <f>+'Calculo IP ZDF'!I28</f>
        <v>5463.3714019999998</v>
      </c>
      <c r="G8" s="157">
        <f>+'GAS CTE'!E9</f>
        <v>4946.4399999999996</v>
      </c>
      <c r="H8" s="158">
        <f>+BIODIESEL!G9</f>
        <v>5697.2049999999999</v>
      </c>
    </row>
    <row r="9" spans="1:11" x14ac:dyDescent="0.3">
      <c r="A9" s="155" t="s">
        <v>206</v>
      </c>
      <c r="B9" s="161" t="s">
        <v>207</v>
      </c>
      <c r="C9" s="165" t="s">
        <v>208</v>
      </c>
      <c r="D9" s="186" t="s">
        <v>208</v>
      </c>
      <c r="E9" s="186" t="s">
        <v>208</v>
      </c>
      <c r="F9" s="186" t="s">
        <v>208</v>
      </c>
      <c r="G9" s="165">
        <f>+'GAS CTE'!E10</f>
        <v>510.64599999999996</v>
      </c>
      <c r="H9" s="187">
        <f>+BIODIESEL!G10</f>
        <v>478.14</v>
      </c>
    </row>
    <row r="10" spans="1:11" x14ac:dyDescent="0.3">
      <c r="A10" s="155"/>
      <c r="B10" s="161" t="s">
        <v>135</v>
      </c>
      <c r="C10" s="165" t="s">
        <v>208</v>
      </c>
      <c r="D10" s="186" t="s">
        <v>208</v>
      </c>
      <c r="E10" s="186" t="s">
        <v>208</v>
      </c>
      <c r="F10" s="186" t="s">
        <v>208</v>
      </c>
      <c r="G10" s="165" t="s">
        <v>136</v>
      </c>
      <c r="H10" s="187" t="str">
        <f>+G10</f>
        <v>(3)</v>
      </c>
    </row>
    <row r="11" spans="1:11" x14ac:dyDescent="0.3">
      <c r="A11" s="155"/>
      <c r="B11" s="161" t="s">
        <v>137</v>
      </c>
      <c r="C11" s="188" t="s">
        <v>238</v>
      </c>
      <c r="D11" s="186" t="str">
        <f>+C11</f>
        <v>(4)</v>
      </c>
      <c r="E11" s="186" t="str">
        <f>+C11</f>
        <v>(4)</v>
      </c>
      <c r="F11" s="186" t="str">
        <f>+C11</f>
        <v>(4)</v>
      </c>
      <c r="G11" s="165" t="str">
        <f>+D11</f>
        <v>(4)</v>
      </c>
      <c r="H11" s="187" t="str">
        <f>+F11</f>
        <v>(4)</v>
      </c>
    </row>
    <row r="12" spans="1:11" x14ac:dyDescent="0.3">
      <c r="A12" s="155" t="s">
        <v>209</v>
      </c>
      <c r="B12" s="161" t="s">
        <v>341</v>
      </c>
      <c r="C12" s="188" t="s">
        <v>237</v>
      </c>
      <c r="D12" s="189" t="str">
        <f>+C12</f>
        <v>(2)</v>
      </c>
      <c r="E12" s="189" t="str">
        <f>+C12</f>
        <v>(2)</v>
      </c>
      <c r="F12" s="189" t="str">
        <f>+C12</f>
        <v>(2)</v>
      </c>
      <c r="G12" s="188" t="str">
        <f>+C12</f>
        <v>(2)</v>
      </c>
      <c r="H12" s="190" t="str">
        <f>+C12</f>
        <v>(2)</v>
      </c>
    </row>
    <row r="13" spans="1:11" x14ac:dyDescent="0.3">
      <c r="A13" s="155" t="s">
        <v>211</v>
      </c>
      <c r="B13" s="161" t="s">
        <v>212</v>
      </c>
      <c r="C13" s="157">
        <f>+RUBROS!Z13</f>
        <v>22.249601678692599</v>
      </c>
      <c r="D13" s="185">
        <f>+C13</f>
        <v>22.249601678692599</v>
      </c>
      <c r="E13" s="185">
        <f>+C13</f>
        <v>22.249601678692599</v>
      </c>
      <c r="F13" s="185">
        <f>+C13</f>
        <v>22.249601678692599</v>
      </c>
      <c r="G13" s="157">
        <f>+RUBROS!AA13</f>
        <v>22.249601678692599</v>
      </c>
      <c r="H13" s="158">
        <f>+G13</f>
        <v>22.249601678692599</v>
      </c>
    </row>
    <row r="14" spans="1:11" x14ac:dyDescent="0.3">
      <c r="A14" s="155" t="s">
        <v>215</v>
      </c>
      <c r="B14" s="161" t="s">
        <v>216</v>
      </c>
      <c r="C14" s="157">
        <f>+RUBROS!AP39</f>
        <v>12.938273064269636</v>
      </c>
      <c r="D14" s="185">
        <f>+C14</f>
        <v>12.938273064269636</v>
      </c>
      <c r="E14" s="185">
        <f>+C14</f>
        <v>12.938273064269636</v>
      </c>
      <c r="F14" s="185">
        <f>+C14</f>
        <v>12.938273064269636</v>
      </c>
      <c r="G14" s="157">
        <f>+C14</f>
        <v>12.938273064269636</v>
      </c>
      <c r="H14" s="158">
        <f>+C14</f>
        <v>12.938273064269636</v>
      </c>
    </row>
    <row r="15" spans="1:11" hidden="1" x14ac:dyDescent="0.3">
      <c r="A15" s="155"/>
      <c r="B15" s="161" t="s">
        <v>217</v>
      </c>
      <c r="C15" s="157"/>
      <c r="D15" s="185"/>
      <c r="E15" s="185"/>
      <c r="F15" s="185"/>
      <c r="G15" s="157"/>
      <c r="H15" s="158"/>
      <c r="J15" s="478" t="s">
        <v>463</v>
      </c>
    </row>
    <row r="16" spans="1:11" x14ac:dyDescent="0.3">
      <c r="A16" s="162" t="s">
        <v>218</v>
      </c>
      <c r="B16" s="192" t="s">
        <v>219</v>
      </c>
      <c r="C16" s="163">
        <f>SUM(C8:C15)</f>
        <v>4602.1667027429621</v>
      </c>
      <c r="D16" s="193">
        <f t="shared" ref="D16:H16" si="0">SUM(D8:D15)</f>
        <v>4943.0483965029616</v>
      </c>
      <c r="E16" s="193">
        <f t="shared" si="0"/>
        <v>4503.6878747429619</v>
      </c>
      <c r="F16" s="193">
        <f t="shared" si="0"/>
        <v>5498.5592767429616</v>
      </c>
      <c r="G16" s="163">
        <f t="shared" si="0"/>
        <v>5492.2738747429612</v>
      </c>
      <c r="H16" s="164">
        <f t="shared" si="0"/>
        <v>6210.5328747429621</v>
      </c>
    </row>
    <row r="17" spans="1:10" x14ac:dyDescent="0.3">
      <c r="A17" s="155" t="s">
        <v>242</v>
      </c>
      <c r="B17" s="161" t="s">
        <v>243</v>
      </c>
      <c r="C17" s="157" t="str">
        <f t="shared" ref="C17:D20" si="1">E17</f>
        <v>**</v>
      </c>
      <c r="D17" s="185" t="str">
        <f t="shared" si="1"/>
        <v>**</v>
      </c>
      <c r="E17" s="185" t="str">
        <f>+A35</f>
        <v>**</v>
      </c>
      <c r="F17" s="185" t="str">
        <f>+E17</f>
        <v>**</v>
      </c>
      <c r="G17" s="157" t="str">
        <f>+F17</f>
        <v>**</v>
      </c>
      <c r="H17" s="158" t="str">
        <f>+F17</f>
        <v>**</v>
      </c>
    </row>
    <row r="18" spans="1:10" x14ac:dyDescent="0.3">
      <c r="A18" s="155" t="s">
        <v>220</v>
      </c>
      <c r="B18" s="161" t="s">
        <v>244</v>
      </c>
      <c r="C18" s="157" t="str">
        <f t="shared" si="1"/>
        <v>***</v>
      </c>
      <c r="D18" s="185" t="str">
        <f t="shared" si="1"/>
        <v>***</v>
      </c>
      <c r="E18" s="185" t="str">
        <f>+A36</f>
        <v>***</v>
      </c>
      <c r="F18" s="185" t="str">
        <f>+E18</f>
        <v>***</v>
      </c>
      <c r="G18" s="157" t="str">
        <f t="shared" ref="G18:G20" si="2">+F18</f>
        <v>***</v>
      </c>
      <c r="H18" s="158" t="str">
        <f t="shared" ref="H18:H20" si="3">+F18</f>
        <v>***</v>
      </c>
    </row>
    <row r="19" spans="1:10" x14ac:dyDescent="0.3">
      <c r="A19" s="155" t="s">
        <v>245</v>
      </c>
      <c r="B19" s="161" t="s">
        <v>246</v>
      </c>
      <c r="C19" s="194" t="s">
        <v>254</v>
      </c>
      <c r="D19" s="191" t="str">
        <f t="shared" si="1"/>
        <v>****</v>
      </c>
      <c r="E19" s="191" t="str">
        <f>+A37</f>
        <v>****</v>
      </c>
      <c r="F19" s="191" t="str">
        <f>+E19</f>
        <v>****</v>
      </c>
      <c r="G19" s="157" t="str">
        <f t="shared" si="2"/>
        <v>****</v>
      </c>
      <c r="H19" s="158" t="str">
        <f t="shared" si="3"/>
        <v>****</v>
      </c>
    </row>
    <row r="20" spans="1:10" x14ac:dyDescent="0.3">
      <c r="A20" s="155" t="s">
        <v>224</v>
      </c>
      <c r="B20" s="161" t="s">
        <v>142</v>
      </c>
      <c r="C20" s="157" t="str">
        <f t="shared" si="1"/>
        <v>*****</v>
      </c>
      <c r="D20" s="185" t="str">
        <f t="shared" si="1"/>
        <v>*****</v>
      </c>
      <c r="E20" s="185" t="str">
        <f>+A38</f>
        <v>*****</v>
      </c>
      <c r="F20" s="185" t="str">
        <f>+E20</f>
        <v>*****</v>
      </c>
      <c r="G20" s="157" t="str">
        <f t="shared" si="2"/>
        <v>*****</v>
      </c>
      <c r="H20" s="158" t="str">
        <f t="shared" si="3"/>
        <v>*****</v>
      </c>
    </row>
    <row r="21" spans="1:10" x14ac:dyDescent="0.3">
      <c r="A21" s="162" t="s">
        <v>226</v>
      </c>
      <c r="B21" s="192" t="s">
        <v>247</v>
      </c>
      <c r="C21" s="163">
        <f t="shared" ref="C21:H21" si="4">+C16</f>
        <v>4602.1667027429621</v>
      </c>
      <c r="D21" s="193">
        <f t="shared" si="4"/>
        <v>4943.0483965029616</v>
      </c>
      <c r="E21" s="193">
        <f t="shared" si="4"/>
        <v>4503.6878747429619</v>
      </c>
      <c r="F21" s="193">
        <f t="shared" si="4"/>
        <v>5498.5592767429616</v>
      </c>
      <c r="G21" s="163">
        <f t="shared" si="4"/>
        <v>5492.2738747429612</v>
      </c>
      <c r="H21" s="164">
        <f t="shared" si="4"/>
        <v>6210.5328747429621</v>
      </c>
    </row>
    <row r="22" spans="1:10" x14ac:dyDescent="0.3">
      <c r="A22" s="155" t="s">
        <v>228</v>
      </c>
      <c r="B22" s="161" t="s">
        <v>173</v>
      </c>
      <c r="C22" s="157" t="str">
        <f t="shared" ref="C22:D24" si="5">E22</f>
        <v>***</v>
      </c>
      <c r="D22" s="185" t="str">
        <f t="shared" si="5"/>
        <v>***</v>
      </c>
      <c r="E22" s="185" t="str">
        <f>+E18</f>
        <v>***</v>
      </c>
      <c r="F22" s="185" t="str">
        <f>+E22</f>
        <v>***</v>
      </c>
      <c r="G22" s="157" t="str">
        <f>+G18</f>
        <v>***</v>
      </c>
      <c r="H22" s="158" t="str">
        <f>+H18</f>
        <v>***</v>
      </c>
    </row>
    <row r="23" spans="1:10" x14ac:dyDescent="0.3">
      <c r="A23" s="155" t="s">
        <v>229</v>
      </c>
      <c r="B23" s="156" t="s">
        <v>230</v>
      </c>
      <c r="C23" s="194" t="s">
        <v>257</v>
      </c>
      <c r="D23" s="191" t="str">
        <f>+C23</f>
        <v>******</v>
      </c>
      <c r="E23" s="191" t="s">
        <v>231</v>
      </c>
      <c r="F23" s="191" t="str">
        <f>+E23</f>
        <v>N.A</v>
      </c>
      <c r="G23" s="194" t="str">
        <f>+C23</f>
        <v>******</v>
      </c>
      <c r="H23" s="160" t="s">
        <v>231</v>
      </c>
    </row>
    <row r="24" spans="1:10" x14ac:dyDescent="0.3">
      <c r="A24" s="155" t="s">
        <v>232</v>
      </c>
      <c r="B24" s="161" t="s">
        <v>233</v>
      </c>
      <c r="C24" s="194" t="str">
        <f t="shared" si="5"/>
        <v>*******</v>
      </c>
      <c r="D24" s="191" t="str">
        <f t="shared" si="5"/>
        <v>*******</v>
      </c>
      <c r="E24" s="191" t="str">
        <f>+A40</f>
        <v>*******</v>
      </c>
      <c r="F24" s="191" t="str">
        <f>+E24</f>
        <v>*******</v>
      </c>
      <c r="G24" s="194" t="str">
        <f>+F24</f>
        <v>*******</v>
      </c>
      <c r="H24" s="160" t="str">
        <f>+F24</f>
        <v>*******</v>
      </c>
    </row>
    <row r="25" spans="1:10" ht="15.75" thickBot="1" x14ac:dyDescent="0.35">
      <c r="A25" s="166" t="s">
        <v>234</v>
      </c>
      <c r="B25" s="167" t="s">
        <v>235</v>
      </c>
      <c r="C25" s="168"/>
      <c r="D25" s="195"/>
      <c r="E25" s="195"/>
      <c r="F25" s="195"/>
      <c r="G25" s="168"/>
      <c r="H25" s="169"/>
    </row>
    <row r="26" spans="1:10" ht="15.75" thickTop="1" x14ac:dyDescent="0.3">
      <c r="A26" s="171"/>
      <c r="B26" s="172"/>
      <c r="C26" s="172"/>
      <c r="D26" s="172"/>
      <c r="E26" s="173"/>
      <c r="F26" s="173"/>
      <c r="G26" s="173"/>
      <c r="H26" s="173"/>
    </row>
    <row r="27" spans="1:10" x14ac:dyDescent="0.3">
      <c r="A27" s="174"/>
      <c r="B27" s="286" t="s">
        <v>248</v>
      </c>
      <c r="C27" s="196"/>
      <c r="D27" s="196"/>
      <c r="E27" s="196"/>
      <c r="F27" s="196"/>
      <c r="G27" s="196"/>
      <c r="H27" s="196"/>
    </row>
    <row r="28" spans="1:10" x14ac:dyDescent="0.3">
      <c r="A28" s="174" t="s">
        <v>171</v>
      </c>
      <c r="B28" s="688"/>
      <c r="C28" s="688"/>
      <c r="D28" s="688"/>
      <c r="E28" s="688"/>
      <c r="F28" s="688"/>
      <c r="G28" s="688"/>
      <c r="H28" s="688"/>
    </row>
    <row r="29" spans="1:10" x14ac:dyDescent="0.3">
      <c r="A29" s="198" t="s">
        <v>210</v>
      </c>
      <c r="B29" s="688" t="s">
        <v>441</v>
      </c>
      <c r="C29" s="688"/>
      <c r="D29" s="688"/>
      <c r="E29" s="688"/>
      <c r="F29" s="688"/>
      <c r="G29" s="688"/>
      <c r="H29" s="688"/>
    </row>
    <row r="30" spans="1:10" ht="28.5" customHeight="1" x14ac:dyDescent="0.3">
      <c r="A30" s="199" t="s">
        <v>237</v>
      </c>
      <c r="B30" s="689" t="s">
        <v>292</v>
      </c>
      <c r="C30" s="689"/>
      <c r="D30" s="689"/>
      <c r="E30" s="689"/>
      <c r="F30" s="689"/>
      <c r="G30" s="689"/>
      <c r="H30" s="689"/>
      <c r="I30" s="689"/>
      <c r="J30" s="689"/>
    </row>
    <row r="31" spans="1:10" ht="58.6" customHeight="1" x14ac:dyDescent="0.3">
      <c r="A31" s="199" t="s">
        <v>136</v>
      </c>
      <c r="B31" s="689" t="s">
        <v>357</v>
      </c>
      <c r="C31" s="689"/>
      <c r="D31" s="689"/>
      <c r="E31" s="689"/>
      <c r="F31" s="689"/>
      <c r="G31" s="689"/>
      <c r="H31" s="689"/>
    </row>
    <row r="32" spans="1:10" ht="61.55" customHeight="1" x14ac:dyDescent="0.3">
      <c r="A32" s="199" t="s">
        <v>238</v>
      </c>
      <c r="B32" s="705" t="s">
        <v>436</v>
      </c>
      <c r="C32" s="706"/>
      <c r="D32" s="706"/>
      <c r="E32" s="706"/>
      <c r="F32" s="706"/>
      <c r="G32" s="706"/>
      <c r="H32" s="706"/>
    </row>
    <row r="33" spans="1:8" x14ac:dyDescent="0.3">
      <c r="A33" s="174"/>
      <c r="B33" s="202"/>
      <c r="C33" s="202"/>
      <c r="D33" s="202"/>
      <c r="E33" s="202"/>
      <c r="F33" s="202"/>
      <c r="G33" s="202"/>
      <c r="H33" s="202"/>
    </row>
    <row r="34" spans="1:8" x14ac:dyDescent="0.3">
      <c r="A34" s="174" t="s">
        <v>103</v>
      </c>
      <c r="B34" s="688" t="s">
        <v>249</v>
      </c>
      <c r="C34" s="688"/>
      <c r="D34" s="688"/>
      <c r="E34" s="688"/>
      <c r="F34" s="688"/>
      <c r="G34" s="688"/>
      <c r="H34" s="688"/>
    </row>
    <row r="35" spans="1:8" ht="29.3" customHeight="1" x14ac:dyDescent="0.3">
      <c r="A35" s="174" t="s">
        <v>250</v>
      </c>
      <c r="B35" s="689" t="s">
        <v>251</v>
      </c>
      <c r="C35" s="689"/>
      <c r="D35" s="689"/>
      <c r="E35" s="689"/>
      <c r="F35" s="689"/>
      <c r="G35" s="689"/>
      <c r="H35" s="689"/>
    </row>
    <row r="36" spans="1:8" x14ac:dyDescent="0.3">
      <c r="A36" s="174" t="s">
        <v>252</v>
      </c>
      <c r="B36" s="688" t="s">
        <v>253</v>
      </c>
      <c r="C36" s="688"/>
      <c r="D36" s="688"/>
      <c r="E36" s="688"/>
      <c r="F36" s="688"/>
      <c r="G36" s="688"/>
      <c r="H36" s="688"/>
    </row>
    <row r="37" spans="1:8" ht="43.55" customHeight="1" x14ac:dyDescent="0.3">
      <c r="A37" s="197" t="s">
        <v>254</v>
      </c>
      <c r="B37" s="689" t="s">
        <v>255</v>
      </c>
      <c r="C37" s="689"/>
      <c r="D37" s="689"/>
      <c r="E37" s="689"/>
      <c r="F37" s="689"/>
      <c r="G37" s="689"/>
      <c r="H37" s="689"/>
    </row>
    <row r="38" spans="1:8" x14ac:dyDescent="0.3">
      <c r="A38" s="197" t="s">
        <v>256</v>
      </c>
      <c r="B38" s="688" t="s">
        <v>505</v>
      </c>
      <c r="C38" s="688"/>
      <c r="D38" s="688"/>
      <c r="E38" s="688"/>
      <c r="F38" s="688"/>
      <c r="G38" s="688"/>
      <c r="H38" s="688"/>
    </row>
    <row r="39" spans="1:8" x14ac:dyDescent="0.3">
      <c r="A39" s="174" t="s">
        <v>257</v>
      </c>
      <c r="B39" s="688" t="s">
        <v>258</v>
      </c>
      <c r="C39" s="688"/>
      <c r="D39" s="688"/>
      <c r="E39" s="688"/>
      <c r="F39" s="688"/>
      <c r="G39" s="688"/>
      <c r="H39" s="688"/>
    </row>
    <row r="40" spans="1:8" ht="29.95" customHeight="1" x14ac:dyDescent="0.3">
      <c r="A40" s="174" t="s">
        <v>259</v>
      </c>
      <c r="B40" s="689" t="s">
        <v>260</v>
      </c>
      <c r="C40" s="689"/>
      <c r="D40" s="689"/>
      <c r="E40" s="689"/>
      <c r="F40" s="689"/>
      <c r="G40" s="689"/>
      <c r="H40" s="689"/>
    </row>
    <row r="41" spans="1:8" x14ac:dyDescent="0.3">
      <c r="A41" s="150"/>
      <c r="B41" s="151"/>
      <c r="C41" s="151"/>
      <c r="D41" s="151"/>
      <c r="E41" s="151"/>
      <c r="F41" s="151"/>
      <c r="G41" s="151"/>
      <c r="H41" s="151"/>
    </row>
    <row r="42" spans="1:8" x14ac:dyDescent="0.3">
      <c r="A42" s="198" t="s">
        <v>210</v>
      </c>
      <c r="B42" s="688" t="s">
        <v>496</v>
      </c>
      <c r="C42" s="688"/>
      <c r="D42" s="688"/>
      <c r="E42" s="688"/>
      <c r="F42" s="688"/>
      <c r="G42" s="688"/>
      <c r="H42" s="688"/>
    </row>
    <row r="43" spans="1:8" hidden="1" x14ac:dyDescent="0.3">
      <c r="A43" s="199" t="s">
        <v>136</v>
      </c>
      <c r="B43" s="200" t="s">
        <v>236</v>
      </c>
      <c r="C43" s="151"/>
      <c r="D43" s="151"/>
      <c r="E43" s="151"/>
      <c r="F43" s="151"/>
      <c r="G43" s="151"/>
      <c r="H43" s="151"/>
    </row>
    <row r="44" spans="1:8" ht="39.799999999999997" hidden="1" customHeight="1" x14ac:dyDescent="0.3">
      <c r="A44" s="199" t="s">
        <v>238</v>
      </c>
      <c r="B44" s="689" t="s">
        <v>262</v>
      </c>
      <c r="C44" s="689"/>
      <c r="D44" s="689"/>
      <c r="E44" s="689"/>
      <c r="F44" s="689"/>
      <c r="G44" s="689"/>
      <c r="H44" s="689"/>
    </row>
    <row r="45" spans="1:8" x14ac:dyDescent="0.3">
      <c r="A45" s="199"/>
      <c r="B45" s="688" t="s">
        <v>171</v>
      </c>
      <c r="C45" s="688"/>
      <c r="D45" s="688"/>
      <c r="E45" s="688"/>
      <c r="F45" s="688"/>
      <c r="G45" s="688"/>
      <c r="H45" s="688"/>
    </row>
    <row r="46" spans="1:8" ht="100.5" customHeight="1" x14ac:dyDescent="0.3">
      <c r="A46" s="690" t="s">
        <v>160</v>
      </c>
      <c r="B46" s="690"/>
      <c r="C46" s="690"/>
      <c r="D46" s="690"/>
      <c r="E46" s="690"/>
      <c r="F46" s="690"/>
      <c r="G46" s="690"/>
      <c r="H46" s="690"/>
    </row>
  </sheetData>
  <sheetProtection algorithmName="SHA-512" hashValue="zvD96kcCaFtUrO+bEfVvjK/MBL8atvjf1vLpnDAypxThV1XhBNGjzsZ4vt71k9oJOxK4122DMskhDah5tKco/w==" saltValue="agvgBEF1+KfJ71/GkxUpug==" spinCount="100000" sheet="1" objects="1" scenarios="1"/>
  <mergeCells count="22">
    <mergeCell ref="I30:J30"/>
    <mergeCell ref="B34:H34"/>
    <mergeCell ref="C5:C6"/>
    <mergeCell ref="C3:F4"/>
    <mergeCell ref="G3:H4"/>
    <mergeCell ref="B32:H32"/>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 location="AMAZONAS!A46" display="Ver Nota Informativa" xr:uid="{00000000-0004-0000-0800-000000000000}"/>
  </hyperlinks>
  <pageMargins left="0.7" right="0.7" top="0.75" bottom="0.75" header="0.3" footer="0.3"/>
  <pageSetup orientation="portrait" r:id="rId1"/>
  <ignoredErrors>
    <ignoredError sqref="G10:H12 C12:E12 A29:A31 A42:A44" numberStoredAsText="1"/>
    <ignoredError sqref="C22:H23 C21:H21 D13:F13 H13 D14:H14 C17:H20 D16:H1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RUBROS</vt:lpstr>
      <vt:lpstr>Tma</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 (Ecopetrol S.A)</cp:lastModifiedBy>
  <dcterms:created xsi:type="dcterms:W3CDTF">2019-03-31T15:51:33Z</dcterms:created>
  <dcterms:modified xsi:type="dcterms:W3CDTF">2021-09-08T16:36:00Z</dcterms:modified>
</cp:coreProperties>
</file>