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Y:\GRE_PUBLICACIONES\PRECIOS VIGENTES\"/>
    </mc:Choice>
  </mc:AlternateContent>
  <xr:revisionPtr revIDLastSave="0" documentId="8_{DA0F7FA3-B1C6-4E7E-A9C7-7EA772F8D393}" xr6:coauthVersionLast="47" xr6:coauthVersionMax="47" xr10:uidLastSave="{00000000-0000-0000-0000-000000000000}"/>
  <bookViews>
    <workbookView xWindow="-120" yWindow="-120" windowWidth="29040" windowHeight="15720" tabRatio="872" firstSheet="7" activeTab="21" xr2:uid="{00000000-000D-0000-FFFF-FFFF00000000}"/>
  </bookViews>
  <sheets>
    <sheet name="Tma" sheetId="38" state="hidden" r:id="rId1"/>
    <sheet name="SP" sheetId="1" state="hidden" r:id="rId2"/>
    <sheet name="Calculo IP ZDF" sheetId="3" state="hidden" r:id="rId3"/>
    <sheet name="PROPORCIONALIDADES" sheetId="39" state="hidden" r:id="rId4"/>
    <sheet name="RUBROS" sheetId="2" state="hidden" r:id="rId5"/>
    <sheet name="IMPUESTO AL CARBONO GMR" sheetId="5" state="hidden" r:id="rId6"/>
    <sheet name="BIODIESEL" sheetId="7" state="hidden" r:id="rId7"/>
    <sheet name="AMAZONAS" sheetId="9" r:id="rId8"/>
    <sheet name="ARAUCA" sheetId="10" r:id="rId9"/>
    <sheet name="BOYACA" sheetId="11" r:id="rId10"/>
    <sheet name="CESAR" sheetId="12" r:id="rId11"/>
    <sheet name="CHOCO" sheetId="15" r:id="rId12"/>
    <sheet name="NARIÑO" sheetId="20" r:id="rId13"/>
    <sheet name="GUAINIA" sheetId="17" r:id="rId14"/>
    <sheet name="LA GUAJIRA" sheetId="19" r:id="rId15"/>
    <sheet name="NORTE SANTANDER" sheetId="21" r:id="rId16"/>
    <sheet name="PUTUMAYO" sheetId="34" r:id="rId17"/>
    <sheet name="VAUPES" sheetId="23" r:id="rId18"/>
    <sheet name="VICHADA" sheetId="28" r:id="rId19"/>
    <sheet name="BI ECP " sheetId="30" state="hidden" r:id="rId20"/>
    <sheet name="BI REFICAR" sheetId="29" state="hidden" r:id="rId21"/>
    <sheet name="ELECTROCOMBUSTIBLE" sheetId="24" r:id="rId22"/>
  </sheets>
  <externalReferences>
    <externalReference r:id="rId23"/>
    <externalReference r:id="rId24"/>
    <externalReference r:id="rId25"/>
    <externalReference r:id="rId26"/>
    <externalReference r:id="rId27"/>
  </externalReferences>
  <definedNames>
    <definedName name="\A" localSheetId="19">#REF!</definedName>
    <definedName name="\A" localSheetId="11">#REF!</definedName>
    <definedName name="\A" localSheetId="13">#REF!</definedName>
    <definedName name="\A" localSheetId="14">#REF!</definedName>
    <definedName name="\A" localSheetId="12">#REF!</definedName>
    <definedName name="\A" localSheetId="15">#REF!</definedName>
    <definedName name="\A" localSheetId="16">#REF!</definedName>
    <definedName name="\A" localSheetId="17">#REF!</definedName>
    <definedName name="\A" localSheetId="18">#REF!</definedName>
    <definedName name="\A">#REF!</definedName>
    <definedName name="\L" localSheetId="19">#REF!</definedName>
    <definedName name="\L" localSheetId="11">#REF!</definedName>
    <definedName name="\L" localSheetId="13">#REF!</definedName>
    <definedName name="\L" localSheetId="14">#REF!</definedName>
    <definedName name="\L" localSheetId="12">#REF!</definedName>
    <definedName name="\L" localSheetId="15">#REF!</definedName>
    <definedName name="\L" localSheetId="16">#REF!</definedName>
    <definedName name="\L" localSheetId="17">#REF!</definedName>
    <definedName name="\L" localSheetId="18">#REF!</definedName>
    <definedName name="\L">#REF!</definedName>
    <definedName name="\P" localSheetId="19">#REF!</definedName>
    <definedName name="\P" localSheetId="11">#REF!</definedName>
    <definedName name="\P" localSheetId="13">#REF!</definedName>
    <definedName name="\P" localSheetId="14">#REF!</definedName>
    <definedName name="\P" localSheetId="12">#REF!</definedName>
    <definedName name="\P" localSheetId="15">#REF!</definedName>
    <definedName name="\P" localSheetId="16">#REF!</definedName>
    <definedName name="\P" localSheetId="17">#REF!</definedName>
    <definedName name="\P" localSheetId="18">#REF!</definedName>
    <definedName name="\P">#REF!</definedName>
    <definedName name="_xlnm._FilterDatabase" localSheetId="19" hidden="1">'BI ECP '!$A$1:$V$41</definedName>
    <definedName name="_xlnm._FilterDatabase" localSheetId="20" hidden="1">'BI REFICAR'!$A$1:$V$16</definedName>
    <definedName name="_xlnm._FilterDatabase" localSheetId="3" hidden="1">PROPORCIONALIDADES!$A$1:$G$174</definedName>
    <definedName name="a" localSheetId="19">[1]TARIF2002!#REF!</definedName>
    <definedName name="a" localSheetId="11">[1]TARIF2002!#REF!</definedName>
    <definedName name="a" localSheetId="13">[1]TARIF2002!#REF!</definedName>
    <definedName name="a" localSheetId="14">[1]TARIF2002!#REF!</definedName>
    <definedName name="a" localSheetId="12">[1]TARIF2002!#REF!</definedName>
    <definedName name="a" localSheetId="15">[1]TARIF2002!#REF!</definedName>
    <definedName name="a" localSheetId="16">[1]TARIF2002!#REF!</definedName>
    <definedName name="a" localSheetId="17">[1]TARIF2002!#REF!</definedName>
    <definedName name="a" localSheetId="18">[1]TARIF2002!#REF!</definedName>
    <definedName name="a">[1]TARIF2002!#REF!</definedName>
    <definedName name="A_IMPRESIÓN_IM" localSheetId="19">#REF!</definedName>
    <definedName name="A_IMPRESIÓN_IM" localSheetId="11">#REF!</definedName>
    <definedName name="A_IMPRESIÓN_IM" localSheetId="13">#REF!</definedName>
    <definedName name="A_IMPRESIÓN_IM" localSheetId="14">#REF!</definedName>
    <definedName name="A_IMPRESIÓN_IM" localSheetId="12">#REF!</definedName>
    <definedName name="A_IMPRESIÓN_IM" localSheetId="15">#REF!</definedName>
    <definedName name="A_IMPRESIÓN_IM" localSheetId="16">#REF!</definedName>
    <definedName name="A_IMPRESIÓN_IM" localSheetId="17">#REF!</definedName>
    <definedName name="A_IMPRESIÓN_IM" localSheetId="18">#REF!</definedName>
    <definedName name="A_IMPRESIÓN_IM">#REF!</definedName>
    <definedName name="aa" localSheetId="19">#REF!</definedName>
    <definedName name="aa" localSheetId="16">#REF!</definedName>
    <definedName name="aa" localSheetId="17">#REF!</definedName>
    <definedName name="aa" localSheetId="18">#REF!</definedName>
    <definedName name="aa">#REF!</definedName>
    <definedName name="ADI" localSheetId="19">#REF!</definedName>
    <definedName name="ADI" localSheetId="11">#REF!</definedName>
    <definedName name="ADI" localSheetId="13">#REF!</definedName>
    <definedName name="ADI" localSheetId="14">#REF!</definedName>
    <definedName name="ADI" localSheetId="12">#REF!</definedName>
    <definedName name="ADI" localSheetId="15">#REF!</definedName>
    <definedName name="ADI" localSheetId="16">#REF!</definedName>
    <definedName name="ADI" localSheetId="17">#REF!</definedName>
    <definedName name="ADI" localSheetId="18">#REF!</definedName>
    <definedName name="ADI">#REF!</definedName>
    <definedName name="B102T5">RUBROS!$B$102</definedName>
    <definedName name="base" localSheetId="19">#REF!</definedName>
    <definedName name="base" localSheetId="11">#REF!</definedName>
    <definedName name="base" localSheetId="13">#REF!</definedName>
    <definedName name="base" localSheetId="14">#REF!</definedName>
    <definedName name="base" localSheetId="12">#REF!</definedName>
    <definedName name="base" localSheetId="15">#REF!</definedName>
    <definedName name="base" localSheetId="16">#REF!</definedName>
    <definedName name="base" localSheetId="17">#REF!</definedName>
    <definedName name="base" localSheetId="18">#REF!</definedName>
    <definedName name="base">#REF!</definedName>
    <definedName name="base_VaR" localSheetId="19">#REF!</definedName>
    <definedName name="base_VaR" localSheetId="11">#REF!</definedName>
    <definedName name="base_VaR" localSheetId="13">#REF!</definedName>
    <definedName name="base_VaR" localSheetId="14">#REF!</definedName>
    <definedName name="base_VaR" localSheetId="12">#REF!</definedName>
    <definedName name="base_VaR" localSheetId="15">#REF!</definedName>
    <definedName name="base_VaR" localSheetId="16">#REF!</definedName>
    <definedName name="base_VaR" localSheetId="17">#REF!</definedName>
    <definedName name="base_VaR" localSheetId="18">#REF!</definedName>
    <definedName name="base_VaR">#REF!</definedName>
    <definedName name="cc" localSheetId="19">#REF!</definedName>
    <definedName name="cc" localSheetId="16">#REF!</definedName>
    <definedName name="cc" localSheetId="17">#REF!</definedName>
    <definedName name="cc" localSheetId="18">#REF!</definedName>
    <definedName name="cc">#REF!</definedName>
    <definedName name="CONTADO" localSheetId="19">#REF!</definedName>
    <definedName name="CONTADO" localSheetId="11">#REF!</definedName>
    <definedName name="CONTADO" localSheetId="13">#REF!</definedName>
    <definedName name="CONTADO" localSheetId="14">#REF!</definedName>
    <definedName name="CONTADO" localSheetId="12">#REF!</definedName>
    <definedName name="CONTADO" localSheetId="15">#REF!</definedName>
    <definedName name="CONTADO" localSheetId="16">#REF!</definedName>
    <definedName name="CONTADO" localSheetId="17">#REF!</definedName>
    <definedName name="CONTADO" localSheetId="18">#REF!</definedName>
    <definedName name="CONTADO">#REF!</definedName>
    <definedName name="CREDITO" localSheetId="19">#REF!</definedName>
    <definedName name="CREDITO" localSheetId="11">#REF!</definedName>
    <definedName name="CREDITO" localSheetId="13">#REF!</definedName>
    <definedName name="CREDITO" localSheetId="14">#REF!</definedName>
    <definedName name="CREDITO" localSheetId="12">#REF!</definedName>
    <definedName name="CREDITO" localSheetId="15">#REF!</definedName>
    <definedName name="CREDITO" localSheetId="16">#REF!</definedName>
    <definedName name="CREDITO" localSheetId="17">#REF!</definedName>
    <definedName name="CREDITO" localSheetId="18">#REF!</definedName>
    <definedName name="CREDITO">#REF!</definedName>
    <definedName name="DAT" localSheetId="19">#REF!</definedName>
    <definedName name="DAT" localSheetId="11">#REF!</definedName>
    <definedName name="DAT" localSheetId="13">#REF!</definedName>
    <definedName name="DAT" localSheetId="14">#REF!</definedName>
    <definedName name="DAT" localSheetId="12">#REF!</definedName>
    <definedName name="DAT" localSheetId="15">#REF!</definedName>
    <definedName name="DAT" localSheetId="16">#REF!</definedName>
    <definedName name="DAT" localSheetId="17">#REF!</definedName>
    <definedName name="DAT" localSheetId="18">#REF!</definedName>
    <definedName name="DAT">#REF!</definedName>
    <definedName name="dd" localSheetId="19">#REF!</definedName>
    <definedName name="dd" localSheetId="16">#REF!</definedName>
    <definedName name="dd" localSheetId="17">#REF!</definedName>
    <definedName name="dd" localSheetId="18">#REF!</definedName>
    <definedName name="dd">#REF!</definedName>
    <definedName name="E_03" localSheetId="19">#REF!</definedName>
    <definedName name="E_03" localSheetId="11">#REF!</definedName>
    <definedName name="E_03" localSheetId="13">#REF!</definedName>
    <definedName name="E_03" localSheetId="14">#REF!</definedName>
    <definedName name="E_03" localSheetId="12">#REF!</definedName>
    <definedName name="E_03" localSheetId="15">#REF!</definedName>
    <definedName name="E_03" localSheetId="16">#REF!</definedName>
    <definedName name="E_03" localSheetId="17">#REF!</definedName>
    <definedName name="E_03" localSheetId="18">#REF!</definedName>
    <definedName name="E_03">#REF!</definedName>
    <definedName name="ee" localSheetId="19">#REF!</definedName>
    <definedName name="ee" localSheetId="16">#REF!</definedName>
    <definedName name="ee" localSheetId="17">#REF!</definedName>
    <definedName name="ee" localSheetId="18">#REF!</definedName>
    <definedName name="ee">#REF!</definedName>
    <definedName name="ERR" localSheetId="19">[2]TARIF2002!#REF!</definedName>
    <definedName name="ERR" localSheetId="11">[2]TARIF2002!#REF!</definedName>
    <definedName name="ERR" localSheetId="13">[2]TARIF2002!#REF!</definedName>
    <definedName name="ERR" localSheetId="14">[2]TARIF2002!#REF!</definedName>
    <definedName name="ERR" localSheetId="12">[2]TARIF2002!#REF!</definedName>
    <definedName name="ERR" localSheetId="15">[2]TARIF2002!#REF!</definedName>
    <definedName name="ERR" localSheetId="16">[2]TARIF2002!#REF!</definedName>
    <definedName name="ERR" localSheetId="17">[2]TARIF2002!#REF!</definedName>
    <definedName name="ERR" localSheetId="18">[2]TARIF2002!#REF!</definedName>
    <definedName name="ERR">[2]TARIF2002!#REF!</definedName>
    <definedName name="ERROR" localSheetId="19">#REF!</definedName>
    <definedName name="ERROR" localSheetId="11">#REF!</definedName>
    <definedName name="ERROR" localSheetId="13">#REF!</definedName>
    <definedName name="ERROR" localSheetId="14">#REF!</definedName>
    <definedName name="ERROR" localSheetId="12">#REF!</definedName>
    <definedName name="ERROR" localSheetId="15">#REF!</definedName>
    <definedName name="ERROR" localSheetId="16">#REF!</definedName>
    <definedName name="ERROR" localSheetId="17">#REF!</definedName>
    <definedName name="ERROR" localSheetId="18">#REF!</definedName>
    <definedName name="ERROR">#REF!</definedName>
    <definedName name="ERROR1" localSheetId="19">#REF!</definedName>
    <definedName name="ERROR1" localSheetId="11">#REF!</definedName>
    <definedName name="ERROR1" localSheetId="13">#REF!</definedName>
    <definedName name="ERROR1" localSheetId="14">#REF!</definedName>
    <definedName name="ERROR1" localSheetId="12">#REF!</definedName>
    <definedName name="ERROR1" localSheetId="15">#REF!</definedName>
    <definedName name="ERROR1" localSheetId="16">#REF!</definedName>
    <definedName name="ERROR1" localSheetId="17">#REF!</definedName>
    <definedName name="ERROR1" localSheetId="18">#REF!</definedName>
    <definedName name="ERROR1">#REF!</definedName>
    <definedName name="ERROR2" localSheetId="19">#REF!</definedName>
    <definedName name="ERROR2" localSheetId="11">#REF!</definedName>
    <definedName name="ERROR2" localSheetId="13">#REF!</definedName>
    <definedName name="ERROR2" localSheetId="14">#REF!</definedName>
    <definedName name="ERROR2" localSheetId="12">#REF!</definedName>
    <definedName name="ERROR2" localSheetId="15">#REF!</definedName>
    <definedName name="ERROR2" localSheetId="16">#REF!</definedName>
    <definedName name="ERROR2" localSheetId="17">#REF!</definedName>
    <definedName name="ERROR2" localSheetId="18">#REF!</definedName>
    <definedName name="ERROR2">#REF!</definedName>
    <definedName name="ERROR3" localSheetId="19">[2]TARIF2002!#REF!</definedName>
    <definedName name="ERROR3" localSheetId="11">[2]TARIF2002!#REF!</definedName>
    <definedName name="ERROR3" localSheetId="13">[2]TARIF2002!#REF!</definedName>
    <definedName name="ERROR3" localSheetId="14">[2]TARIF2002!#REF!</definedName>
    <definedName name="ERROR3" localSheetId="12">[2]TARIF2002!#REF!</definedName>
    <definedName name="ERROR3" localSheetId="15">[2]TARIF2002!#REF!</definedName>
    <definedName name="ERROR3" localSheetId="16">[2]TARIF2002!#REF!</definedName>
    <definedName name="ERROR3" localSheetId="17">[2]TARIF2002!#REF!</definedName>
    <definedName name="ERROR3" localSheetId="18">[2]TARIF2002!#REF!</definedName>
    <definedName name="ERROR3">[2]TARIF2002!#REF!</definedName>
    <definedName name="ERROR5" localSheetId="19">[2]TARIF2002!#REF!</definedName>
    <definedName name="ERROR5" localSheetId="11">[2]TARIF2002!#REF!</definedName>
    <definedName name="ERROR5" localSheetId="13">[2]TARIF2002!#REF!</definedName>
    <definedName name="ERROR5" localSheetId="14">[2]TARIF2002!#REF!</definedName>
    <definedName name="ERROR5" localSheetId="12">[2]TARIF2002!#REF!</definedName>
    <definedName name="ERROR5" localSheetId="15">[2]TARIF2002!#REF!</definedName>
    <definedName name="ERROR5" localSheetId="16">[2]TARIF2002!#REF!</definedName>
    <definedName name="ERROR5" localSheetId="17">[2]TARIF2002!#REF!</definedName>
    <definedName name="ERROR5" localSheetId="18">[2]TARIF2002!#REF!</definedName>
    <definedName name="ERROR5">[2]TARIF2002!#REF!</definedName>
    <definedName name="fdffda" localSheetId="19">#REF!</definedName>
    <definedName name="fdffda" localSheetId="16">#REF!</definedName>
    <definedName name="fdffda" localSheetId="17">#REF!</definedName>
    <definedName name="fdffda" localSheetId="18">#REF!</definedName>
    <definedName name="fdffda">#REF!</definedName>
    <definedName name="ff" localSheetId="19">#REF!</definedName>
    <definedName name="ff" localSheetId="16">#REF!</definedName>
    <definedName name="ff" localSheetId="17">#REF!</definedName>
    <definedName name="ff" localSheetId="18">#REF!</definedName>
    <definedName name="ff">#REF!</definedName>
    <definedName name="fff" localSheetId="19">#REF!</definedName>
    <definedName name="fff" localSheetId="16">#REF!</definedName>
    <definedName name="fff" localSheetId="17">#REF!</definedName>
    <definedName name="fff" localSheetId="18">#REF!</definedName>
    <definedName name="fff">#REF!</definedName>
    <definedName name="ffg" localSheetId="19">#REF!</definedName>
    <definedName name="ffg" localSheetId="16">#REF!</definedName>
    <definedName name="ffg" localSheetId="17">#REF!</definedName>
    <definedName name="ffg" localSheetId="18">#REF!</definedName>
    <definedName name="ffg">#REF!</definedName>
    <definedName name="gggg" localSheetId="19">#REF!</definedName>
    <definedName name="gggg" localSheetId="16">#REF!</definedName>
    <definedName name="gggg" localSheetId="17">#REF!</definedName>
    <definedName name="gggg" localSheetId="18">#REF!</definedName>
    <definedName name="gggg">#REF!</definedName>
    <definedName name="ggggg" localSheetId="19">[2]TARIF2002!#REF!</definedName>
    <definedName name="ggggg" localSheetId="16">[2]TARIF2002!#REF!</definedName>
    <definedName name="ggggg" localSheetId="17">[2]TARIF2002!#REF!</definedName>
    <definedName name="ggggg" localSheetId="18">[2]TARIF2002!#REF!</definedName>
    <definedName name="ggggg">[2]TARIF2002!#REF!</definedName>
    <definedName name="GHGDHDH" localSheetId="19">[2]TARIF2002!#REF!</definedName>
    <definedName name="GHGDHDH" localSheetId="16">[2]TARIF2002!#REF!</definedName>
    <definedName name="GHGDHDH" localSheetId="18">[2]TARIF2002!#REF!</definedName>
    <definedName name="GHGDHDH">[2]TARIF2002!#REF!</definedName>
    <definedName name="GHGHDH" localSheetId="19">[2]TARIF2002!#REF!</definedName>
    <definedName name="GHGHDH" localSheetId="16">[2]TARIF2002!#REF!</definedName>
    <definedName name="GHGHDH" localSheetId="18">[2]TARIF2002!#REF!</definedName>
    <definedName name="GHGHDH">[2]TARIF2002!#REF!</definedName>
    <definedName name="GHGHH" localSheetId="19">[2]TARIF2002!#REF!</definedName>
    <definedName name="GHGHH" localSheetId="16">[2]TARIF2002!#REF!</definedName>
    <definedName name="GHGHH" localSheetId="18">[2]TARIF2002!#REF!</definedName>
    <definedName name="GHGHH">[2]TARIF2002!#REF!</definedName>
    <definedName name="GHHDHDFH" localSheetId="19">#REF!</definedName>
    <definedName name="GHHDHDFH" localSheetId="16">#REF!</definedName>
    <definedName name="GHHDHDFH" localSheetId="18">#REF!</definedName>
    <definedName name="GHHDHDFH">#REF!</definedName>
    <definedName name="HDGHH" localSheetId="19">[2]TARIF2002!#REF!</definedName>
    <definedName name="HDGHH" localSheetId="16">[2]TARIF2002!#REF!</definedName>
    <definedName name="HDGHH" localSheetId="18">[2]TARIF2002!#REF!</definedName>
    <definedName name="HDGHH">[2]TARIF2002!#REF!</definedName>
    <definedName name="HFDGHH" localSheetId="19">[2]TARIF2002!#REF!</definedName>
    <definedName name="HFDGHH" localSheetId="16">[2]TARIF2002!#REF!</definedName>
    <definedName name="HFDGHH" localSheetId="18">[2]TARIF2002!#REF!</definedName>
    <definedName name="HFDGHH">[2]TARIF2002!#REF!</definedName>
    <definedName name="HGFHFH" localSheetId="19">#REF!</definedName>
    <definedName name="HGFHFH" localSheetId="16">#REF!</definedName>
    <definedName name="HGFHFH" localSheetId="18">#REF!</definedName>
    <definedName name="HGFHFH">#REF!</definedName>
    <definedName name="HGFHGFHGFH" localSheetId="19">#REF!</definedName>
    <definedName name="HGFHGFHGFH" localSheetId="16">#REF!</definedName>
    <definedName name="HGFHGFHGFH" localSheetId="18">#REF!</definedName>
    <definedName name="HGFHGFHGFH">#REF!</definedName>
    <definedName name="HGFHGH" localSheetId="19">[2]TARIF2002!#REF!</definedName>
    <definedName name="HGFHGH" localSheetId="16">[2]TARIF2002!#REF!</definedName>
    <definedName name="HGFHGH" localSheetId="18">[2]TARIF2002!#REF!</definedName>
    <definedName name="HGFHGH">[2]TARIF2002!#REF!</definedName>
    <definedName name="HGFHH" localSheetId="19">#REF!</definedName>
    <definedName name="HGFHH" localSheetId="16">#REF!</definedName>
    <definedName name="HGFHH" localSheetId="18">#REF!</definedName>
    <definedName name="HGFHH">#REF!</definedName>
    <definedName name="HGFHSHFH" localSheetId="19">#REF!</definedName>
    <definedName name="HGFHSHFH" localSheetId="16">#REF!</definedName>
    <definedName name="HGFHSHFH" localSheetId="18">#REF!</definedName>
    <definedName name="HGFHSHFH">#REF!</definedName>
    <definedName name="HGHDGHDH" localSheetId="19">[2]TARIF2002!#REF!</definedName>
    <definedName name="HGHDGHDH" localSheetId="16">[2]TARIF2002!#REF!</definedName>
    <definedName name="HGHDGHDH" localSheetId="18">[2]TARIF2002!#REF!</definedName>
    <definedName name="HGHDGHDH">[2]TARIF2002!#REF!</definedName>
    <definedName name="HGHGDFH" localSheetId="19">#REF!</definedName>
    <definedName name="HGHGDFH" localSheetId="16">#REF!</definedName>
    <definedName name="HGHGDFH" localSheetId="18">#REF!</definedName>
    <definedName name="HGHGDFH">#REF!</definedName>
    <definedName name="HGHGH" localSheetId="19">[2]TARIF2002!#REF!</definedName>
    <definedName name="HGHGH" localSheetId="16">[2]TARIF2002!#REF!</definedName>
    <definedName name="HGHGH" localSheetId="18">[2]TARIF2002!#REF!</definedName>
    <definedName name="HGHGH">[2]TARIF2002!#REF!</definedName>
    <definedName name="HGHGHH" localSheetId="19">[3]TARIF2002!#REF!</definedName>
    <definedName name="HGHGHH" localSheetId="16">[3]TARIF2002!#REF!</definedName>
    <definedName name="HGHGHH" localSheetId="18">[3]TARIF2002!#REF!</definedName>
    <definedName name="HGHGHH">[3]TARIF2002!#REF!</definedName>
    <definedName name="hhhh" localSheetId="19">[2]TARIF2002!#REF!</definedName>
    <definedName name="hhhh" localSheetId="16">[2]TARIF2002!#REF!</definedName>
    <definedName name="hhhh" localSheetId="17">[2]TARIF2002!#REF!</definedName>
    <definedName name="hhhh" localSheetId="18">[2]TARIF2002!#REF!</definedName>
    <definedName name="hhhh">[2]TARIF2002!#REF!</definedName>
    <definedName name="hkkkk" localSheetId="19">[2]TARIF2002!#REF!</definedName>
    <definedName name="hkkkk" localSheetId="16">[2]TARIF2002!#REF!</definedName>
    <definedName name="hkkkk" localSheetId="17">[2]TARIF2002!#REF!</definedName>
    <definedName name="hkkkk" localSheetId="18">[2]TARIF2002!#REF!</definedName>
    <definedName name="hkkkk">[2]TARIF2002!#REF!</definedName>
    <definedName name="j" localSheetId="19">#REF!</definedName>
    <definedName name="j" localSheetId="11">#REF!</definedName>
    <definedName name="j" localSheetId="13">#REF!</definedName>
    <definedName name="j" localSheetId="14">#REF!</definedName>
    <definedName name="j" localSheetId="12">#REF!</definedName>
    <definedName name="j" localSheetId="15">#REF!</definedName>
    <definedName name="j" localSheetId="16">#REF!</definedName>
    <definedName name="j" localSheetId="17">#REF!</definedName>
    <definedName name="j" localSheetId="18">#REF!</definedName>
    <definedName name="j">#REF!</definedName>
    <definedName name="JA" localSheetId="19">#REF!</definedName>
    <definedName name="JA" localSheetId="11">#REF!</definedName>
    <definedName name="JA" localSheetId="13">#REF!</definedName>
    <definedName name="JA" localSheetId="14">#REF!</definedName>
    <definedName name="JA" localSheetId="12">#REF!</definedName>
    <definedName name="JA" localSheetId="15">#REF!</definedName>
    <definedName name="JA" localSheetId="16">#REF!</definedName>
    <definedName name="JA" localSheetId="17">#REF!</definedName>
    <definedName name="JA" localSheetId="18">#REF!</definedName>
    <definedName name="JA">#REF!</definedName>
    <definedName name="jjj" localSheetId="19">[3]TARIF2002!#REF!</definedName>
    <definedName name="jjj" localSheetId="16">[3]TARIF2002!#REF!</definedName>
    <definedName name="jjj" localSheetId="17">[3]TARIF2002!#REF!</definedName>
    <definedName name="jjj" localSheetId="18">[3]TARIF2002!#REF!</definedName>
    <definedName name="jjj">[3]TARIF2002!#REF!</definedName>
    <definedName name="kkhkhk" localSheetId="19">[2]TARIF2002!#REF!</definedName>
    <definedName name="kkhkhk" localSheetId="16">[2]TARIF2002!#REF!</definedName>
    <definedName name="kkhkhk" localSheetId="17">[2]TARIF2002!#REF!</definedName>
    <definedName name="kkhkhk" localSheetId="18">[2]TARIF2002!#REF!</definedName>
    <definedName name="kkhkhk">[2]TARIF2002!#REF!</definedName>
    <definedName name="MATRIZRICS">'[4]RICS NUEVA HOJA DIARIA'!$A$1:$AB$42</definedName>
    <definedName name="MES" localSheetId="19">#REF!</definedName>
    <definedName name="MES" localSheetId="11">#REF!</definedName>
    <definedName name="MES" localSheetId="13">#REF!</definedName>
    <definedName name="MES" localSheetId="14">#REF!</definedName>
    <definedName name="MES" localSheetId="12">#REF!</definedName>
    <definedName name="MES" localSheetId="15">#REF!</definedName>
    <definedName name="MES" localSheetId="16">#REF!</definedName>
    <definedName name="MES" localSheetId="17">#REF!</definedName>
    <definedName name="MES" localSheetId="18">#REF!</definedName>
    <definedName name="MES">#REF!</definedName>
    <definedName name="NTE" localSheetId="19">#REF!</definedName>
    <definedName name="NTE" localSheetId="11">#REF!</definedName>
    <definedName name="NTE" localSheetId="13">#REF!</definedName>
    <definedName name="NTE" localSheetId="14">#REF!</definedName>
    <definedName name="NTE" localSheetId="12">#REF!</definedName>
    <definedName name="NTE" localSheetId="15">#REF!</definedName>
    <definedName name="NTE" localSheetId="16">#REF!</definedName>
    <definedName name="NTE" localSheetId="17">#REF!</definedName>
    <definedName name="NTE" localSheetId="18">#REF!</definedName>
    <definedName name="NTE">#REF!</definedName>
    <definedName name="Q" localSheetId="19">[3]TARIF2002!#REF!</definedName>
    <definedName name="Q" localSheetId="11">[3]TARIF2002!#REF!</definedName>
    <definedName name="Q" localSheetId="13">[3]TARIF2002!#REF!</definedName>
    <definedName name="Q" localSheetId="14">[3]TARIF2002!#REF!</definedName>
    <definedName name="Q" localSheetId="12">[3]TARIF2002!#REF!</definedName>
    <definedName name="Q" localSheetId="15">[3]TARIF2002!#REF!</definedName>
    <definedName name="Q" localSheetId="16">[3]TARIF2002!#REF!</definedName>
    <definedName name="Q" localSheetId="17">[3]TARIF2002!#REF!</definedName>
    <definedName name="Q" localSheetId="18">[3]TARIF2002!#REF!</definedName>
    <definedName name="Q">[3]TARIF2002!#REF!</definedName>
    <definedName name="QE" localSheetId="19">[2]TARIF2002!#REF!</definedName>
    <definedName name="QE" localSheetId="11">[2]TARIF2002!#REF!</definedName>
    <definedName name="QE" localSheetId="13">[2]TARIF2002!#REF!</definedName>
    <definedName name="QE" localSheetId="14">[2]TARIF2002!#REF!</definedName>
    <definedName name="QE" localSheetId="12">[2]TARIF2002!#REF!</definedName>
    <definedName name="QE" localSheetId="15">[2]TARIF2002!#REF!</definedName>
    <definedName name="QE" localSheetId="16">[2]TARIF2002!#REF!</definedName>
    <definedName name="QE" localSheetId="17">[2]TARIF2002!#REF!</definedName>
    <definedName name="QE" localSheetId="18">[2]TARIF2002!#REF!</definedName>
    <definedName name="QE">[2]TARIF2002!#REF!</definedName>
    <definedName name="QE_TE" localSheetId="19">[2]TARIF2002!#REF!</definedName>
    <definedName name="QE_TE" localSheetId="11">[2]TARIF2002!#REF!</definedName>
    <definedName name="QE_TE" localSheetId="13">[2]TARIF2002!#REF!</definedName>
    <definedName name="QE_TE" localSheetId="14">[2]TARIF2002!#REF!</definedName>
    <definedName name="QE_TE" localSheetId="12">[2]TARIF2002!#REF!</definedName>
    <definedName name="QE_TE" localSheetId="15">[2]TARIF2002!#REF!</definedName>
    <definedName name="QE_TE" localSheetId="16">[2]TARIF2002!#REF!</definedName>
    <definedName name="QE_TE" localSheetId="17">[2]TARIF2002!#REF!</definedName>
    <definedName name="QE_TE" localSheetId="18">[2]TARIF2002!#REF!</definedName>
    <definedName name="QE_TE">[2]TARIF2002!#REF!</definedName>
    <definedName name="QI" localSheetId="19">[2]TARIF2002!#REF!</definedName>
    <definedName name="QI" localSheetId="11">[2]TARIF2002!#REF!</definedName>
    <definedName name="QI" localSheetId="13">[2]TARIF2002!#REF!</definedName>
    <definedName name="QI" localSheetId="14">[2]TARIF2002!#REF!</definedName>
    <definedName name="QI" localSheetId="12">[2]TARIF2002!#REF!</definedName>
    <definedName name="QI" localSheetId="15">[2]TARIF2002!#REF!</definedName>
    <definedName name="QI" localSheetId="16">[2]TARIF2002!#REF!</definedName>
    <definedName name="QI" localSheetId="17">[2]TARIF2002!#REF!</definedName>
    <definedName name="QI" localSheetId="18">[2]TARIF2002!#REF!</definedName>
    <definedName name="QI">[2]TARIF2002!#REF!</definedName>
    <definedName name="QI_TI" localSheetId="19">[2]TARIF2002!#REF!</definedName>
    <definedName name="QI_TI" localSheetId="11">[2]TARIF2002!#REF!</definedName>
    <definedName name="QI_TI" localSheetId="13">[2]TARIF2002!#REF!</definedName>
    <definedName name="QI_TI" localSheetId="14">[2]TARIF2002!#REF!</definedName>
    <definedName name="QI_TI" localSheetId="12">[2]TARIF2002!#REF!</definedName>
    <definedName name="QI_TI" localSheetId="15">[2]TARIF2002!#REF!</definedName>
    <definedName name="QI_TI" localSheetId="16">[2]TARIF2002!#REF!</definedName>
    <definedName name="QI_TI" localSheetId="17">[2]TARIF2002!#REF!</definedName>
    <definedName name="QI_TI" localSheetId="18">[2]TARIF2002!#REF!</definedName>
    <definedName name="QI_TI">[2]TARIF2002!#REF!</definedName>
    <definedName name="QN" localSheetId="19">[2]TARIF2002!#REF!</definedName>
    <definedName name="QN" localSheetId="11">[2]TARIF2002!#REF!</definedName>
    <definedName name="QN" localSheetId="13">[2]TARIF2002!#REF!</definedName>
    <definedName name="QN" localSheetId="14">[2]TARIF2002!#REF!</definedName>
    <definedName name="QN" localSheetId="12">[2]TARIF2002!#REF!</definedName>
    <definedName name="QN" localSheetId="15">[2]TARIF2002!#REF!</definedName>
    <definedName name="QN" localSheetId="16">[2]TARIF2002!#REF!</definedName>
    <definedName name="QN" localSheetId="17">[2]TARIF2002!#REF!</definedName>
    <definedName name="QN" localSheetId="18">[2]TARIF2002!#REF!</definedName>
    <definedName name="QN">[2]TARIF2002!#REF!</definedName>
    <definedName name="QN_QI" localSheetId="19">[2]TARIF2002!#REF!</definedName>
    <definedName name="QN_QI" localSheetId="11">[2]TARIF2002!#REF!</definedName>
    <definedName name="QN_QI" localSheetId="13">[2]TARIF2002!#REF!</definedName>
    <definedName name="QN_QI" localSheetId="14">[2]TARIF2002!#REF!</definedName>
    <definedName name="QN_QI" localSheetId="12">[2]TARIF2002!#REF!</definedName>
    <definedName name="QN_QI" localSheetId="15">[2]TARIF2002!#REF!</definedName>
    <definedName name="QN_QI" localSheetId="16">[2]TARIF2002!#REF!</definedName>
    <definedName name="QN_QI" localSheetId="17">[2]TARIF2002!#REF!</definedName>
    <definedName name="QN_QI" localSheetId="18">[2]TARIF2002!#REF!</definedName>
    <definedName name="QN_QI">[2]TARIF2002!#REF!</definedName>
    <definedName name="QNS" localSheetId="19">[3]TARIF2002!#REF!</definedName>
    <definedName name="QNS" localSheetId="11">[3]TARIF2002!#REF!</definedName>
    <definedName name="QNS" localSheetId="13">[3]TARIF2002!#REF!</definedName>
    <definedName name="QNS" localSheetId="14">[3]TARIF2002!#REF!</definedName>
    <definedName name="QNS" localSheetId="12">[3]TARIF2002!#REF!</definedName>
    <definedName name="QNS" localSheetId="15">[3]TARIF2002!#REF!</definedName>
    <definedName name="QNS" localSheetId="16">[3]TARIF2002!#REF!</definedName>
    <definedName name="QNS" localSheetId="17">[3]TARIF2002!#REF!</definedName>
    <definedName name="QNS" localSheetId="18">[3]TARIF2002!#REF!</definedName>
    <definedName name="QNS">[3]TARIF2002!#REF!</definedName>
    <definedName name="REG" localSheetId="19">#REF!</definedName>
    <definedName name="REG" localSheetId="11">#REF!</definedName>
    <definedName name="REG" localSheetId="13">#REF!</definedName>
    <definedName name="REG" localSheetId="14">#REF!</definedName>
    <definedName name="REG" localSheetId="12">#REF!</definedName>
    <definedName name="REG" localSheetId="15">#REF!</definedName>
    <definedName name="REG" localSheetId="16">#REF!</definedName>
    <definedName name="REG" localSheetId="17">#REF!</definedName>
    <definedName name="REG" localSheetId="18">#REF!</definedName>
    <definedName name="REG">#REF!</definedName>
    <definedName name="REGULAR" localSheetId="19">#REF!</definedName>
    <definedName name="REGULAR" localSheetId="11">#REF!</definedName>
    <definedName name="REGULAR" localSheetId="13">#REF!</definedName>
    <definedName name="REGULAR" localSheetId="14">#REF!</definedName>
    <definedName name="REGULAR" localSheetId="12">#REF!</definedName>
    <definedName name="REGULAR" localSheetId="15">#REF!</definedName>
    <definedName name="REGULAR" localSheetId="16">#REF!</definedName>
    <definedName name="REGULAR" localSheetId="17">#REF!</definedName>
    <definedName name="REGULAR" localSheetId="18">#REF!</definedName>
    <definedName name="REGULAR">#REF!</definedName>
    <definedName name="SOL" localSheetId="19">#REF!</definedName>
    <definedName name="SOL" localSheetId="11">#REF!</definedName>
    <definedName name="SOL" localSheetId="13">#REF!</definedName>
    <definedName name="SOL" localSheetId="14">#REF!</definedName>
    <definedName name="SOL" localSheetId="12">#REF!</definedName>
    <definedName name="SOL" localSheetId="15">#REF!</definedName>
    <definedName name="SOL" localSheetId="16">#REF!</definedName>
    <definedName name="SOL" localSheetId="17">#REF!</definedName>
    <definedName name="SOL" localSheetId="18">#REF!</definedName>
    <definedName name="SOL">#REF!</definedName>
    <definedName name="TE" localSheetId="19">[2]TARIF2002!#REF!</definedName>
    <definedName name="TE" localSheetId="11">[2]TARIF2002!#REF!</definedName>
    <definedName name="TE" localSheetId="13">[2]TARIF2002!#REF!</definedName>
    <definedName name="TE" localSheetId="14">[2]TARIF2002!#REF!</definedName>
    <definedName name="TE" localSheetId="12">[2]TARIF2002!#REF!</definedName>
    <definedName name="TE" localSheetId="15">[2]TARIF2002!#REF!</definedName>
    <definedName name="TE" localSheetId="16">[2]TARIF2002!#REF!</definedName>
    <definedName name="TE" localSheetId="17">[2]TARIF2002!#REF!</definedName>
    <definedName name="TE" localSheetId="18">[2]TARIF2002!#REF!</definedName>
    <definedName name="TE">[2]TARIF2002!#REF!</definedName>
    <definedName name="TI" localSheetId="19">[2]TARIF2002!#REF!</definedName>
    <definedName name="TI" localSheetId="11">[2]TARIF2002!#REF!</definedName>
    <definedName name="TI" localSheetId="13">[2]TARIF2002!#REF!</definedName>
    <definedName name="TI" localSheetId="14">[2]TARIF2002!#REF!</definedName>
    <definedName name="TI" localSheetId="12">[2]TARIF2002!#REF!</definedName>
    <definedName name="TI" localSheetId="15">[2]TARIF2002!#REF!</definedName>
    <definedName name="TI" localSheetId="16">[2]TARIF2002!#REF!</definedName>
    <definedName name="TI" localSheetId="17">[2]TARIF2002!#REF!</definedName>
    <definedName name="TI" localSheetId="18">[2]TARIF2002!#REF!</definedName>
    <definedName name="TI">[2]TARIF2002!#REF!</definedName>
    <definedName name="TITU" localSheetId="19">#REF!</definedName>
    <definedName name="TITU" localSheetId="11">#REF!</definedName>
    <definedName name="TITU" localSheetId="13">#REF!</definedName>
    <definedName name="TITU" localSheetId="14">#REF!</definedName>
    <definedName name="TITU" localSheetId="12">#REF!</definedName>
    <definedName name="TITU" localSheetId="15">#REF!</definedName>
    <definedName name="TITU" localSheetId="16">#REF!</definedName>
    <definedName name="TITU" localSheetId="17">#REF!</definedName>
    <definedName name="TITU" localSheetId="18">#REF!</definedName>
    <definedName name="TITU">#REF!</definedName>
    <definedName name="TOT" localSheetId="19">#REF!</definedName>
    <definedName name="TOT" localSheetId="11">#REF!</definedName>
    <definedName name="TOT" localSheetId="13">#REF!</definedName>
    <definedName name="TOT" localSheetId="14">#REF!</definedName>
    <definedName name="TOT" localSheetId="12">#REF!</definedName>
    <definedName name="TOT" localSheetId="15">#REF!</definedName>
    <definedName name="TOT" localSheetId="16">#REF!</definedName>
    <definedName name="TOT" localSheetId="17">#REF!</definedName>
    <definedName name="TOT" localSheetId="18">#REF!</definedName>
    <definedName name="TOT">#REF!</definedName>
    <definedName name="VAPUES" localSheetId="19">#REF!</definedName>
    <definedName name="VAPUES" localSheetId="16">#REF!</definedName>
    <definedName name="VAPUES" localSheetId="18">#REF!</definedName>
    <definedName name="VAPUES">#REF!</definedName>
    <definedName name="VAUPES2" localSheetId="19">#REF!</definedName>
    <definedName name="VAUPES2" localSheetId="11">#REF!</definedName>
    <definedName name="VAUPES2" localSheetId="13">#REF!</definedName>
    <definedName name="VAUPES2" localSheetId="14">#REF!</definedName>
    <definedName name="VAUPES2" localSheetId="12">#REF!</definedName>
    <definedName name="VAUPES2" localSheetId="15">#REF!</definedName>
    <definedName name="VAUPES2" localSheetId="16">#REF!</definedName>
    <definedName name="VAUPES2" localSheetId="17">#REF!</definedName>
    <definedName name="VAUPES2" localSheetId="18">#REF!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9" l="1"/>
  <c r="I13" i="9" l="1"/>
  <c r="H13" i="9"/>
  <c r="G33" i="28"/>
  <c r="H14" i="28"/>
  <c r="G14" i="28"/>
  <c r="F14" i="28"/>
  <c r="E14" i="28"/>
  <c r="D14" i="28"/>
  <c r="C14" i="28"/>
  <c r="F13" i="28"/>
  <c r="E13" i="28"/>
  <c r="D13" i="28"/>
  <c r="C13" i="28"/>
  <c r="H9" i="28"/>
  <c r="H15" i="20"/>
  <c r="I15" i="34"/>
  <c r="H15" i="34"/>
  <c r="G15" i="34"/>
  <c r="G14" i="23"/>
  <c r="C14" i="23" l="1"/>
  <c r="G13" i="23"/>
  <c r="C13" i="23"/>
  <c r="H9" i="23"/>
  <c r="I9" i="34"/>
  <c r="C15" i="34"/>
  <c r="I14" i="34"/>
  <c r="H14" i="34"/>
  <c r="G14" i="34"/>
  <c r="C14" i="34"/>
  <c r="H5" i="34"/>
  <c r="H6" i="34"/>
  <c r="H9" i="34"/>
  <c r="H13" i="34"/>
  <c r="H24" i="34"/>
  <c r="H15" i="21"/>
  <c r="F15" i="21"/>
  <c r="E15" i="21"/>
  <c r="D15" i="21"/>
  <c r="G15" i="21"/>
  <c r="C15" i="21"/>
  <c r="H14" i="21"/>
  <c r="G14" i="21"/>
  <c r="F14" i="21"/>
  <c r="E14" i="21"/>
  <c r="D14" i="21"/>
  <c r="C14" i="21"/>
  <c r="H13" i="21"/>
  <c r="G13" i="21"/>
  <c r="H11" i="21"/>
  <c r="H9" i="21"/>
  <c r="F13" i="21"/>
  <c r="E13" i="21"/>
  <c r="D13" i="21"/>
  <c r="F11" i="21"/>
  <c r="H13" i="19" l="1"/>
  <c r="G13" i="19"/>
  <c r="C13" i="19"/>
  <c r="H11" i="19"/>
  <c r="F11" i="19"/>
  <c r="H9" i="19"/>
  <c r="H9" i="17"/>
  <c r="H16" i="17"/>
  <c r="G16" i="17"/>
  <c r="C16" i="17"/>
  <c r="H15" i="17"/>
  <c r="G15" i="17"/>
  <c r="C15" i="17"/>
  <c r="C14" i="17"/>
  <c r="I13" i="20"/>
  <c r="H13" i="20"/>
  <c r="C13" i="20"/>
  <c r="I14" i="20"/>
  <c r="H14" i="20"/>
  <c r="G14" i="20"/>
  <c r="F14" i="20"/>
  <c r="E14" i="20"/>
  <c r="D14" i="20"/>
  <c r="C14" i="20"/>
  <c r="I15" i="20"/>
  <c r="C15" i="20"/>
  <c r="BK41" i="2"/>
  <c r="BK40" i="2"/>
  <c r="BJ40" i="2"/>
  <c r="BJ39" i="2"/>
  <c r="I9" i="20"/>
  <c r="F11" i="20"/>
  <c r="P13" i="15"/>
  <c r="L13" i="15"/>
  <c r="AR13" i="2"/>
  <c r="C13" i="15"/>
  <c r="P9" i="15"/>
  <c r="I37" i="12"/>
  <c r="H37" i="12"/>
  <c r="G37" i="12"/>
  <c r="F37" i="12"/>
  <c r="E37" i="12"/>
  <c r="D37" i="12"/>
  <c r="C37" i="12"/>
  <c r="I33" i="12"/>
  <c r="I35" i="12"/>
  <c r="H35" i="12"/>
  <c r="G35" i="12"/>
  <c r="F35" i="12"/>
  <c r="E35" i="12"/>
  <c r="D35" i="12"/>
  <c r="C35" i="12"/>
  <c r="I11" i="12"/>
  <c r="F11" i="12"/>
  <c r="I9" i="12"/>
  <c r="H11" i="11"/>
  <c r="F11" i="11"/>
  <c r="H9" i="11" l="1"/>
  <c r="G9" i="11"/>
  <c r="H11" i="10" l="1"/>
  <c r="G11" i="10"/>
  <c r="F11" i="10"/>
  <c r="E11" i="10"/>
  <c r="D11" i="10"/>
  <c r="C11" i="10"/>
  <c r="H14" i="10"/>
  <c r="G14" i="10"/>
  <c r="F14" i="10"/>
  <c r="E14" i="10"/>
  <c r="D14" i="10"/>
  <c r="C14" i="10"/>
  <c r="G13" i="10"/>
  <c r="F13" i="10" l="1"/>
  <c r="E13" i="10"/>
  <c r="D13" i="10"/>
  <c r="C13" i="10"/>
  <c r="H15" i="10"/>
  <c r="G15" i="10"/>
  <c r="F15" i="10"/>
  <c r="E15" i="10"/>
  <c r="D15" i="10"/>
  <c r="C15" i="10"/>
  <c r="D10" i="5"/>
  <c r="I9" i="9" l="1"/>
  <c r="E12" i="7" l="1"/>
  <c r="F12" i="7"/>
  <c r="AM21" i="2"/>
  <c r="AL21" i="2"/>
  <c r="AM20" i="2"/>
  <c r="AL20" i="2"/>
  <c r="AM19" i="2"/>
  <c r="AL19" i="2"/>
  <c r="AM18" i="2"/>
  <c r="AL18" i="2"/>
  <c r="AM17" i="2"/>
  <c r="AL17" i="2"/>
  <c r="AM16" i="2"/>
  <c r="AL16" i="2"/>
  <c r="AM15" i="2"/>
  <c r="AL15" i="2"/>
  <c r="AM14" i="2"/>
  <c r="AL14" i="2"/>
  <c r="AM13" i="2"/>
  <c r="AL13" i="2"/>
  <c r="F2" i="39" l="1"/>
  <c r="H3" i="3"/>
  <c r="G3" i="3"/>
  <c r="F3" i="3"/>
  <c r="E3" i="3"/>
  <c r="F3" i="39"/>
  <c r="G3" i="39"/>
  <c r="F4" i="39"/>
  <c r="G4" i="39"/>
  <c r="F5" i="39"/>
  <c r="G5" i="39"/>
  <c r="F6" i="39"/>
  <c r="G6" i="39"/>
  <c r="F7" i="39"/>
  <c r="G7" i="39"/>
  <c r="F8" i="39"/>
  <c r="G8" i="39"/>
  <c r="F9" i="39"/>
  <c r="G9" i="39"/>
  <c r="F10" i="39"/>
  <c r="G10" i="39"/>
  <c r="F11" i="39"/>
  <c r="G11" i="39"/>
  <c r="F12" i="39"/>
  <c r="G12" i="39"/>
  <c r="F13" i="39"/>
  <c r="G13" i="39"/>
  <c r="F14" i="39"/>
  <c r="G14" i="39"/>
  <c r="F15" i="39"/>
  <c r="G15" i="39"/>
  <c r="F16" i="39"/>
  <c r="G16" i="39"/>
  <c r="F17" i="39"/>
  <c r="G17" i="39"/>
  <c r="F18" i="39"/>
  <c r="G18" i="39"/>
  <c r="F19" i="39"/>
  <c r="G19" i="39"/>
  <c r="F20" i="39"/>
  <c r="G20" i="39"/>
  <c r="F21" i="39"/>
  <c r="G21" i="39"/>
  <c r="F22" i="39"/>
  <c r="G22" i="39"/>
  <c r="F23" i="39"/>
  <c r="G23" i="39"/>
  <c r="F24" i="39"/>
  <c r="G24" i="39"/>
  <c r="F25" i="39"/>
  <c r="G25" i="39"/>
  <c r="F26" i="39"/>
  <c r="G26" i="39"/>
  <c r="F27" i="39"/>
  <c r="G27" i="39"/>
  <c r="F28" i="39"/>
  <c r="G28" i="39"/>
  <c r="F29" i="39"/>
  <c r="G29" i="39"/>
  <c r="F30" i="39"/>
  <c r="G30" i="39"/>
  <c r="F31" i="39"/>
  <c r="G31" i="39"/>
  <c r="F32" i="39"/>
  <c r="G32" i="39"/>
  <c r="F33" i="39"/>
  <c r="G33" i="39"/>
  <c r="F34" i="39"/>
  <c r="G34" i="39"/>
  <c r="F35" i="39"/>
  <c r="G35" i="39"/>
  <c r="F36" i="39"/>
  <c r="G36" i="39"/>
  <c r="F37" i="39"/>
  <c r="G37" i="39"/>
  <c r="F38" i="39"/>
  <c r="G38" i="39"/>
  <c r="F39" i="39"/>
  <c r="G39" i="39"/>
  <c r="F40" i="39"/>
  <c r="G40" i="39"/>
  <c r="F41" i="39"/>
  <c r="G41" i="39"/>
  <c r="F42" i="39"/>
  <c r="G42" i="39"/>
  <c r="F43" i="39"/>
  <c r="G43" i="39"/>
  <c r="F44" i="39"/>
  <c r="G44" i="39"/>
  <c r="F45" i="39"/>
  <c r="G45" i="39"/>
  <c r="F46" i="39"/>
  <c r="G46" i="39"/>
  <c r="F47" i="39"/>
  <c r="G47" i="39"/>
  <c r="F48" i="39"/>
  <c r="G48" i="39"/>
  <c r="F49" i="39"/>
  <c r="G49" i="39"/>
  <c r="F50" i="39"/>
  <c r="G50" i="39"/>
  <c r="F51" i="39"/>
  <c r="G51" i="39"/>
  <c r="F52" i="39"/>
  <c r="G52" i="39"/>
  <c r="F53" i="39"/>
  <c r="G53" i="39"/>
  <c r="F54" i="39"/>
  <c r="G54" i="39"/>
  <c r="F55" i="39"/>
  <c r="G55" i="39"/>
  <c r="F56" i="39"/>
  <c r="G56" i="39"/>
  <c r="F57" i="39"/>
  <c r="G57" i="39"/>
  <c r="F58" i="39"/>
  <c r="G58" i="39"/>
  <c r="F59" i="39"/>
  <c r="G59" i="39"/>
  <c r="F60" i="39"/>
  <c r="G60" i="39"/>
  <c r="F61" i="39"/>
  <c r="G61" i="39"/>
  <c r="F62" i="39"/>
  <c r="G62" i="39"/>
  <c r="F63" i="39"/>
  <c r="G63" i="39"/>
  <c r="F64" i="39"/>
  <c r="G64" i="39"/>
  <c r="F65" i="39"/>
  <c r="G65" i="39"/>
  <c r="F66" i="39"/>
  <c r="G66" i="39"/>
  <c r="F67" i="39"/>
  <c r="G67" i="39"/>
  <c r="F68" i="39"/>
  <c r="G68" i="39"/>
  <c r="F69" i="39"/>
  <c r="G69" i="39"/>
  <c r="F70" i="39"/>
  <c r="G70" i="39"/>
  <c r="F71" i="39"/>
  <c r="G71" i="39"/>
  <c r="F72" i="39"/>
  <c r="G72" i="39"/>
  <c r="F73" i="39"/>
  <c r="G73" i="39"/>
  <c r="F74" i="39"/>
  <c r="G74" i="39"/>
  <c r="F75" i="39"/>
  <c r="G75" i="39"/>
  <c r="F76" i="39"/>
  <c r="G76" i="39"/>
  <c r="F77" i="39"/>
  <c r="G77" i="39"/>
  <c r="F78" i="39"/>
  <c r="G78" i="39"/>
  <c r="F79" i="39"/>
  <c r="G79" i="39"/>
  <c r="F80" i="39"/>
  <c r="G80" i="39"/>
  <c r="F81" i="39"/>
  <c r="G81" i="39"/>
  <c r="F82" i="39"/>
  <c r="G82" i="39"/>
  <c r="F83" i="39"/>
  <c r="G83" i="39"/>
  <c r="F84" i="39"/>
  <c r="G84" i="39"/>
  <c r="F85" i="39"/>
  <c r="G85" i="39"/>
  <c r="F86" i="39"/>
  <c r="G86" i="39"/>
  <c r="F87" i="39"/>
  <c r="G87" i="39"/>
  <c r="F88" i="39"/>
  <c r="G88" i="39"/>
  <c r="F89" i="39"/>
  <c r="G89" i="39"/>
  <c r="F90" i="39"/>
  <c r="G90" i="39"/>
  <c r="F91" i="39"/>
  <c r="G91" i="39"/>
  <c r="F92" i="39"/>
  <c r="G92" i="39"/>
  <c r="F93" i="39"/>
  <c r="G93" i="39"/>
  <c r="F94" i="39"/>
  <c r="G94" i="39"/>
  <c r="F95" i="39"/>
  <c r="G95" i="39"/>
  <c r="F96" i="39"/>
  <c r="G96" i="39"/>
  <c r="F97" i="39"/>
  <c r="G97" i="39"/>
  <c r="F98" i="39"/>
  <c r="G98" i="39"/>
  <c r="F99" i="39"/>
  <c r="G99" i="39"/>
  <c r="F100" i="39"/>
  <c r="G100" i="39"/>
  <c r="F101" i="39"/>
  <c r="G101" i="39"/>
  <c r="F102" i="39"/>
  <c r="G102" i="39"/>
  <c r="F103" i="39"/>
  <c r="G103" i="39"/>
  <c r="F104" i="39"/>
  <c r="G104" i="39"/>
  <c r="F105" i="39"/>
  <c r="G105" i="39"/>
  <c r="F106" i="39"/>
  <c r="G106" i="39"/>
  <c r="F107" i="39"/>
  <c r="G107" i="39"/>
  <c r="F108" i="39"/>
  <c r="G108" i="39"/>
  <c r="F109" i="39"/>
  <c r="G109" i="39"/>
  <c r="F110" i="39"/>
  <c r="G110" i="39"/>
  <c r="F111" i="39"/>
  <c r="G111" i="39"/>
  <c r="F112" i="39"/>
  <c r="G112" i="39"/>
  <c r="F113" i="39"/>
  <c r="G113" i="39"/>
  <c r="F114" i="39"/>
  <c r="G114" i="39"/>
  <c r="F115" i="39"/>
  <c r="G115" i="39"/>
  <c r="F116" i="39"/>
  <c r="G116" i="39"/>
  <c r="F117" i="39"/>
  <c r="G117" i="39"/>
  <c r="F118" i="39"/>
  <c r="G118" i="39"/>
  <c r="F119" i="39"/>
  <c r="G119" i="39"/>
  <c r="F120" i="39"/>
  <c r="G120" i="39"/>
  <c r="F121" i="39"/>
  <c r="G121" i="39"/>
  <c r="F122" i="39"/>
  <c r="G122" i="39"/>
  <c r="F123" i="39"/>
  <c r="G123" i="39"/>
  <c r="F124" i="39"/>
  <c r="G124" i="39"/>
  <c r="F125" i="39"/>
  <c r="G125" i="39"/>
  <c r="F126" i="39"/>
  <c r="G126" i="39"/>
  <c r="F127" i="39"/>
  <c r="G127" i="39"/>
  <c r="F128" i="39"/>
  <c r="G128" i="39"/>
  <c r="F129" i="39"/>
  <c r="G129" i="39"/>
  <c r="F130" i="39"/>
  <c r="G130" i="39"/>
  <c r="F131" i="39"/>
  <c r="G131" i="39"/>
  <c r="F132" i="39"/>
  <c r="G132" i="39"/>
  <c r="F133" i="39"/>
  <c r="G133" i="39"/>
  <c r="F134" i="39"/>
  <c r="G134" i="39"/>
  <c r="F135" i="39"/>
  <c r="G135" i="39"/>
  <c r="F136" i="39"/>
  <c r="G136" i="39"/>
  <c r="F137" i="39"/>
  <c r="G137" i="39"/>
  <c r="F138" i="39"/>
  <c r="G138" i="39"/>
  <c r="F139" i="39"/>
  <c r="G139" i="39"/>
  <c r="F140" i="39"/>
  <c r="G140" i="39"/>
  <c r="F141" i="39"/>
  <c r="G141" i="39"/>
  <c r="F142" i="39"/>
  <c r="G142" i="39"/>
  <c r="F143" i="39"/>
  <c r="G143" i="39"/>
  <c r="F144" i="39"/>
  <c r="G144" i="39"/>
  <c r="F145" i="39"/>
  <c r="G145" i="39"/>
  <c r="F146" i="39"/>
  <c r="G146" i="39"/>
  <c r="F147" i="39"/>
  <c r="G147" i="39"/>
  <c r="F148" i="39"/>
  <c r="G148" i="39"/>
  <c r="F149" i="39"/>
  <c r="G149" i="39"/>
  <c r="F150" i="39"/>
  <c r="G150" i="39"/>
  <c r="F151" i="39"/>
  <c r="G151" i="39"/>
  <c r="F152" i="39"/>
  <c r="G152" i="39"/>
  <c r="F153" i="39"/>
  <c r="G153" i="39"/>
  <c r="F154" i="39"/>
  <c r="G154" i="39"/>
  <c r="F155" i="39"/>
  <c r="G155" i="39"/>
  <c r="F156" i="39"/>
  <c r="G156" i="39"/>
  <c r="F157" i="39"/>
  <c r="G157" i="39"/>
  <c r="F158" i="39"/>
  <c r="G158" i="39"/>
  <c r="F159" i="39"/>
  <c r="G159" i="39"/>
  <c r="F160" i="39"/>
  <c r="G160" i="39"/>
  <c r="F161" i="39"/>
  <c r="G161" i="39"/>
  <c r="F162" i="39"/>
  <c r="G162" i="39"/>
  <c r="F163" i="39"/>
  <c r="G163" i="39"/>
  <c r="F164" i="39"/>
  <c r="G164" i="39"/>
  <c r="F165" i="39"/>
  <c r="G165" i="39"/>
  <c r="F166" i="39"/>
  <c r="G166" i="39"/>
  <c r="F167" i="39"/>
  <c r="G167" i="39"/>
  <c r="F168" i="39"/>
  <c r="G168" i="39"/>
  <c r="F169" i="39"/>
  <c r="G169" i="39"/>
  <c r="F170" i="39"/>
  <c r="G170" i="39"/>
  <c r="F171" i="39"/>
  <c r="G171" i="39"/>
  <c r="F172" i="39"/>
  <c r="G172" i="39"/>
  <c r="F173" i="39"/>
  <c r="G173" i="39"/>
  <c r="F174" i="39"/>
  <c r="G174" i="39"/>
  <c r="G2" i="39"/>
  <c r="N19" i="39" l="1"/>
  <c r="E20" i="3" s="1"/>
  <c r="G20" i="3" s="1"/>
  <c r="O19" i="39"/>
  <c r="F20" i="3" s="1"/>
  <c r="H20" i="3" s="1"/>
  <c r="N20" i="39"/>
  <c r="E19" i="3" s="1"/>
  <c r="G19" i="3" s="1"/>
  <c r="O20" i="39"/>
  <c r="F19" i="3" s="1"/>
  <c r="H19" i="3" s="1"/>
  <c r="O18" i="39"/>
  <c r="N18" i="39"/>
  <c r="O17" i="39"/>
  <c r="N17" i="39"/>
  <c r="N4" i="39"/>
  <c r="E4" i="3" s="1"/>
  <c r="G4" i="3" s="1"/>
  <c r="N5" i="39"/>
  <c r="O12" i="39"/>
  <c r="N6" i="39"/>
  <c r="E21" i="3" s="1"/>
  <c r="G21" i="3" s="1"/>
  <c r="N16" i="39"/>
  <c r="O13" i="39"/>
  <c r="O11" i="39"/>
  <c r="N15" i="39"/>
  <c r="O14" i="39"/>
  <c r="O9" i="39"/>
  <c r="F8" i="3" s="1"/>
  <c r="H8" i="3" s="1"/>
  <c r="N14" i="39"/>
  <c r="E14" i="3" s="1"/>
  <c r="G14" i="3" s="1"/>
  <c r="O15" i="39"/>
  <c r="O10" i="39"/>
  <c r="F9" i="3" s="1"/>
  <c r="N13" i="39"/>
  <c r="O4" i="39"/>
  <c r="O16" i="39"/>
  <c r="N7" i="39"/>
  <c r="N12" i="39"/>
  <c r="E12" i="3" s="1"/>
  <c r="G12" i="3" s="1"/>
  <c r="O5" i="39"/>
  <c r="N11" i="39"/>
  <c r="E11" i="3" s="1"/>
  <c r="G11" i="3" s="1"/>
  <c r="O6" i="39"/>
  <c r="F22" i="3" s="1"/>
  <c r="H22" i="3" s="1"/>
  <c r="N10" i="39"/>
  <c r="E9" i="3" s="1"/>
  <c r="G9" i="3" s="1"/>
  <c r="O7" i="39"/>
  <c r="F6" i="3" s="1"/>
  <c r="H6" i="3" s="1"/>
  <c r="N8" i="39"/>
  <c r="E10" i="3" s="1"/>
  <c r="G10" i="3" s="1"/>
  <c r="N9" i="39"/>
  <c r="E8" i="3" s="1"/>
  <c r="G8" i="3" s="1"/>
  <c r="O8" i="39"/>
  <c r="F13" i="3" l="1"/>
  <c r="H13" i="3" s="1"/>
  <c r="F12" i="3"/>
  <c r="H12" i="3" s="1"/>
  <c r="E13" i="3"/>
  <c r="G13" i="3" s="1"/>
  <c r="E18" i="3"/>
  <c r="G18" i="3" s="1"/>
  <c r="F18" i="3"/>
  <c r="H18" i="3" s="1"/>
  <c r="F11" i="3"/>
  <c r="H11" i="3" s="1"/>
  <c r="E22" i="3"/>
  <c r="G22" i="3" s="1"/>
  <c r="F17" i="3"/>
  <c r="H17" i="3" s="1"/>
  <c r="F21" i="3"/>
  <c r="H21" i="3" s="1"/>
  <c r="E17" i="3"/>
  <c r="G17" i="3" s="1"/>
  <c r="F16" i="3"/>
  <c r="H16" i="3" s="1"/>
  <c r="F15" i="3"/>
  <c r="H15" i="3" s="1"/>
  <c r="E16" i="3"/>
  <c r="G16" i="3" s="1"/>
  <c r="F14" i="3"/>
  <c r="H14" i="3" s="1"/>
  <c r="E15" i="3"/>
  <c r="G15" i="3" s="1"/>
  <c r="F5" i="3"/>
  <c r="H5" i="3" s="1"/>
  <c r="F10" i="3"/>
  <c r="F7" i="3"/>
  <c r="H7" i="3" s="1"/>
  <c r="E5" i="3"/>
  <c r="G5" i="3" s="1"/>
  <c r="F4" i="3"/>
  <c r="H4" i="3" s="1"/>
  <c r="E6" i="3"/>
  <c r="G6" i="3" s="1"/>
  <c r="E7" i="3"/>
  <c r="G7" i="3" s="1"/>
  <c r="G23" i="3" l="1"/>
  <c r="V24" i="29"/>
  <c r="U24" i="29"/>
  <c r="V23" i="29"/>
  <c r="U23" i="29"/>
  <c r="V22" i="29"/>
  <c r="U22" i="29"/>
  <c r="V21" i="29"/>
  <c r="U21" i="29"/>
  <c r="V20" i="29"/>
  <c r="U20" i="29"/>
  <c r="V19" i="29"/>
  <c r="U19" i="29"/>
  <c r="V16" i="29"/>
  <c r="U16" i="29"/>
  <c r="V15" i="29"/>
  <c r="U15" i="29"/>
  <c r="V14" i="29"/>
  <c r="U14" i="29"/>
  <c r="V13" i="29"/>
  <c r="U13" i="29"/>
  <c r="V12" i="29"/>
  <c r="U12" i="29"/>
  <c r="V11" i="29"/>
  <c r="U11" i="29"/>
  <c r="V10" i="29"/>
  <c r="U10" i="29"/>
  <c r="V9" i="29"/>
  <c r="U9" i="29"/>
  <c r="V8" i="29"/>
  <c r="U8" i="29"/>
  <c r="V7" i="29"/>
  <c r="U7" i="29"/>
  <c r="V6" i="29"/>
  <c r="U6" i="29"/>
  <c r="V5" i="29"/>
  <c r="U5" i="29"/>
  <c r="V4" i="29"/>
  <c r="U4" i="29"/>
  <c r="V3" i="29"/>
  <c r="U3" i="29"/>
  <c r="V2" i="29"/>
  <c r="U2" i="29"/>
  <c r="V47" i="30"/>
  <c r="U47" i="30"/>
  <c r="V46" i="30"/>
  <c r="U46" i="30"/>
  <c r="V45" i="30"/>
  <c r="U45" i="30"/>
  <c r="V44" i="30"/>
  <c r="U44" i="30"/>
  <c r="V40" i="30"/>
  <c r="U40" i="30"/>
  <c r="V39" i="30"/>
  <c r="U39" i="30"/>
  <c r="V38" i="30"/>
  <c r="U38" i="30"/>
  <c r="V37" i="30"/>
  <c r="U37" i="30"/>
  <c r="V36" i="30"/>
  <c r="U36" i="30"/>
  <c r="V35" i="30"/>
  <c r="U35" i="30"/>
  <c r="V34" i="30"/>
  <c r="U34" i="30"/>
  <c r="V33" i="30"/>
  <c r="U33" i="30"/>
  <c r="V32" i="30"/>
  <c r="U32" i="30"/>
  <c r="V31" i="30"/>
  <c r="U31" i="30"/>
  <c r="V30" i="30"/>
  <c r="U30" i="30"/>
  <c r="V29" i="30"/>
  <c r="U29" i="30"/>
  <c r="V28" i="30"/>
  <c r="U28" i="30"/>
  <c r="V27" i="30"/>
  <c r="U27" i="30"/>
  <c r="V26" i="30"/>
  <c r="U26" i="30"/>
  <c r="V25" i="30"/>
  <c r="U25" i="30"/>
  <c r="V24" i="30"/>
  <c r="U24" i="30"/>
  <c r="V23" i="30"/>
  <c r="U23" i="30"/>
  <c r="V22" i="30"/>
  <c r="U22" i="30"/>
  <c r="V21" i="30"/>
  <c r="U21" i="30"/>
  <c r="V20" i="30"/>
  <c r="U20" i="30"/>
  <c r="V19" i="30"/>
  <c r="U19" i="30"/>
  <c r="V18" i="30"/>
  <c r="U18" i="30"/>
  <c r="V17" i="30"/>
  <c r="U17" i="30"/>
  <c r="V16" i="30"/>
  <c r="U16" i="30"/>
  <c r="V15" i="30"/>
  <c r="U15" i="30"/>
  <c r="V14" i="30"/>
  <c r="U14" i="30"/>
  <c r="V13" i="30"/>
  <c r="U13" i="30"/>
  <c r="V12" i="30"/>
  <c r="U12" i="30"/>
  <c r="V11" i="30"/>
  <c r="U11" i="30"/>
  <c r="V10" i="30"/>
  <c r="U10" i="30"/>
  <c r="V9" i="30"/>
  <c r="U9" i="30"/>
  <c r="V8" i="30"/>
  <c r="U8" i="30"/>
  <c r="V7" i="30"/>
  <c r="U7" i="30"/>
  <c r="V6" i="30"/>
  <c r="U6" i="30"/>
  <c r="V5" i="30"/>
  <c r="U5" i="30"/>
  <c r="V4" i="30"/>
  <c r="U4" i="30"/>
  <c r="V3" i="30"/>
  <c r="U3" i="30"/>
  <c r="V2" i="30"/>
  <c r="U2" i="30"/>
  <c r="D12" i="5"/>
  <c r="G11" i="11" s="1"/>
  <c r="D11" i="12" l="1"/>
  <c r="E44" i="3" l="1"/>
  <c r="E43" i="3"/>
  <c r="E42" i="3"/>
  <c r="E41" i="3"/>
  <c r="E40" i="3"/>
  <c r="E39" i="3"/>
  <c r="E38" i="3"/>
  <c r="E37" i="3"/>
  <c r="E36" i="3"/>
  <c r="E35" i="3"/>
  <c r="E34" i="3"/>
  <c r="E33" i="3"/>
  <c r="E32" i="3"/>
  <c r="E31" i="3"/>
  <c r="E30" i="3"/>
  <c r="E29" i="3"/>
  <c r="E28" i="3"/>
  <c r="G6" i="21"/>
  <c r="H9" i="20"/>
  <c r="D11" i="20"/>
  <c r="L9" i="15"/>
  <c r="C10" i="3"/>
  <c r="H10" i="3" s="1"/>
  <c r="C9" i="3"/>
  <c r="H9" i="3" s="1"/>
  <c r="H23" i="3" l="1"/>
  <c r="G9" i="23"/>
  <c r="G9" i="28"/>
  <c r="H9" i="9"/>
  <c r="G9" i="17"/>
  <c r="G9" i="19"/>
  <c r="H9" i="12"/>
  <c r="G9" i="21"/>
  <c r="G9" i="34"/>
  <c r="D11" i="19"/>
  <c r="G11" i="19" s="1"/>
  <c r="D11" i="21"/>
  <c r="D11" i="11"/>
  <c r="H11" i="12"/>
  <c r="G11" i="21"/>
  <c r="B36" i="3"/>
  <c r="C36" i="3"/>
  <c r="C28" i="3" l="1"/>
  <c r="B6" i="7"/>
  <c r="H27" i="38"/>
  <c r="E10" i="5" l="1"/>
  <c r="B6" i="5"/>
  <c r="P10" i="38"/>
  <c r="Q10" i="38" s="1"/>
  <c r="Q11" i="38"/>
  <c r="H39" i="28"/>
  <c r="H36" i="28"/>
  <c r="H34" i="28"/>
  <c r="F39" i="28"/>
  <c r="F36" i="28"/>
  <c r="F35" i="28"/>
  <c r="H6" i="23"/>
  <c r="H5" i="23"/>
  <c r="I5" i="34"/>
  <c r="D8" i="5" l="1"/>
  <c r="I55" i="19"/>
  <c r="H60" i="19"/>
  <c r="H55" i="19"/>
  <c r="H54" i="19"/>
  <c r="H6" i="19"/>
  <c r="H5" i="19"/>
  <c r="H36" i="3" l="1"/>
  <c r="E61" i="19"/>
  <c r="F72" i="19"/>
  <c r="F23" i="20"/>
  <c r="P12" i="15"/>
  <c r="P11" i="15"/>
  <c r="Q17" i="15"/>
  <c r="M21" i="15"/>
  <c r="M17" i="15"/>
  <c r="F34" i="12"/>
  <c r="F33" i="12"/>
  <c r="F22" i="12"/>
  <c r="Q9" i="38" l="1"/>
  <c r="O9" i="15" l="1"/>
  <c r="D21" i="15"/>
  <c r="D19" i="15"/>
  <c r="C33" i="3" l="1"/>
  <c r="N33" i="3" s="1"/>
  <c r="E21" i="28"/>
  <c r="E21" i="23"/>
  <c r="E17" i="23"/>
  <c r="L166" i="2"/>
  <c r="I8" i="15" l="1"/>
  <c r="N28" i="3"/>
  <c r="D28" i="3"/>
  <c r="T6" i="2" l="1"/>
  <c r="T5" i="2"/>
  <c r="X6" i="2"/>
  <c r="Z5" i="2"/>
  <c r="AA5" i="2" s="1"/>
  <c r="Z6" i="2" s="1"/>
  <c r="AA6" i="2" s="1"/>
  <c r="Z7" i="2" s="1"/>
  <c r="E15" i="2"/>
  <c r="AA7" i="2" l="1"/>
  <c r="G6" i="34"/>
  <c r="H6" i="20"/>
  <c r="L6" i="15"/>
  <c r="E21" i="15"/>
  <c r="E19" i="15"/>
  <c r="G7" i="11"/>
  <c r="G5" i="11"/>
  <c r="G23" i="11"/>
  <c r="H6" i="12"/>
  <c r="H30" i="12" s="1"/>
  <c r="G36" i="28"/>
  <c r="G35" i="28"/>
  <c r="G34" i="28"/>
  <c r="G22" i="28"/>
  <c r="G23" i="21"/>
  <c r="C1" i="9"/>
  <c r="C6" i="5" l="1"/>
  <c r="C6" i="7"/>
  <c r="D7" i="5" l="1"/>
  <c r="D9" i="5" s="1"/>
  <c r="G8" i="11" s="1"/>
  <c r="E8" i="5"/>
  <c r="B28" i="23"/>
  <c r="B29" i="10"/>
  <c r="L9" i="38"/>
  <c r="G32" i="28" l="1"/>
  <c r="D57" i="19"/>
  <c r="E60" i="19"/>
  <c r="E11" i="19"/>
  <c r="G18" i="38"/>
  <c r="E21" i="38"/>
  <c r="E23" i="38" s="1"/>
  <c r="E25" i="38" s="1"/>
  <c r="O12" i="15" l="1"/>
  <c r="I55" i="12"/>
  <c r="I63" i="12" s="1"/>
  <c r="I67" i="12" s="1"/>
  <c r="I56" i="12"/>
  <c r="I57" i="12"/>
  <c r="I58" i="12"/>
  <c r="I60" i="12"/>
  <c r="I62" i="12"/>
  <c r="I69" i="12"/>
  <c r="I70" i="12"/>
  <c r="I79" i="12"/>
  <c r="I87" i="12" s="1"/>
  <c r="I91" i="12" s="1"/>
  <c r="I80" i="12"/>
  <c r="I81" i="12"/>
  <c r="I82" i="12"/>
  <c r="I84" i="12"/>
  <c r="I86" i="12"/>
  <c r="I93" i="12"/>
  <c r="I94" i="12"/>
  <c r="K7" i="5"/>
  <c r="K9" i="5" s="1"/>
  <c r="K8" i="5"/>
  <c r="H33" i="28" l="1"/>
  <c r="H58" i="19"/>
  <c r="D12" i="7"/>
  <c r="D10" i="7"/>
  <c r="K7" i="7"/>
  <c r="F8" i="7"/>
  <c r="F7" i="7"/>
  <c r="Q9" i="15"/>
  <c r="E8" i="7"/>
  <c r="G12" i="7" l="1"/>
  <c r="Q8" i="15"/>
  <c r="H33" i="12"/>
  <c r="H11" i="20"/>
  <c r="F9" i="7"/>
  <c r="H8" i="11" s="1"/>
  <c r="N6" i="15"/>
  <c r="AX41" i="2"/>
  <c r="BC41" i="2" s="1"/>
  <c r="BH41" i="2" s="1"/>
  <c r="BM41" i="2" s="1"/>
  <c r="AX40" i="2"/>
  <c r="BC40" i="2" s="1"/>
  <c r="BH40" i="2" s="1"/>
  <c r="BM40" i="2" s="1"/>
  <c r="AW41" i="2"/>
  <c r="BB41" i="2" s="1"/>
  <c r="BG41" i="2" s="1"/>
  <c r="BL41" i="2" s="1"/>
  <c r="AW40" i="2"/>
  <c r="BB40" i="2" s="1"/>
  <c r="BG40" i="2" s="1"/>
  <c r="BL40" i="2" s="1"/>
  <c r="AV41" i="2"/>
  <c r="BA41" i="2" s="1"/>
  <c r="BF41" i="2" s="1"/>
  <c r="AV40" i="2"/>
  <c r="BA40" i="2" s="1"/>
  <c r="BF40" i="2" s="1"/>
  <c r="D10" i="24"/>
  <c r="H3" i="7"/>
  <c r="I11" i="20" l="1"/>
  <c r="F60" i="19"/>
  <c r="I32" i="12"/>
  <c r="H8" i="19"/>
  <c r="I8" i="9"/>
  <c r="H8" i="17"/>
  <c r="H8" i="28"/>
  <c r="P8" i="15"/>
  <c r="H8" i="10"/>
  <c r="H17" i="10" s="1"/>
  <c r="H8" i="23"/>
  <c r="I8" i="20"/>
  <c r="H8" i="21"/>
  <c r="I8" i="12"/>
  <c r="I8" i="34"/>
  <c r="I17" i="34" s="1"/>
  <c r="I36" i="3"/>
  <c r="J36" i="3"/>
  <c r="D8" i="24"/>
  <c r="G21" i="23" l="1"/>
  <c r="G67" i="19"/>
  <c r="D68" i="19"/>
  <c r="D67" i="19"/>
  <c r="G18" i="19"/>
  <c r="D24" i="19"/>
  <c r="D23" i="19"/>
  <c r="E23" i="19" s="1"/>
  <c r="E72" i="19" s="1"/>
  <c r="D20" i="19"/>
  <c r="D19" i="19"/>
  <c r="D18" i="19"/>
  <c r="D22" i="19" l="1"/>
  <c r="H18" i="19"/>
  <c r="H22" i="19" s="1"/>
  <c r="E18" i="19"/>
  <c r="E22" i="19" s="1"/>
  <c r="H20" i="19"/>
  <c r="E20" i="19"/>
  <c r="H24" i="19"/>
  <c r="E24" i="19"/>
  <c r="E73" i="19" s="1"/>
  <c r="H19" i="19"/>
  <c r="E19" i="19"/>
  <c r="H67" i="19"/>
  <c r="H71" i="19" s="1"/>
  <c r="E67" i="19"/>
  <c r="H68" i="19"/>
  <c r="F68" i="19"/>
  <c r="E68" i="19"/>
  <c r="AX46" i="2" l="1"/>
  <c r="N36" i="3"/>
  <c r="C29" i="3"/>
  <c r="N29" i="3" l="1"/>
  <c r="D29" i="3"/>
  <c r="E12" i="5"/>
  <c r="D60" i="19"/>
  <c r="M36" i="3"/>
  <c r="F8" i="20" s="1"/>
  <c r="N9" i="15"/>
  <c r="M9" i="15"/>
  <c r="M6" i="15"/>
  <c r="G60" i="19" l="1"/>
  <c r="G9" i="10"/>
  <c r="K12" i="7" l="1"/>
  <c r="L12" i="7" s="1"/>
  <c r="K10" i="7"/>
  <c r="L10" i="7" s="1"/>
  <c r="N10" i="7"/>
  <c r="K8" i="7"/>
  <c r="L8" i="7" s="1"/>
  <c r="K9" i="7" l="1"/>
  <c r="B28" i="3"/>
  <c r="I28" i="3" l="1"/>
  <c r="H28" i="3"/>
  <c r="D8" i="9" s="1"/>
  <c r="J28" i="3"/>
  <c r="H10" i="7" l="1"/>
  <c r="I10" i="7" s="1"/>
  <c r="D6" i="7"/>
  <c r="N12" i="7"/>
  <c r="O12" i="7" s="1"/>
  <c r="H12" i="7"/>
  <c r="I12" i="7" s="1"/>
  <c r="N8" i="7"/>
  <c r="O8" i="7" s="1"/>
  <c r="N7" i="7"/>
  <c r="O7" i="7" s="1"/>
  <c r="H8" i="7"/>
  <c r="I8" i="7" s="1"/>
  <c r="I12" i="5"/>
  <c r="J12" i="5" s="1"/>
  <c r="I10" i="5"/>
  <c r="J10" i="5" s="1"/>
  <c r="I8" i="5"/>
  <c r="J8" i="5" s="1"/>
  <c r="G10" i="5"/>
  <c r="H10" i="5" s="1"/>
  <c r="G12" i="5"/>
  <c r="H12" i="5" s="1"/>
  <c r="F14" i="5"/>
  <c r="E7" i="7" l="1"/>
  <c r="E9" i="7" s="1"/>
  <c r="H8" i="34" s="1"/>
  <c r="H7" i="7"/>
  <c r="I7" i="7" s="1"/>
  <c r="N9" i="7"/>
  <c r="O9" i="7" s="1"/>
  <c r="F57" i="19" l="1"/>
  <c r="H57" i="19"/>
  <c r="E57" i="19"/>
  <c r="O8" i="15"/>
  <c r="L7" i="7"/>
  <c r="F8" i="5"/>
  <c r="G48" i="19"/>
  <c r="D48" i="19"/>
  <c r="C46" i="19"/>
  <c r="G44" i="19"/>
  <c r="D44" i="19"/>
  <c r="G43" i="19"/>
  <c r="D43" i="19"/>
  <c r="G42" i="19"/>
  <c r="G46" i="19" s="1"/>
  <c r="D36" i="19"/>
  <c r="G35" i="19"/>
  <c r="D35" i="19"/>
  <c r="C35" i="19"/>
  <c r="G34" i="19"/>
  <c r="G33" i="19"/>
  <c r="G32" i="19"/>
  <c r="C11" i="19"/>
  <c r="H94" i="12"/>
  <c r="G94" i="12"/>
  <c r="E94" i="12"/>
  <c r="G90" i="12"/>
  <c r="E90" i="12"/>
  <c r="H89" i="12"/>
  <c r="I89" i="12" s="1"/>
  <c r="G89" i="12"/>
  <c r="E89" i="12"/>
  <c r="E88" i="12"/>
  <c r="G83" i="12"/>
  <c r="E83" i="12"/>
  <c r="H82" i="12"/>
  <c r="G82" i="12"/>
  <c r="E82" i="12"/>
  <c r="C82" i="12"/>
  <c r="H81" i="12"/>
  <c r="C81" i="12"/>
  <c r="H80" i="12"/>
  <c r="C80" i="12"/>
  <c r="H58" i="12"/>
  <c r="G58" i="12"/>
  <c r="E58" i="12"/>
  <c r="C58" i="12"/>
  <c r="H56" i="12"/>
  <c r="C44" i="3"/>
  <c r="D44" i="3" s="1"/>
  <c r="B44" i="3"/>
  <c r="C43" i="3"/>
  <c r="L43" i="3" s="1"/>
  <c r="C42" i="3"/>
  <c r="L42" i="3" s="1"/>
  <c r="B43" i="3"/>
  <c r="B42" i="3"/>
  <c r="H70" i="12"/>
  <c r="G70" i="12"/>
  <c r="E70" i="12"/>
  <c r="G66" i="12"/>
  <c r="E66" i="12"/>
  <c r="H65" i="12"/>
  <c r="I65" i="12" s="1"/>
  <c r="G65" i="12"/>
  <c r="E65" i="12"/>
  <c r="E64" i="12"/>
  <c r="G59" i="12"/>
  <c r="E59" i="12"/>
  <c r="C57" i="12"/>
  <c r="C56" i="12"/>
  <c r="H32" i="28" l="1"/>
  <c r="C55" i="12"/>
  <c r="H42" i="3"/>
  <c r="C32" i="19"/>
  <c r="H44" i="3"/>
  <c r="H43" i="3"/>
  <c r="E92" i="12"/>
  <c r="C92" i="12" s="1"/>
  <c r="I88" i="12"/>
  <c r="I59" i="12"/>
  <c r="H59" i="12" s="1"/>
  <c r="I83" i="12"/>
  <c r="H83" i="12" s="1"/>
  <c r="G64" i="12"/>
  <c r="G68" i="12" s="1"/>
  <c r="I64" i="12"/>
  <c r="L9" i="7"/>
  <c r="F44" i="3"/>
  <c r="D32" i="19" s="1"/>
  <c r="G88" i="12"/>
  <c r="D42" i="19"/>
  <c r="D46" i="19" s="1"/>
  <c r="C79" i="12"/>
  <c r="D43" i="3"/>
  <c r="F43" i="3" s="1"/>
  <c r="E79" i="12" s="1"/>
  <c r="G55" i="12"/>
  <c r="G79" i="12"/>
  <c r="G36" i="19"/>
  <c r="G41" i="19" s="1"/>
  <c r="G45" i="19" s="1"/>
  <c r="H84" i="12"/>
  <c r="C90" i="12"/>
  <c r="H90" i="12" s="1"/>
  <c r="I90" i="12" s="1"/>
  <c r="E68" i="12"/>
  <c r="C68" i="12" s="1"/>
  <c r="L44" i="3"/>
  <c r="D42" i="3"/>
  <c r="F42" i="3" s="1"/>
  <c r="E55" i="12" s="1"/>
  <c r="H69" i="12"/>
  <c r="C66" i="12"/>
  <c r="H66" i="12" s="1"/>
  <c r="I66" i="12" s="1"/>
  <c r="I68" i="12" l="1"/>
  <c r="H64" i="12"/>
  <c r="I92" i="12"/>
  <c r="H93" i="12"/>
  <c r="G92" i="12"/>
  <c r="H88" i="12"/>
  <c r="H60" i="12"/>
  <c r="H68" i="12" l="1"/>
  <c r="H92" i="12"/>
  <c r="G8" i="5" l="1"/>
  <c r="H8" i="5" s="1"/>
  <c r="W9" i="2" l="1"/>
  <c r="E7" i="5" l="1"/>
  <c r="E9" i="5" s="1"/>
  <c r="I7" i="5"/>
  <c r="G7" i="5"/>
  <c r="E9" i="38"/>
  <c r="E11" i="38" s="1"/>
  <c r="E13" i="38" s="1"/>
  <c r="O12" i="38"/>
  <c r="I11" i="38"/>
  <c r="J11" i="38" s="1"/>
  <c r="K11" i="38" s="1"/>
  <c r="L11" i="38" s="1"/>
  <c r="M11" i="38" s="1"/>
  <c r="N11" i="38" s="1"/>
  <c r="O11" i="38" s="1"/>
  <c r="P11" i="38" s="1"/>
  <c r="I10" i="38"/>
  <c r="J10" i="38" s="1"/>
  <c r="K10" i="38" s="1"/>
  <c r="L10" i="38" s="1"/>
  <c r="M10" i="38" s="1"/>
  <c r="N10" i="38" s="1"/>
  <c r="O10" i="38" s="1"/>
  <c r="I9" i="38"/>
  <c r="J9" i="38" s="1"/>
  <c r="K9" i="38" s="1"/>
  <c r="H8" i="20" l="1"/>
  <c r="G8" i="17"/>
  <c r="L8" i="15"/>
  <c r="G8" i="19"/>
  <c r="G57" i="19" s="1"/>
  <c r="G8" i="28"/>
  <c r="G8" i="23"/>
  <c r="G8" i="21"/>
  <c r="G8" i="34"/>
  <c r="H8" i="12"/>
  <c r="H32" i="12" s="1"/>
  <c r="H8" i="9"/>
  <c r="H7" i="5"/>
  <c r="H55" i="12"/>
  <c r="H79" i="12"/>
  <c r="H87" i="12" s="1"/>
  <c r="H91" i="12" s="1"/>
  <c r="G8" i="10"/>
  <c r="M9" i="38"/>
  <c r="N9" i="38" s="1"/>
  <c r="N8" i="15"/>
  <c r="M8" i="15"/>
  <c r="J7" i="5"/>
  <c r="I9" i="5"/>
  <c r="J9" i="5" s="1"/>
  <c r="O9" i="38" l="1"/>
  <c r="P9" i="38" s="1"/>
  <c r="G9" i="5"/>
  <c r="H9" i="5" s="1"/>
  <c r="H9" i="7" l="1"/>
  <c r="I9" i="7" s="1"/>
  <c r="B1" i="34" l="1"/>
  <c r="H20" i="34" l="1"/>
  <c r="E18" i="34"/>
  <c r="C11" i="34"/>
  <c r="E11" i="34" l="1"/>
  <c r="H11" i="34" s="1"/>
  <c r="B1" i="10"/>
  <c r="L29" i="2" l="1"/>
  <c r="B29" i="11"/>
  <c r="B103" i="12" s="1"/>
  <c r="B29" i="15" s="1"/>
  <c r="B30" i="17" s="1"/>
  <c r="B78" i="19" s="1"/>
  <c r="B29" i="20" l="1"/>
  <c r="B29" i="21" s="1"/>
  <c r="B53" i="28"/>
  <c r="M5" i="30"/>
  <c r="O40" i="30"/>
  <c r="M38" i="30"/>
  <c r="M39" i="30" s="1"/>
  <c r="M40" i="30" s="1"/>
  <c r="B29" i="34" l="1"/>
  <c r="C12" i="17"/>
  <c r="C11" i="20"/>
  <c r="C11" i="15" l="1"/>
  <c r="O11" i="15" s="1"/>
  <c r="H11" i="15" l="1"/>
  <c r="F11" i="15"/>
  <c r="K11" i="15"/>
  <c r="H35" i="28"/>
  <c r="G11" i="15" l="1"/>
  <c r="N11" i="15"/>
  <c r="I60" i="19" l="1"/>
  <c r="I58" i="19"/>
  <c r="I57" i="19"/>
  <c r="Q6" i="15" l="1"/>
  <c r="Q5" i="15" l="1"/>
  <c r="M8" i="29" l="1"/>
  <c r="M7" i="29"/>
  <c r="I54" i="19" l="1"/>
  <c r="O47" i="30" l="1"/>
  <c r="O46" i="30" s="1"/>
  <c r="M18" i="30"/>
  <c r="M30" i="30" s="1"/>
  <c r="M17" i="30"/>
  <c r="M29" i="30" s="1"/>
  <c r="M2" i="29"/>
  <c r="M12" i="29" s="1"/>
  <c r="M24" i="29"/>
  <c r="M11" i="29" s="1"/>
  <c r="M23" i="29"/>
  <c r="M22" i="29"/>
  <c r="M3" i="29"/>
  <c r="M13" i="29" s="1"/>
  <c r="M37" i="30"/>
  <c r="M36" i="30"/>
  <c r="M35" i="30"/>
  <c r="M34" i="30"/>
  <c r="M33" i="30"/>
  <c r="M32" i="30"/>
  <c r="M31" i="30"/>
  <c r="M28" i="30"/>
  <c r="M27" i="30"/>
  <c r="O26" i="30"/>
  <c r="O27" i="30" s="1"/>
  <c r="O28" i="30" s="1"/>
  <c r="O29" i="30" s="1"/>
  <c r="O30" i="30" s="1"/>
  <c r="O31" i="30" s="1"/>
  <c r="O32" i="30" s="1"/>
  <c r="O33" i="30" s="1"/>
  <c r="O34" i="30" s="1"/>
  <c r="O35" i="30" s="1"/>
  <c r="O36" i="30" s="1"/>
  <c r="O37" i="30" s="1"/>
  <c r="M26" i="30"/>
  <c r="M25" i="30"/>
  <c r="M24" i="30"/>
  <c r="M23" i="30"/>
  <c r="M22" i="30"/>
  <c r="M21" i="30"/>
  <c r="M46" i="30" s="1"/>
  <c r="M20" i="30"/>
  <c r="M19" i="30"/>
  <c r="M16" i="30"/>
  <c r="M15" i="30"/>
  <c r="M14" i="30"/>
  <c r="M13" i="30"/>
  <c r="M12" i="30"/>
  <c r="M11" i="30"/>
  <c r="M10" i="30"/>
  <c r="M9" i="30"/>
  <c r="M47" i="30" s="1"/>
  <c r="M8" i="30"/>
  <c r="M7" i="30"/>
  <c r="M4" i="30"/>
  <c r="M3" i="30"/>
  <c r="O2" i="30"/>
  <c r="O3" i="30" s="1"/>
  <c r="O4" i="30" s="1"/>
  <c r="O5" i="30" s="1"/>
  <c r="O6" i="30" s="1"/>
  <c r="O7" i="30" s="1"/>
  <c r="O8" i="30" s="1"/>
  <c r="O9" i="30" s="1"/>
  <c r="M2" i="30"/>
  <c r="M6" i="29" l="1"/>
  <c r="M16" i="29" s="1"/>
  <c r="M19" i="29" s="1"/>
  <c r="M4" i="29"/>
  <c r="M14" i="29" s="1"/>
  <c r="M9" i="29"/>
  <c r="M5" i="29"/>
  <c r="M15" i="29" s="1"/>
  <c r="M10" i="29"/>
  <c r="O10" i="30"/>
  <c r="O11" i="30" s="1"/>
  <c r="O12" i="30" s="1"/>
  <c r="O13" i="30" s="1"/>
  <c r="O14" i="30" s="1"/>
  <c r="O15" i="30" s="1"/>
  <c r="O16" i="30" s="1"/>
  <c r="O17" i="30" s="1"/>
  <c r="O18" i="30" s="1"/>
  <c r="O19" i="30" s="1"/>
  <c r="O20" i="30" s="1"/>
  <c r="O21" i="30" s="1"/>
  <c r="O22" i="30" s="1"/>
  <c r="O23" i="30" s="1"/>
  <c r="O24" i="30" s="1"/>
  <c r="O25" i="30" s="1"/>
  <c r="C35" i="28" l="1"/>
  <c r="C34" i="28"/>
  <c r="C33" i="28"/>
  <c r="B1" i="28"/>
  <c r="C36" i="28" l="1"/>
  <c r="C39" i="28"/>
  <c r="E57" i="20" l="1"/>
  <c r="E56" i="20"/>
  <c r="E50" i="20" l="1"/>
  <c r="B10" i="24"/>
  <c r="B8" i="24"/>
  <c r="C8" i="24"/>
  <c r="C10" i="24"/>
  <c r="D11" i="24"/>
  <c r="A5" i="24"/>
  <c r="B1" i="23"/>
  <c r="E11" i="21"/>
  <c r="C11" i="21"/>
  <c r="B1" i="21"/>
  <c r="G22" i="23" l="1"/>
  <c r="C50" i="20"/>
  <c r="B43" i="20"/>
  <c r="C58" i="20" l="1"/>
  <c r="G24" i="20" l="1"/>
  <c r="E24" i="20"/>
  <c r="F24" i="20" s="1"/>
  <c r="G11" i="20"/>
  <c r="E11" i="20"/>
  <c r="C10" i="20"/>
  <c r="C9" i="20"/>
  <c r="B1" i="20"/>
  <c r="G68" i="19"/>
  <c r="I68" i="19" s="1"/>
  <c r="C60" i="19"/>
  <c r="G58" i="19"/>
  <c r="C57" i="19"/>
  <c r="C22" i="19"/>
  <c r="G19" i="19"/>
  <c r="C73" i="19"/>
  <c r="I72" i="19"/>
  <c r="C72" i="19"/>
  <c r="C71" i="19"/>
  <c r="C61" i="19"/>
  <c r="H61" i="19" s="1"/>
  <c r="I73" i="19"/>
  <c r="G73" i="19"/>
  <c r="B1" i="19"/>
  <c r="B1" i="17"/>
  <c r="M18" i="15"/>
  <c r="F73" i="19" l="1"/>
  <c r="E22" i="20"/>
  <c r="F67" i="19"/>
  <c r="G72" i="19"/>
  <c r="I71" i="19"/>
  <c r="D71" i="19"/>
  <c r="D72" i="19"/>
  <c r="D73" i="19"/>
  <c r="H73" i="19" s="1"/>
  <c r="D61" i="19"/>
  <c r="G59" i="19"/>
  <c r="I59" i="19" s="1"/>
  <c r="C22" i="20"/>
  <c r="I67" i="19"/>
  <c r="G61" i="19"/>
  <c r="G71" i="19"/>
  <c r="I61" i="19"/>
  <c r="M12" i="15"/>
  <c r="Q23" i="15"/>
  <c r="M23" i="15"/>
  <c r="K23" i="15"/>
  <c r="H23" i="15"/>
  <c r="F23" i="15"/>
  <c r="K22" i="15"/>
  <c r="F22" i="15"/>
  <c r="H19" i="15"/>
  <c r="F19" i="15" s="1"/>
  <c r="Q18" i="15"/>
  <c r="K18" i="15"/>
  <c r="H18" i="15"/>
  <c r="F18" i="15"/>
  <c r="H17" i="15"/>
  <c r="F17" i="15"/>
  <c r="G17" i="15" s="1"/>
  <c r="K12" i="15"/>
  <c r="H12" i="15"/>
  <c r="F12" i="15"/>
  <c r="N12" i="15" s="1"/>
  <c r="Q11" i="15"/>
  <c r="M11" i="15"/>
  <c r="C10" i="15"/>
  <c r="C9" i="15"/>
  <c r="B1" i="15"/>
  <c r="H23" i="12"/>
  <c r="G23" i="12"/>
  <c r="E23" i="12"/>
  <c r="E17" i="12"/>
  <c r="F17" i="12" s="1"/>
  <c r="G18" i="12"/>
  <c r="E18" i="12"/>
  <c r="F18" i="12" s="1"/>
  <c r="G12" i="12"/>
  <c r="E12" i="12"/>
  <c r="C34" i="12"/>
  <c r="C33" i="12"/>
  <c r="B1" i="12"/>
  <c r="G11" i="12"/>
  <c r="E11" i="12"/>
  <c r="C11" i="12"/>
  <c r="B1" i="11"/>
  <c r="G19" i="12"/>
  <c r="E19" i="12"/>
  <c r="H57" i="12"/>
  <c r="H63" i="12" s="1"/>
  <c r="H67" i="12" s="1"/>
  <c r="C10" i="12"/>
  <c r="C9" i="12"/>
  <c r="E11" i="11"/>
  <c r="C11" i="11"/>
  <c r="F22" i="20" l="1"/>
  <c r="F19" i="12"/>
  <c r="I12" i="12"/>
  <c r="F12" i="12"/>
  <c r="F23" i="12"/>
  <c r="E71" i="19"/>
  <c r="F71" i="19"/>
  <c r="G18" i="15"/>
  <c r="N18" i="15"/>
  <c r="G19" i="15"/>
  <c r="N19" i="15"/>
  <c r="G23" i="15"/>
  <c r="N23" i="15"/>
  <c r="Q12" i="15"/>
  <c r="G12" i="15"/>
  <c r="M22" i="15"/>
  <c r="G22" i="15"/>
  <c r="N22" i="15" s="1"/>
  <c r="H12" i="12"/>
  <c r="E58" i="20"/>
  <c r="G22" i="20"/>
  <c r="C69" i="19"/>
  <c r="G20" i="19"/>
  <c r="N17" i="15"/>
  <c r="K17" i="15"/>
  <c r="H21" i="15"/>
  <c r="F21" i="15" s="1"/>
  <c r="N21" i="15"/>
  <c r="K19" i="15"/>
  <c r="C19" i="15"/>
  <c r="C19" i="12"/>
  <c r="E21" i="12"/>
  <c r="F21" i="12" s="1"/>
  <c r="G17" i="12"/>
  <c r="D69" i="19" l="1"/>
  <c r="C21" i="15"/>
  <c r="Q21" i="15" s="1"/>
  <c r="I69" i="19"/>
  <c r="G69" i="19"/>
  <c r="K21" i="15"/>
  <c r="G21" i="15" s="1"/>
  <c r="M19" i="15"/>
  <c r="Q19" i="15" s="1"/>
  <c r="G21" i="12"/>
  <c r="C21" i="12"/>
  <c r="H69" i="19" l="1"/>
  <c r="F69" i="19"/>
  <c r="E69" i="19"/>
  <c r="C41" i="3" l="1"/>
  <c r="P15" i="29"/>
  <c r="B41" i="3"/>
  <c r="B29" i="3"/>
  <c r="H29" i="3" s="1"/>
  <c r="B38" i="3"/>
  <c r="C38" i="3"/>
  <c r="N38" i="3" s="1"/>
  <c r="C32" i="3"/>
  <c r="C30" i="3"/>
  <c r="C39" i="3"/>
  <c r="C34" i="3"/>
  <c r="M34" i="3" s="1"/>
  <c r="F8" i="17" s="1"/>
  <c r="B39" i="3"/>
  <c r="B34" i="3"/>
  <c r="B32" i="3"/>
  <c r="B30" i="3"/>
  <c r="C8" i="11" s="1"/>
  <c r="C40" i="3"/>
  <c r="C37" i="3"/>
  <c r="C35" i="3"/>
  <c r="C31" i="3"/>
  <c r="N31" i="3" s="1"/>
  <c r="B40" i="3"/>
  <c r="H40" i="3" s="1"/>
  <c r="B37" i="3"/>
  <c r="H37" i="3" s="1"/>
  <c r="D8" i="21" s="1"/>
  <c r="B35" i="3"/>
  <c r="H35" i="3" s="1"/>
  <c r="B33" i="3"/>
  <c r="B31" i="3"/>
  <c r="H31" i="3" s="1"/>
  <c r="I34" i="3" l="1"/>
  <c r="H34" i="3"/>
  <c r="D8" i="17" s="1"/>
  <c r="I38" i="3"/>
  <c r="H38" i="3"/>
  <c r="D8" i="34" s="1"/>
  <c r="I32" i="3"/>
  <c r="H32" i="3"/>
  <c r="D32" i="12" s="1"/>
  <c r="I41" i="3"/>
  <c r="H41" i="3"/>
  <c r="D32" i="28" s="1"/>
  <c r="I39" i="3"/>
  <c r="H39" i="3"/>
  <c r="D8" i="23" s="1"/>
  <c r="I30" i="3"/>
  <c r="H30" i="3"/>
  <c r="D8" i="11" s="1"/>
  <c r="I33" i="3"/>
  <c r="H33" i="3"/>
  <c r="E8" i="15" s="1"/>
  <c r="N40" i="3"/>
  <c r="D40" i="3"/>
  <c r="N30" i="3"/>
  <c r="D30" i="3"/>
  <c r="F30" i="3" s="1"/>
  <c r="E8" i="11" s="1"/>
  <c r="I31" i="3"/>
  <c r="S34" i="3"/>
  <c r="N34" i="3"/>
  <c r="S39" i="3"/>
  <c r="N39" i="3"/>
  <c r="S32" i="3"/>
  <c r="N32" i="3"/>
  <c r="S41" i="3"/>
  <c r="N41" i="3"/>
  <c r="S37" i="3"/>
  <c r="N37" i="3"/>
  <c r="S35" i="3"/>
  <c r="N35" i="3"/>
  <c r="J31" i="3"/>
  <c r="D8" i="12"/>
  <c r="J33" i="3"/>
  <c r="G8" i="15" s="1"/>
  <c r="D8" i="15"/>
  <c r="I37" i="3"/>
  <c r="J38" i="3"/>
  <c r="K35" i="3"/>
  <c r="D8" i="10"/>
  <c r="D8" i="28"/>
  <c r="J30" i="3"/>
  <c r="K34" i="3"/>
  <c r="I29" i="3"/>
  <c r="K29" i="3"/>
  <c r="K39" i="3"/>
  <c r="K41" i="3"/>
  <c r="J40" i="3"/>
  <c r="K40" i="3"/>
  <c r="I35" i="3"/>
  <c r="E8" i="9"/>
  <c r="M28" i="3"/>
  <c r="G8" i="9" s="1"/>
  <c r="M32" i="3"/>
  <c r="F32" i="12" s="1"/>
  <c r="M30" i="3"/>
  <c r="F8" i="11" s="1"/>
  <c r="M38" i="3"/>
  <c r="F8" i="34" s="1"/>
  <c r="K8" i="15"/>
  <c r="M33" i="3"/>
  <c r="J8" i="15" s="1"/>
  <c r="M31" i="3"/>
  <c r="F8" i="12" s="1"/>
  <c r="F28" i="3"/>
  <c r="F8" i="15"/>
  <c r="R29" i="3"/>
  <c r="R34" i="3"/>
  <c r="R39" i="3"/>
  <c r="R41" i="3"/>
  <c r="I40" i="3"/>
  <c r="M40" i="3"/>
  <c r="F8" i="28" s="1"/>
  <c r="S40" i="3"/>
  <c r="M29" i="3"/>
  <c r="F8" i="10" s="1"/>
  <c r="S29" i="3"/>
  <c r="R35" i="3"/>
  <c r="R40" i="3"/>
  <c r="C8" i="19"/>
  <c r="M37" i="3"/>
  <c r="F8" i="21" s="1"/>
  <c r="D37" i="3"/>
  <c r="D38" i="3"/>
  <c r="P11" i="30" s="1"/>
  <c r="Y11" i="30" s="1"/>
  <c r="D34" i="3"/>
  <c r="D8" i="20"/>
  <c r="M39" i="3"/>
  <c r="F8" i="23" s="1"/>
  <c r="D39" i="3"/>
  <c r="D36" i="3"/>
  <c r="F36" i="3" s="1"/>
  <c r="D33" i="3"/>
  <c r="D32" i="3"/>
  <c r="M35" i="3"/>
  <c r="F8" i="19" s="1"/>
  <c r="D35" i="3"/>
  <c r="P10" i="29" s="1"/>
  <c r="D31" i="3"/>
  <c r="M41" i="3"/>
  <c r="F32" i="28" s="1"/>
  <c r="D41" i="3"/>
  <c r="P15" i="30"/>
  <c r="Y15" i="30" s="1"/>
  <c r="P14" i="30"/>
  <c r="Y14" i="30" s="1"/>
  <c r="P39" i="30"/>
  <c r="Y39" i="30" s="1"/>
  <c r="P25" i="30"/>
  <c r="Y25" i="30" s="1"/>
  <c r="P23" i="30"/>
  <c r="Y23" i="30" s="1"/>
  <c r="P20" i="30"/>
  <c r="Y20" i="30" s="1"/>
  <c r="P24" i="30"/>
  <c r="Y24" i="30" s="1"/>
  <c r="P16" i="30"/>
  <c r="Y16" i="30" s="1"/>
  <c r="P36" i="30"/>
  <c r="Y36" i="30" s="1"/>
  <c r="P34" i="30"/>
  <c r="Y34" i="30" s="1"/>
  <c r="P44" i="30"/>
  <c r="Y44" i="30" s="1"/>
  <c r="P28" i="30"/>
  <c r="Y28" i="30" s="1"/>
  <c r="P27" i="30"/>
  <c r="Y27" i="30" s="1"/>
  <c r="P40" i="30"/>
  <c r="Y40" i="30" s="1"/>
  <c r="P37" i="30"/>
  <c r="Y37" i="30" s="1"/>
  <c r="P32" i="30"/>
  <c r="Y32" i="30" s="1"/>
  <c r="P35" i="30"/>
  <c r="Y35" i="30" s="1"/>
  <c r="C8" i="34"/>
  <c r="P45" i="30"/>
  <c r="Y45" i="30" s="1"/>
  <c r="P19" i="29"/>
  <c r="P26" i="30"/>
  <c r="Y26" i="30" s="1"/>
  <c r="P19" i="30"/>
  <c r="Y19" i="30" s="1"/>
  <c r="P14" i="29"/>
  <c r="P21" i="30"/>
  <c r="Y21" i="30" s="1"/>
  <c r="P16" i="29"/>
  <c r="P18" i="30"/>
  <c r="Y18" i="30" s="1"/>
  <c r="P13" i="29"/>
  <c r="P17" i="30"/>
  <c r="Y17" i="30" s="1"/>
  <c r="P12" i="29"/>
  <c r="P22" i="30"/>
  <c r="Y22" i="30" s="1"/>
  <c r="P46" i="30"/>
  <c r="Y46" i="30" s="1"/>
  <c r="C8" i="10"/>
  <c r="C17" i="10" s="1"/>
  <c r="P5" i="29"/>
  <c r="P22" i="29"/>
  <c r="P6" i="29"/>
  <c r="P33" i="30"/>
  <c r="Y33" i="30" s="1"/>
  <c r="P23" i="29"/>
  <c r="P3" i="29"/>
  <c r="P30" i="30"/>
  <c r="Y30" i="30" s="1"/>
  <c r="P2" i="29"/>
  <c r="P29" i="30"/>
  <c r="Y29" i="30" s="1"/>
  <c r="P24" i="29"/>
  <c r="P4" i="29"/>
  <c r="P31" i="30"/>
  <c r="Y31" i="30" s="1"/>
  <c r="P20" i="29"/>
  <c r="P21" i="29"/>
  <c r="K49" i="1"/>
  <c r="K47" i="1"/>
  <c r="F29" i="3"/>
  <c r="E8" i="10" s="1"/>
  <c r="C8" i="28"/>
  <c r="C32" i="28"/>
  <c r="G32" i="12"/>
  <c r="K48" i="1"/>
  <c r="C8" i="15"/>
  <c r="G8" i="12"/>
  <c r="C8" i="17"/>
  <c r="C8" i="9"/>
  <c r="C8" i="20"/>
  <c r="C8" i="21"/>
  <c r="C8" i="23"/>
  <c r="G8" i="20"/>
  <c r="C8" i="12"/>
  <c r="C32" i="12"/>
  <c r="D8" i="19" l="1"/>
  <c r="P2" i="30"/>
  <c r="Y2" i="30" s="1"/>
  <c r="P10" i="30"/>
  <c r="Y10" i="30" s="1"/>
  <c r="P12" i="30"/>
  <c r="Y12" i="30" s="1"/>
  <c r="P4" i="30"/>
  <c r="Y4" i="30" s="1"/>
  <c r="F33" i="3"/>
  <c r="H8" i="15" s="1"/>
  <c r="P3" i="30"/>
  <c r="Y3" i="30" s="1"/>
  <c r="P13" i="30"/>
  <c r="Y13" i="30" s="1"/>
  <c r="F41" i="3"/>
  <c r="E32" i="28" s="1"/>
  <c r="P38" i="30"/>
  <c r="Y38" i="30" s="1"/>
  <c r="F39" i="3"/>
  <c r="E8" i="23" s="1"/>
  <c r="F37" i="3"/>
  <c r="E8" i="21" s="1"/>
  <c r="F38" i="3"/>
  <c r="P5" i="30"/>
  <c r="Y5" i="30" s="1"/>
  <c r="P7" i="29"/>
  <c r="P7" i="30"/>
  <c r="Y7" i="30" s="1"/>
  <c r="P9" i="29"/>
  <c r="P8" i="30"/>
  <c r="Y8" i="30" s="1"/>
  <c r="F34" i="3"/>
  <c r="E8" i="17" s="1"/>
  <c r="F40" i="3"/>
  <c r="E8" i="28" s="1"/>
  <c r="P6" i="30"/>
  <c r="Y6" i="30" s="1"/>
  <c r="P8" i="29"/>
  <c r="P9" i="30"/>
  <c r="P11" i="29"/>
  <c r="F31" i="3"/>
  <c r="E8" i="12" s="1"/>
  <c r="F32" i="3"/>
  <c r="F35" i="3"/>
  <c r="E8" i="19" s="1"/>
  <c r="E8" i="34" l="1"/>
  <c r="F8" i="9"/>
  <c r="P47" i="30"/>
  <c r="Y47" i="30" s="1"/>
  <c r="Y9" i="30"/>
  <c r="E8" i="20"/>
  <c r="E32" i="12"/>
  <c r="F5" i="7"/>
  <c r="E5" i="7" l="1"/>
  <c r="C5" i="7"/>
  <c r="D5" i="7" l="1"/>
  <c r="P88" i="2" l="1"/>
  <c r="S88" i="2" s="1"/>
  <c r="N88" i="2"/>
  <c r="Q88" i="2" s="1"/>
  <c r="G87" i="2"/>
  <c r="J87" i="2" s="1"/>
  <c r="M87" i="2" s="1"/>
  <c r="P87" i="2" s="1"/>
  <c r="S87" i="2" s="1"/>
  <c r="E87" i="2"/>
  <c r="H87" i="2" s="1"/>
  <c r="K87" i="2" s="1"/>
  <c r="N87" i="2" s="1"/>
  <c r="Q87" i="2" s="1"/>
  <c r="G86" i="2"/>
  <c r="J86" i="2" s="1"/>
  <c r="M86" i="2" s="1"/>
  <c r="P86" i="2" s="1"/>
  <c r="S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G82" i="2"/>
  <c r="J82" i="2" s="1"/>
  <c r="M82" i="2" s="1"/>
  <c r="P82" i="2" s="1"/>
  <c r="S82" i="2" s="1"/>
  <c r="G81" i="2"/>
  <c r="J81" i="2" s="1"/>
  <c r="M81" i="2" s="1"/>
  <c r="P81" i="2" s="1"/>
  <c r="S81" i="2" s="1"/>
  <c r="E81" i="2"/>
  <c r="H81" i="2" s="1"/>
  <c r="K81" i="2" s="1"/>
  <c r="N81" i="2" s="1"/>
  <c r="Q81" i="2" s="1"/>
  <c r="G80" i="2"/>
  <c r="J80" i="2" s="1"/>
  <c r="M80" i="2" s="1"/>
  <c r="P80" i="2" s="1"/>
  <c r="S80" i="2" s="1"/>
  <c r="P71" i="2"/>
  <c r="S71" i="2" s="1"/>
  <c r="K71" i="2"/>
  <c r="N71" i="2" s="1"/>
  <c r="Q71" i="2" s="1"/>
  <c r="G70" i="2"/>
  <c r="J70" i="2" s="1"/>
  <c r="M70" i="2" s="1"/>
  <c r="P70" i="2" s="1"/>
  <c r="S70" i="2" s="1"/>
  <c r="E70" i="2"/>
  <c r="H70" i="2" s="1"/>
  <c r="K70" i="2" s="1"/>
  <c r="N70" i="2" s="1"/>
  <c r="Q70" i="2" s="1"/>
  <c r="G69" i="2"/>
  <c r="J69" i="2" s="1"/>
  <c r="M69" i="2" s="1"/>
  <c r="P69" i="2" s="1"/>
  <c r="S69" i="2" s="1"/>
  <c r="G68" i="2"/>
  <c r="J68" i="2" s="1"/>
  <c r="M68" i="2" s="1"/>
  <c r="P68" i="2" s="1"/>
  <c r="S68" i="2" s="1"/>
  <c r="J67" i="2"/>
  <c r="M67" i="2" s="1"/>
  <c r="P67" i="2" s="1"/>
  <c r="S67" i="2" s="1"/>
  <c r="H67" i="2"/>
  <c r="K67" i="2" s="1"/>
  <c r="N67" i="2" s="1"/>
  <c r="Q67" i="2" s="1"/>
  <c r="G66" i="2"/>
  <c r="J66" i="2" s="1"/>
  <c r="M66" i="2" s="1"/>
  <c r="P66" i="2" s="1"/>
  <c r="S66" i="2" s="1"/>
  <c r="E66" i="2"/>
  <c r="H66" i="2" s="1"/>
  <c r="K66" i="2" s="1"/>
  <c r="N66" i="2" s="1"/>
  <c r="Q66" i="2" s="1"/>
  <c r="G65" i="2"/>
  <c r="J65" i="2" s="1"/>
  <c r="M65" i="2" s="1"/>
  <c r="P65" i="2" s="1"/>
  <c r="S65" i="2" s="1"/>
  <c r="G64" i="2"/>
  <c r="J64" i="2" s="1"/>
  <c r="M64" i="2" s="1"/>
  <c r="P64" i="2" s="1"/>
  <c r="S64" i="2" s="1"/>
  <c r="E64" i="2"/>
  <c r="H64" i="2" s="1"/>
  <c r="K64" i="2" s="1"/>
  <c r="N64" i="2" s="1"/>
  <c r="Q64" i="2" s="1"/>
  <c r="G63" i="2"/>
  <c r="J63" i="2" s="1"/>
  <c r="M63" i="2" s="1"/>
  <c r="P63" i="2" s="1"/>
  <c r="S63" i="2" s="1"/>
  <c r="P57" i="2"/>
  <c r="S57" i="2" s="1"/>
  <c r="V57" i="2" s="1"/>
  <c r="Y57" i="2" s="1"/>
  <c r="AB57" i="2" s="1"/>
  <c r="AE57" i="2" s="1"/>
  <c r="AH57" i="2" s="1"/>
  <c r="AK57" i="2" s="1"/>
  <c r="AN57" i="2" s="1"/>
  <c r="O57" i="2"/>
  <c r="R57" i="2" s="1"/>
  <c r="U57" i="2" s="1"/>
  <c r="X57" i="2" s="1"/>
  <c r="AA57" i="2" s="1"/>
  <c r="AD57" i="2" s="1"/>
  <c r="AG57" i="2" s="1"/>
  <c r="N57" i="2"/>
  <c r="Q57" i="2" s="1"/>
  <c r="T57" i="2" s="1"/>
  <c r="W57" i="2" s="1"/>
  <c r="Z57" i="2" s="1"/>
  <c r="AC57" i="2" s="1"/>
  <c r="AF57" i="2" s="1"/>
  <c r="AI57" i="2" s="1"/>
  <c r="G56" i="2"/>
  <c r="J56" i="2" s="1"/>
  <c r="M56" i="2" s="1"/>
  <c r="P56" i="2" s="1"/>
  <c r="S56" i="2" s="1"/>
  <c r="V56" i="2" s="1"/>
  <c r="Y56" i="2" s="1"/>
  <c r="AB56" i="2" s="1"/>
  <c r="AE56" i="2" s="1"/>
  <c r="AH56" i="2" s="1"/>
  <c r="AK56" i="2" s="1"/>
  <c r="AN56" i="2" s="1"/>
  <c r="F56" i="2"/>
  <c r="I56" i="2" s="1"/>
  <c r="L56" i="2" s="1"/>
  <c r="O56" i="2" s="1"/>
  <c r="R56" i="2" s="1"/>
  <c r="U56" i="2" s="1"/>
  <c r="X56" i="2" s="1"/>
  <c r="AA56" i="2" s="1"/>
  <c r="AD56" i="2" s="1"/>
  <c r="AG56" i="2" s="1"/>
  <c r="AJ56" i="2" s="1"/>
  <c r="AM56" i="2" s="1"/>
  <c r="E56" i="2"/>
  <c r="H56" i="2" s="1"/>
  <c r="K56" i="2" s="1"/>
  <c r="N56" i="2" s="1"/>
  <c r="Q56" i="2" s="1"/>
  <c r="T56" i="2" s="1"/>
  <c r="W56" i="2" s="1"/>
  <c r="Z56" i="2" s="1"/>
  <c r="AC56" i="2" s="1"/>
  <c r="AF56" i="2" s="1"/>
  <c r="AI56" i="2" s="1"/>
  <c r="AL56" i="2" s="1"/>
  <c r="G55" i="2"/>
  <c r="J55" i="2" s="1"/>
  <c r="M55" i="2" s="1"/>
  <c r="P55" i="2" s="1"/>
  <c r="S55" i="2" s="1"/>
  <c r="V55" i="2" s="1"/>
  <c r="Y55" i="2" s="1"/>
  <c r="AB55" i="2" s="1"/>
  <c r="AE55" i="2" s="1"/>
  <c r="AH55" i="2" s="1"/>
  <c r="AK55" i="2" s="1"/>
  <c r="AN55" i="2" s="1"/>
  <c r="F55" i="2"/>
  <c r="I55" i="2" s="1"/>
  <c r="L55" i="2" s="1"/>
  <c r="O55" i="2" s="1"/>
  <c r="R55" i="2" s="1"/>
  <c r="U55" i="2" s="1"/>
  <c r="X55" i="2" s="1"/>
  <c r="AA55" i="2" s="1"/>
  <c r="AD55" i="2" s="1"/>
  <c r="AG55" i="2" s="1"/>
  <c r="AJ55" i="2" s="1"/>
  <c r="AM55" i="2" s="1"/>
  <c r="E55" i="2"/>
  <c r="H55" i="2" s="1"/>
  <c r="K55" i="2" s="1"/>
  <c r="N55" i="2" s="1"/>
  <c r="Q55" i="2" s="1"/>
  <c r="T55" i="2" s="1"/>
  <c r="W55" i="2" s="1"/>
  <c r="Z55" i="2" s="1"/>
  <c r="AC55" i="2" s="1"/>
  <c r="AF55" i="2" s="1"/>
  <c r="AI55" i="2" s="1"/>
  <c r="AL55" i="2" s="1"/>
  <c r="G54" i="2"/>
  <c r="J54" i="2" s="1"/>
  <c r="M54" i="2" s="1"/>
  <c r="P54" i="2" s="1"/>
  <c r="S54" i="2" s="1"/>
  <c r="V54" i="2" s="1"/>
  <c r="Y54" i="2" s="1"/>
  <c r="AB54" i="2" s="1"/>
  <c r="AE54" i="2" s="1"/>
  <c r="AH54" i="2" s="1"/>
  <c r="AK54" i="2" s="1"/>
  <c r="AN54" i="2" s="1"/>
  <c r="F54" i="2"/>
  <c r="I54" i="2" s="1"/>
  <c r="L54" i="2" s="1"/>
  <c r="O54" i="2" s="1"/>
  <c r="R54" i="2" s="1"/>
  <c r="U54" i="2" s="1"/>
  <c r="X54" i="2" s="1"/>
  <c r="AA54" i="2" s="1"/>
  <c r="AD54" i="2" s="1"/>
  <c r="E54" i="2"/>
  <c r="H54" i="2" s="1"/>
  <c r="K54" i="2" s="1"/>
  <c r="N54" i="2" s="1"/>
  <c r="Q54" i="2" s="1"/>
  <c r="T54" i="2" s="1"/>
  <c r="W54" i="2" s="1"/>
  <c r="Z54" i="2" s="1"/>
  <c r="AC54" i="2" s="1"/>
  <c r="AF54" i="2" s="1"/>
  <c r="G53" i="2"/>
  <c r="J53" i="2" s="1"/>
  <c r="M53" i="2" s="1"/>
  <c r="P53" i="2" s="1"/>
  <c r="S53" i="2" s="1"/>
  <c r="V53" i="2" s="1"/>
  <c r="Y53" i="2" s="1"/>
  <c r="AB53" i="2" s="1"/>
  <c r="AE53" i="2" s="1"/>
  <c r="AH53" i="2" s="1"/>
  <c r="AK53" i="2" s="1"/>
  <c r="AN53" i="2" s="1"/>
  <c r="F53" i="2"/>
  <c r="I53" i="2" s="1"/>
  <c r="L53" i="2" s="1"/>
  <c r="O53" i="2" s="1"/>
  <c r="R53" i="2" s="1"/>
  <c r="U53" i="2" s="1"/>
  <c r="X53" i="2" s="1"/>
  <c r="AA53" i="2" s="1"/>
  <c r="AD53" i="2" s="1"/>
  <c r="E53" i="2"/>
  <c r="H53" i="2" s="1"/>
  <c r="K53" i="2" s="1"/>
  <c r="N53" i="2" s="1"/>
  <c r="Q53" i="2" s="1"/>
  <c r="T53" i="2" s="1"/>
  <c r="W53" i="2" s="1"/>
  <c r="Z53" i="2" s="1"/>
  <c r="G52" i="2"/>
  <c r="J52" i="2" s="1"/>
  <c r="M52" i="2" s="1"/>
  <c r="P52" i="2" s="1"/>
  <c r="S52" i="2" s="1"/>
  <c r="V52" i="2" s="1"/>
  <c r="Y52" i="2" s="1"/>
  <c r="AB52" i="2" s="1"/>
  <c r="AE52" i="2" s="1"/>
  <c r="AH52" i="2" s="1"/>
  <c r="AK52" i="2" s="1"/>
  <c r="AN52" i="2" s="1"/>
  <c r="F52" i="2"/>
  <c r="I52" i="2" s="1"/>
  <c r="L52" i="2" s="1"/>
  <c r="O52" i="2" s="1"/>
  <c r="R52" i="2" s="1"/>
  <c r="U52" i="2" s="1"/>
  <c r="X52" i="2" s="1"/>
  <c r="AA52" i="2" s="1"/>
  <c r="AD52" i="2" s="1"/>
  <c r="AG52" i="2" s="1"/>
  <c r="AJ52" i="2" s="1"/>
  <c r="E52" i="2"/>
  <c r="H52" i="2" s="1"/>
  <c r="K52" i="2" s="1"/>
  <c r="N52" i="2" s="1"/>
  <c r="Q52" i="2" s="1"/>
  <c r="T52" i="2" s="1"/>
  <c r="W52" i="2" s="1"/>
  <c r="G51" i="2"/>
  <c r="J51" i="2" s="1"/>
  <c r="M51" i="2" s="1"/>
  <c r="P51" i="2" s="1"/>
  <c r="S51" i="2" s="1"/>
  <c r="V51" i="2" s="1"/>
  <c r="Y51" i="2" s="1"/>
  <c r="AB51" i="2" s="1"/>
  <c r="AE51" i="2" s="1"/>
  <c r="AH51" i="2" s="1"/>
  <c r="AK51" i="2" s="1"/>
  <c r="AN51" i="2" s="1"/>
  <c r="F51" i="2"/>
  <c r="I51" i="2" s="1"/>
  <c r="L51" i="2" s="1"/>
  <c r="O51" i="2" s="1"/>
  <c r="R51" i="2" s="1"/>
  <c r="U51" i="2" s="1"/>
  <c r="X51" i="2" s="1"/>
  <c r="AA51" i="2" s="1"/>
  <c r="AD51" i="2" s="1"/>
  <c r="AG51" i="2" s="1"/>
  <c r="AJ51" i="2" s="1"/>
  <c r="AM51" i="2" s="1"/>
  <c r="E51" i="2"/>
  <c r="H51" i="2" s="1"/>
  <c r="K51" i="2" s="1"/>
  <c r="N51" i="2" s="1"/>
  <c r="Q51" i="2" s="1"/>
  <c r="T51" i="2" s="1"/>
  <c r="W51" i="2" s="1"/>
  <c r="Z51" i="2" s="1"/>
  <c r="AC51" i="2" s="1"/>
  <c r="AF51" i="2" s="1"/>
  <c r="AI51" i="2" s="1"/>
  <c r="AL51" i="2" s="1"/>
  <c r="G50" i="2"/>
  <c r="J50" i="2" s="1"/>
  <c r="M50" i="2" s="1"/>
  <c r="P50" i="2" s="1"/>
  <c r="S50" i="2" s="1"/>
  <c r="V50" i="2" s="1"/>
  <c r="Y50" i="2" s="1"/>
  <c r="AB50" i="2" s="1"/>
  <c r="AE50" i="2" s="1"/>
  <c r="AH50" i="2" s="1"/>
  <c r="AK50" i="2" s="1"/>
  <c r="AN50" i="2" s="1"/>
  <c r="F50" i="2"/>
  <c r="I50" i="2" s="1"/>
  <c r="L50" i="2" s="1"/>
  <c r="O50" i="2" s="1"/>
  <c r="R50" i="2" s="1"/>
  <c r="U50" i="2" s="1"/>
  <c r="X50" i="2" s="1"/>
  <c r="E50" i="2"/>
  <c r="H50" i="2" s="1"/>
  <c r="K50" i="2" s="1"/>
  <c r="N50" i="2" s="1"/>
  <c r="Q50" i="2" s="1"/>
  <c r="T50" i="2" s="1"/>
  <c r="W50" i="2" s="1"/>
  <c r="Z50" i="2" s="1"/>
  <c r="AC50" i="2" s="1"/>
  <c r="AF50" i="2" s="1"/>
  <c r="AI50" i="2" s="1"/>
  <c r="AL50" i="2" s="1"/>
  <c r="G49" i="2"/>
  <c r="J49" i="2" s="1"/>
  <c r="M49" i="2" s="1"/>
  <c r="P49" i="2" s="1"/>
  <c r="S49" i="2" s="1"/>
  <c r="V49" i="2" s="1"/>
  <c r="Y49" i="2" s="1"/>
  <c r="AB49" i="2" s="1"/>
  <c r="AE49" i="2" s="1"/>
  <c r="AH49" i="2" s="1"/>
  <c r="AK49" i="2" s="1"/>
  <c r="AN49" i="2" s="1"/>
  <c r="F49" i="2"/>
  <c r="I49" i="2" s="1"/>
  <c r="L49" i="2" s="1"/>
  <c r="O49" i="2" s="1"/>
  <c r="R49" i="2" s="1"/>
  <c r="U49" i="2" s="1"/>
  <c r="X49" i="2" s="1"/>
  <c r="AA49" i="2" s="1"/>
  <c r="AD49" i="2" s="1"/>
  <c r="AG49" i="2" s="1"/>
  <c r="AJ49" i="2" s="1"/>
  <c r="AM49" i="2" s="1"/>
  <c r="E49" i="2"/>
  <c r="H49" i="2" s="1"/>
  <c r="K49" i="2" s="1"/>
  <c r="N49" i="2" s="1"/>
  <c r="Q49" i="2" s="1"/>
  <c r="T49" i="2" s="1"/>
  <c r="W49" i="2" s="1"/>
  <c r="Z49" i="2" s="1"/>
  <c r="AC49" i="2" s="1"/>
  <c r="AF49" i="2" s="1"/>
  <c r="AI49" i="2" s="1"/>
  <c r="AL49" i="2" s="1"/>
  <c r="P42" i="2"/>
  <c r="U42" i="2" s="1"/>
  <c r="Z42" i="2" s="1"/>
  <c r="AE42" i="2" s="1"/>
  <c r="AJ42" i="2" s="1"/>
  <c r="AO42" i="2" s="1"/>
  <c r="AT42" i="2" s="1"/>
  <c r="AY42" i="2" s="1"/>
  <c r="BD42" i="2" s="1"/>
  <c r="BI42" i="2" s="1"/>
  <c r="BN42" i="2" s="1"/>
  <c r="O42" i="2"/>
  <c r="T42" i="2" s="1"/>
  <c r="Y42" i="2" s="1"/>
  <c r="AD42" i="2" s="1"/>
  <c r="AI42" i="2" s="1"/>
  <c r="AN42" i="2" s="1"/>
  <c r="AS42" i="2" s="1"/>
  <c r="AX42" i="2" s="1"/>
  <c r="BC42" i="2" s="1"/>
  <c r="BH42" i="2" s="1"/>
  <c r="N42" i="2"/>
  <c r="S42" i="2" s="1"/>
  <c r="X42" i="2" s="1"/>
  <c r="AC42" i="2" s="1"/>
  <c r="AH42" i="2" s="1"/>
  <c r="AM42" i="2" s="1"/>
  <c r="AR42" i="2" s="1"/>
  <c r="AW42" i="2" s="1"/>
  <c r="BB42" i="2" s="1"/>
  <c r="M42" i="2"/>
  <c r="R42" i="2" s="1"/>
  <c r="W42" i="2" s="1"/>
  <c r="AB42" i="2" s="1"/>
  <c r="AG42" i="2" s="1"/>
  <c r="AL42" i="2" s="1"/>
  <c r="AQ42" i="2" s="1"/>
  <c r="L42" i="2"/>
  <c r="Q42" i="2" s="1"/>
  <c r="V42" i="2" s="1"/>
  <c r="AA42" i="2" s="1"/>
  <c r="AF42" i="2" s="1"/>
  <c r="AK42" i="2" s="1"/>
  <c r="AP42" i="2" s="1"/>
  <c r="O41" i="2"/>
  <c r="T41" i="2" s="1"/>
  <c r="Y41" i="2" s="1"/>
  <c r="N41" i="2"/>
  <c r="S41" i="2" s="1"/>
  <c r="X41" i="2" s="1"/>
  <c r="M41" i="2"/>
  <c r="R41" i="2" s="1"/>
  <c r="W41" i="2" s="1"/>
  <c r="AB41" i="2" s="1"/>
  <c r="AG41" i="2" s="1"/>
  <c r="AL41" i="2" s="1"/>
  <c r="L41" i="2"/>
  <c r="Q41" i="2" s="1"/>
  <c r="V41" i="2" s="1"/>
  <c r="K41" i="2"/>
  <c r="P41" i="2" s="1"/>
  <c r="U41" i="2" s="1"/>
  <c r="Z41" i="2" s="1"/>
  <c r="AE41" i="2" s="1"/>
  <c r="AJ41" i="2" s="1"/>
  <c r="AO41" i="2" s="1"/>
  <c r="AT41" i="2" s="1"/>
  <c r="AY41" i="2" s="1"/>
  <c r="BD41" i="2" s="1"/>
  <c r="BI41" i="2" s="1"/>
  <c r="BN41" i="2" s="1"/>
  <c r="O40" i="2"/>
  <c r="T40" i="2" s="1"/>
  <c r="Y40" i="2" s="1"/>
  <c r="N40" i="2"/>
  <c r="S40" i="2" s="1"/>
  <c r="X40" i="2" s="1"/>
  <c r="AC40" i="2" s="1"/>
  <c r="M40" i="2"/>
  <c r="R40" i="2" s="1"/>
  <c r="W40" i="2" s="1"/>
  <c r="AB40" i="2" s="1"/>
  <c r="AG40" i="2" s="1"/>
  <c r="AL40" i="2" s="1"/>
  <c r="L40" i="2"/>
  <c r="Q40" i="2" s="1"/>
  <c r="V40" i="2" s="1"/>
  <c r="K40" i="2"/>
  <c r="P40" i="2" s="1"/>
  <c r="U40" i="2" s="1"/>
  <c r="Z40" i="2" s="1"/>
  <c r="AE40" i="2" s="1"/>
  <c r="AJ40" i="2" s="1"/>
  <c r="AO40" i="2" s="1"/>
  <c r="AT40" i="2" s="1"/>
  <c r="AY40" i="2" s="1"/>
  <c r="BD40" i="2" s="1"/>
  <c r="BI40" i="2" s="1"/>
  <c r="BN40" i="2" s="1"/>
  <c r="O39" i="2"/>
  <c r="T39" i="2" s="1"/>
  <c r="N39" i="2"/>
  <c r="S39" i="2" s="1"/>
  <c r="M39" i="2"/>
  <c r="R39" i="2" s="1"/>
  <c r="R43" i="2" s="1"/>
  <c r="W43" i="2" s="1"/>
  <c r="AB43" i="2" s="1"/>
  <c r="AG43" i="2" s="1"/>
  <c r="AL43" i="2" s="1"/>
  <c r="AQ43" i="2" s="1"/>
  <c r="AV43" i="2" s="1"/>
  <c r="BA43" i="2" s="1"/>
  <c r="BF43" i="2" s="1"/>
  <c r="BK43" i="2" s="1"/>
  <c r="L39" i="2"/>
  <c r="Q39" i="2" s="1"/>
  <c r="V39" i="2" s="1"/>
  <c r="AA39" i="2" s="1"/>
  <c r="AF39" i="2" s="1"/>
  <c r="AK39" i="2" s="1"/>
  <c r="AP39" i="2" s="1"/>
  <c r="AU39" i="2" s="1"/>
  <c r="AZ39" i="2" s="1"/>
  <c r="BE39" i="2" s="1"/>
  <c r="K39" i="2"/>
  <c r="P39" i="2" s="1"/>
  <c r="U39" i="2" s="1"/>
  <c r="U43" i="2" s="1"/>
  <c r="Z43" i="2" s="1"/>
  <c r="AE43" i="2" s="1"/>
  <c r="AJ43" i="2" s="1"/>
  <c r="AO43" i="2" s="1"/>
  <c r="AT43" i="2" s="1"/>
  <c r="AY43" i="2" s="1"/>
  <c r="BD43" i="2" s="1"/>
  <c r="BI43" i="2" s="1"/>
  <c r="BN43" i="2" s="1"/>
  <c r="O31" i="2"/>
  <c r="T31" i="2" s="1"/>
  <c r="Y31" i="2" s="1"/>
  <c r="AD31" i="2" s="1"/>
  <c r="AI31" i="2" s="1"/>
  <c r="AN31" i="2" s="1"/>
  <c r="N31" i="2"/>
  <c r="S31" i="2" s="1"/>
  <c r="X31" i="2" s="1"/>
  <c r="AC31" i="2" s="1"/>
  <c r="AH31" i="2" s="1"/>
  <c r="AM31" i="2" s="1"/>
  <c r="M31" i="2"/>
  <c r="R31" i="2" s="1"/>
  <c r="W31" i="2" s="1"/>
  <c r="AB31" i="2" s="1"/>
  <c r="AG31" i="2" s="1"/>
  <c r="AL31" i="2" s="1"/>
  <c r="L31" i="2"/>
  <c r="Q31" i="2" s="1"/>
  <c r="V31" i="2" s="1"/>
  <c r="AA31" i="2" s="1"/>
  <c r="AF31" i="2" s="1"/>
  <c r="AK31" i="2" s="1"/>
  <c r="AP31" i="2" s="1"/>
  <c r="AU31" i="2" s="1"/>
  <c r="K31" i="2"/>
  <c r="P31" i="2" s="1"/>
  <c r="U31" i="2" s="1"/>
  <c r="Z31" i="2" s="1"/>
  <c r="AE31" i="2" s="1"/>
  <c r="O30" i="2"/>
  <c r="T30" i="2" s="1"/>
  <c r="Y30" i="2" s="1"/>
  <c r="AD30" i="2" s="1"/>
  <c r="AI30" i="2" s="1"/>
  <c r="AN30" i="2" s="1"/>
  <c r="N30" i="2"/>
  <c r="S30" i="2" s="1"/>
  <c r="X30" i="2" s="1"/>
  <c r="AC30" i="2" s="1"/>
  <c r="AH30" i="2" s="1"/>
  <c r="AM30" i="2" s="1"/>
  <c r="M30" i="2"/>
  <c r="R30" i="2" s="1"/>
  <c r="W30" i="2" s="1"/>
  <c r="AB30" i="2" s="1"/>
  <c r="AG30" i="2" s="1"/>
  <c r="AL30" i="2" s="1"/>
  <c r="L30" i="2"/>
  <c r="Q30" i="2" s="1"/>
  <c r="V30" i="2" s="1"/>
  <c r="AA30" i="2" s="1"/>
  <c r="AF30" i="2" s="1"/>
  <c r="AK30" i="2" s="1"/>
  <c r="AP30" i="2"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O28" i="2"/>
  <c r="T28" i="2" s="1"/>
  <c r="N28" i="2"/>
  <c r="S28" i="2" s="1"/>
  <c r="M28" i="2"/>
  <c r="R28" i="2" s="1"/>
  <c r="L28" i="2"/>
  <c r="Q28" i="2" s="1"/>
  <c r="K28" i="2"/>
  <c r="P28" i="2" s="1"/>
  <c r="U28" i="2" s="1"/>
  <c r="G20" i="2"/>
  <c r="J20" i="2" s="1"/>
  <c r="M20" i="2" s="1"/>
  <c r="P20" i="2" s="1"/>
  <c r="S20" i="2" s="1"/>
  <c r="V20" i="2" s="1"/>
  <c r="Y20" i="2" s="1"/>
  <c r="F20" i="2"/>
  <c r="I20" i="2" s="1"/>
  <c r="L20" i="2" s="1"/>
  <c r="O20" i="2" s="1"/>
  <c r="R20" i="2" s="1"/>
  <c r="U20" i="2" s="1"/>
  <c r="X20" i="2" s="1"/>
  <c r="AA20" i="2" s="1"/>
  <c r="AD20" i="2" s="1"/>
  <c r="E20" i="2"/>
  <c r="H20" i="2" s="1"/>
  <c r="K20" i="2" s="1"/>
  <c r="N20" i="2" s="1"/>
  <c r="Q20" i="2" s="1"/>
  <c r="T20" i="2" s="1"/>
  <c r="W20" i="2" s="1"/>
  <c r="Z20" i="2" s="1"/>
  <c r="AC20" i="2" s="1"/>
  <c r="AF20" i="2" s="1"/>
  <c r="G19" i="2"/>
  <c r="J19" i="2" s="1"/>
  <c r="M19" i="2" s="1"/>
  <c r="P19" i="2" s="1"/>
  <c r="S19" i="2" s="1"/>
  <c r="V19" i="2" s="1"/>
  <c r="Y19" i="2" s="1"/>
  <c r="F19" i="2"/>
  <c r="I19" i="2" s="1"/>
  <c r="L19" i="2" s="1"/>
  <c r="O19" i="2" s="1"/>
  <c r="R19" i="2" s="1"/>
  <c r="U19" i="2" s="1"/>
  <c r="X19" i="2" s="1"/>
  <c r="AA19" i="2" s="1"/>
  <c r="AD19" i="2" s="1"/>
  <c r="AG19" i="2" s="1"/>
  <c r="E19" i="2"/>
  <c r="H19" i="2" s="1"/>
  <c r="K19" i="2" s="1"/>
  <c r="N19" i="2" s="1"/>
  <c r="Q19" i="2" s="1"/>
  <c r="T19" i="2" s="1"/>
  <c r="W19" i="2" s="1"/>
  <c r="Z19" i="2" s="1"/>
  <c r="AC19" i="2" s="1"/>
  <c r="AF19" i="2" s="1"/>
  <c r="AI19" i="2" s="1"/>
  <c r="G18" i="2"/>
  <c r="J18" i="2" s="1"/>
  <c r="M18" i="2" s="1"/>
  <c r="P18" i="2" s="1"/>
  <c r="S18" i="2" s="1"/>
  <c r="V18" i="2" s="1"/>
  <c r="Y18" i="2" s="1"/>
  <c r="F18" i="2"/>
  <c r="I18" i="2" s="1"/>
  <c r="L18" i="2" s="1"/>
  <c r="O18" i="2" s="1"/>
  <c r="R18" i="2" s="1"/>
  <c r="U18" i="2" s="1"/>
  <c r="X18" i="2" s="1"/>
  <c r="AA18" i="2" s="1"/>
  <c r="AD18" i="2" s="1"/>
  <c r="E18" i="2"/>
  <c r="H18" i="2" s="1"/>
  <c r="K18" i="2" s="1"/>
  <c r="N18" i="2" s="1"/>
  <c r="Q18" i="2" s="1"/>
  <c r="T18" i="2" s="1"/>
  <c r="W18" i="2" s="1"/>
  <c r="Z18" i="2" s="1"/>
  <c r="AC18" i="2" s="1"/>
  <c r="AF18" i="2" s="1"/>
  <c r="G17" i="2"/>
  <c r="J17" i="2" s="1"/>
  <c r="M17" i="2" s="1"/>
  <c r="P17" i="2" s="1"/>
  <c r="S17" i="2" s="1"/>
  <c r="V17" i="2" s="1"/>
  <c r="Y17" i="2" s="1"/>
  <c r="F17" i="2"/>
  <c r="I17" i="2" s="1"/>
  <c r="L17" i="2" s="1"/>
  <c r="O17" i="2" s="1"/>
  <c r="R17" i="2" s="1"/>
  <c r="U17" i="2" s="1"/>
  <c r="X17" i="2" s="1"/>
  <c r="AA17" i="2" s="1"/>
  <c r="AD17" i="2" s="1"/>
  <c r="E17" i="2"/>
  <c r="H17" i="2" s="1"/>
  <c r="K17" i="2" s="1"/>
  <c r="N17" i="2" s="1"/>
  <c r="Q17" i="2" s="1"/>
  <c r="T17" i="2" s="1"/>
  <c r="W17" i="2" s="1"/>
  <c r="Z17" i="2" s="1"/>
  <c r="G16" i="2"/>
  <c r="J16" i="2" s="1"/>
  <c r="M16" i="2" s="1"/>
  <c r="P16" i="2" s="1"/>
  <c r="S16" i="2" s="1"/>
  <c r="V16" i="2" s="1"/>
  <c r="Y16" i="2" s="1"/>
  <c r="F16" i="2"/>
  <c r="I16" i="2" s="1"/>
  <c r="L16" i="2" s="1"/>
  <c r="O16" i="2" s="1"/>
  <c r="R16" i="2" s="1"/>
  <c r="U16" i="2" s="1"/>
  <c r="X16" i="2" s="1"/>
  <c r="AA16" i="2" s="1"/>
  <c r="AD16" i="2" s="1"/>
  <c r="E16" i="2"/>
  <c r="H16" i="2" s="1"/>
  <c r="K16" i="2" s="1"/>
  <c r="N16" i="2" s="1"/>
  <c r="Q16" i="2" s="1"/>
  <c r="T16" i="2" s="1"/>
  <c r="W16" i="2" s="1"/>
  <c r="G15" i="2"/>
  <c r="J15" i="2" s="1"/>
  <c r="M15" i="2" s="1"/>
  <c r="P15" i="2" s="1"/>
  <c r="S15" i="2" s="1"/>
  <c r="V15" i="2" s="1"/>
  <c r="Y15" i="2" s="1"/>
  <c r="F15" i="2"/>
  <c r="I15" i="2" s="1"/>
  <c r="L15" i="2" s="1"/>
  <c r="O15" i="2" s="1"/>
  <c r="R15" i="2" s="1"/>
  <c r="U15" i="2" s="1"/>
  <c r="X15" i="2" s="1"/>
  <c r="AA15" i="2" s="1"/>
  <c r="AD15" i="2" s="1"/>
  <c r="H15" i="2"/>
  <c r="K15" i="2" s="1"/>
  <c r="N15" i="2" s="1"/>
  <c r="Q15" i="2" s="1"/>
  <c r="T15" i="2" s="1"/>
  <c r="W15" i="2" s="1"/>
  <c r="Z15" i="2" s="1"/>
  <c r="AC15" i="2" s="1"/>
  <c r="AF15" i="2" s="1"/>
  <c r="AI15" i="2" s="1"/>
  <c r="G14" i="2"/>
  <c r="J14" i="2" s="1"/>
  <c r="M14" i="2" s="1"/>
  <c r="P14" i="2" s="1"/>
  <c r="S14" i="2" s="1"/>
  <c r="V14" i="2" s="1"/>
  <c r="Y14" i="2" s="1"/>
  <c r="F14" i="2"/>
  <c r="I14" i="2" s="1"/>
  <c r="L14" i="2" s="1"/>
  <c r="O14" i="2" s="1"/>
  <c r="R14" i="2" s="1"/>
  <c r="U14" i="2" s="1"/>
  <c r="X14" i="2" s="1"/>
  <c r="AA14" i="2" s="1"/>
  <c r="AD14" i="2" s="1"/>
  <c r="E14" i="2"/>
  <c r="H14" i="2" s="1"/>
  <c r="K14" i="2" s="1"/>
  <c r="N14" i="2" s="1"/>
  <c r="Q14" i="2" s="1"/>
  <c r="T14" i="2" s="1"/>
  <c r="W14" i="2" s="1"/>
  <c r="Z14" i="2" s="1"/>
  <c r="AC14" i="2" s="1"/>
  <c r="AF14" i="2" s="1"/>
  <c r="G13" i="2"/>
  <c r="J13" i="2" s="1"/>
  <c r="M13" i="2" s="1"/>
  <c r="F13" i="2"/>
  <c r="I13" i="2" s="1"/>
  <c r="L13" i="2" s="1"/>
  <c r="E13" i="2"/>
  <c r="H13" i="2" s="1"/>
  <c r="K13" i="2" s="1"/>
  <c r="N13" i="2" s="1"/>
  <c r="Q13" i="2" s="1"/>
  <c r="T13" i="2" s="1"/>
  <c r="AR18" i="2" l="1"/>
  <c r="AI18" i="2"/>
  <c r="AS19" i="2"/>
  <c r="AJ19" i="2"/>
  <c r="AR14" i="2"/>
  <c r="AI14" i="2"/>
  <c r="AR20" i="2"/>
  <c r="AI20" i="2"/>
  <c r="AM52" i="2"/>
  <c r="AL57" i="2"/>
  <c r="BL39" i="2"/>
  <c r="BM39" i="2" s="1"/>
  <c r="I14" i="9"/>
  <c r="H14" i="9"/>
  <c r="D14" i="9"/>
  <c r="G14" i="9"/>
  <c r="F14" i="9"/>
  <c r="E14" i="9"/>
  <c r="C14" i="9"/>
  <c r="AZ31" i="2"/>
  <c r="AG16" i="2"/>
  <c r="AJ16" i="2" s="1"/>
  <c r="AG54" i="2"/>
  <c r="W13" i="2"/>
  <c r="Z13" i="2" s="1"/>
  <c r="W4" i="2"/>
  <c r="AD41" i="2"/>
  <c r="AI41" i="2" s="1"/>
  <c r="AN41" i="2" s="1"/>
  <c r="Z16" i="2"/>
  <c r="AC16" i="2" s="1"/>
  <c r="AF16" i="2" s="1"/>
  <c r="H17" i="34"/>
  <c r="H21" i="34" s="1"/>
  <c r="H13" i="23"/>
  <c r="AV42" i="2"/>
  <c r="BA42" i="2" s="1"/>
  <c r="BF42" i="2" s="1"/>
  <c r="BK42" i="2" s="1"/>
  <c r="C39" i="19"/>
  <c r="AI54" i="2"/>
  <c r="AJ57" i="2"/>
  <c r="AM57" i="2" s="1"/>
  <c r="AU42" i="2"/>
  <c r="AZ42" i="2" s="1"/>
  <c r="BE42" i="2" s="1"/>
  <c r="BJ42" i="2" s="1"/>
  <c r="C85" i="12"/>
  <c r="C61" i="12"/>
  <c r="BG39" i="2"/>
  <c r="Z52" i="2"/>
  <c r="AC52" i="2" s="1"/>
  <c r="AD40" i="2"/>
  <c r="AI40" i="2" s="1"/>
  <c r="AN40" i="2" s="1"/>
  <c r="AU30" i="2"/>
  <c r="AZ30" i="2" s="1"/>
  <c r="BE30" i="2" s="1"/>
  <c r="AA50" i="2"/>
  <c r="AD50" i="2" s="1"/>
  <c r="AG17" i="2"/>
  <c r="AJ17" i="2" s="1"/>
  <c r="AG14" i="2"/>
  <c r="AJ14" i="2" s="1"/>
  <c r="AC41" i="2"/>
  <c r="AH41" i="2" s="1"/>
  <c r="AM41" i="2" s="1"/>
  <c r="AR19" i="2"/>
  <c r="AG20" i="2"/>
  <c r="AJ20" i="2" s="1"/>
  <c r="AC17" i="2"/>
  <c r="AF17" i="2" s="1"/>
  <c r="C38" i="19"/>
  <c r="AG18" i="2"/>
  <c r="AJ18" i="2" s="1"/>
  <c r="AR15" i="2"/>
  <c r="AG15" i="2"/>
  <c r="AC53" i="2"/>
  <c r="AF53" i="2" s="1"/>
  <c r="C37" i="19"/>
  <c r="D13" i="20"/>
  <c r="AG53" i="2"/>
  <c r="AT45" i="2"/>
  <c r="AA40" i="2"/>
  <c r="AF40" i="2" s="1"/>
  <c r="AK40" i="2" s="1"/>
  <c r="AP40" i="2" s="1"/>
  <c r="AU40" i="2" s="1"/>
  <c r="AZ40" i="2" s="1"/>
  <c r="BE40" i="2" s="1"/>
  <c r="AH40" i="2"/>
  <c r="AM40" i="2" s="1"/>
  <c r="AA29" i="2"/>
  <c r="AF29" i="2" s="1"/>
  <c r="AK29" i="2" s="1"/>
  <c r="AP29" i="2" s="1"/>
  <c r="AA41" i="2"/>
  <c r="AF41" i="2" s="1"/>
  <c r="AK41" i="2" s="1"/>
  <c r="AP41" i="2" s="1"/>
  <c r="AU41" i="2" s="1"/>
  <c r="AZ41" i="2" s="1"/>
  <c r="BE41" i="2" s="1"/>
  <c r="BJ41" i="2" s="1"/>
  <c r="T32" i="2"/>
  <c r="Y32" i="2" s="1"/>
  <c r="AD32" i="2" s="1"/>
  <c r="AI32" i="2" s="1"/>
  <c r="AN32" i="2" s="1"/>
  <c r="Y28" i="2"/>
  <c r="AD28" i="2" s="1"/>
  <c r="AI28" i="2" s="1"/>
  <c r="AN28" i="2" s="1"/>
  <c r="K21" i="2"/>
  <c r="N21" i="2" s="1"/>
  <c r="Q21" i="2" s="1"/>
  <c r="T21" i="2" s="1"/>
  <c r="W21" i="2" s="1"/>
  <c r="Z21" i="2" s="1"/>
  <c r="AC21" i="2" s="1"/>
  <c r="V28" i="2"/>
  <c r="AA28" i="2" s="1"/>
  <c r="AF28" i="2" s="1"/>
  <c r="AK28" i="2" s="1"/>
  <c r="AP28" i="2" s="1"/>
  <c r="AU28" i="2" s="1"/>
  <c r="AZ28" i="2" s="1"/>
  <c r="BE28" i="2" s="1"/>
  <c r="BJ28" i="2" s="1"/>
  <c r="Q32" i="2"/>
  <c r="V32" i="2" s="1"/>
  <c r="AA32" i="2" s="1"/>
  <c r="AF32" i="2" s="1"/>
  <c r="AK32" i="2" s="1"/>
  <c r="AP32" i="2" s="1"/>
  <c r="AU32" i="2" s="1"/>
  <c r="AZ32" i="2" s="1"/>
  <c r="BE32" i="2"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AX43" i="2" s="1"/>
  <c r="BC43" i="2" s="1"/>
  <c r="BH43" i="2" s="1"/>
  <c r="Y39" i="2"/>
  <c r="AD39" i="2" s="1"/>
  <c r="AI39" i="2" s="1"/>
  <c r="AN39" i="2" s="1"/>
  <c r="AS39" i="2" s="1"/>
  <c r="AX39" i="2" s="1"/>
  <c r="BC39" i="2" s="1"/>
  <c r="BH39" i="2" s="1"/>
  <c r="W28" i="2"/>
  <c r="AB28" i="2" s="1"/>
  <c r="AG28" i="2" s="1"/>
  <c r="AL28" i="2" s="1"/>
  <c r="R32" i="2"/>
  <c r="W32" i="2" s="1"/>
  <c r="AB32" i="2" s="1"/>
  <c r="AG32" i="2" s="1"/>
  <c r="AL32" i="2" s="1"/>
  <c r="Z28" i="2"/>
  <c r="AE28" i="2" s="1"/>
  <c r="U32" i="2"/>
  <c r="Z32" i="2" s="1"/>
  <c r="AE32" i="2" s="1"/>
  <c r="O13" i="2"/>
  <c r="R13" i="2" s="1"/>
  <c r="U13" i="2" s="1"/>
  <c r="X13" i="2" s="1"/>
  <c r="AA13" i="2" s="1"/>
  <c r="AD13" i="2" s="1"/>
  <c r="L21" i="2"/>
  <c r="O21" i="2" s="1"/>
  <c r="R21" i="2" s="1"/>
  <c r="U21" i="2" s="1"/>
  <c r="X21" i="2" s="1"/>
  <c r="AA21" i="2" s="1"/>
  <c r="AD21" i="2" s="1"/>
  <c r="AG21" i="2" s="1"/>
  <c r="AJ21" i="2" s="1"/>
  <c r="S43" i="2"/>
  <c r="X43" i="2" s="1"/>
  <c r="AC43" i="2" s="1"/>
  <c r="AH43" i="2" s="1"/>
  <c r="AM43" i="2" s="1"/>
  <c r="AR43" i="2" s="1"/>
  <c r="AW43" i="2" s="1"/>
  <c r="BB43" i="2" s="1"/>
  <c r="X39" i="2"/>
  <c r="AC39" i="2" s="1"/>
  <c r="AH39" i="2" s="1"/>
  <c r="AM39" i="2" s="1"/>
  <c r="AR39" i="2" s="1"/>
  <c r="AW39" i="2" s="1"/>
  <c r="BB39" i="2" s="1"/>
  <c r="W39" i="2"/>
  <c r="AB39" i="2" s="1"/>
  <c r="AG39" i="2" s="1"/>
  <c r="AL39" i="2" s="1"/>
  <c r="AQ39" i="2" s="1"/>
  <c r="AV39" i="2" s="1"/>
  <c r="BA39" i="2" s="1"/>
  <c r="BF39" i="2" s="1"/>
  <c r="BK39" i="2" s="1"/>
  <c r="Q43" i="2"/>
  <c r="V43" i="2" s="1"/>
  <c r="AA43" i="2" s="1"/>
  <c r="AF43" i="2" s="1"/>
  <c r="AK43" i="2" s="1"/>
  <c r="AP43" i="2" s="1"/>
  <c r="AU43" i="2" s="1"/>
  <c r="AZ43" i="2" s="1"/>
  <c r="BE43" i="2" s="1"/>
  <c r="BJ43" i="2" s="1"/>
  <c r="Z39" i="2"/>
  <c r="AE39" i="2" s="1"/>
  <c r="AJ39" i="2" s="1"/>
  <c r="AO39" i="2" s="1"/>
  <c r="AT39" i="2" s="1"/>
  <c r="AY39" i="2" s="1"/>
  <c r="BD39" i="2" s="1"/>
  <c r="BI39" i="2" s="1"/>
  <c r="BN39" i="2" s="1"/>
  <c r="AR16" i="2" l="1"/>
  <c r="AI16" i="2"/>
  <c r="AR17" i="2"/>
  <c r="AI17" i="2"/>
  <c r="AS15" i="2"/>
  <c r="AJ15" i="2"/>
  <c r="BJ32" i="2"/>
  <c r="C14" i="19"/>
  <c r="E14" i="19" s="1"/>
  <c r="F14" i="19" s="1"/>
  <c r="C39" i="12"/>
  <c r="C14" i="12"/>
  <c r="C15" i="19"/>
  <c r="BL42" i="2"/>
  <c r="BM42" i="2" s="1"/>
  <c r="E14" i="17"/>
  <c r="BJ30" i="2"/>
  <c r="C17" i="20"/>
  <c r="C21" i="20" s="1"/>
  <c r="AL54" i="2"/>
  <c r="BL43" i="2"/>
  <c r="BM43" i="2" s="1"/>
  <c r="C14" i="15"/>
  <c r="M14" i="15" s="1"/>
  <c r="O14" i="15" s="1"/>
  <c r="AU29" i="2"/>
  <c r="AZ29" i="2" s="1"/>
  <c r="BE29" i="2" s="1"/>
  <c r="BJ29" i="2" s="1"/>
  <c r="AJ54" i="2"/>
  <c r="AS20" i="2"/>
  <c r="AS17" i="2"/>
  <c r="H63" i="19"/>
  <c r="G39" i="19"/>
  <c r="D39" i="19"/>
  <c r="AF52" i="2"/>
  <c r="AF21" i="2"/>
  <c r="D37" i="19"/>
  <c r="G37" i="19"/>
  <c r="C41" i="19"/>
  <c r="C45" i="19" s="1"/>
  <c r="AJ53" i="2"/>
  <c r="AM53" i="2" s="1"/>
  <c r="AI53" i="2"/>
  <c r="G61" i="12"/>
  <c r="H61" i="12"/>
  <c r="E61" i="12"/>
  <c r="G38" i="19"/>
  <c r="D38" i="19"/>
  <c r="BG43" i="2"/>
  <c r="C21" i="10"/>
  <c r="H85" i="12"/>
  <c r="G85" i="12"/>
  <c r="E85" i="12"/>
  <c r="AS16" i="2"/>
  <c r="AG50" i="2"/>
  <c r="F14" i="11"/>
  <c r="D14" i="11"/>
  <c r="E14" i="11"/>
  <c r="C14" i="11"/>
  <c r="AS14" i="2"/>
  <c r="BG42" i="2"/>
  <c r="AS21" i="2"/>
  <c r="AS18" i="2"/>
  <c r="W5" i="2"/>
  <c r="W6" i="2" s="1"/>
  <c r="X5" i="2"/>
  <c r="AG13" i="2"/>
  <c r="AJ13" i="2" s="1"/>
  <c r="N13" i="15"/>
  <c r="F17" i="10"/>
  <c r="D15" i="20"/>
  <c r="AC13" i="2"/>
  <c r="AF13" i="2" s="1"/>
  <c r="C60" i="12"/>
  <c r="C84" i="12"/>
  <c r="BE31" i="2"/>
  <c r="BJ31" i="2" s="1"/>
  <c r="G13" i="20"/>
  <c r="E13" i="20"/>
  <c r="F13" i="20" s="1"/>
  <c r="D14" i="19" l="1"/>
  <c r="D16" i="17"/>
  <c r="E16" i="17"/>
  <c r="F16" i="17" s="1"/>
  <c r="G17" i="10"/>
  <c r="G21" i="10" s="1"/>
  <c r="D17" i="10"/>
  <c r="D21" i="10" s="1"/>
  <c r="G39" i="12"/>
  <c r="C37" i="28"/>
  <c r="E37" i="28" s="1"/>
  <c r="AR21" i="2"/>
  <c r="AI21" i="2"/>
  <c r="G14" i="19"/>
  <c r="AI13" i="2"/>
  <c r="D37" i="28"/>
  <c r="D14" i="17"/>
  <c r="C15" i="11"/>
  <c r="E15" i="11"/>
  <c r="C17" i="34"/>
  <c r="C21" i="34" s="1"/>
  <c r="AL53" i="2"/>
  <c r="E14" i="34"/>
  <c r="F14" i="34" s="1"/>
  <c r="H14" i="19"/>
  <c r="C63" i="19"/>
  <c r="H38" i="28"/>
  <c r="G38" i="28"/>
  <c r="D13" i="9"/>
  <c r="G13" i="9"/>
  <c r="F13" i="9"/>
  <c r="I15" i="9"/>
  <c r="E13" i="9"/>
  <c r="AM54" i="2"/>
  <c r="F21" i="10"/>
  <c r="D39" i="12"/>
  <c r="H39" i="12"/>
  <c r="E39" i="12"/>
  <c r="F39" i="12" s="1"/>
  <c r="F14" i="15"/>
  <c r="G14" i="15" s="1"/>
  <c r="H17" i="20"/>
  <c r="H21" i="20" s="1"/>
  <c r="I61" i="12"/>
  <c r="D14" i="23"/>
  <c r="H14" i="23"/>
  <c r="H16" i="23" s="1"/>
  <c r="H20" i="23" s="1"/>
  <c r="E14" i="23"/>
  <c r="F14" i="23" s="1"/>
  <c r="D13" i="23"/>
  <c r="E13" i="23"/>
  <c r="F13" i="23" s="1"/>
  <c r="F16" i="23" s="1"/>
  <c r="F20" i="23" s="1"/>
  <c r="AS13" i="2"/>
  <c r="M13" i="15"/>
  <c r="M16" i="15" s="1"/>
  <c r="M20" i="15" s="1"/>
  <c r="D14" i="34"/>
  <c r="AI52" i="2"/>
  <c r="D17" i="20"/>
  <c r="D21" i="20" s="1"/>
  <c r="D14" i="15"/>
  <c r="E14" i="15"/>
  <c r="L14" i="15" s="1"/>
  <c r="I14" i="15"/>
  <c r="H14" i="17"/>
  <c r="G14" i="17"/>
  <c r="G14" i="11"/>
  <c r="H13" i="10"/>
  <c r="H21" i="10" s="1"/>
  <c r="D41" i="19"/>
  <c r="D45" i="19" s="1"/>
  <c r="D14" i="12"/>
  <c r="E14" i="12"/>
  <c r="F14" i="12" s="1"/>
  <c r="G14" i="12"/>
  <c r="H14" i="12"/>
  <c r="K14" i="15"/>
  <c r="H14" i="15"/>
  <c r="J14" i="15" s="1"/>
  <c r="H14" i="11"/>
  <c r="E84" i="12"/>
  <c r="E87" i="12" s="1"/>
  <c r="E91" i="12" s="1"/>
  <c r="G84" i="12"/>
  <c r="G87" i="12" s="1"/>
  <c r="G91" i="12" s="1"/>
  <c r="C87" i="12"/>
  <c r="C91" i="12" s="1"/>
  <c r="AJ50" i="2"/>
  <c r="C63" i="12"/>
  <c r="C67" i="12" s="1"/>
  <c r="G60" i="12"/>
  <c r="G63" i="12" s="1"/>
  <c r="G67" i="12" s="1"/>
  <c r="E60" i="12"/>
  <c r="E63" i="12" s="1"/>
  <c r="E67" i="12" s="1"/>
  <c r="E15" i="19"/>
  <c r="F15" i="19" s="1"/>
  <c r="G15" i="19"/>
  <c r="D15" i="19"/>
  <c r="H15" i="19" s="1"/>
  <c r="C64" i="19"/>
  <c r="H62" i="19"/>
  <c r="G13" i="28"/>
  <c r="H13" i="28"/>
  <c r="F14" i="17"/>
  <c r="C13" i="12"/>
  <c r="C13" i="9"/>
  <c r="E17" i="10"/>
  <c r="E21" i="10" s="1"/>
  <c r="I85" i="12"/>
  <c r="G17" i="34"/>
  <c r="G21" i="34" s="1"/>
  <c r="D15" i="34"/>
  <c r="Q14" i="15"/>
  <c r="N14" i="15"/>
  <c r="N16" i="15" s="1"/>
  <c r="N20" i="15" s="1"/>
  <c r="C16" i="23"/>
  <c r="C20" i="23" s="1"/>
  <c r="G15" i="20"/>
  <c r="E15" i="20"/>
  <c r="F15" i="20" s="1"/>
  <c r="E15" i="34"/>
  <c r="E13" i="19" l="1"/>
  <c r="D13" i="19"/>
  <c r="G18" i="17"/>
  <c r="G22" i="17" s="1"/>
  <c r="G17" i="19"/>
  <c r="G21" i="19" s="1"/>
  <c r="C38" i="12"/>
  <c r="G38" i="12" s="1"/>
  <c r="G40" i="12" s="1"/>
  <c r="G44" i="12" s="1"/>
  <c r="C13" i="21"/>
  <c r="C62" i="19"/>
  <c r="G62" i="19" s="1"/>
  <c r="I21" i="34"/>
  <c r="C17" i="19"/>
  <c r="C21" i="19" s="1"/>
  <c r="AM50" i="2"/>
  <c r="AL52" i="2"/>
  <c r="G63" i="19"/>
  <c r="I63" i="19"/>
  <c r="D63" i="19"/>
  <c r="E63" i="19"/>
  <c r="F63" i="19" s="1"/>
  <c r="I14" i="12"/>
  <c r="I39" i="12"/>
  <c r="G16" i="23"/>
  <c r="G20" i="23" s="1"/>
  <c r="P14" i="15"/>
  <c r="D17" i="34"/>
  <c r="D21" i="34" s="1"/>
  <c r="D17" i="19"/>
  <c r="D21" i="19" s="1"/>
  <c r="F15" i="9"/>
  <c r="F20" i="9" s="1"/>
  <c r="C15" i="9"/>
  <c r="C20" i="9" s="1"/>
  <c r="D15" i="11"/>
  <c r="D16" i="23"/>
  <c r="D20" i="23" s="1"/>
  <c r="E16" i="28"/>
  <c r="E20" i="28" s="1"/>
  <c r="C16" i="28"/>
  <c r="C20" i="28" s="1"/>
  <c r="C38" i="28"/>
  <c r="E16" i="23"/>
  <c r="E20" i="23" s="1"/>
  <c r="D13" i="15"/>
  <c r="D16" i="15" s="1"/>
  <c r="D20" i="15" s="1"/>
  <c r="I13" i="15"/>
  <c r="I16" i="15" s="1"/>
  <c r="I20" i="15" s="1"/>
  <c r="O13" i="15"/>
  <c r="O16" i="15" s="1"/>
  <c r="O20" i="15" s="1"/>
  <c r="E13" i="15"/>
  <c r="K13" i="15"/>
  <c r="K16" i="15" s="1"/>
  <c r="K20" i="15" s="1"/>
  <c r="H13" i="15"/>
  <c r="C16" i="15"/>
  <c r="C20" i="15" s="1"/>
  <c r="F13" i="15"/>
  <c r="Q13" i="15"/>
  <c r="Q16" i="15" s="1"/>
  <c r="Q20" i="15" s="1"/>
  <c r="D64" i="19"/>
  <c r="H64" i="19" s="1"/>
  <c r="H66" i="19" s="1"/>
  <c r="H70" i="19" s="1"/>
  <c r="E64" i="19"/>
  <c r="F64" i="19" s="1"/>
  <c r="G64" i="19"/>
  <c r="I64" i="19" s="1"/>
  <c r="H13" i="12"/>
  <c r="H16" i="12" s="1"/>
  <c r="H20" i="12" s="1"/>
  <c r="I20" i="9"/>
  <c r="H15" i="9"/>
  <c r="H20" i="9" s="1"/>
  <c r="E38" i="12"/>
  <c r="F38" i="12" s="1"/>
  <c r="F40" i="12" s="1"/>
  <c r="F44" i="12" s="1"/>
  <c r="H37" i="28"/>
  <c r="H40" i="28" s="1"/>
  <c r="H44" i="28" s="1"/>
  <c r="H16" i="28"/>
  <c r="H20" i="28" s="1"/>
  <c r="H17" i="19"/>
  <c r="H21" i="19" s="1"/>
  <c r="F13" i="19"/>
  <c r="F17" i="19" s="1"/>
  <c r="F21" i="19" s="1"/>
  <c r="E17" i="19"/>
  <c r="E21" i="19" s="1"/>
  <c r="C17" i="11"/>
  <c r="C21" i="11" s="1"/>
  <c r="C40" i="12"/>
  <c r="C44" i="12" s="1"/>
  <c r="G37" i="28"/>
  <c r="G40" i="28" s="1"/>
  <c r="G44" i="28" s="1"/>
  <c r="G16" i="28"/>
  <c r="G20" i="28" s="1"/>
  <c r="D13" i="12"/>
  <c r="D16" i="12" s="1"/>
  <c r="D20" i="12" s="1"/>
  <c r="G13" i="12"/>
  <c r="G16" i="12" s="1"/>
  <c r="G20" i="12" s="1"/>
  <c r="C16" i="12"/>
  <c r="C20" i="12" s="1"/>
  <c r="E13" i="12"/>
  <c r="H15" i="11"/>
  <c r="H17" i="11" s="1"/>
  <c r="H21" i="11" s="1"/>
  <c r="F15" i="11"/>
  <c r="F17" i="11" s="1"/>
  <c r="F21" i="11" s="1"/>
  <c r="E17" i="11"/>
  <c r="E21" i="11" s="1"/>
  <c r="F17" i="20"/>
  <c r="F21" i="20" s="1"/>
  <c r="E17" i="34"/>
  <c r="E21" i="34" s="1"/>
  <c r="F15" i="34"/>
  <c r="F17" i="34" s="1"/>
  <c r="F21" i="34" s="1"/>
  <c r="G17" i="20"/>
  <c r="G21" i="20" s="1"/>
  <c r="E17" i="20"/>
  <c r="E21" i="20" s="1"/>
  <c r="E62" i="19" l="1"/>
  <c r="D62" i="19"/>
  <c r="C66" i="19"/>
  <c r="C70" i="19" s="1"/>
  <c r="H38" i="12"/>
  <c r="H40" i="12" s="1"/>
  <c r="H44" i="12" s="1"/>
  <c r="D38" i="12"/>
  <c r="C17" i="21"/>
  <c r="C21" i="21" s="1"/>
  <c r="E15" i="17"/>
  <c r="F15" i="17" s="1"/>
  <c r="F18" i="17" s="1"/>
  <c r="F22" i="17" s="1"/>
  <c r="C18" i="17"/>
  <c r="C22" i="17" s="1"/>
  <c r="D15" i="17"/>
  <c r="D18" i="17" s="1"/>
  <c r="D22" i="17" s="1"/>
  <c r="D66" i="19"/>
  <c r="D70" i="19" s="1"/>
  <c r="E40" i="12"/>
  <c r="E44" i="12" s="1"/>
  <c r="I38" i="12"/>
  <c r="I40" i="12" s="1"/>
  <c r="I44" i="12" s="1"/>
  <c r="L16" i="15"/>
  <c r="L20" i="15" s="1"/>
  <c r="E16" i="15"/>
  <c r="E20" i="15" s="1"/>
  <c r="E38" i="28"/>
  <c r="E40" i="28" s="1"/>
  <c r="E44" i="28" s="1"/>
  <c r="C40" i="28"/>
  <c r="C44" i="28" s="1"/>
  <c r="D40" i="12"/>
  <c r="D44" i="12" s="1"/>
  <c r="F16" i="15"/>
  <c r="F20" i="15" s="1"/>
  <c r="G13" i="15"/>
  <c r="G16" i="15" s="1"/>
  <c r="G20" i="15" s="1"/>
  <c r="D38" i="28"/>
  <c r="D40" i="28" s="1"/>
  <c r="D44" i="28" s="1"/>
  <c r="D16" i="28"/>
  <c r="D20" i="28" s="1"/>
  <c r="F13" i="12"/>
  <c r="F16" i="12" s="1"/>
  <c r="F20" i="12" s="1"/>
  <c r="E16" i="12"/>
  <c r="E20" i="12" s="1"/>
  <c r="I13" i="12"/>
  <c r="I16" i="12" s="1"/>
  <c r="I20" i="12" s="1"/>
  <c r="I62" i="19"/>
  <c r="I66" i="19" s="1"/>
  <c r="I70" i="19" s="1"/>
  <c r="G66" i="19"/>
  <c r="G70" i="19" s="1"/>
  <c r="E66" i="19"/>
  <c r="E70" i="19" s="1"/>
  <c r="F62" i="19"/>
  <c r="F66" i="19" s="1"/>
  <c r="F70" i="19" s="1"/>
  <c r="D15" i="9"/>
  <c r="D20" i="9" s="1"/>
  <c r="H16" i="15"/>
  <c r="H20" i="15" s="1"/>
  <c r="J13" i="15"/>
  <c r="J16" i="15" s="1"/>
  <c r="J20" i="15" s="1"/>
  <c r="P16" i="15"/>
  <c r="P20" i="15" s="1"/>
  <c r="G15" i="11"/>
  <c r="G17" i="11" s="1"/>
  <c r="G21" i="11" s="1"/>
  <c r="D17" i="11"/>
  <c r="D21" i="11" s="1"/>
  <c r="I17" i="20"/>
  <c r="I21" i="20" s="1"/>
  <c r="H17" i="21" l="1"/>
  <c r="H21" i="21" s="1"/>
  <c r="H18" i="17"/>
  <c r="H22" i="17" s="1"/>
  <c r="E18" i="17"/>
  <c r="E22" i="17" s="1"/>
  <c r="F37" i="28"/>
  <c r="F38" i="28"/>
  <c r="F40" i="28" s="1"/>
  <c r="F44" i="28" s="1"/>
  <c r="F16" i="28"/>
  <c r="F20" i="28" s="1"/>
  <c r="G15" i="9"/>
  <c r="G20" i="9" s="1"/>
  <c r="E15" i="9"/>
  <c r="E20" i="9" s="1"/>
  <c r="D17" i="21" l="1"/>
  <c r="D21" i="21" s="1"/>
  <c r="E17" i="21"/>
  <c r="E21" i="21" s="1"/>
  <c r="F17" i="21"/>
  <c r="F21" i="21" s="1"/>
  <c r="G17" i="21" l="1"/>
  <c r="G21"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Helbert Martinez Puerto</author>
    <author>Fabian Cardona Flor (Ecopetrol S.A)</author>
  </authors>
  <commentList>
    <comment ref="H27" authorId="0" shapeId="0" xr:uid="{0BAB1F11-5278-4FC8-981F-660D19CAE067}">
      <text>
        <r>
          <rPr>
            <b/>
            <sz val="9"/>
            <color indexed="81"/>
            <rFont val="Tahoma"/>
            <family val="2"/>
          </rPr>
          <t>Helbert Martinez Puerto:</t>
        </r>
        <r>
          <rPr>
            <sz val="9"/>
            <color indexed="81"/>
            <rFont val="Tahoma"/>
            <family val="2"/>
          </rPr>
          <t xml:space="preserve">
desde 24 de febrero 10% de mezcla en la gasolina
</t>
        </r>
      </text>
    </comment>
    <comment ref="R27" authorId="1" shapeId="0" xr:uid="{4F7B621E-63D5-48B5-8621-A5A267EFC692}">
      <text>
        <r>
          <rPr>
            <b/>
            <sz val="8"/>
            <color indexed="81"/>
            <rFont val="Tahoma"/>
            <family val="2"/>
          </rPr>
          <t>De acuerdo con la Resolución 40261 Tabla 2</t>
        </r>
      </text>
    </comment>
    <comment ref="S27" authorId="1" shapeId="0" xr:uid="{A08F9DF2-239E-4FC7-AD30-80B357183B0E}">
      <text>
        <r>
          <rPr>
            <b/>
            <sz val="9"/>
            <color indexed="81"/>
            <rFont val="Tahoma"/>
            <family val="2"/>
          </rPr>
          <t>De acuerdo con la Resolución 40261 Tabla 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AC3" authorId="0" shapeId="0" xr:uid="{3DCC39E5-7CC0-4C50-B274-4AEA0F053793}">
      <text>
        <r>
          <rPr>
            <sz val="9"/>
            <color indexed="81"/>
            <rFont val="Tahoma"/>
            <family val="2"/>
          </rPr>
          <t>Inflación Año 2017</t>
        </r>
      </text>
    </commen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<sst xmlns="http://schemas.openxmlformats.org/spreadsheetml/2006/main" count="3934" uniqueCount="683">
  <si>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</si>
  <si>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</si>
  <si>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</si>
  <si>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</si>
  <si>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</si>
  <si>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</si>
  <si>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</si>
  <si>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</si>
  <si>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</si>
  <si>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</si>
  <si>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</si>
  <si>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</si>
  <si>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</si>
  <si>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</si>
  <si>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</si>
  <si>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</si>
  <si>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</si>
  <si>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</si>
  <si>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</si>
  <si>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</si>
  <si>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</si>
  <si>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</si>
  <si>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</si>
  <si>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</si>
  <si>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</si>
  <si>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</si>
  <si>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</si>
  <si>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</si>
  <si>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</si>
  <si>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</si>
  <si>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</si>
  <si>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</si>
  <si>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</si>
  <si>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</si>
  <si>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</si>
  <si>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</si>
  <si>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</si>
  <si>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</si>
  <si>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</si>
  <si>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</si>
  <si>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</si>
  <si>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</si>
  <si>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</si>
  <si>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</si>
  <si>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</si>
  <si>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</si>
  <si>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</si>
  <si>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</si>
  <si>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</si>
  <si>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</si>
  <si>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</si>
  <si>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</si>
  <si>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</si>
  <si>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</si>
  <si>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</si>
  <si>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</si>
  <si>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</si>
  <si>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</si>
  <si>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</si>
  <si>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</si>
  <si>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</si>
  <si>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</si>
  <si>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</si>
  <si>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</si>
  <si>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</si>
  <si>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</si>
  <si>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</si>
  <si>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</si>
  <si>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</si>
  <si>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</si>
  <si>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</si>
  <si>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</si>
  <si>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</si>
  <si>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</si>
  <si>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</si>
  <si>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</si>
  <si>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</si>
  <si>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</si>
  <si>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</si>
  <si>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</si>
  <si>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</si>
  <si>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</si>
  <si>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</si>
  <si>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</si>
  <si>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</si>
  <si>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</si>
  <si>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</si>
  <si>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</si>
  <si>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</si>
  <si>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</si>
  <si>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</si>
  <si>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</si>
  <si>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</si>
  <si>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</si>
  <si>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</si>
  <si>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</si>
  <si>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Gasolina Corriente</t>
  </si>
  <si>
    <t>ACPM B2</t>
  </si>
  <si>
    <t>Marcación de las actividades de distribución de la Gasolina Motor Corriente, Corriente Oxigenada, ACPM y ACPM con Biocombustibles</t>
  </si>
  <si>
    <t>Gasolina Corriente Oxigenada 8%</t>
  </si>
  <si>
    <t>ACPM B10</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</si>
  <si>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</si>
  <si>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</si>
  <si>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</si>
  <si>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</si>
  <si>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</si>
  <si>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</si>
  <si>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</si>
  <si>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</si>
  <si>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</si>
  <si>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</si>
  <si>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</si>
  <si>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</si>
  <si>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</si>
  <si>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</si>
  <si>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</si>
  <si>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</si>
  <si>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</si>
  <si>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</si>
  <si>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</si>
  <si>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</si>
  <si>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</si>
  <si>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</si>
  <si>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</si>
  <si>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</si>
  <si>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Ingreso al productor</t>
  </si>
  <si>
    <t>Tarifa de marcación</t>
  </si>
  <si>
    <t>(*)</t>
  </si>
  <si>
    <t>Impuesto Nacional a la Gasolina y al ACPM</t>
  </si>
  <si>
    <t>Impuesto sobre las Ventas</t>
  </si>
  <si>
    <t>(3)</t>
  </si>
  <si>
    <t>Impuesto al carbono</t>
  </si>
  <si>
    <t>(**)</t>
  </si>
  <si>
    <t>(***)</t>
  </si>
  <si>
    <t>Sobretasa</t>
  </si>
  <si>
    <t>(****)</t>
  </si>
  <si>
    <t>Transporte planta de abasto a estación de servicio</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</si>
  <si>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</si>
  <si>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</si>
  <si>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</si>
  <si>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</si>
  <si>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</si>
  <si>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</si>
  <si>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</si>
  <si>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</si>
  <si>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</si>
  <si>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</si>
  <si>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</si>
  <si>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</si>
  <si>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</si>
  <si>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</si>
  <si>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</si>
  <si>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</si>
  <si>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</si>
  <si>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BIOCOMBUSTIBLE B100</t>
  </si>
  <si>
    <t xml:space="preserve">Biodiesel B2 con destino a mezcla </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</si>
  <si>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</si>
  <si>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</si>
  <si>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</si>
  <si>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</si>
  <si>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</si>
  <si>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</si>
  <si>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</si>
  <si>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</si>
  <si>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</si>
  <si>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</si>
  <si>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</si>
  <si>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</si>
  <si>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</si>
  <si>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</si>
  <si>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</si>
  <si>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</si>
  <si>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</si>
  <si>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</si>
  <si>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</si>
  <si>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</si>
  <si>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</si>
  <si>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</si>
  <si>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</si>
  <si>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</si>
  <si>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</si>
  <si>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</si>
  <si>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</si>
  <si>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</si>
  <si>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</si>
  <si>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</si>
  <si>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</si>
  <si>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</si>
  <si>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</si>
  <si>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</si>
  <si>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</si>
  <si>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</si>
  <si>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</si>
  <si>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</si>
  <si>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</si>
  <si>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</si>
  <si>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</si>
  <si>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</si>
  <si>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</si>
  <si>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</si>
  <si>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</si>
  <si>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</si>
  <si>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</si>
  <si>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</si>
  <si>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</si>
  <si>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</si>
  <si>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</si>
  <si>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</si>
  <si>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</si>
  <si>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</si>
  <si>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</si>
  <si>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</si>
  <si>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</si>
  <si>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</si>
  <si>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</si>
  <si>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</si>
  <si>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</si>
  <si>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</si>
  <si>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</si>
  <si>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</si>
  <si>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</si>
  <si>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</si>
  <si>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</si>
  <si>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</si>
  <si>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</si>
  <si>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</si>
  <si>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</si>
  <si>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</si>
  <si>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</si>
  <si>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</si>
  <si>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</si>
  <si>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</si>
  <si>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</si>
  <si>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</si>
  <si>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</si>
  <si>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</si>
  <si>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</si>
  <si>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</si>
  <si>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</si>
  <si>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</si>
  <si>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</si>
  <si>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</si>
  <si>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</si>
  <si>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</si>
  <si>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</si>
  <si>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</si>
  <si>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</si>
  <si>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</si>
  <si>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</si>
  <si>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</si>
  <si>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</si>
  <si>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</si>
  <si>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</si>
  <si>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DEPARTAMENTO DE CHOCÓ</t>
  </si>
  <si>
    <t>DEPARTAMENTO DE GUAINIA</t>
  </si>
  <si>
    <t>Valor del transporte de la planta de Inirida a las estaciones de servicio</t>
  </si>
  <si>
    <t>DEPARTAMENTO DE LA GUAJIRA</t>
  </si>
  <si>
    <t>ORIGEN: Refinería de Cartagena                                                PLANTA DE ABASTO:Ayatawocoop  y Discowacoop- ubicadas en el municipio de Maicao; abastecidas desde Galapa  y Baranoa</t>
  </si>
  <si>
    <t>DEPARTAMENTO DE LA GUAJIRA - GRANDES CONSUMIDORES</t>
  </si>
  <si>
    <t>Corresponde al valor del transporte desde la planta de abastecimiento (punto de entrega del poliducto) hasta las plantas de Maicao</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</si>
  <si>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</si>
  <si>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</si>
  <si>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</si>
  <si>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</si>
  <si>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</si>
  <si>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</si>
  <si>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</si>
  <si>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Tarifa de transporte (a. poliductos y b. biocombustibles)</t>
  </si>
  <si>
    <t>Valor correspondiente al flete desde la planta de abastecimiento mayorista hasta las estaciones de servicio de los diferentes municipios.</t>
  </si>
  <si>
    <t>DEPARTAMENTO VAUPES</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</si>
  <si>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</si>
  <si>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</si>
  <si>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</si>
  <si>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</si>
  <si>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</si>
  <si>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</si>
  <si>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</si>
  <si>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</si>
  <si>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</si>
  <si>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</si>
  <si>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</si>
  <si>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</si>
  <si>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</si>
  <si>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</si>
  <si>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</si>
  <si>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</si>
  <si>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</si>
  <si>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</si>
  <si>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</si>
  <si>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</si>
  <si>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</si>
  <si>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</si>
  <si>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r>
      <t>Tarifa de transporte</t>
    </r>
    <r>
      <rPr>
        <b/>
        <i/>
        <sz val="10"/>
        <rFont val="Calibri"/>
        <family val="2"/>
        <scheme val="minor"/>
      </rPr>
      <t xml:space="preserve"> (poliductos y biocombustibles)</t>
    </r>
  </si>
  <si>
    <t>Valor del transporte desde la plantas de abastecimiento (Chimitá, Mansilla, Tocancipá) hasta la Planta de Guainía (Puerto Inírida)</t>
  </si>
  <si>
    <t>PUTUMAYO</t>
  </si>
  <si>
    <t>DEPARTAMENTO DE PUTUMAYO</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</si>
  <si>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</si>
  <si>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</si>
  <si>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</si>
  <si>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</si>
  <si>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</si>
  <si>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</si>
  <si>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</si>
  <si>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</si>
  <si>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</si>
  <si>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</si>
  <si>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</si>
  <si>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Fuente: Resoluciones MME</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</si>
  <si>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</si>
  <si>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</si>
  <si>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</si>
  <si>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</si>
  <si>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</si>
  <si>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</si>
  <si>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</si>
  <si>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</si>
  <si>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</si>
  <si>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</si>
  <si>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</si>
  <si>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</si>
  <si>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</si>
  <si>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</si>
  <si>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</si>
  <si>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</si>
  <si>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</si>
  <si>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</si>
  <si>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</si>
  <si>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</si>
  <si>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</si>
  <si>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</si>
  <si>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</si>
  <si>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</si>
  <si>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</si>
  <si>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</si>
  <si>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</si>
  <si>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</si>
  <si>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</si>
  <si>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</si>
  <si>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</si>
  <si>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</si>
  <si>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</si>
  <si>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</si>
  <si>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</si>
  <si>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</si>
  <si>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</si>
  <si>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</si>
  <si>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</si>
  <si>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</si>
  <si>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</si>
  <si>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</si>
  <si>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</si>
  <si>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</si>
  <si>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</si>
  <si>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</si>
  <si>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</si>
  <si>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</si>
  <si>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</si>
  <si>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Z73</t>
  </si>
  <si>
    <t xml:space="preserve">UTILIZACIÓN SAP </t>
  </si>
  <si>
    <t>SAP ECOPETROL</t>
  </si>
  <si>
    <t>SAP REFICAR</t>
  </si>
  <si>
    <t>MNAL</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</si>
  <si>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</si>
  <si>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</si>
  <si>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</si>
  <si>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</si>
  <si>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</si>
  <si>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Biodiesel B2</t>
  </si>
  <si>
    <t>Biodiesel B2 con destino a mezcla</t>
  </si>
  <si>
    <t>Acpm mezcla</t>
  </si>
  <si>
    <t xml:space="preserve">Acpm mezcla </t>
  </si>
  <si>
    <t>CARGAR HASTA EL 30 DE JUNIO DE 2020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</si>
  <si>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</si>
  <si>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</si>
  <si>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</si>
  <si>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t>Z74</t>
  </si>
  <si>
    <t>Remarcacion</t>
  </si>
  <si>
    <t>IP GASOLINA</t>
  </si>
  <si>
    <t>BIODIESEL B2B EXTRA</t>
  </si>
  <si>
    <t>GASOLINA MOTOR REGULAR IAD81</t>
  </si>
  <si>
    <t>GASOLINA MOTOR REGULAR</t>
  </si>
  <si>
    <t>ESTRUCTURAS DE PRECIOS PARA GASOLINA MOTOR CORRIENTE OXIGENADA VIGENTES A PARTIR DE 10 DE NOVIEMBRE 2020</t>
  </si>
  <si>
    <t>Punto medio meta inflación Banrep 2021</t>
  </si>
  <si>
    <t>OK actualizada</t>
  </si>
  <si>
    <t>Se ajusta el 1 Feb 21</t>
  </si>
  <si>
    <t>Pdte</t>
  </si>
  <si>
    <t>Punto medio meta inflación Banrep 2020</t>
  </si>
  <si>
    <t>Tarifa de transporte terrestre</t>
  </si>
  <si>
    <t>B12 ZDF</t>
  </si>
  <si>
    <t>B10 A B12</t>
  </si>
  <si>
    <t>PETRODECOL CARTAGENA 9000014799</t>
  </si>
  <si>
    <t>PRODUCTO</t>
  </si>
  <si>
    <t>Para ser distribuida en territorio Nacional</t>
  </si>
  <si>
    <t>Para ser distribuida en Zonas de Frontera</t>
  </si>
  <si>
    <t>Art 1</t>
  </si>
  <si>
    <t>GMC</t>
  </si>
  <si>
    <r>
      <t>12,94</t>
    </r>
    <r>
      <rPr>
        <sz val="11"/>
        <color rgb="FFFF0000"/>
        <rFont val="Calibri"/>
        <family val="2"/>
        <scheme val="minor"/>
      </rPr>
      <t>**</t>
    </r>
  </si>
  <si>
    <t>Art 2</t>
  </si>
  <si>
    <t>Art 3</t>
  </si>
  <si>
    <t>Art 4</t>
  </si>
  <si>
    <t>** Remarcación: marcación nacional mas marcación para zona de frontera</t>
  </si>
  <si>
    <r>
      <t xml:space="preserve">GMC </t>
    </r>
    <r>
      <rPr>
        <sz val="9"/>
        <color theme="1"/>
        <rFont val="Calibri"/>
        <family val="2"/>
        <scheme val="minor"/>
      </rPr>
      <t>oxigenada</t>
    </r>
  </si>
  <si>
    <r>
      <t xml:space="preserve">ACPM </t>
    </r>
    <r>
      <rPr>
        <sz val="9"/>
        <color theme="1"/>
        <rFont val="Calibri"/>
        <family val="2"/>
        <scheme val="minor"/>
      </rPr>
      <t>mezclado con biocombustible</t>
    </r>
  </si>
  <si>
    <r>
      <t xml:space="preserve">GMC </t>
    </r>
    <r>
      <rPr>
        <i/>
        <sz val="9"/>
        <color theme="1"/>
        <rFont val="Calibri"/>
        <family val="2"/>
        <scheme val="minor"/>
      </rPr>
      <t>Importada</t>
    </r>
  </si>
  <si>
    <r>
      <t xml:space="preserve">GMC </t>
    </r>
    <r>
      <rPr>
        <i/>
        <sz val="9"/>
        <color theme="1"/>
        <rFont val="Calibri"/>
        <family val="2"/>
        <scheme val="minor"/>
      </rPr>
      <t>oxig importada</t>
    </r>
  </si>
  <si>
    <r>
      <t xml:space="preserve">ACPM </t>
    </r>
    <r>
      <rPr>
        <i/>
        <sz val="9"/>
        <color theme="1"/>
        <rFont val="Calibri"/>
        <family val="2"/>
        <scheme val="minor"/>
      </rPr>
      <t>Importada</t>
    </r>
  </si>
  <si>
    <t>4,55.</t>
  </si>
  <si>
    <t>Resolucion 90302 del 30 Abril de 2013</t>
  </si>
  <si>
    <t>2013 Resolucion 90302 Abril de 2013</t>
  </si>
  <si>
    <t>Costos de conversión de las actividades de reconversión socio-laboral -Resolución 90302 del 30 de abril de 2013</t>
  </si>
  <si>
    <t>De acuerdo con lo establecido en la Resolución 40111 de MME se establecerá un incremento escalonado según Paragrafo 3 Tabla 2</t>
  </si>
  <si>
    <t>De acuerdo con lo establecido en la Resolución 40111 de MME Articulo 4</t>
  </si>
  <si>
    <t>En los departamentos y en las circunstancias donde se aplique doble marcación se deberá cobrar la tarifa adicional correspondiente</t>
  </si>
  <si>
    <t>LA GUAJIRA (Rioacha)</t>
  </si>
  <si>
    <t>CESAR( Valledupar)</t>
  </si>
  <si>
    <t>CESAR (La Jagua, La Paz)</t>
  </si>
  <si>
    <t>DEPARTAMENTO DE CESAR (Valledupar)</t>
  </si>
  <si>
    <t>DEPARTAMENTO DE CESAR (La Jagua, La Paz)</t>
  </si>
  <si>
    <t>DEPARTAMENTO DE LA GUAJIRA (Rioacha)</t>
  </si>
  <si>
    <t>CHEQUEO B4</t>
  </si>
  <si>
    <t>Valor de referencia de sobretasa según  la Ley 2093 del 29 Junio 2021 por medio de la cual se modifican las Leyes 488 de 1998 y 788 de 2002</t>
  </si>
  <si>
    <t>De acuerdo con lo establecido en la Resolución 40111 de MME se establecerá un incremento escalonado según Paragrafo 1 Tabla 1 para la Gasolina Motor corriente y paragrafo 3 Tabla 2 para la mezcla Bio</t>
  </si>
  <si>
    <t>De acuerdo con lo establecido en la Resolución 40111 de MME se establecerá un incremento escalonado según Paragrafo 1 Tabla 1 para la Gasolina Motor corriente en Cesar municipio de Rio de Oro y paragrafo 3 Tabla 2 para la mezcla Bio</t>
  </si>
  <si>
    <t xml:space="preserve">De acuerdo con lo establecido en la Resolución 40111 de MME </t>
  </si>
  <si>
    <t>CHOCO</t>
  </si>
  <si>
    <t>GUAJIRA</t>
  </si>
  <si>
    <t>CDF CESAR RIO DE ORO</t>
  </si>
  <si>
    <t>ELECTROCOMBUSTIBLE (EC0)</t>
  </si>
  <si>
    <t>ELECTROCOMBUSTIBLE (EC2)</t>
  </si>
  <si>
    <t>CHEQUEO B10</t>
  </si>
  <si>
    <t>CHEQUEO B12</t>
  </si>
  <si>
    <t>B10 A B12 resolución 40111</t>
  </si>
  <si>
    <r>
      <t xml:space="preserve">B5 ZDF
</t>
    </r>
    <r>
      <rPr>
        <sz val="9"/>
        <color theme="1"/>
        <rFont val="Calibri"/>
        <family val="2"/>
        <scheme val="minor"/>
      </rPr>
      <t>(a partir Oct 2021)</t>
    </r>
  </si>
  <si>
    <t xml:space="preserve">ESTRUCTURAS DE PRECIOS PARA LA MEZCLA DE BIOCOMBUSTIBLE PARA USO EN MOTORES DIESEL CON EL ACPM VIGENTES A PARTIR </t>
  </si>
  <si>
    <t>GASOLINA M CORRIENTE OXIGENADA E5 
(a partir Oct 2021)</t>
  </si>
  <si>
    <r>
      <t xml:space="preserve">VICHADA </t>
    </r>
    <r>
      <rPr>
        <sz val="8"/>
        <rFont val="Calibri"/>
        <family val="2"/>
        <scheme val="minor"/>
      </rPr>
      <t>(Puerto Carreño)</t>
    </r>
  </si>
  <si>
    <r>
      <t xml:space="preserve">VICHADA </t>
    </r>
    <r>
      <rPr>
        <sz val="8"/>
        <rFont val="Calibri"/>
        <family val="2"/>
        <scheme val="minor"/>
      </rPr>
      <t>(Cumaribo/Primavera)</t>
    </r>
  </si>
  <si>
    <t>CHEQUEO B5</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</si>
  <si>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</si>
  <si>
    <t>Punto medio meta inflación Banrep 2019</t>
  </si>
  <si>
    <t>Punto medio meta inflación Banrep 2018</t>
  </si>
  <si>
    <t>Punto medio meta inflación Banrep 2022</t>
  </si>
  <si>
    <t>DEPARTAMENTO VICHADA (Cumaribo, La Primavera)</t>
  </si>
  <si>
    <t>VICHADA (Cumaribo, La Primavera)</t>
  </si>
  <si>
    <t>Oxigena 5%</t>
  </si>
  <si>
    <t>EC3</t>
  </si>
  <si>
    <t>ELECTROCOMBUSTIBLE (EC3)</t>
  </si>
  <si>
    <t>Oxigena 6%</t>
  </si>
  <si>
    <t>Biodiesel B11</t>
  </si>
  <si>
    <t>B11 ZDF</t>
  </si>
  <si>
    <t>(6) La base gravable y tarifa del impuesto nacional a la Gasolina, ACPM e impuesto al carbono que entrarán en vigencia a partir del 1° de febrero de 2022 se publica de acuerdo con el proyecto de resolución  disponible en el sitio web de la Unidad Administrativa Especial Dirección de Impuestos y Aduanas Nacionales -DIAN para dicha vigencia. En todo caso el presente valor corresponderá al definido en firme por la DIAN</t>
  </si>
  <si>
    <t>Impuesto al carbono (6)</t>
  </si>
  <si>
    <t>Impuesto Nacional a la gasolina y al ACPM (6)</t>
  </si>
  <si>
    <t xml:space="preserve">Impuesto Nacional a la gasolina y al ACPM </t>
  </si>
  <si>
    <t>3. Impuesto al carbono</t>
  </si>
  <si>
    <t xml:space="preserve">Acpm  </t>
  </si>
  <si>
    <t>B10 ZDF</t>
  </si>
  <si>
    <t>DEPARTAMENTO VICHADA (Puerto Carreño)</t>
  </si>
  <si>
    <r>
      <t>13,33</t>
    </r>
    <r>
      <rPr>
        <sz val="11"/>
        <color rgb="FFFF0000"/>
        <rFont val="Calibri"/>
        <family val="2"/>
        <scheme val="minor"/>
      </rPr>
      <t>**</t>
    </r>
  </si>
  <si>
    <t xml:space="preserve"> PLANTA DE ABASTO: Plantas autorizadas por el plan de abastecimiento del MME</t>
  </si>
  <si>
    <t xml:space="preserve"> Plantas de abasto: las autorizadas de acuerdo con el plan de abastecimiento del MME</t>
  </si>
  <si>
    <t>De acuerdo con lo establecido en la Resoluccion 91349 de 2014 del MME para combustible de origen nacional o importado a ser distribuido en zonas de frontera, aplica la tarifa de marcación o remarcación vigente a la fecha según corresponda</t>
  </si>
  <si>
    <t xml:space="preserve">Biodiesel B2 </t>
  </si>
  <si>
    <r>
      <t xml:space="preserve">GAS CORRIENTE </t>
    </r>
    <r>
      <rPr>
        <b/>
        <sz val="12"/>
        <rFont val="Calibri"/>
        <family val="2"/>
        <scheme val="minor"/>
      </rPr>
      <t xml:space="preserve"> </t>
    </r>
    <r>
      <rPr>
        <b/>
        <sz val="16"/>
        <rFont val="Calibri"/>
        <family val="2"/>
        <scheme val="minor"/>
      </rPr>
      <t>E10</t>
    </r>
  </si>
  <si>
    <r>
      <t xml:space="preserve">GAS CORRIENTE 
</t>
    </r>
    <r>
      <rPr>
        <b/>
        <sz val="16"/>
        <color rgb="FFFF0000"/>
        <rFont val="Calibri"/>
        <family val="2"/>
        <scheme val="minor"/>
      </rPr>
      <t>E5</t>
    </r>
  </si>
  <si>
    <r>
      <t xml:space="preserve">GAS CORRIENTE 
</t>
    </r>
    <r>
      <rPr>
        <b/>
        <sz val="12"/>
        <rFont val="Calibri"/>
        <family val="2"/>
        <scheme val="minor"/>
      </rPr>
      <t xml:space="preserve"> </t>
    </r>
    <r>
      <rPr>
        <b/>
        <sz val="16"/>
        <rFont val="Calibri"/>
        <family val="2"/>
        <scheme val="minor"/>
      </rPr>
      <t>E6</t>
    </r>
  </si>
  <si>
    <t>Gasolina Corriente E10</t>
  </si>
  <si>
    <t>Por encima del Cupo</t>
  </si>
  <si>
    <t>Z74 (ECP) / Z51 (MNAL)</t>
  </si>
  <si>
    <t>AÑO</t>
  </si>
  <si>
    <t>Septiembre</t>
  </si>
  <si>
    <t>año</t>
  </si>
  <si>
    <t>gal</t>
  </si>
  <si>
    <t>%</t>
  </si>
  <si>
    <t>GMR</t>
  </si>
  <si>
    <t>ACPM Base para Mezcla</t>
  </si>
  <si>
    <t>ACPM Base</t>
  </si>
  <si>
    <t>SIN CUPO</t>
  </si>
  <si>
    <t>Biodiesel B2 ZDF</t>
  </si>
  <si>
    <t>CON CUPO</t>
  </si>
  <si>
    <r>
      <t xml:space="preserve">GAS CORRIENTE
 </t>
    </r>
    <r>
      <rPr>
        <b/>
        <sz val="11"/>
        <color theme="1"/>
        <rFont val="Calibri"/>
        <family val="2"/>
        <scheme val="minor"/>
      </rPr>
      <t xml:space="preserve"> E2</t>
    </r>
  </si>
  <si>
    <t>Oxigena 2%</t>
  </si>
  <si>
    <t>Biodiesel B8</t>
  </si>
  <si>
    <t>B8</t>
  </si>
  <si>
    <t>DEPARTAMENTO DE CESAR ( Rió de Oro)</t>
  </si>
  <si>
    <t>Punto medio meta inflación Banrep 2023</t>
  </si>
  <si>
    <t>Gasolina corriente</t>
  </si>
  <si>
    <t>Ecopetrol</t>
  </si>
  <si>
    <t>SAN ANDRÉS</t>
  </si>
  <si>
    <t>PROVIDENCIA Y SANTA CATALINA</t>
  </si>
  <si>
    <t>Punto medio meta inflación Banrep 2024</t>
  </si>
  <si>
    <r>
      <t xml:space="preserve">GAS CORRIENTE
 </t>
    </r>
    <r>
      <rPr>
        <b/>
        <sz val="11"/>
        <color rgb="FFFF0000"/>
        <rFont val="Calibri"/>
        <family val="2"/>
        <scheme val="minor"/>
      </rPr>
      <t xml:space="preserve"> E10</t>
    </r>
  </si>
  <si>
    <t>Oxigena 10%</t>
  </si>
  <si>
    <t>wer</t>
  </si>
  <si>
    <t>LA GUAJIRA (Riohacha)</t>
  </si>
  <si>
    <t>contingenciua en ipiales o tumaco</t>
  </si>
  <si>
    <t xml:space="preserve">Biodiesel </t>
  </si>
  <si>
    <t>Biodiesel</t>
  </si>
  <si>
    <t>MUNICIPIO ZDF </t>
  </si>
  <si>
    <t>PROPORCIONALIDAD IP GMC</t>
  </si>
  <si>
    <t>PROPORCIONALIDAD IP ACPM</t>
  </si>
  <si>
    <t>Diferencia
PROPORCIONALIDAD IP GMC</t>
  </si>
  <si>
    <t>Diferencia
PROPORCIONALIDAD IP ACPM</t>
  </si>
  <si>
    <t>EL ENCANTO (CD)</t>
  </si>
  <si>
    <t>LA PEDRERA (CD)</t>
  </si>
  <si>
    <t>LETICIA</t>
  </si>
  <si>
    <t>PUERTO ALEGRÍA (CD)</t>
  </si>
  <si>
    <t>PUERTO ARICA (CD)</t>
  </si>
  <si>
    <t>PUERTO NARIÑO</t>
  </si>
  <si>
    <t>TARAPACÁ (CD)</t>
  </si>
  <si>
    <t>ARAUQUITA</t>
  </si>
  <si>
    <t>CRAVO NORTE</t>
  </si>
  <si>
    <t>FORTUL</t>
  </si>
  <si>
    <t>PUERTO RONDÓN</t>
  </si>
  <si>
    <t>SARAVENA</t>
  </si>
  <si>
    <t>TAME</t>
  </si>
  <si>
    <t>ARCHIPIÉLAGO DE SAN ANDRÉS, PROVIDENCIA Y SANTA CATALINA</t>
  </si>
  <si>
    <t>BOYACA</t>
  </si>
  <si>
    <t>CUBARÁ</t>
  </si>
  <si>
    <t>AGUACHICA</t>
  </si>
  <si>
    <t>AGUSTÍN CODAZZI</t>
  </si>
  <si>
    <t>BECERRIL</t>
  </si>
  <si>
    <t>BOSCONIA</t>
  </si>
  <si>
    <t>CHIRIGUANÁ</t>
  </si>
  <si>
    <t>CURUMANÍ</t>
  </si>
  <si>
    <t>EL COPEY</t>
  </si>
  <si>
    <t>EL PASO</t>
  </si>
  <si>
    <t>GAMARRA</t>
  </si>
  <si>
    <t>LA GLORIA</t>
  </si>
  <si>
    <t>LA JAGUA DE IBIRICO</t>
  </si>
  <si>
    <t>LA PAZ</t>
  </si>
  <si>
    <t>MANAURE</t>
  </si>
  <si>
    <t>PAILITAS</t>
  </si>
  <si>
    <t>PELAYA</t>
  </si>
  <si>
    <t>RÍO DE ORO</t>
  </si>
  <si>
    <t>SAN ALBERTO</t>
  </si>
  <si>
    <t>SAN DIEGO</t>
  </si>
  <si>
    <t>SAN MARTÍN</t>
  </si>
  <si>
    <t>VALLEDUPAR</t>
  </si>
  <si>
    <t>ACANDÍ</t>
  </si>
  <si>
    <t>JURADO</t>
  </si>
  <si>
    <t>RIOSUCIO (2)</t>
  </si>
  <si>
    <t>UNGUÍA</t>
  </si>
  <si>
    <t>CACAHUAL (CD)</t>
  </si>
  <si>
    <t>INÍRIDA</t>
  </si>
  <si>
    <t>LA GUADALUPE (CD)</t>
  </si>
  <si>
    <t>PANA PANA (CD)</t>
  </si>
  <si>
    <t>PUERTO COLOMBIA (CD)</t>
  </si>
  <si>
    <t>SAN FELIPE (CD)</t>
  </si>
  <si>
    <t>ALBANIA</t>
  </si>
  <si>
    <t>BARRANCAS</t>
  </si>
  <si>
    <t>DIBULLA</t>
  </si>
  <si>
    <t>DISTRACCIÓN</t>
  </si>
  <si>
    <t>EL MOLINO</t>
  </si>
  <si>
    <t>FONSECA</t>
  </si>
  <si>
    <t>HATONUEVO</t>
  </si>
  <si>
    <t>LA JAGUA DEL PILAR</t>
  </si>
  <si>
    <t>MAICAO</t>
  </si>
  <si>
    <t>RIOHACHA</t>
  </si>
  <si>
    <t>SAN JUAN DEL CESAR</t>
  </si>
  <si>
    <t>URIBIA</t>
  </si>
  <si>
    <t>URUMITA</t>
  </si>
  <si>
    <t>VILLANUEVA</t>
  </si>
  <si>
    <t>ALBÁN</t>
  </si>
  <si>
    <t>ALDANA</t>
  </si>
  <si>
    <t>ANCUYA</t>
  </si>
  <si>
    <t>ARBOLEDA</t>
  </si>
  <si>
    <t>BARBACOAS</t>
  </si>
  <si>
    <t>BELÉN</t>
  </si>
  <si>
    <t>BUESACO</t>
  </si>
  <si>
    <t>CHACHAGÜÍ</t>
  </si>
  <si>
    <t>COLÓN</t>
  </si>
  <si>
    <t>CONSACÁ</t>
  </si>
  <si>
    <t>CONTADERO</t>
  </si>
  <si>
    <t>CÓRDOBA</t>
  </si>
  <si>
    <t>CUASPUD</t>
  </si>
  <si>
    <t>CUMBAL</t>
  </si>
  <si>
    <t>CUMBITARA</t>
  </si>
  <si>
    <t>EL CHARCO</t>
  </si>
  <si>
    <t>EL PEÑOL</t>
  </si>
  <si>
    <t>EL ROSARIO</t>
  </si>
  <si>
    <t>EL TABLÓN DE GÓMEZ</t>
  </si>
  <si>
    <t>EL TAMBO</t>
  </si>
  <si>
    <t>FRANCISCO PIZARRO</t>
  </si>
  <si>
    <t>FUNES</t>
  </si>
  <si>
    <t>GUACHUCAL</t>
  </si>
  <si>
    <t>GUAITARILLA</t>
  </si>
  <si>
    <t>GUALMATÁN</t>
  </si>
  <si>
    <t>ILES</t>
  </si>
  <si>
    <t>IMUÉS</t>
  </si>
  <si>
    <t>IPIALES</t>
  </si>
  <si>
    <t>LA CRUZ</t>
  </si>
  <si>
    <t>LA FLORIDA</t>
  </si>
  <si>
    <t>LA LLANADA</t>
  </si>
  <si>
    <t>LA TOLA</t>
  </si>
  <si>
    <t>LA UNIÓN</t>
  </si>
  <si>
    <t>LEIVA</t>
  </si>
  <si>
    <t>LINARES</t>
  </si>
  <si>
    <t>LOS ANDES</t>
  </si>
  <si>
    <t>MAGÜÍ</t>
  </si>
  <si>
    <t>MALLAMA</t>
  </si>
  <si>
    <t>MOSQUERA</t>
  </si>
  <si>
    <t>OLAYA HERRERA</t>
  </si>
  <si>
    <t>OSPINA</t>
  </si>
  <si>
    <t>PASTO</t>
  </si>
  <si>
    <t>POLICARPA</t>
  </si>
  <si>
    <t>POTOSÍ</t>
  </si>
  <si>
    <t>PUERRES</t>
  </si>
  <si>
    <t>PUPIALES</t>
  </si>
  <si>
    <t>RICAURTE</t>
  </si>
  <si>
    <t>ROBERTO PAYÁN</t>
  </si>
  <si>
    <t>SAMANIEGO</t>
  </si>
  <si>
    <t>SAN ANDRES DE TUMACO</t>
  </si>
  <si>
    <t>SAN BERNARDO</t>
  </si>
  <si>
    <t>SAN LORENZO</t>
  </si>
  <si>
    <t>SAN PABLO</t>
  </si>
  <si>
    <t>SAN PEDRO DE CARTAGO</t>
  </si>
  <si>
    <t>SANDONÁ</t>
  </si>
  <si>
    <t>SANTA BÁRBARA</t>
  </si>
  <si>
    <t>SANTACRUZ</t>
  </si>
  <si>
    <t>SAPUYES</t>
  </si>
  <si>
    <t>TAMINANGO</t>
  </si>
  <si>
    <t>TANGUA</t>
  </si>
  <si>
    <t>TÚQUERRES</t>
  </si>
  <si>
    <t>YACUANQUER</t>
  </si>
  <si>
    <t>ÁBREGO</t>
  </si>
  <si>
    <t>BOCHALEMA</t>
  </si>
  <si>
    <t>BUCARASICA</t>
  </si>
  <si>
    <t>CÁCHIRA</t>
  </si>
  <si>
    <t>CHINÁCOTA</t>
  </si>
  <si>
    <t>CONVENCIÓN</t>
  </si>
  <si>
    <t>DURANIA</t>
  </si>
  <si>
    <t>EL CARMEN</t>
  </si>
  <si>
    <t>EL TARRA</t>
  </si>
  <si>
    <t>EL ZULIA</t>
  </si>
  <si>
    <t>HACARÍ</t>
  </si>
  <si>
    <t>HERRÁN</t>
  </si>
  <si>
    <t>LA ESPERANZA</t>
  </si>
  <si>
    <t>LA PLAYA</t>
  </si>
  <si>
    <t>LOS PATIOS</t>
  </si>
  <si>
    <t>OCAÑA</t>
  </si>
  <si>
    <t>PAMPLONA</t>
  </si>
  <si>
    <t>PAMPLONITA</t>
  </si>
  <si>
    <t>PUERTO SANTANDER</t>
  </si>
  <si>
    <t>RAGONVALIA</t>
  </si>
  <si>
    <t>SAN CALIXTO</t>
  </si>
  <si>
    <t>SAN CAYETANO</t>
  </si>
  <si>
    <t>SAN JOSÉ DE CÚCUTA</t>
  </si>
  <si>
    <t>SARDINATA</t>
  </si>
  <si>
    <t>TEORAMA</t>
  </si>
  <si>
    <t>TIBÚ</t>
  </si>
  <si>
    <t>TOLEDO</t>
  </si>
  <si>
    <t>VILLA DEL ROSARIO</t>
  </si>
  <si>
    <t>LEGUÍZAMO</t>
  </si>
  <si>
    <t>MOCOA</t>
  </si>
  <si>
    <t>ORITO</t>
  </si>
  <si>
    <t>PUERTO ASÍS</t>
  </si>
  <si>
    <t>PUERTO CAICEDO</t>
  </si>
  <si>
    <t>PUERTO GUZMÁN</t>
  </si>
  <si>
    <t>SAN FRANCISCO</t>
  </si>
  <si>
    <t>SAN MIGUEL</t>
  </si>
  <si>
    <t>SANTIAGO</t>
  </si>
  <si>
    <t>SIBUNDOY</t>
  </si>
  <si>
    <t>VALLE DEL GUAMUEZ</t>
  </si>
  <si>
    <t>VILLAGARZÓN</t>
  </si>
  <si>
    <t>VAUPÉS</t>
  </si>
  <si>
    <t>MITÚ</t>
  </si>
  <si>
    <t>PACOA (CD)</t>
  </si>
  <si>
    <t>TARAIRA</t>
  </si>
  <si>
    <t>YAVARATE (CD)</t>
  </si>
  <si>
    <t>CUMARIBO</t>
  </si>
  <si>
    <t>LA PRIMAVERA</t>
  </si>
  <si>
    <t>PUERTO CARREÑO</t>
  </si>
  <si>
    <t>REDONDEO A 2 DECIMALES</t>
  </si>
  <si>
    <t>CUBARA</t>
  </si>
  <si>
    <t>Sin Cupo ZDF</t>
  </si>
  <si>
    <t xml:space="preserve">Si </t>
  </si>
  <si>
    <t>-----------</t>
  </si>
  <si>
    <t>-</t>
  </si>
  <si>
    <t>Por encima del cupo</t>
  </si>
  <si>
    <t>01.02.2025</t>
  </si>
  <si>
    <t>28.02.2025</t>
  </si>
  <si>
    <t>Vigencia: 22 de Marzo de 2025; 00:00 horas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</si>
</sst>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 numFmtId="173" formatCode="&quot;Oxigenada&quot;\ \4\%"/>
    <numFmt numFmtId="174" formatCode="0.000"/>
    <numFmt numFmtId="175" formatCode="0.0000"/>
    <numFmt numFmtId="176" formatCode="0.00000"/>
    <numFmt numFmtId="177" formatCode="_-* #,##0.000_-;\-* #,##0.000_-;_-* &quot;-&quot;_-;_-@_-"/>
    <numFmt numFmtId="178" formatCode="&quot;Oxigenada&quot;\ 0\%"/>
    <numFmt numFmtId="179" formatCode="_-* #,##0.0000000_-;\-* #,##0.0000000_-;_-* &quot;-&quot;_-;_-@_-"/>
    <numFmt numFmtId="180" formatCode="_-* #,##0.0_-;\-* #,##0.0_-;_-* &quot;-&quot;??_-;_-@_-"/>
    <numFmt numFmtId="181" formatCode="_-* #,##0_-;\-* #,##0_-;_-* &quot;-&quot;??_-;_-@_-"/>
    <numFmt numFmtId="182" formatCode="0.000000"/>
  </numFmts>
  <fonts count="91"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name val="Arial"/>
      <family val="2"/>
    </font>
    <font>
      <sz val="14"/>
      <color theme="0"/>
      <name val="Arial"/>
      <family val="2"/>
    </font>
    <font>
      <sz val="8"/>
      <color theme="0"/>
      <name val="Arial"/>
      <family val="2"/>
    </font>
    <font>
      <b/>
      <sz val="11"/>
      <name val="Arial"/>
      <family val="2"/>
    </font>
    <font>
      <sz val="10"/>
      <color theme="0" tint="-0.499984740745262"/>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sz val="10"/>
      <color rgb="FFC0000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1"/>
      <color rgb="FFFF0000"/>
      <name val="Arial"/>
      <family val="2"/>
    </font>
    <font>
      <sz val="11"/>
      <color theme="0" tint="-4.9989318521683403E-2"/>
      <name val="Calibri"/>
      <family val="2"/>
      <scheme val="minor"/>
    </font>
    <font>
      <i/>
      <sz val="11"/>
      <color theme="1"/>
      <name val="Calibri"/>
      <family val="2"/>
      <scheme val="minor"/>
    </font>
    <font>
      <i/>
      <sz val="9"/>
      <color theme="1"/>
      <name val="Calibri"/>
      <family val="2"/>
      <scheme val="minor"/>
    </font>
    <font>
      <sz val="10"/>
      <color theme="3" tint="0.39997558519241921"/>
      <name val="Calibri"/>
      <family val="2"/>
      <scheme val="minor"/>
    </font>
    <font>
      <b/>
      <sz val="16"/>
      <color rgb="FFFF0000"/>
      <name val="Calibri"/>
      <family val="2"/>
      <scheme val="minor"/>
    </font>
    <font>
      <sz val="11"/>
      <color theme="0" tint="-0.249977111117893"/>
      <name val="Calibri"/>
      <family val="2"/>
    </font>
    <font>
      <b/>
      <sz val="8"/>
      <color indexed="81"/>
      <name val="Tahoma"/>
      <family val="2"/>
    </font>
    <font>
      <b/>
      <sz val="8"/>
      <color theme="1"/>
      <name val="Calibri"/>
      <family val="2"/>
      <scheme val="minor"/>
    </font>
    <font>
      <sz val="8"/>
      <name val="Calibri"/>
      <family val="2"/>
      <scheme val="minor"/>
    </font>
    <font>
      <sz val="12"/>
      <color rgb="FFFF0000"/>
      <name val="Calibri"/>
      <family val="2"/>
    </font>
    <font>
      <b/>
      <sz val="10"/>
      <color theme="1"/>
      <name val="Verdana"/>
      <family val="2"/>
    </font>
    <font>
      <u/>
      <sz val="11"/>
      <color theme="10"/>
      <name val="Calibri"/>
      <family val="2"/>
      <scheme val="minor"/>
    </font>
    <font>
      <b/>
      <sz val="8"/>
      <name val="Calibri"/>
      <family val="2"/>
      <scheme val="minor"/>
    </font>
    <font>
      <b/>
      <sz val="12"/>
      <name val="Calibri"/>
      <family val="2"/>
      <scheme val="minor"/>
    </font>
    <font>
      <sz val="12"/>
      <color theme="1"/>
      <name val="Calibri"/>
      <family val="2"/>
      <scheme val="minor"/>
    </font>
    <font>
      <b/>
      <sz val="11"/>
      <name val="Calibri"/>
      <family val="2"/>
      <scheme val="minor"/>
    </font>
    <font>
      <b/>
      <sz val="12"/>
      <name val="Arial"/>
      <family val="2"/>
    </font>
    <font>
      <sz val="14"/>
      <name val="Arial"/>
      <family val="2"/>
    </font>
    <font>
      <b/>
      <sz val="11"/>
      <color theme="0" tint="-4.9989318521683403E-2"/>
      <name val="Calibri"/>
      <family val="2"/>
      <scheme val="minor"/>
    </font>
    <font>
      <b/>
      <sz val="8"/>
      <color rgb="FFFF0000"/>
      <name val="Calibri"/>
      <family val="2"/>
      <scheme val="minor"/>
    </font>
    <font>
      <b/>
      <sz val="11"/>
      <color rgb="FFFF0000"/>
      <name val="Calibri"/>
      <family val="2"/>
      <scheme val="minor"/>
    </font>
    <font>
      <b/>
      <sz val="14"/>
      <color rgb="FFFF0000"/>
      <name val="Calibri"/>
      <family val="2"/>
      <scheme val="minor"/>
    </font>
    <font>
      <sz val="14"/>
      <color theme="1"/>
      <name val="Calibri"/>
      <family val="2"/>
    </font>
    <font>
      <sz val="14"/>
      <color theme="1"/>
      <name val="Arial"/>
      <family val="2"/>
    </font>
    <font>
      <sz val="14"/>
      <color rgb="FFFF0000"/>
      <name val="Calibri"/>
      <family val="2"/>
    </font>
    <font>
      <sz val="14"/>
      <color rgb="FFFF0000"/>
      <name val="Arial"/>
      <family val="2"/>
    </font>
    <font>
      <sz val="14"/>
      <name val="Calibri"/>
      <family val="2"/>
    </font>
    <font>
      <b/>
      <sz val="9"/>
      <color theme="0"/>
      <name val="Calibri"/>
      <family val="2"/>
      <scheme val="minor"/>
    </font>
  </fonts>
  <fills count="37">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CCFF66"/>
        <bgColor indexed="64"/>
      </patternFill>
    </fill>
    <fill>
      <patternFill patternType="solid">
        <fgColor theme="8" tint="0.79998168889431442"/>
        <bgColor indexed="64"/>
      </patternFill>
    </fill>
    <fill>
      <patternFill patternType="solid">
        <fgColor rgb="FFFFFF99"/>
        <bgColor indexed="64"/>
      </patternFill>
    </fill>
    <fill>
      <patternFill patternType="solid">
        <fgColor rgb="FF0070C0"/>
        <bgColor indexed="64"/>
      </patternFill>
    </fill>
  </fills>
  <borders count="1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style="double">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style="double">
        <color rgb="FF92D050"/>
      </left>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diagonal/>
    </border>
    <border>
      <left/>
      <right/>
      <top/>
      <bottom style="double">
        <color rgb="FF92D050"/>
      </bottom>
      <diagonal/>
    </border>
    <border>
      <left/>
      <right/>
      <top style="thin">
        <color indexed="64"/>
      </top>
      <bottom style="dotted">
        <color rgb="FF92D050"/>
      </bottom>
      <diagonal/>
    </border>
    <border>
      <left style="mediumDashed">
        <color theme="0" tint="-0.24994659260841701"/>
      </left>
      <right style="mediumDashed">
        <color theme="0" tint="-0.24994659260841701"/>
      </right>
      <top style="mediumDashed">
        <color theme="0" tint="-0.24994659260841701"/>
      </top>
      <bottom/>
      <diagonal/>
    </border>
    <border>
      <left style="mediumDashed">
        <color theme="0" tint="-0.24994659260841701"/>
      </left>
      <right style="mediumDashed">
        <color theme="0" tint="-0.24994659260841701"/>
      </right>
      <top/>
      <bottom/>
      <diagonal/>
    </border>
    <border>
      <left style="mediumDashed">
        <color theme="0" tint="-0.24994659260841701"/>
      </left>
      <right style="mediumDashed">
        <color theme="0" tint="-0.24994659260841701"/>
      </right>
      <top/>
      <bottom style="mediumDashed">
        <color theme="0" tint="-0.24994659260841701"/>
      </bottom>
      <diagonal/>
    </border>
    <border>
      <left style="dotted">
        <color rgb="FF92D050"/>
      </left>
      <right style="dotted">
        <color rgb="FF92D050"/>
      </right>
      <top/>
      <bottom style="double">
        <color rgb="FF92D050"/>
      </bottom>
      <diagonal/>
    </border>
    <border>
      <left style="dotted">
        <color rgb="FF92D050"/>
      </left>
      <right style="dotted">
        <color rgb="FF92D05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otted">
        <color rgb="FF92D050"/>
      </left>
      <right/>
      <top style="dotted">
        <color rgb="FF92D050"/>
      </top>
      <bottom/>
      <diagonal/>
    </border>
    <border>
      <left/>
      <right style="double">
        <color rgb="FF92D050"/>
      </right>
      <top/>
      <bottom style="double">
        <color rgb="FF92D050"/>
      </bottom>
      <diagonal/>
    </border>
    <border>
      <left style="double">
        <color rgb="FF92D050"/>
      </left>
      <right style="dashed">
        <color rgb="FF92D050"/>
      </right>
      <top style="double">
        <color rgb="FF92D050"/>
      </top>
      <bottom style="dashed">
        <color rgb="FF92D050"/>
      </bottom>
      <diagonal/>
    </border>
    <border>
      <left style="dashed">
        <color rgb="FF92D050"/>
      </left>
      <right style="dashed">
        <color rgb="FF92D050"/>
      </right>
      <top style="double">
        <color rgb="FF92D050"/>
      </top>
      <bottom style="dashed">
        <color rgb="FF92D050"/>
      </bottom>
      <diagonal/>
    </border>
    <border>
      <left style="dashed">
        <color rgb="FF92D050"/>
      </left>
      <right style="double">
        <color rgb="FF92D050"/>
      </right>
      <top style="double">
        <color rgb="FF92D050"/>
      </top>
      <bottom style="dashed">
        <color rgb="FF92D050"/>
      </bottom>
      <diagonal/>
    </border>
    <border>
      <left style="dashed">
        <color rgb="FF92D050"/>
      </left>
      <right style="double">
        <color rgb="FF92D050"/>
      </right>
      <top style="dashed">
        <color rgb="FF92D050"/>
      </top>
      <bottom style="dashed">
        <color rgb="FF92D050"/>
      </bottom>
      <diagonal/>
    </border>
    <border>
      <left style="dashed">
        <color rgb="FF92D050"/>
      </left>
      <right style="double">
        <color rgb="FF92D050"/>
      </right>
      <top style="dashed">
        <color rgb="FF92D050"/>
      </top>
      <bottom style="double">
        <color rgb="FF92D050"/>
      </bottom>
      <diagonal/>
    </border>
    <border>
      <left style="dashed">
        <color rgb="FF92D050"/>
      </left>
      <right/>
      <top style="dotted">
        <color rgb="FF92D050"/>
      </top>
      <bottom style="dotted">
        <color rgb="FF92D050"/>
      </bottom>
      <diagonal/>
    </border>
    <border>
      <left style="double">
        <color rgb="FF92D050"/>
      </left>
      <right/>
      <top/>
      <bottom style="dashed">
        <color rgb="FF92D050"/>
      </bottom>
      <diagonal/>
    </border>
    <border>
      <left/>
      <right/>
      <top/>
      <bottom style="dashed">
        <color rgb="FF92D050"/>
      </bottom>
      <diagonal/>
    </border>
    <border>
      <left/>
      <right style="double">
        <color rgb="FF92D050"/>
      </right>
      <top/>
      <bottom style="dashed">
        <color rgb="FF92D050"/>
      </bottom>
      <diagonal/>
    </border>
    <border>
      <left/>
      <right style="dotted">
        <color rgb="FF92D050"/>
      </right>
      <top style="double">
        <color rgb="FF92D050"/>
      </top>
      <bottom style="dotted">
        <color rgb="FF92D050"/>
      </bottom>
      <diagonal/>
    </border>
    <border>
      <left/>
      <right style="double">
        <color rgb="FF92D050"/>
      </right>
      <top/>
      <bottom/>
      <diagonal/>
    </border>
    <border>
      <left style="double">
        <color rgb="FF92D050"/>
      </left>
      <right style="dotted">
        <color rgb="FF92D050"/>
      </right>
      <top style="double">
        <color rgb="FF92D050"/>
      </top>
      <bottom/>
      <diagonal/>
    </border>
    <border>
      <left/>
      <right style="dotted">
        <color rgb="FF92D050"/>
      </right>
      <top style="double">
        <color rgb="FF92D050"/>
      </top>
      <bottom/>
      <diagonal/>
    </border>
    <border>
      <left style="dotted">
        <color rgb="FF92D050"/>
      </left>
      <right/>
      <top style="double">
        <color rgb="FF92D050"/>
      </top>
      <bottom style="dotted">
        <color rgb="FF92D050"/>
      </bottom>
      <diagonal/>
    </border>
    <border>
      <left style="thin">
        <color indexed="64"/>
      </left>
      <right style="thin">
        <color indexed="64"/>
      </right>
      <top/>
      <bottom/>
      <diagonal/>
    </border>
    <border>
      <left/>
      <right style="double">
        <color rgb="FF92D050"/>
      </right>
      <top style="dotted">
        <color rgb="FF92D050"/>
      </top>
      <bottom style="double">
        <color rgb="FF92D050"/>
      </bottom>
      <diagonal/>
    </border>
    <border>
      <left/>
      <right/>
      <top style="double">
        <color rgb="FF92D050"/>
      </top>
      <bottom style="dotted">
        <color rgb="FF92D050"/>
      </bottom>
      <diagonal/>
    </border>
    <border>
      <left style="dashed">
        <color rgb="FF92D050"/>
      </left>
      <right style="double">
        <color rgb="FF92D050"/>
      </right>
      <top style="dashed">
        <color rgb="FF92D050"/>
      </top>
      <bottom/>
      <diagonal/>
    </border>
    <border>
      <left style="double">
        <color rgb="FF92D050"/>
      </left>
      <right/>
      <top style="double">
        <color rgb="FF92D050"/>
      </top>
      <bottom style="dotted">
        <color rgb="FF92D050"/>
      </bottom>
      <diagonal/>
    </border>
    <border>
      <left style="double">
        <color rgb="FF92D050"/>
      </left>
      <right style="double">
        <color rgb="FF92D050"/>
      </right>
      <top style="dashed">
        <color rgb="FF92D050"/>
      </top>
      <bottom style="dashed">
        <color rgb="FF92D050"/>
      </bottom>
      <diagonal/>
    </border>
    <border>
      <left style="dashed">
        <color rgb="FF92D050"/>
      </left>
      <right style="dashed">
        <color rgb="FF92D050"/>
      </right>
      <top/>
      <bottom style="double">
        <color rgb="FF92D050"/>
      </bottom>
      <diagonal/>
    </border>
    <border>
      <left style="dashed">
        <color rgb="FF92D050"/>
      </left>
      <right style="double">
        <color rgb="FF92D050"/>
      </right>
      <top/>
      <bottom style="double">
        <color rgb="FF92D050"/>
      </bottom>
      <diagonal/>
    </border>
    <border>
      <left style="double">
        <color rgb="FF92D050"/>
      </left>
      <right style="hair">
        <color rgb="FF92D050"/>
      </right>
      <top style="double">
        <color rgb="FF92D050"/>
      </top>
      <bottom style="hair">
        <color rgb="FF92D050"/>
      </bottom>
      <diagonal/>
    </border>
    <border>
      <left style="hair">
        <color rgb="FF92D050"/>
      </left>
      <right style="hair">
        <color rgb="FF92D050"/>
      </right>
      <top style="double">
        <color rgb="FF92D050"/>
      </top>
      <bottom style="hair">
        <color rgb="FF92D050"/>
      </bottom>
      <diagonal/>
    </border>
    <border>
      <left style="hair">
        <color rgb="FF92D050"/>
      </left>
      <right style="double">
        <color rgb="FF92D050"/>
      </right>
      <top style="double">
        <color rgb="FF92D050"/>
      </top>
      <bottom style="hair">
        <color rgb="FF92D050"/>
      </bottom>
      <diagonal/>
    </border>
    <border>
      <left style="double">
        <color rgb="FF92D050"/>
      </left>
      <right style="hair">
        <color rgb="FF92D050"/>
      </right>
      <top style="hair">
        <color rgb="FF92D050"/>
      </top>
      <bottom style="hair">
        <color rgb="FF92D050"/>
      </bottom>
      <diagonal/>
    </border>
    <border>
      <left style="hair">
        <color rgb="FF92D050"/>
      </left>
      <right style="hair">
        <color rgb="FF92D050"/>
      </right>
      <top style="hair">
        <color rgb="FF92D050"/>
      </top>
      <bottom style="hair">
        <color rgb="FF92D050"/>
      </bottom>
      <diagonal/>
    </border>
    <border>
      <left style="hair">
        <color rgb="FF92D050"/>
      </left>
      <right style="double">
        <color rgb="FF92D050"/>
      </right>
      <top style="hair">
        <color rgb="FF92D050"/>
      </top>
      <bottom style="hair">
        <color rgb="FF92D050"/>
      </bottom>
      <diagonal/>
    </border>
    <border>
      <left style="double">
        <color rgb="FF92D050"/>
      </left>
      <right style="hair">
        <color rgb="FF92D050"/>
      </right>
      <top style="hair">
        <color rgb="FF92D050"/>
      </top>
      <bottom style="double">
        <color rgb="FF92D050"/>
      </bottom>
      <diagonal/>
    </border>
    <border>
      <left style="hair">
        <color rgb="FF92D050"/>
      </left>
      <right style="hair">
        <color rgb="FF92D050"/>
      </right>
      <top style="hair">
        <color rgb="FF92D050"/>
      </top>
      <bottom style="double">
        <color rgb="FF92D050"/>
      </bottom>
      <diagonal/>
    </border>
    <border>
      <left style="hair">
        <color rgb="FF92D050"/>
      </left>
      <right style="double">
        <color rgb="FF92D050"/>
      </right>
      <top style="hair">
        <color rgb="FF92D050"/>
      </top>
      <bottom style="double">
        <color rgb="FF92D050"/>
      </bottom>
      <diagonal/>
    </border>
    <border>
      <left style="dashed">
        <color rgb="FF92D050"/>
      </left>
      <right style="dashed">
        <color rgb="FF92D050"/>
      </right>
      <top style="double">
        <color rgb="FF92D050"/>
      </top>
      <bottom style="dotted">
        <color rgb="FF92D050"/>
      </bottom>
      <diagonal/>
    </border>
    <border>
      <left/>
      <right style="double">
        <color rgb="FF92D050"/>
      </right>
      <top style="double">
        <color rgb="FF92D050"/>
      </top>
      <bottom style="dotted">
        <color rgb="FF92D050"/>
      </bottom>
      <diagonal/>
    </border>
    <border>
      <left/>
      <right style="double">
        <color rgb="FF92D050"/>
      </right>
      <top style="dashed">
        <color rgb="FF92D050"/>
      </top>
      <bottom style="dashed">
        <color rgb="FF92D050"/>
      </bottom>
      <diagonal/>
    </border>
    <border>
      <left/>
      <right style="double">
        <color rgb="FF92D050"/>
      </right>
      <top style="dashed">
        <color rgb="FF92D050"/>
      </top>
      <bottom style="double">
        <color rgb="FF92D050"/>
      </bottom>
      <diagonal/>
    </border>
    <border>
      <left style="double">
        <color rgb="FF92D050"/>
      </left>
      <right style="dashDotDot">
        <color rgb="FF92D050"/>
      </right>
      <top style="double">
        <color rgb="FF92D050"/>
      </top>
      <bottom style="dotted">
        <color rgb="FF92D050"/>
      </bottom>
      <diagonal/>
    </border>
    <border>
      <left style="dashDotDot">
        <color rgb="FF92D050"/>
      </left>
      <right style="dashDotDot">
        <color rgb="FF92D050"/>
      </right>
      <top style="double">
        <color rgb="FF92D050"/>
      </top>
      <bottom style="dotted">
        <color rgb="FF92D050"/>
      </bottom>
      <diagonal/>
    </border>
    <border>
      <left style="dashDotDot">
        <color rgb="FF92D050"/>
      </left>
      <right style="double">
        <color rgb="FF92D050"/>
      </right>
      <top style="double">
        <color rgb="FF92D050"/>
      </top>
      <bottom style="dotted">
        <color rgb="FF92D050"/>
      </bottom>
      <diagonal/>
    </border>
    <border>
      <left style="double">
        <color rgb="FF92D050"/>
      </left>
      <right style="dashDotDot">
        <color rgb="FF92D050"/>
      </right>
      <top style="dotted">
        <color rgb="FF92D050"/>
      </top>
      <bottom style="dotted">
        <color rgb="FF92D050"/>
      </bottom>
      <diagonal/>
    </border>
    <border>
      <left style="dashDotDot">
        <color rgb="FF92D050"/>
      </left>
      <right style="dashDotDot">
        <color rgb="FF92D050"/>
      </right>
      <top style="dotted">
        <color rgb="FF92D050"/>
      </top>
      <bottom style="dotted">
        <color rgb="FF92D050"/>
      </bottom>
      <diagonal/>
    </border>
    <border>
      <left style="dashDotDot">
        <color rgb="FF92D050"/>
      </left>
      <right style="double">
        <color rgb="FF92D050"/>
      </right>
      <top style="dotted">
        <color rgb="FF92D050"/>
      </top>
      <bottom style="dotted">
        <color rgb="FF92D050"/>
      </bottom>
      <diagonal/>
    </border>
    <border>
      <left style="double">
        <color rgb="FF92D050"/>
      </left>
      <right style="dashDotDot">
        <color rgb="FF92D050"/>
      </right>
      <top style="dotted">
        <color rgb="FF92D050"/>
      </top>
      <bottom style="double">
        <color rgb="FF92D050"/>
      </bottom>
      <diagonal/>
    </border>
    <border>
      <left style="dashDotDot">
        <color rgb="FF92D050"/>
      </left>
      <right style="dashDotDot">
        <color rgb="FF92D050"/>
      </right>
      <top style="dotted">
        <color rgb="FF92D050"/>
      </top>
      <bottom style="double">
        <color rgb="FF92D050"/>
      </bottom>
      <diagonal/>
    </border>
    <border>
      <left style="dashDotDot">
        <color rgb="FF92D050"/>
      </left>
      <right style="double">
        <color rgb="FF92D050"/>
      </right>
      <top style="dotted">
        <color rgb="FF92D050"/>
      </top>
      <bottom style="double">
        <color rgb="FF92D050"/>
      </bottom>
      <diagonal/>
    </border>
    <border>
      <left style="double">
        <color rgb="FF92D050"/>
      </left>
      <right style="dashed">
        <color rgb="FF92D050"/>
      </right>
      <top style="double">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ouble">
        <color rgb="FF92D050"/>
      </left>
      <right style="dashed">
        <color rgb="FF92D050"/>
      </right>
      <top style="dotted">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s>
  <cellStyleXfs count="14">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31" fillId="0" borderId="0" applyNumberFormat="0" applyFill="0" applyBorder="0" applyAlignment="0" applyProtection="0">
      <alignment vertical="top"/>
      <protection locked="0"/>
    </xf>
    <xf numFmtId="0" fontId="43" fillId="0" borderId="0"/>
    <xf numFmtId="41" fontId="1" fillId="0" borderId="0" applyFont="0" applyFill="0" applyBorder="0" applyAlignment="0" applyProtection="0"/>
    <xf numFmtId="0" fontId="74" fillId="0" borderId="0" applyNumberFormat="0" applyFill="0" applyBorder="0" applyAlignment="0" applyProtection="0"/>
    <xf numFmtId="9" fontId="9" fillId="0" borderId="0" applyFont="0" applyFill="0" applyBorder="0" applyAlignment="0" applyProtection="0"/>
  </cellStyleXfs>
  <cellXfs count="1024">
    <xf numFmtId="0" fontId="0" fillId="0" borderId="0" xfId="0"/>
    <xf numFmtId="0" fontId="2" fillId="0" borderId="0" xfId="0" applyFont="1"/>
    <xf numFmtId="0" fontId="0" fillId="0" borderId="0" xfId="0"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Border="1" applyAlignment="1">
      <alignment horizontal="center"/>
    </xf>
    <xf numFmtId="43" fontId="0" fillId="2" borderId="1" xfId="0" applyNumberFormat="1" applyFill="1" applyBorder="1"/>
    <xf numFmtId="0" fontId="7" fillId="0" borderId="0" xfId="0" applyFont="1"/>
    <xf numFmtId="0" fontId="7" fillId="0" borderId="1" xfId="0" applyFont="1" applyBorder="1"/>
    <xf numFmtId="0" fontId="8" fillId="0" borderId="1" xfId="0" applyFont="1" applyBorder="1"/>
    <xf numFmtId="0" fontId="0" fillId="0" borderId="0" xfId="1" applyNumberFormat="1" applyFont="1"/>
    <xf numFmtId="0" fontId="0" fillId="3" borderId="1" xfId="0" applyFill="1" applyBorder="1" applyAlignment="1">
      <alignment horizontal="center"/>
    </xf>
    <xf numFmtId="164" fontId="0" fillId="2" borderId="1" xfId="1" applyNumberFormat="1" applyFont="1" applyFill="1" applyBorder="1"/>
    <xf numFmtId="0" fontId="0" fillId="4" borderId="0" xfId="0" applyFill="1"/>
    <xf numFmtId="0" fontId="10" fillId="0" borderId="0" xfId="0" applyFont="1"/>
    <xf numFmtId="0" fontId="0" fillId="2" borderId="0" xfId="0" applyFill="1"/>
    <xf numFmtId="0" fontId="0" fillId="0" borderId="1" xfId="0" applyBorder="1"/>
    <xf numFmtId="10" fontId="0" fillId="0" borderId="1" xfId="0" applyNumberFormat="1" applyBorder="1"/>
    <xf numFmtId="0" fontId="0" fillId="0" borderId="2" xfId="0" applyBorder="1"/>
    <xf numFmtId="10" fontId="0" fillId="0" borderId="10" xfId="0" applyNumberFormat="1" applyBorder="1"/>
    <xf numFmtId="10" fontId="0" fillId="0" borderId="11" xfId="0" applyNumberFormat="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14" fillId="9" borderId="0" xfId="0" applyFont="1" applyFill="1" applyAlignment="1" applyProtection="1">
      <alignment vertical="center"/>
      <protection hidden="1"/>
    </xf>
    <xf numFmtId="0" fontId="14" fillId="0" borderId="0" xfId="0" applyFont="1" applyAlignment="1" applyProtection="1">
      <alignment vertical="center"/>
      <protection hidden="1"/>
    </xf>
    <xf numFmtId="15" fontId="16" fillId="12" borderId="25" xfId="0" quotePrefix="1" applyNumberFormat="1" applyFont="1" applyFill="1" applyBorder="1" applyAlignment="1" applyProtection="1">
      <alignment horizontal="center" vertical="center" wrapText="1"/>
      <protection hidden="1"/>
    </xf>
    <xf numFmtId="43" fontId="17" fillId="0" borderId="22" xfId="4" applyFont="1" applyFill="1" applyBorder="1" applyAlignment="1" applyProtection="1">
      <alignment vertical="center" wrapText="1"/>
      <protection hidden="1"/>
    </xf>
    <xf numFmtId="43" fontId="17" fillId="0" borderId="23" xfId="4" applyFont="1" applyFill="1" applyBorder="1" applyAlignment="1" applyProtection="1">
      <alignment horizontal="center" vertical="center" wrapText="1"/>
      <protection hidden="1"/>
    </xf>
    <xf numFmtId="0" fontId="18" fillId="0" borderId="0" xfId="0" applyFont="1" applyAlignment="1" applyProtection="1">
      <alignment horizontal="justify" vertical="top" wrapText="1"/>
      <protection hidden="1"/>
    </xf>
    <xf numFmtId="0" fontId="15" fillId="13" borderId="0" xfId="0" applyFont="1" applyFill="1" applyAlignment="1" applyProtection="1">
      <alignment vertical="center"/>
      <protection hidden="1"/>
    </xf>
    <xf numFmtId="0" fontId="13" fillId="12" borderId="33" xfId="0" quotePrefix="1" applyFont="1" applyFill="1" applyBorder="1" applyAlignment="1" applyProtection="1">
      <alignment horizontal="center" vertical="center" wrapText="1"/>
      <protection hidden="1"/>
    </xf>
    <xf numFmtId="15" fontId="16" fillId="12" borderId="34" xfId="0" applyNumberFormat="1" applyFont="1" applyFill="1" applyBorder="1" applyAlignment="1" applyProtection="1">
      <alignment horizontal="center" vertical="center" wrapText="1"/>
      <protection hidden="1"/>
    </xf>
    <xf numFmtId="0" fontId="17" fillId="0" borderId="28" xfId="0" applyFont="1" applyBorder="1" applyAlignment="1" applyProtection="1">
      <alignment horizontal="left" vertical="center" wrapText="1"/>
      <protection hidden="1"/>
    </xf>
    <xf numFmtId="0" fontId="17" fillId="0" borderId="35" xfId="0" applyFont="1" applyBorder="1" applyAlignment="1" applyProtection="1">
      <alignment horizontal="left" vertical="center" wrapText="1"/>
      <protection hidden="1"/>
    </xf>
    <xf numFmtId="43" fontId="17" fillId="0" borderId="22" xfId="4" applyFont="1" applyFill="1" applyBorder="1" applyAlignment="1" applyProtection="1">
      <alignment horizontal="right" vertical="center" wrapText="1"/>
      <protection hidden="1"/>
    </xf>
    <xf numFmtId="43" fontId="17" fillId="13" borderId="23" xfId="4" applyFont="1" applyFill="1" applyBorder="1" applyAlignment="1" applyProtection="1">
      <alignment horizontal="right" vertical="center" wrapText="1"/>
      <protection hidden="1"/>
    </xf>
    <xf numFmtId="0" fontId="17" fillId="0" borderId="29" xfId="0" applyFont="1" applyBorder="1" applyAlignment="1" applyProtection="1">
      <alignment horizontal="left" vertical="center" wrapText="1"/>
      <protection hidden="1"/>
    </xf>
    <xf numFmtId="0" fontId="17" fillId="0" borderId="36" xfId="0" applyFont="1" applyBorder="1" applyAlignment="1" applyProtection="1">
      <alignment horizontal="left" vertical="center" wrapText="1"/>
      <protection hidden="1"/>
    </xf>
    <xf numFmtId="43" fontId="17" fillId="0" borderId="25" xfId="4" applyFont="1" applyFill="1" applyBorder="1" applyAlignment="1" applyProtection="1">
      <alignment horizontal="right" vertical="center" wrapText="1"/>
      <protection hidden="1"/>
    </xf>
    <xf numFmtId="2" fontId="17" fillId="0" borderId="26" xfId="0" applyNumberFormat="1" applyFont="1" applyBorder="1" applyAlignment="1" applyProtection="1">
      <alignment horizontal="right" vertical="center" wrapText="1"/>
      <protection hidden="1"/>
    </xf>
    <xf numFmtId="0" fontId="14" fillId="13" borderId="0" xfId="0" applyFont="1" applyFill="1" applyAlignment="1" applyProtection="1">
      <alignment vertical="center"/>
      <protection hidden="1"/>
    </xf>
    <xf numFmtId="43" fontId="17" fillId="9" borderId="0" xfId="4" applyFont="1" applyFill="1" applyBorder="1" applyAlignment="1" applyProtection="1">
      <alignment vertical="center" wrapText="1"/>
      <protection hidden="1"/>
    </xf>
    <xf numFmtId="0" fontId="9" fillId="13" borderId="0" xfId="0" applyFont="1" applyFill="1" applyAlignment="1" applyProtection="1">
      <alignment vertical="center"/>
      <protection hidden="1"/>
    </xf>
    <xf numFmtId="0" fontId="18" fillId="0" borderId="0" xfId="0" applyFont="1" applyAlignment="1" applyProtection="1">
      <alignment horizontal="justify" vertical="center" wrapText="1"/>
      <protection hidden="1"/>
    </xf>
    <xf numFmtId="0" fontId="22" fillId="0" borderId="0" xfId="0" applyFont="1" applyAlignment="1" applyProtection="1">
      <alignment horizontal="left" vertical="center" wrapText="1"/>
      <protection hidden="1"/>
    </xf>
    <xf numFmtId="43" fontId="22" fillId="0" borderId="0" xfId="4" applyFont="1" applyFill="1" applyBorder="1" applyAlignment="1" applyProtection="1">
      <alignment horizontal="right" vertical="center" wrapText="1"/>
      <protection hidden="1"/>
    </xf>
    <xf numFmtId="0" fontId="9" fillId="13" borderId="0" xfId="0" applyFont="1" applyFill="1" applyAlignment="1" applyProtection="1">
      <alignment vertical="top"/>
      <protection hidden="1"/>
    </xf>
    <xf numFmtId="43" fontId="17" fillId="0" borderId="23" xfId="4" applyFont="1" applyFill="1" applyBorder="1" applyAlignment="1" applyProtection="1">
      <alignment horizontal="right" vertical="center" wrapText="1"/>
      <protection hidden="1"/>
    </xf>
    <xf numFmtId="0" fontId="24" fillId="0" borderId="0" xfId="0" applyFont="1"/>
    <xf numFmtId="0" fontId="25" fillId="12" borderId="42" xfId="0" applyFont="1" applyFill="1" applyBorder="1" applyAlignment="1" applyProtection="1">
      <alignment horizontal="center" vertical="center" wrapText="1"/>
      <protection hidden="1"/>
    </xf>
    <xf numFmtId="0" fontId="25" fillId="14" borderId="42" xfId="0" applyFont="1" applyFill="1" applyBorder="1" applyAlignment="1" applyProtection="1">
      <alignment horizontal="center" vertical="center" wrapText="1"/>
      <protection hidden="1"/>
    </xf>
    <xf numFmtId="9" fontId="23" fillId="12" borderId="42" xfId="0" quotePrefix="1" applyNumberFormat="1" applyFont="1" applyFill="1" applyBorder="1" applyAlignment="1" applyProtection="1">
      <alignment horizontal="center" vertical="center" wrapText="1"/>
      <protection hidden="1"/>
    </xf>
    <xf numFmtId="9" fontId="23" fillId="14" borderId="42" xfId="0" quotePrefix="1" applyNumberFormat="1" applyFont="1" applyFill="1" applyBorder="1" applyAlignment="1" applyProtection="1">
      <alignment horizontal="center" vertical="center" wrapText="1"/>
      <protection hidden="1"/>
    </xf>
    <xf numFmtId="15" fontId="23" fillId="12" borderId="47" xfId="0" quotePrefix="1" applyNumberFormat="1" applyFont="1" applyFill="1" applyBorder="1" applyAlignment="1" applyProtection="1">
      <alignment horizontal="center" vertical="center" wrapText="1"/>
      <protection hidden="1"/>
    </xf>
    <xf numFmtId="15" fontId="23" fillId="14" borderId="47" xfId="0" quotePrefix="1" applyNumberFormat="1" applyFont="1" applyFill="1" applyBorder="1" applyAlignment="1" applyProtection="1">
      <alignment horizontal="center" vertical="center" wrapText="1"/>
      <protection hidden="1"/>
    </xf>
    <xf numFmtId="167" fontId="22" fillId="0" borderId="48" xfId="4" applyNumberFormat="1" applyFont="1" applyBorder="1" applyAlignment="1" applyProtection="1">
      <alignment horizontal="left" vertical="center" wrapText="1"/>
      <protection hidden="1"/>
    </xf>
    <xf numFmtId="167" fontId="22" fillId="0" borderId="49" xfId="4" applyNumberFormat="1" applyFont="1" applyBorder="1" applyAlignment="1" applyProtection="1">
      <alignment horizontal="left" vertical="center" wrapText="1"/>
      <protection hidden="1"/>
    </xf>
    <xf numFmtId="43" fontId="22" fillId="9" borderId="42" xfId="4" applyFont="1" applyFill="1" applyBorder="1" applyAlignment="1" applyProtection="1">
      <alignment horizontal="center" vertical="center" wrapText="1"/>
      <protection hidden="1"/>
    </xf>
    <xf numFmtId="0" fontId="22" fillId="0" borderId="28" xfId="0" applyFont="1" applyBorder="1" applyAlignment="1" applyProtection="1">
      <alignment horizontal="left" vertical="center" wrapText="1"/>
      <protection hidden="1"/>
    </xf>
    <xf numFmtId="167" fontId="22" fillId="9" borderId="42" xfId="4" applyNumberFormat="1" applyFont="1" applyFill="1" applyBorder="1" applyAlignment="1" applyProtection="1">
      <alignment horizontal="center" vertical="center" wrapText="1"/>
      <protection hidden="1"/>
    </xf>
    <xf numFmtId="167" fontId="22" fillId="0" borderId="42" xfId="4" applyNumberFormat="1" applyFont="1" applyFill="1" applyBorder="1" applyAlignment="1" applyProtection="1">
      <alignment horizontal="center" vertical="center" wrapText="1"/>
      <protection hidden="1"/>
    </xf>
    <xf numFmtId="43" fontId="22" fillId="0" borderId="49" xfId="4" applyFont="1" applyBorder="1" applyAlignment="1" applyProtection="1">
      <alignment horizontal="left" vertical="center" wrapText="1"/>
      <protection hidden="1"/>
    </xf>
    <xf numFmtId="0" fontId="22" fillId="0" borderId="50" xfId="0" applyFont="1" applyBorder="1" applyAlignment="1" applyProtection="1">
      <alignment horizontal="left" vertical="center" wrapText="1"/>
      <protection hidden="1"/>
    </xf>
    <xf numFmtId="43" fontId="22" fillId="9" borderId="47" xfId="4" applyFont="1" applyFill="1" applyBorder="1" applyAlignment="1" applyProtection="1">
      <alignment horizontal="center" vertical="center" wrapText="1"/>
      <protection hidden="1"/>
    </xf>
    <xf numFmtId="0" fontId="26" fillId="0" borderId="0" xfId="3" applyFont="1" applyAlignment="1" applyProtection="1">
      <alignment vertical="center"/>
      <protection hidden="1"/>
    </xf>
    <xf numFmtId="0" fontId="28" fillId="16" borderId="28" xfId="3" quotePrefix="1" applyFont="1" applyFill="1" applyBorder="1" applyAlignment="1" applyProtection="1">
      <alignment horizontal="left" vertical="center"/>
      <protection hidden="1"/>
    </xf>
    <xf numFmtId="0" fontId="27" fillId="12" borderId="28" xfId="3" applyFont="1" applyFill="1" applyBorder="1" applyAlignment="1" applyProtection="1">
      <alignment horizontal="center" vertical="center" wrapText="1"/>
      <protection hidden="1"/>
    </xf>
    <xf numFmtId="0" fontId="26" fillId="0" borderId="28" xfId="0" applyFont="1" applyBorder="1" applyAlignment="1" applyProtection="1">
      <alignment horizontal="center" vertical="center" wrapText="1"/>
      <protection hidden="1"/>
    </xf>
    <xf numFmtId="43" fontId="26" fillId="13" borderId="23" xfId="8" applyFont="1" applyFill="1" applyBorder="1" applyAlignment="1" applyProtection="1">
      <alignment vertical="center" wrapText="1"/>
      <protection hidden="1"/>
    </xf>
    <xf numFmtId="43" fontId="26" fillId="13" borderId="28" xfId="8" applyFont="1" applyFill="1" applyBorder="1" applyAlignment="1" applyProtection="1">
      <alignment horizontal="center" vertical="center" wrapText="1"/>
      <protection hidden="1"/>
    </xf>
    <xf numFmtId="43" fontId="26" fillId="13" borderId="23" xfId="8" applyFont="1" applyFill="1" applyBorder="1" applyAlignment="1" applyProtection="1">
      <alignment horizontal="center" vertical="center" wrapText="1"/>
      <protection hidden="1"/>
    </xf>
    <xf numFmtId="43" fontId="26" fillId="13" borderId="35" xfId="8" applyFont="1" applyFill="1" applyBorder="1" applyAlignment="1" applyProtection="1">
      <alignment horizontal="center" vertical="center" wrapText="1"/>
      <protection hidden="1"/>
    </xf>
    <xf numFmtId="43" fontId="26" fillId="0" borderId="23" xfId="8" applyFont="1" applyFill="1" applyBorder="1" applyAlignment="1" applyProtection="1">
      <alignment horizontal="center" vertical="center" wrapText="1"/>
      <protection hidden="1"/>
    </xf>
    <xf numFmtId="0" fontId="26" fillId="0" borderId="23" xfId="0" applyFont="1" applyBorder="1" applyAlignment="1" applyProtection="1">
      <alignment horizontal="left" vertical="center" wrapText="1"/>
      <protection hidden="1"/>
    </xf>
    <xf numFmtId="0" fontId="26" fillId="17" borderId="28" xfId="0" applyFont="1" applyFill="1" applyBorder="1" applyAlignment="1" applyProtection="1">
      <alignment horizontal="center" vertical="center" wrapText="1"/>
      <protection hidden="1"/>
    </xf>
    <xf numFmtId="43" fontId="26" fillId="17" borderId="28" xfId="8" applyFont="1" applyFill="1" applyBorder="1" applyAlignment="1" applyProtection="1">
      <alignment horizontal="center" vertical="center" wrapText="1"/>
      <protection hidden="1"/>
    </xf>
    <xf numFmtId="43" fontId="26" fillId="17" borderId="23" xfId="8" applyFont="1" applyFill="1" applyBorder="1" applyAlignment="1" applyProtection="1">
      <alignment horizontal="center" vertical="center" wrapText="1"/>
      <protection hidden="1"/>
    </xf>
    <xf numFmtId="43" fontId="26" fillId="13" borderId="28" xfId="8" quotePrefix="1" applyFont="1" applyFill="1" applyBorder="1" applyAlignment="1" applyProtection="1">
      <alignment horizontal="center" vertical="center" wrapText="1"/>
      <protection hidden="1"/>
    </xf>
    <xf numFmtId="0" fontId="26" fillId="17" borderId="29" xfId="0" applyFont="1" applyFill="1" applyBorder="1" applyAlignment="1" applyProtection="1">
      <alignment horizontal="center" vertical="center" wrapText="1"/>
      <protection hidden="1"/>
    </xf>
    <xf numFmtId="0" fontId="26" fillId="17" borderId="26" xfId="0" applyFont="1" applyFill="1" applyBorder="1" applyAlignment="1" applyProtection="1">
      <alignment horizontal="left" vertical="center" wrapText="1"/>
      <protection hidden="1"/>
    </xf>
    <xf numFmtId="43" fontId="26" fillId="17" borderId="29" xfId="8" applyFont="1" applyFill="1" applyBorder="1" applyAlignment="1" applyProtection="1">
      <alignment horizontal="center" vertical="center" wrapText="1"/>
      <protection hidden="1"/>
    </xf>
    <xf numFmtId="43" fontId="26" fillId="17" borderId="26" xfId="8" applyFont="1" applyFill="1" applyBorder="1" applyAlignment="1" applyProtection="1">
      <alignment horizontal="center" vertical="center" wrapText="1"/>
      <protection hidden="1"/>
    </xf>
    <xf numFmtId="43" fontId="26" fillId="17" borderId="36" xfId="8"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19" fillId="0" borderId="0" xfId="0" applyFont="1" applyAlignment="1" applyProtection="1">
      <alignment horizontal="left" vertical="center" wrapText="1"/>
      <protection hidden="1"/>
    </xf>
    <xf numFmtId="43" fontId="19" fillId="0" borderId="0" xfId="8" applyFont="1" applyFill="1" applyBorder="1" applyAlignment="1" applyProtection="1">
      <alignment vertical="center" wrapText="1"/>
      <protection hidden="1"/>
    </xf>
    <xf numFmtId="0" fontId="26" fillId="0" borderId="0" xfId="3" quotePrefix="1" applyFont="1" applyAlignment="1" applyProtection="1">
      <alignment horizontal="right" vertical="center" wrapText="1"/>
      <protection hidden="1"/>
    </xf>
    <xf numFmtId="0" fontId="30" fillId="0" borderId="0" xfId="3" applyFont="1" applyAlignment="1" applyProtection="1">
      <alignment horizontal="left" vertical="center" wrapText="1"/>
      <protection hidden="1"/>
    </xf>
    <xf numFmtId="0" fontId="26" fillId="0" borderId="0" xfId="3" applyFont="1" applyAlignment="1" applyProtection="1">
      <alignment horizontal="left" vertical="center"/>
      <protection hidden="1"/>
    </xf>
    <xf numFmtId="0" fontId="26" fillId="0" borderId="0" xfId="3" quotePrefix="1" applyFont="1" applyAlignment="1" applyProtection="1">
      <alignment vertical="center" wrapText="1"/>
      <protection hidden="1"/>
    </xf>
    <xf numFmtId="0" fontId="28" fillId="16" borderId="52" xfId="3" quotePrefix="1" applyFont="1" applyFill="1" applyBorder="1" applyAlignment="1" applyProtection="1">
      <alignment horizontal="left" vertical="center" wrapText="1"/>
      <protection hidden="1"/>
    </xf>
    <xf numFmtId="0" fontId="27" fillId="16" borderId="53" xfId="3" applyFont="1" applyFill="1" applyBorder="1" applyAlignment="1" applyProtection="1">
      <alignment vertical="center" wrapText="1"/>
      <protection hidden="1"/>
    </xf>
    <xf numFmtId="0" fontId="28" fillId="16" borderId="28" xfId="3" quotePrefix="1" applyFont="1" applyFill="1" applyBorder="1" applyAlignment="1" applyProtection="1">
      <alignment horizontal="left" vertical="center" wrapText="1"/>
      <protection hidden="1"/>
    </xf>
    <xf numFmtId="0" fontId="27" fillId="12" borderId="22" xfId="3" applyFont="1" applyFill="1" applyBorder="1" applyAlignment="1" applyProtection="1">
      <alignment horizontal="center" vertical="center" wrapText="1"/>
      <protection hidden="1"/>
    </xf>
    <xf numFmtId="9" fontId="27" fillId="12" borderId="23" xfId="3" quotePrefix="1" applyNumberFormat="1" applyFont="1" applyFill="1" applyBorder="1" applyAlignment="1" applyProtection="1">
      <alignment horizontal="center" vertical="center" wrapText="1"/>
      <protection hidden="1"/>
    </xf>
    <xf numFmtId="43" fontId="26" fillId="13" borderId="22" xfId="8" applyFont="1" applyFill="1" applyBorder="1" applyAlignment="1" applyProtection="1">
      <alignment horizontal="center" vertical="center" wrapText="1"/>
      <protection hidden="1"/>
    </xf>
    <xf numFmtId="43" fontId="26" fillId="13" borderId="22" xfId="8" quotePrefix="1" applyFont="1" applyFill="1" applyBorder="1" applyAlignment="1" applyProtection="1">
      <alignment horizontal="center" vertical="center" wrapText="1"/>
      <protection hidden="1"/>
    </xf>
    <xf numFmtId="43" fontId="26" fillId="0" borderId="22" xfId="6" quotePrefix="1" applyFont="1" applyFill="1" applyBorder="1" applyAlignment="1" applyProtection="1">
      <alignment horizontal="center" vertical="center" wrapText="1"/>
      <protection hidden="1"/>
    </xf>
    <xf numFmtId="43" fontId="26" fillId="0" borderId="22" xfId="8" applyFont="1" applyFill="1" applyBorder="1" applyAlignment="1" applyProtection="1">
      <alignment horizontal="center" vertical="center" wrapText="1"/>
      <protection hidden="1"/>
    </xf>
    <xf numFmtId="0" fontId="26" fillId="17" borderId="23" xfId="0" applyFont="1" applyFill="1" applyBorder="1" applyAlignment="1" applyProtection="1">
      <alignment horizontal="left" vertical="center" wrapText="1"/>
      <protection hidden="1"/>
    </xf>
    <xf numFmtId="43" fontId="26" fillId="17" borderId="22" xfId="8" applyFont="1" applyFill="1" applyBorder="1" applyAlignment="1" applyProtection="1">
      <alignment horizontal="center" vertical="center" wrapText="1"/>
      <protection hidden="1"/>
    </xf>
    <xf numFmtId="43" fontId="26" fillId="0" borderId="28" xfId="8" applyFont="1" applyFill="1" applyBorder="1" applyAlignment="1" applyProtection="1">
      <alignment horizontal="center" vertical="center" wrapText="1"/>
      <protection hidden="1"/>
    </xf>
    <xf numFmtId="43" fontId="26" fillId="17" borderId="25" xfId="8" applyFont="1" applyFill="1" applyBorder="1" applyAlignment="1" applyProtection="1">
      <alignment horizontal="center" vertical="center" wrapText="1"/>
      <protection hidden="1"/>
    </xf>
    <xf numFmtId="0" fontId="31" fillId="0" borderId="0" xfId="9" applyFill="1" applyBorder="1" applyAlignment="1" applyProtection="1">
      <alignment vertical="center" wrapText="1"/>
      <protection hidden="1"/>
    </xf>
    <xf numFmtId="0" fontId="26" fillId="0" borderId="0" xfId="3" applyFont="1" applyAlignment="1" applyProtection="1">
      <alignment horizontal="right" vertical="center" wrapText="1"/>
      <protection hidden="1"/>
    </xf>
    <xf numFmtId="0" fontId="30" fillId="0" borderId="0" xfId="3" quotePrefix="1" applyFont="1" applyAlignment="1" applyProtection="1">
      <alignment horizontal="right" vertical="center" wrapText="1"/>
      <protection hidden="1"/>
    </xf>
    <xf numFmtId="0" fontId="30" fillId="0" borderId="0" xfId="3" quotePrefix="1" applyFont="1" applyAlignment="1" applyProtection="1">
      <alignment horizontal="right" vertical="center"/>
      <protection hidden="1"/>
    </xf>
    <xf numFmtId="0" fontId="30" fillId="0" borderId="0" xfId="3" applyFont="1" applyAlignment="1" applyProtection="1">
      <alignment vertical="center"/>
      <protection hidden="1"/>
    </xf>
    <xf numFmtId="9" fontId="27" fillId="12" borderId="22" xfId="7" quotePrefix="1"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0" fontId="10" fillId="0" borderId="0" xfId="0" applyFont="1" applyAlignment="1" applyProtection="1">
      <alignment vertical="center"/>
      <protection hidden="1"/>
    </xf>
    <xf numFmtId="0" fontId="28" fillId="16" borderId="52" xfId="3" quotePrefix="1" applyFont="1" applyFill="1" applyBorder="1" applyAlignment="1" applyProtection="1">
      <alignment horizontal="left" vertical="center"/>
      <protection hidden="1"/>
    </xf>
    <xf numFmtId="0" fontId="27" fillId="16" borderId="53" xfId="3" applyFont="1" applyFill="1" applyBorder="1" applyAlignment="1" applyProtection="1">
      <alignment vertical="center"/>
      <protection hidden="1"/>
    </xf>
    <xf numFmtId="43" fontId="26" fillId="0" borderId="56" xfId="8" applyFont="1" applyFill="1" applyBorder="1" applyAlignment="1" applyProtection="1">
      <alignment horizontal="center" vertical="center" wrapText="1"/>
      <protection hidden="1"/>
    </xf>
    <xf numFmtId="43" fontId="26" fillId="0" borderId="56" xfId="0" applyNumberFormat="1" applyFont="1" applyBorder="1" applyAlignment="1" applyProtection="1">
      <alignment horizontal="center" vertical="center" wrapText="1"/>
      <protection hidden="1"/>
    </xf>
    <xf numFmtId="43" fontId="26" fillId="13" borderId="35" xfId="8" quotePrefix="1" applyFont="1" applyFill="1" applyBorder="1" applyAlignment="1" applyProtection="1">
      <alignment horizontal="center" vertical="center" wrapText="1"/>
      <protection hidden="1"/>
    </xf>
    <xf numFmtId="43" fontId="26" fillId="13" borderId="56" xfId="8" applyFont="1" applyFill="1" applyBorder="1" applyAlignment="1" applyProtection="1">
      <alignment horizontal="center" vertical="center" wrapText="1"/>
      <protection hidden="1"/>
    </xf>
    <xf numFmtId="43" fontId="26" fillId="13" borderId="58" xfId="8" applyFont="1" applyFill="1" applyBorder="1" applyAlignment="1" applyProtection="1">
      <alignment horizontal="center" vertical="center" wrapText="1"/>
      <protection hidden="1"/>
    </xf>
    <xf numFmtId="165" fontId="26" fillId="17" borderId="56" xfId="0" applyNumberFormat="1" applyFont="1" applyFill="1" applyBorder="1" applyAlignment="1" applyProtection="1">
      <alignment horizontal="center" vertical="center" wrapText="1"/>
      <protection hidden="1"/>
    </xf>
    <xf numFmtId="43" fontId="26" fillId="17" borderId="0" xfId="8" applyFont="1" applyFill="1" applyBorder="1" applyAlignment="1" applyProtection="1">
      <alignment horizontal="center" vertical="center" wrapText="1"/>
      <protection hidden="1"/>
    </xf>
    <xf numFmtId="43" fontId="26" fillId="17" borderId="56" xfId="8" applyFont="1" applyFill="1" applyBorder="1" applyAlignment="1" applyProtection="1">
      <alignment horizontal="center" vertical="center" wrapText="1"/>
      <protection hidden="1"/>
    </xf>
    <xf numFmtId="43" fontId="26" fillId="13" borderId="19" xfId="8" applyFont="1" applyFill="1" applyBorder="1" applyAlignment="1" applyProtection="1">
      <alignment horizontal="center" vertical="center" wrapText="1"/>
      <protection hidden="1"/>
    </xf>
    <xf numFmtId="43" fontId="26" fillId="0" borderId="35" xfId="8" applyFont="1" applyFill="1" applyBorder="1" applyAlignment="1" applyProtection="1">
      <alignment horizontal="center" vertical="center" wrapText="1"/>
      <protection hidden="1"/>
    </xf>
    <xf numFmtId="0" fontId="26" fillId="17" borderId="60" xfId="0" applyFont="1" applyFill="1" applyBorder="1" applyAlignment="1" applyProtection="1">
      <alignment horizontal="center" vertical="center" wrapText="1"/>
      <protection hidden="1"/>
    </xf>
    <xf numFmtId="43" fontId="26" fillId="17" borderId="60" xfId="8" applyFont="1" applyFill="1" applyBorder="1" applyAlignment="1" applyProtection="1">
      <alignment horizontal="center" vertical="center" wrapText="1"/>
      <protection hidden="1"/>
    </xf>
    <xf numFmtId="164" fontId="0" fillId="19" borderId="1" xfId="1" applyNumberFormat="1" applyFont="1" applyFill="1" applyBorder="1"/>
    <xf numFmtId="0" fontId="26" fillId="0" borderId="0" xfId="3" applyFont="1" applyAlignment="1" applyProtection="1">
      <alignment vertical="center" wrapText="1"/>
      <protection hidden="1"/>
    </xf>
    <xf numFmtId="0" fontId="10" fillId="0" borderId="0" xfId="0" applyFont="1" applyProtection="1">
      <protection hidden="1"/>
    </xf>
    <xf numFmtId="0" fontId="30" fillId="0" borderId="0" xfId="3" applyFont="1" applyAlignment="1" applyProtection="1">
      <alignment horizontal="justify" vertical="center" wrapText="1"/>
      <protection hidden="1"/>
    </xf>
    <xf numFmtId="43" fontId="26" fillId="0" borderId="59" xfId="8" applyFont="1" applyFill="1" applyBorder="1" applyAlignment="1" applyProtection="1">
      <alignment horizontal="center" vertical="center" wrapText="1"/>
      <protection hidden="1"/>
    </xf>
    <xf numFmtId="43" fontId="26" fillId="0" borderId="61" xfId="8" applyFont="1" applyFill="1" applyBorder="1" applyAlignment="1" applyProtection="1">
      <alignment horizontal="center" vertical="center" wrapText="1"/>
      <protection hidden="1"/>
    </xf>
    <xf numFmtId="43" fontId="26" fillId="13" borderId="59" xfId="8" applyFont="1" applyFill="1" applyBorder="1" applyAlignment="1" applyProtection="1">
      <alignment horizontal="center" vertical="center" wrapText="1"/>
      <protection hidden="1"/>
    </xf>
    <xf numFmtId="43" fontId="26" fillId="0" borderId="63" xfId="8" applyFont="1" applyFill="1" applyBorder="1" applyAlignment="1" applyProtection="1">
      <alignment horizontal="left" vertical="center"/>
      <protection hidden="1"/>
    </xf>
    <xf numFmtId="0" fontId="26" fillId="0" borderId="0" xfId="3" quotePrefix="1" applyFont="1" applyAlignment="1" applyProtection="1">
      <alignment vertical="center"/>
      <protection hidden="1"/>
    </xf>
    <xf numFmtId="43" fontId="26" fillId="17" borderId="64" xfId="8" applyFont="1" applyFill="1" applyBorder="1" applyAlignment="1" applyProtection="1">
      <alignment horizontal="center" vertical="center" wrapText="1"/>
      <protection hidden="1"/>
    </xf>
    <xf numFmtId="167" fontId="22" fillId="8" borderId="49" xfId="4" applyNumberFormat="1" applyFont="1" applyFill="1" applyBorder="1" applyAlignment="1" applyProtection="1">
      <alignment horizontal="left" vertical="center" wrapText="1"/>
      <protection hidden="1"/>
    </xf>
    <xf numFmtId="167" fontId="22" fillId="3" borderId="49" xfId="4" applyNumberFormat="1" applyFont="1" applyFill="1" applyBorder="1" applyAlignment="1" applyProtection="1">
      <alignment horizontal="left" vertical="center" wrapText="1"/>
      <protection hidden="1"/>
    </xf>
    <xf numFmtId="0" fontId="19" fillId="0" borderId="0" xfId="3" applyFont="1" applyAlignment="1" applyProtection="1">
      <alignment vertical="center" wrapText="1"/>
      <protection hidden="1"/>
    </xf>
    <xf numFmtId="0" fontId="27" fillId="12" borderId="55" xfId="3" applyFont="1" applyFill="1" applyBorder="1" applyAlignment="1" applyProtection="1">
      <alignment horizontal="center" vertical="center" wrapText="1"/>
      <protection hidden="1"/>
    </xf>
    <xf numFmtId="43" fontId="26" fillId="13" borderId="65" xfId="8" applyFont="1" applyFill="1" applyBorder="1" applyAlignment="1" applyProtection="1">
      <alignment horizontal="center" vertical="center" wrapText="1"/>
      <protection hidden="1"/>
    </xf>
    <xf numFmtId="43" fontId="26" fillId="0" borderId="65" xfId="8" applyFont="1" applyFill="1" applyBorder="1" applyAlignment="1" applyProtection="1">
      <alignment horizontal="center" vertical="center" wrapText="1"/>
      <protection hidden="1"/>
    </xf>
    <xf numFmtId="43" fontId="26" fillId="0" borderId="56" xfId="0" applyNumberFormat="1" applyFont="1" applyBorder="1" applyAlignment="1" applyProtection="1">
      <alignment horizontal="right" vertical="center" wrapText="1"/>
      <protection hidden="1"/>
    </xf>
    <xf numFmtId="43" fontId="26" fillId="22" borderId="22" xfId="8" applyFont="1" applyFill="1" applyBorder="1" applyAlignment="1" applyProtection="1">
      <alignment horizontal="center" vertical="center" wrapText="1"/>
      <protection hidden="1"/>
    </xf>
    <xf numFmtId="43" fontId="26" fillId="17" borderId="65" xfId="8" applyFont="1" applyFill="1" applyBorder="1" applyAlignment="1" applyProtection="1">
      <alignment horizontal="center" vertical="center" wrapText="1"/>
      <protection hidden="1"/>
    </xf>
    <xf numFmtId="43" fontId="26" fillId="22" borderId="23" xfId="8" applyFont="1" applyFill="1" applyBorder="1" applyAlignment="1" applyProtection="1">
      <alignment horizontal="center" vertical="center" wrapText="1"/>
      <protection hidden="1"/>
    </xf>
    <xf numFmtId="43" fontId="26" fillId="17" borderId="56" xfId="0" applyNumberFormat="1" applyFont="1" applyFill="1" applyBorder="1" applyAlignment="1" applyProtection="1">
      <alignment horizontal="right" vertical="center" wrapText="1"/>
      <protection hidden="1"/>
    </xf>
    <xf numFmtId="43" fontId="26" fillId="13" borderId="56" xfId="8" applyFont="1" applyFill="1" applyBorder="1" applyAlignment="1" applyProtection="1">
      <alignment horizontal="right" vertical="center" wrapText="1"/>
      <protection hidden="1"/>
    </xf>
    <xf numFmtId="0" fontId="26" fillId="17" borderId="60" xfId="0" applyFont="1" applyFill="1" applyBorder="1" applyAlignment="1" applyProtection="1">
      <alignment horizontal="right" vertical="center" wrapText="1"/>
      <protection hidden="1"/>
    </xf>
    <xf numFmtId="0" fontId="33" fillId="0" borderId="0" xfId="3" quotePrefix="1" applyFont="1" applyAlignment="1" applyProtection="1">
      <alignment horizontal="right" vertical="center" wrapText="1"/>
      <protection hidden="1"/>
    </xf>
    <xf numFmtId="0" fontId="0" fillId="0" borderId="0" xfId="0" applyAlignment="1" applyProtection="1">
      <alignment vertical="center"/>
      <protection hidden="1"/>
    </xf>
    <xf numFmtId="0" fontId="30" fillId="0" borderId="0" xfId="3" applyFont="1" applyAlignment="1" applyProtection="1">
      <alignment vertical="center" wrapText="1"/>
      <protection hidden="1"/>
    </xf>
    <xf numFmtId="0" fontId="27" fillId="12" borderId="59" xfId="3" applyFont="1" applyFill="1" applyBorder="1" applyAlignment="1" applyProtection="1">
      <alignment horizontal="center" vertical="center" wrapText="1"/>
      <protection hidden="1"/>
    </xf>
    <xf numFmtId="2" fontId="26" fillId="0" borderId="56" xfId="0" applyNumberFormat="1" applyFont="1" applyBorder="1" applyAlignment="1" applyProtection="1">
      <alignment horizontal="right" vertical="center" wrapText="1"/>
      <protection hidden="1"/>
    </xf>
    <xf numFmtId="43" fontId="26" fillId="0" borderId="56" xfId="0" quotePrefix="1" applyNumberFormat="1" applyFont="1" applyBorder="1" applyAlignment="1" applyProtection="1">
      <alignment horizontal="center" vertical="center" wrapText="1"/>
      <protection hidden="1"/>
    </xf>
    <xf numFmtId="43" fontId="26" fillId="0" borderId="56" xfId="0" quotePrefix="1" applyNumberFormat="1" applyFont="1" applyBorder="1" applyAlignment="1" applyProtection="1">
      <alignment horizontal="right" vertical="center" wrapText="1"/>
      <protection hidden="1"/>
    </xf>
    <xf numFmtId="43" fontId="26" fillId="0" borderId="65" xfId="0" applyNumberFormat="1" applyFont="1" applyBorder="1" applyAlignment="1" applyProtection="1">
      <alignment horizontal="center" vertical="center" wrapText="1"/>
      <protection hidden="1"/>
    </xf>
    <xf numFmtId="0" fontId="27" fillId="16" borderId="28" xfId="3" quotePrefix="1" applyFont="1" applyFill="1" applyBorder="1" applyAlignment="1" applyProtection="1">
      <alignment horizontal="left" vertical="center" wrapText="1"/>
      <protection hidden="1"/>
    </xf>
    <xf numFmtId="9" fontId="27" fillId="12" borderId="28" xfId="7" quotePrefix="1" applyFont="1" applyFill="1" applyBorder="1" applyAlignment="1" applyProtection="1">
      <alignment horizontal="center" vertical="center" wrapText="1"/>
      <protection hidden="1"/>
    </xf>
    <xf numFmtId="169" fontId="27" fillId="12" borderId="59" xfId="3" quotePrefix="1" applyNumberFormat="1" applyFont="1" applyFill="1" applyBorder="1" applyAlignment="1" applyProtection="1">
      <alignment horizontal="center" vertical="center" wrapText="1"/>
      <protection hidden="1"/>
    </xf>
    <xf numFmtId="0" fontId="19" fillId="0" borderId="0" xfId="3" applyFont="1" applyAlignment="1" applyProtection="1">
      <alignment horizontal="justify" vertical="center" wrapText="1"/>
      <protection hidden="1"/>
    </xf>
    <xf numFmtId="0" fontId="28" fillId="16" borderId="27" xfId="3" quotePrefix="1" applyFont="1" applyFill="1" applyBorder="1" applyAlignment="1" applyProtection="1">
      <alignment horizontal="left" vertical="center"/>
      <protection hidden="1"/>
    </xf>
    <xf numFmtId="0" fontId="27" fillId="23" borderId="67" xfId="3" applyFont="1" applyFill="1" applyBorder="1" applyAlignment="1" applyProtection="1">
      <alignment horizontal="center" vertical="center" wrapText="1"/>
      <protection hidden="1"/>
    </xf>
    <xf numFmtId="168" fontId="38" fillId="23" borderId="65" xfId="3" quotePrefix="1" applyNumberFormat="1" applyFont="1" applyFill="1" applyBorder="1" applyAlignment="1" applyProtection="1">
      <alignment horizontal="center" vertical="center" wrapText="1"/>
      <protection hidden="1"/>
    </xf>
    <xf numFmtId="0" fontId="27" fillId="23" borderId="65" xfId="3" applyFont="1" applyFill="1" applyBorder="1" applyAlignment="1" applyProtection="1">
      <alignment horizontal="center" vertical="center" wrapText="1"/>
      <protection hidden="1"/>
    </xf>
    <xf numFmtId="0" fontId="26" fillId="0" borderId="55" xfId="0" applyFont="1" applyBorder="1" applyAlignment="1" applyProtection="1">
      <alignment horizontal="left" vertical="center" wrapText="1"/>
      <protection hidden="1"/>
    </xf>
    <xf numFmtId="43" fontId="26" fillId="0" borderId="28" xfId="8" quotePrefix="1" applyFont="1" applyFill="1" applyBorder="1" applyAlignment="1" applyProtection="1">
      <alignment horizontal="center" vertical="center" wrapText="1"/>
      <protection hidden="1"/>
    </xf>
    <xf numFmtId="0" fontId="26" fillId="17" borderId="55" xfId="0" applyFont="1" applyFill="1" applyBorder="1" applyAlignment="1" applyProtection="1">
      <alignment horizontal="left" vertical="center" wrapText="1"/>
      <protection hidden="1"/>
    </xf>
    <xf numFmtId="0" fontId="26" fillId="17" borderId="64" xfId="0" applyFont="1" applyFill="1" applyBorder="1" applyAlignment="1" applyProtection="1">
      <alignment horizontal="left" vertical="center" wrapText="1"/>
      <protection hidden="1"/>
    </xf>
    <xf numFmtId="0" fontId="39" fillId="0" borderId="0" xfId="0" applyFont="1" applyAlignment="1" applyProtection="1">
      <alignment horizontal="left" vertical="center" wrapText="1"/>
      <protection hidden="1"/>
    </xf>
    <xf numFmtId="43" fontId="39" fillId="0" borderId="0" xfId="8" applyFont="1" applyFill="1" applyBorder="1" applyAlignment="1" applyProtection="1">
      <alignment vertical="center" wrapText="1"/>
      <protection hidden="1"/>
    </xf>
    <xf numFmtId="0" fontId="26" fillId="0" borderId="0" xfId="3" quotePrefix="1" applyFont="1" applyAlignment="1" applyProtection="1">
      <alignment horizontal="right" vertical="center"/>
      <protection hidden="1"/>
    </xf>
    <xf numFmtId="0" fontId="40" fillId="0" borderId="0" xfId="0" applyFont="1" applyAlignment="1" applyProtection="1">
      <alignment horizontal="centerContinuous"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40" fillId="0" borderId="0" xfId="0" quotePrefix="1" applyFont="1" applyAlignment="1" applyProtection="1">
      <alignment horizontal="left" vertical="center"/>
      <protection hidden="1"/>
    </xf>
    <xf numFmtId="4" fontId="40" fillId="0" borderId="0" xfId="10" applyNumberFormat="1" applyFont="1" applyAlignment="1" applyProtection="1">
      <alignment horizontal="center" vertical="center"/>
      <protection hidden="1"/>
    </xf>
    <xf numFmtId="0" fontId="44" fillId="0" borderId="0" xfId="2" applyFont="1" applyAlignment="1" applyProtection="1">
      <alignment vertical="center"/>
      <protection hidden="1"/>
    </xf>
    <xf numFmtId="0" fontId="44" fillId="0" borderId="0" xfId="2" applyFont="1" applyAlignment="1" applyProtection="1">
      <alignment vertical="center" wrapText="1"/>
      <protection hidden="1"/>
    </xf>
    <xf numFmtId="0" fontId="45" fillId="0" borderId="0" xfId="0" applyFont="1" applyAlignment="1" applyProtection="1">
      <alignment vertical="center"/>
      <protection hidden="1"/>
    </xf>
    <xf numFmtId="4" fontId="46" fillId="0" borderId="0" xfId="10" applyNumberFormat="1" applyFont="1" applyAlignment="1" applyProtection="1">
      <alignment horizontal="center" vertical="center"/>
      <protection hidden="1"/>
    </xf>
    <xf numFmtId="0" fontId="46" fillId="0" borderId="0" xfId="0" applyFont="1" applyAlignment="1" applyProtection="1">
      <alignment horizontal="center" vertical="center"/>
      <protection hidden="1"/>
    </xf>
    <xf numFmtId="0" fontId="46" fillId="0" borderId="0" xfId="0" applyFont="1" applyAlignment="1" applyProtection="1">
      <alignment vertical="center"/>
      <protection hidden="1"/>
    </xf>
    <xf numFmtId="0" fontId="47" fillId="0" borderId="0" xfId="2" applyFont="1" applyAlignment="1" applyProtection="1">
      <alignment vertical="center"/>
      <protection hidden="1"/>
    </xf>
    <xf numFmtId="2" fontId="40" fillId="0" borderId="28" xfId="0" applyNumberFormat="1" applyFont="1" applyBorder="1" applyAlignment="1" applyProtection="1">
      <alignment vertical="center"/>
      <protection hidden="1"/>
    </xf>
    <xf numFmtId="2" fontId="40" fillId="0" borderId="22" xfId="0" applyNumberFormat="1" applyFont="1" applyBorder="1" applyAlignment="1" applyProtection="1">
      <alignment horizontal="center" vertical="center"/>
      <protection hidden="1"/>
    </xf>
    <xf numFmtId="4" fontId="40" fillId="0" borderId="22" xfId="0" applyNumberFormat="1" applyFont="1" applyBorder="1" applyAlignment="1" applyProtection="1">
      <alignment horizontal="center" vertical="center"/>
      <protection hidden="1"/>
    </xf>
    <xf numFmtId="4" fontId="40" fillId="0" borderId="23" xfId="0" applyNumberFormat="1" applyFont="1" applyBorder="1" applyAlignment="1" applyProtection="1">
      <alignment horizontal="center" vertical="center"/>
      <protection hidden="1"/>
    </xf>
    <xf numFmtId="4" fontId="40" fillId="0" borderId="22" xfId="0" quotePrefix="1" applyNumberFormat="1" applyFont="1" applyBorder="1" applyAlignment="1" applyProtection="1">
      <alignment horizontal="center" vertical="center"/>
      <protection hidden="1"/>
    </xf>
    <xf numFmtId="4" fontId="40" fillId="0" borderId="23" xfId="0" quotePrefix="1" applyNumberFormat="1" applyFont="1" applyBorder="1" applyAlignment="1" applyProtection="1">
      <alignment horizontal="center" vertical="center"/>
      <protection hidden="1"/>
    </xf>
    <xf numFmtId="2" fontId="40" fillId="0" borderId="28" xfId="0" applyNumberFormat="1" applyFont="1" applyBorder="1" applyAlignment="1" applyProtection="1">
      <alignment horizontal="left" vertical="center"/>
      <protection hidden="1"/>
    </xf>
    <xf numFmtId="3" fontId="40" fillId="0" borderId="22" xfId="0" quotePrefix="1" applyNumberFormat="1" applyFont="1" applyBorder="1" applyAlignment="1" applyProtection="1">
      <alignment horizontal="center" vertical="center"/>
      <protection hidden="1"/>
    </xf>
    <xf numFmtId="3" fontId="40" fillId="0" borderId="23" xfId="0" quotePrefix="1" applyNumberFormat="1" applyFont="1" applyBorder="1" applyAlignment="1" applyProtection="1">
      <alignment horizontal="center" vertical="center"/>
      <protection hidden="1"/>
    </xf>
    <xf numFmtId="2" fontId="40" fillId="0" borderId="29" xfId="0" applyNumberFormat="1" applyFont="1" applyBorder="1" applyAlignment="1" applyProtection="1">
      <alignment horizontal="left" vertical="center"/>
      <protection hidden="1"/>
    </xf>
    <xf numFmtId="3" fontId="40" fillId="0" borderId="25" xfId="0" quotePrefix="1" applyNumberFormat="1" applyFont="1" applyBorder="1" applyAlignment="1" applyProtection="1">
      <alignment horizontal="center" vertical="center"/>
      <protection hidden="1"/>
    </xf>
    <xf numFmtId="3" fontId="40" fillId="0" borderId="26" xfId="0" quotePrefix="1" applyNumberFormat="1" applyFont="1" applyBorder="1" applyAlignment="1" applyProtection="1">
      <alignment horizontal="center" vertical="center"/>
      <protection hidden="1"/>
    </xf>
    <xf numFmtId="2" fontId="48" fillId="8" borderId="1" xfId="0" applyNumberFormat="1" applyFont="1" applyFill="1" applyBorder="1"/>
    <xf numFmtId="0" fontId="49" fillId="0" borderId="0" xfId="0" applyFont="1"/>
    <xf numFmtId="0" fontId="50" fillId="0" borderId="0" xfId="0" applyFont="1"/>
    <xf numFmtId="0" fontId="0" fillId="0" borderId="0" xfId="0" applyAlignment="1">
      <alignment horizontal="center" vertical="center"/>
    </xf>
    <xf numFmtId="0" fontId="51" fillId="0" borderId="0" xfId="0" applyFont="1"/>
    <xf numFmtId="10" fontId="52" fillId="8" borderId="1" xfId="0" applyNumberFormat="1" applyFont="1" applyFill="1" applyBorder="1" applyAlignment="1">
      <alignment horizontal="center"/>
    </xf>
    <xf numFmtId="0" fontId="52" fillId="8" borderId="1" xfId="0" applyFont="1" applyFill="1" applyBorder="1" applyAlignment="1">
      <alignment horizontal="center"/>
    </xf>
    <xf numFmtId="0" fontId="53"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55" fillId="5" borderId="1" xfId="1" applyNumberFormat="1" applyFont="1" applyFill="1" applyBorder="1" applyAlignment="1">
      <alignment horizontal="center" vertical="center" wrapText="1"/>
    </xf>
    <xf numFmtId="0" fontId="56" fillId="0" borderId="0" xfId="0" applyFont="1"/>
    <xf numFmtId="4" fontId="56" fillId="0" borderId="0" xfId="0" applyNumberFormat="1" applyFont="1"/>
    <xf numFmtId="171" fontId="56" fillId="0" borderId="0" xfId="0" applyNumberFormat="1" applyFont="1"/>
    <xf numFmtId="0" fontId="57" fillId="3" borderId="0" xfId="0" applyFont="1" applyFill="1"/>
    <xf numFmtId="164" fontId="0" fillId="0" borderId="1" xfId="1" applyNumberFormat="1" applyFont="1" applyFill="1" applyBorder="1"/>
    <xf numFmtId="0" fontId="54" fillId="0" borderId="1" xfId="0" applyFont="1" applyBorder="1"/>
    <xf numFmtId="164" fontId="0" fillId="5" borderId="1" xfId="1" applyNumberFormat="1" applyFont="1" applyFill="1" applyBorder="1"/>
    <xf numFmtId="164" fontId="55"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54" fillId="0" borderId="1" xfId="0" applyFont="1" applyBorder="1" applyAlignment="1">
      <alignment horizontal="right"/>
    </xf>
    <xf numFmtId="0" fontId="57" fillId="8" borderId="0" xfId="0" applyFont="1" applyFill="1"/>
    <xf numFmtId="0" fontId="0" fillId="25" borderId="1" xfId="0" applyFill="1" applyBorder="1" applyAlignment="1">
      <alignment horizontal="center"/>
    </xf>
    <xf numFmtId="0" fontId="56" fillId="3" borderId="0" xfId="0" applyFont="1" applyFill="1"/>
    <xf numFmtId="0" fontId="57" fillId="21" borderId="0" xfId="0" applyFont="1" applyFill="1"/>
    <xf numFmtId="9" fontId="27" fillId="12" borderId="22" xfId="7" applyFont="1" applyFill="1" applyBorder="1" applyAlignment="1" applyProtection="1">
      <alignment horizontal="center" vertical="center" wrapText="1"/>
      <protection hidden="1"/>
    </xf>
    <xf numFmtId="164" fontId="0" fillId="0" borderId="0" xfId="1" applyNumberFormat="1" applyFont="1"/>
    <xf numFmtId="0" fontId="58" fillId="18" borderId="0" xfId="0" applyFont="1" applyFill="1"/>
    <xf numFmtId="0" fontId="59" fillId="18" borderId="0" xfId="0" applyFont="1" applyFill="1"/>
    <xf numFmtId="43" fontId="26" fillId="17" borderId="70" xfId="8" applyFont="1" applyFill="1" applyBorder="1" applyAlignment="1" applyProtection="1">
      <alignment horizontal="center" vertical="center" wrapText="1"/>
      <protection hidden="1"/>
    </xf>
    <xf numFmtId="43" fontId="26" fillId="17" borderId="71" xfId="8" applyFont="1" applyFill="1" applyBorder="1" applyAlignment="1" applyProtection="1">
      <alignment horizontal="center" vertical="center" wrapText="1"/>
      <protection hidden="1"/>
    </xf>
    <xf numFmtId="0" fontId="61" fillId="0" borderId="1" xfId="0" applyFont="1" applyBorder="1"/>
    <xf numFmtId="2" fontId="61" fillId="0" borderId="1" xfId="0" applyNumberFormat="1" applyFont="1" applyBorder="1"/>
    <xf numFmtId="43" fontId="56" fillId="3" borderId="0" xfId="0" applyNumberFormat="1" applyFont="1" applyFill="1"/>
    <xf numFmtId="0" fontId="14" fillId="3" borderId="0" xfId="0" applyFont="1" applyFill="1" applyAlignment="1" applyProtection="1">
      <alignment vertical="center"/>
      <protection hidden="1"/>
    </xf>
    <xf numFmtId="0" fontId="27" fillId="0" borderId="0" xfId="3" applyFont="1" applyAlignment="1" applyProtection="1">
      <alignment horizontal="left" vertical="center"/>
      <protection hidden="1"/>
    </xf>
    <xf numFmtId="0" fontId="0" fillId="3" borderId="0" xfId="0" applyFill="1"/>
    <xf numFmtId="0" fontId="24" fillId="3" borderId="0" xfId="0" applyFont="1" applyFill="1"/>
    <xf numFmtId="0" fontId="24" fillId="26" borderId="0" xfId="0" applyFont="1" applyFill="1"/>
    <xf numFmtId="172" fontId="41" fillId="0" borderId="0" xfId="0" applyNumberFormat="1" applyFont="1" applyAlignment="1" applyProtection="1">
      <alignment vertical="center"/>
      <protection hidden="1"/>
    </xf>
    <xf numFmtId="0" fontId="0" fillId="27" borderId="0" xfId="0" applyFill="1"/>
    <xf numFmtId="2" fontId="48" fillId="0" borderId="1" xfId="0" applyNumberFormat="1" applyFont="1" applyBorder="1"/>
    <xf numFmtId="10" fontId="0" fillId="27" borderId="1" xfId="0" applyNumberFormat="1" applyFill="1" applyBorder="1"/>
    <xf numFmtId="0" fontId="61" fillId="0" borderId="0" xfId="0" applyFont="1"/>
    <xf numFmtId="2" fontId="24" fillId="0" borderId="0" xfId="0" applyNumberFormat="1" applyFont="1"/>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0" fontId="0" fillId="0" borderId="75" xfId="0" applyBorder="1" applyAlignment="1">
      <alignment horizontal="center" vertical="center" wrapText="1"/>
    </xf>
    <xf numFmtId="0" fontId="0" fillId="0" borderId="76" xfId="0" applyBorder="1" applyAlignment="1">
      <alignment horizontal="center" vertical="center" wrapText="1"/>
    </xf>
    <xf numFmtId="2" fontId="0" fillId="7" borderId="75" xfId="0" applyNumberFormat="1" applyFill="1" applyBorder="1"/>
    <xf numFmtId="2" fontId="0" fillId="7" borderId="76" xfId="0" applyNumberFormat="1" applyFill="1" applyBorder="1"/>
    <xf numFmtId="2" fontId="0" fillId="7" borderId="77" xfId="0" applyNumberFormat="1" applyFill="1" applyBorder="1"/>
    <xf numFmtId="2" fontId="0" fillId="7" borderId="78" xfId="0" applyNumberFormat="1" applyFill="1" applyBorder="1"/>
    <xf numFmtId="2" fontId="0" fillId="7" borderId="79" xfId="0" applyNumberFormat="1" applyFill="1" applyBorder="1"/>
    <xf numFmtId="2" fontId="0" fillId="6" borderId="2" xfId="0" applyNumberFormat="1" applyFill="1" applyBorder="1"/>
    <xf numFmtId="2" fontId="0" fillId="7" borderId="11" xfId="0" applyNumberFormat="1" applyFill="1" applyBorder="1"/>
    <xf numFmtId="2" fontId="0" fillId="3" borderId="75" xfId="0" applyNumberFormat="1" applyFill="1" applyBorder="1"/>
    <xf numFmtId="2" fontId="0" fillId="3" borderId="76" xfId="0" applyNumberFormat="1" applyFill="1" applyBorder="1"/>
    <xf numFmtId="2" fontId="0" fillId="3" borderId="77" xfId="0" applyNumberFormat="1" applyFill="1" applyBorder="1"/>
    <xf numFmtId="2" fontId="0" fillId="3" borderId="78" xfId="0" applyNumberFormat="1" applyFill="1" applyBorder="1"/>
    <xf numFmtId="2" fontId="0" fillId="3" borderId="79" xfId="0" applyNumberFormat="1" applyFill="1" applyBorder="1"/>
    <xf numFmtId="0" fontId="62" fillId="0" borderId="0" xfId="0" applyFont="1" applyAlignment="1" applyProtection="1">
      <alignment vertical="center"/>
      <protection hidden="1"/>
    </xf>
    <xf numFmtId="0" fontId="54" fillId="0" borderId="0" xfId="0" applyFont="1"/>
    <xf numFmtId="2" fontId="0" fillId="0" borderId="0" xfId="0" applyNumberFormat="1"/>
    <xf numFmtId="0" fontId="0" fillId="21" borderId="0" xfId="0" applyFill="1"/>
    <xf numFmtId="43" fontId="0" fillId="3" borderId="0" xfId="0" applyNumberFormat="1" applyFill="1"/>
    <xf numFmtId="164" fontId="0" fillId="26" borderId="1" xfId="1" applyNumberFormat="1" applyFont="1" applyFill="1" applyBorder="1" applyAlignment="1">
      <alignment horizontal="center" vertical="center"/>
    </xf>
    <xf numFmtId="0" fontId="0" fillId="5" borderId="80" xfId="0" applyFill="1" applyBorder="1" applyAlignment="1">
      <alignment vertical="center"/>
    </xf>
    <xf numFmtId="0" fontId="0" fillId="3" borderId="80" xfId="0" applyFill="1" applyBorder="1" applyAlignment="1">
      <alignment horizontal="center" vertical="center" wrapText="1"/>
    </xf>
    <xf numFmtId="0" fontId="0" fillId="0" borderId="81" xfId="0" applyBorder="1" applyAlignment="1">
      <alignment horizontal="left" vertical="center"/>
    </xf>
    <xf numFmtId="0" fontId="0" fillId="0" borderId="80" xfId="0" applyBorder="1" applyAlignment="1">
      <alignment horizontal="center" vertical="center"/>
    </xf>
    <xf numFmtId="175" fontId="0" fillId="0" borderId="0" xfId="0" applyNumberFormat="1"/>
    <xf numFmtId="176" fontId="0" fillId="0" borderId="0" xfId="0" applyNumberFormat="1"/>
    <xf numFmtId="174" fontId="61" fillId="3" borderId="1" xfId="0" applyNumberFormat="1" applyFont="1" applyFill="1" applyBorder="1"/>
    <xf numFmtId="2" fontId="61" fillId="3" borderId="1" xfId="0" applyNumberFormat="1" applyFont="1" applyFill="1" applyBorder="1"/>
    <xf numFmtId="0" fontId="63" fillId="0" borderId="0" xfId="0" applyFont="1"/>
    <xf numFmtId="0" fontId="64" fillId="0" borderId="81" xfId="0" applyFont="1" applyBorder="1" applyAlignment="1">
      <alignment horizontal="left" vertical="center"/>
    </xf>
    <xf numFmtId="0" fontId="0" fillId="26" borderId="80" xfId="0" applyFill="1" applyBorder="1" applyAlignment="1">
      <alignment vertical="center" wrapText="1"/>
    </xf>
    <xf numFmtId="175" fontId="0" fillId="7" borderId="75" xfId="0" applyNumberFormat="1" applyFill="1" applyBorder="1"/>
    <xf numFmtId="174" fontId="0" fillId="0" borderId="0" xfId="0" applyNumberFormat="1"/>
    <xf numFmtId="2" fontId="26" fillId="0" borderId="0" xfId="3" quotePrefix="1" applyNumberFormat="1" applyFont="1" applyAlignment="1" applyProtection="1">
      <alignment vertical="center" wrapText="1"/>
      <protection hidden="1"/>
    </xf>
    <xf numFmtId="10" fontId="0" fillId="0" borderId="0" xfId="0" applyNumberFormat="1"/>
    <xf numFmtId="173" fontId="27" fillId="12" borderId="22" xfId="3" quotePrefix="1" applyNumberFormat="1"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56" fillId="18" borderId="0" xfId="0" applyFont="1" applyFill="1"/>
    <xf numFmtId="43" fontId="56" fillId="18" borderId="0" xfId="0" applyNumberFormat="1" applyFont="1" applyFill="1"/>
    <xf numFmtId="0" fontId="56" fillId="21" borderId="0" xfId="0" applyFont="1" applyFill="1"/>
    <xf numFmtId="43" fontId="56" fillId="21" borderId="0" xfId="0" applyNumberFormat="1" applyFont="1" applyFill="1"/>
    <xf numFmtId="43" fontId="56" fillId="24" borderId="0" xfId="0" applyNumberFormat="1" applyFont="1" applyFill="1"/>
    <xf numFmtId="0" fontId="56" fillId="24" borderId="0" xfId="0" applyFont="1" applyFill="1"/>
    <xf numFmtId="0" fontId="56" fillId="15" borderId="0" xfId="0" applyFont="1" applyFill="1"/>
    <xf numFmtId="43" fontId="56" fillId="15" borderId="0" xfId="0" applyNumberFormat="1" applyFont="1" applyFill="1"/>
    <xf numFmtId="0" fontId="48" fillId="0" borderId="0" xfId="0" applyFont="1"/>
    <xf numFmtId="165" fontId="14" fillId="3" borderId="0" xfId="0" applyNumberFormat="1" applyFont="1" applyFill="1" applyAlignment="1" applyProtection="1">
      <alignment vertical="center"/>
      <protection hidden="1"/>
    </xf>
    <xf numFmtId="43" fontId="14" fillId="3" borderId="0" xfId="0" applyNumberFormat="1" applyFont="1" applyFill="1" applyAlignment="1" applyProtection="1">
      <alignment vertical="center"/>
      <protection hidden="1"/>
    </xf>
    <xf numFmtId="0" fontId="14" fillId="26" borderId="0" xfId="0" applyFont="1" applyFill="1" applyAlignment="1" applyProtection="1">
      <alignment vertical="center"/>
      <protection hidden="1"/>
    </xf>
    <xf numFmtId="0" fontId="0" fillId="26" borderId="0" xfId="0" applyFill="1"/>
    <xf numFmtId="43" fontId="0" fillId="26" borderId="0" xfId="0" applyNumberFormat="1" applyFill="1"/>
    <xf numFmtId="167" fontId="14" fillId="0" borderId="0" xfId="0" applyNumberFormat="1" applyFont="1" applyAlignment="1" applyProtection="1">
      <alignment vertical="center"/>
      <protection hidden="1"/>
    </xf>
    <xf numFmtId="2" fontId="0" fillId="3" borderId="0" xfId="0" applyNumberFormat="1" applyFill="1"/>
    <xf numFmtId="43" fontId="14" fillId="18" borderId="0" xfId="0" applyNumberFormat="1" applyFont="1" applyFill="1" applyAlignment="1" applyProtection="1">
      <alignment vertical="center"/>
      <protection hidden="1"/>
    </xf>
    <xf numFmtId="43" fontId="0" fillId="18" borderId="0" xfId="0" applyNumberFormat="1" applyFill="1"/>
    <xf numFmtId="0" fontId="0" fillId="18" borderId="0" xfId="0" applyFill="1"/>
    <xf numFmtId="9" fontId="0" fillId="26" borderId="0" xfId="0" applyNumberFormat="1" applyFill="1" applyAlignment="1">
      <alignment horizontal="center" vertical="center"/>
    </xf>
    <xf numFmtId="9" fontId="24" fillId="3" borderId="0" xfId="0" applyNumberFormat="1" applyFont="1" applyFill="1"/>
    <xf numFmtId="2" fontId="24" fillId="3" borderId="0" xfId="0" applyNumberFormat="1" applyFont="1" applyFill="1"/>
    <xf numFmtId="43" fontId="24" fillId="3" borderId="0" xfId="0" applyNumberFormat="1" applyFont="1" applyFill="1"/>
    <xf numFmtId="0" fontId="24" fillId="18" borderId="0" xfId="0" applyFont="1" applyFill="1"/>
    <xf numFmtId="9" fontId="24" fillId="18" borderId="0" xfId="0" applyNumberFormat="1" applyFont="1" applyFill="1"/>
    <xf numFmtId="2" fontId="24" fillId="18" borderId="0" xfId="0" applyNumberFormat="1" applyFont="1" applyFill="1"/>
    <xf numFmtId="43" fontId="24" fillId="18" borderId="0" xfId="0" applyNumberFormat="1" applyFont="1" applyFill="1"/>
    <xf numFmtId="43" fontId="24" fillId="26" borderId="0" xfId="0" applyNumberFormat="1" applyFont="1" applyFill="1"/>
    <xf numFmtId="178" fontId="27" fillId="12" borderId="22" xfId="3" quotePrefix="1" applyNumberFormat="1" applyFont="1" applyFill="1" applyBorder="1" applyAlignment="1" applyProtection="1">
      <alignment horizontal="center" vertical="center" wrapText="1"/>
      <protection hidden="1"/>
    </xf>
    <xf numFmtId="0" fontId="68" fillId="0" borderId="0" xfId="0" applyFont="1"/>
    <xf numFmtId="43" fontId="68" fillId="18" borderId="0" xfId="0" applyNumberFormat="1" applyFont="1" applyFill="1"/>
    <xf numFmtId="164" fontId="55" fillId="19" borderId="1" xfId="1" applyNumberFormat="1" applyFont="1" applyFill="1" applyBorder="1" applyAlignment="1">
      <alignment horizontal="center" vertical="center" wrapText="1"/>
    </xf>
    <xf numFmtId="43" fontId="24" fillId="0" borderId="1" xfId="0" applyNumberFormat="1" applyFont="1" applyBorder="1" applyAlignment="1">
      <alignment horizontal="center"/>
    </xf>
    <xf numFmtId="164" fontId="70" fillId="28" borderId="1" xfId="1" applyNumberFormat="1" applyFont="1" applyFill="1" applyBorder="1" applyAlignment="1">
      <alignment horizontal="center" vertical="center" wrapText="1"/>
    </xf>
    <xf numFmtId="164" fontId="8" fillId="0" borderId="0" xfId="1" applyNumberFormat="1" applyFont="1" applyBorder="1"/>
    <xf numFmtId="2" fontId="24" fillId="2" borderId="0" xfId="0" applyNumberFormat="1" applyFont="1" applyFill="1"/>
    <xf numFmtId="166" fontId="17" fillId="29" borderId="20" xfId="4" applyNumberFormat="1" applyFont="1" applyFill="1" applyBorder="1" applyAlignment="1" applyProtection="1">
      <alignment horizontal="center" vertical="center" wrapText="1"/>
      <protection hidden="1"/>
    </xf>
    <xf numFmtId="167" fontId="22" fillId="29" borderId="45" xfId="4" applyNumberFormat="1" applyFont="1" applyFill="1" applyBorder="1" applyAlignment="1" applyProtection="1">
      <alignment horizontal="center" vertical="center" wrapText="1"/>
      <protection hidden="1"/>
    </xf>
    <xf numFmtId="43" fontId="22" fillId="29" borderId="42" xfId="4" applyFont="1" applyFill="1" applyBorder="1" applyAlignment="1" applyProtection="1">
      <alignment horizontal="center" wrapText="1"/>
      <protection hidden="1"/>
    </xf>
    <xf numFmtId="43" fontId="22" fillId="29" borderId="42" xfId="4" applyFont="1" applyFill="1" applyBorder="1" applyAlignment="1" applyProtection="1">
      <alignment horizontal="center" vertical="center" wrapText="1"/>
      <protection hidden="1"/>
    </xf>
    <xf numFmtId="171" fontId="72" fillId="27" borderId="1" xfId="0" applyNumberFormat="1" applyFont="1" applyFill="1" applyBorder="1" applyAlignment="1">
      <alignment horizontal="center"/>
    </xf>
    <xf numFmtId="0" fontId="10" fillId="0" borderId="9" xfId="0" applyFont="1" applyBorder="1" applyAlignment="1">
      <alignment vertical="center"/>
    </xf>
    <xf numFmtId="0" fontId="10" fillId="0" borderId="1" xfId="0" applyFont="1" applyBorder="1" applyAlignment="1">
      <alignment vertical="center"/>
    </xf>
    <xf numFmtId="0" fontId="10" fillId="27" borderId="1" xfId="0" applyFont="1" applyFill="1" applyBorder="1" applyAlignment="1">
      <alignment vertical="center"/>
    </xf>
    <xf numFmtId="0" fontId="0" fillId="22" borderId="11" xfId="0" applyFill="1" applyBorder="1" applyAlignment="1">
      <alignment horizontal="center" vertical="center" wrapText="1"/>
    </xf>
    <xf numFmtId="0" fontId="0" fillId="22" borderId="1" xfId="0" applyFill="1" applyBorder="1" applyAlignment="1">
      <alignment horizontal="center" vertical="center" wrapText="1"/>
    </xf>
    <xf numFmtId="2" fontId="0" fillId="22" borderId="11" xfId="0" applyNumberFormat="1" applyFill="1" applyBorder="1"/>
    <xf numFmtId="2" fontId="0" fillId="22" borderId="1" xfId="0" applyNumberFormat="1" applyFill="1" applyBorder="1"/>
    <xf numFmtId="0" fontId="0" fillId="30" borderId="0" xfId="0" applyFill="1"/>
    <xf numFmtId="9" fontId="0" fillId="30" borderId="0" xfId="0" applyNumberFormat="1" applyFill="1" applyAlignment="1">
      <alignment horizontal="center"/>
    </xf>
    <xf numFmtId="0" fontId="0" fillId="30" borderId="1" xfId="0" applyFill="1" applyBorder="1" applyAlignment="1">
      <alignment horizontal="center" vertical="center" wrapText="1"/>
    </xf>
    <xf numFmtId="2" fontId="0" fillId="30" borderId="1" xfId="0" applyNumberFormat="1" applyFill="1" applyBorder="1"/>
    <xf numFmtId="2" fontId="48" fillId="30" borderId="1" xfId="0" applyNumberFormat="1" applyFont="1" applyFill="1" applyBorder="1"/>
    <xf numFmtId="0" fontId="0" fillId="31" borderId="0" xfId="0" applyFill="1"/>
    <xf numFmtId="9" fontId="0" fillId="31" borderId="0" xfId="0" applyNumberFormat="1" applyFill="1" applyAlignment="1">
      <alignment horizontal="center"/>
    </xf>
    <xf numFmtId="0" fontId="0" fillId="31" borderId="1" xfId="0" applyFill="1" applyBorder="1" applyAlignment="1">
      <alignment horizontal="center" vertical="center" wrapText="1"/>
    </xf>
    <xf numFmtId="2" fontId="0" fillId="31" borderId="1" xfId="0" applyNumberFormat="1" applyFill="1" applyBorder="1"/>
    <xf numFmtId="174" fontId="0" fillId="31" borderId="1" xfId="0" applyNumberFormat="1" applyFill="1" applyBorder="1"/>
    <xf numFmtId="0" fontId="0" fillId="31" borderId="11" xfId="0" applyFill="1" applyBorder="1" applyAlignment="1">
      <alignment horizontal="center" vertical="center" wrapText="1"/>
    </xf>
    <xf numFmtId="2" fontId="0" fillId="31" borderId="11" xfId="0" applyNumberFormat="1" applyFill="1" applyBorder="1"/>
    <xf numFmtId="43" fontId="26" fillId="0" borderId="58" xfId="0" applyNumberFormat="1" applyFont="1" applyBorder="1" applyAlignment="1" applyProtection="1">
      <alignment horizontal="center" vertical="center" wrapText="1"/>
      <protection hidden="1"/>
    </xf>
    <xf numFmtId="43" fontId="26" fillId="13" borderId="31" xfId="8" applyFont="1" applyFill="1" applyBorder="1" applyAlignment="1" applyProtection="1">
      <alignment horizontal="center" vertical="center" wrapText="1"/>
      <protection hidden="1"/>
    </xf>
    <xf numFmtId="43" fontId="26" fillId="0" borderId="35" xfId="8" quotePrefix="1" applyFont="1" applyFill="1" applyBorder="1" applyAlignment="1" applyProtection="1">
      <alignment horizontal="center" vertical="center" wrapText="1"/>
      <protection hidden="1"/>
    </xf>
    <xf numFmtId="2" fontId="54" fillId="0" borderId="0" xfId="0" applyNumberFormat="1" applyFont="1"/>
    <xf numFmtId="0" fontId="73" fillId="18" borderId="0" xfId="0" applyFont="1" applyFill="1" applyAlignment="1" applyProtection="1">
      <alignment horizontal="center" vertical="center"/>
      <protection hidden="1"/>
    </xf>
    <xf numFmtId="179" fontId="0" fillId="0" borderId="0" xfId="11" applyNumberFormat="1" applyFont="1"/>
    <xf numFmtId="179" fontId="0" fillId="0" borderId="0" xfId="0" applyNumberFormat="1"/>
    <xf numFmtId="179" fontId="0" fillId="3" borderId="0" xfId="0" applyNumberFormat="1" applyFill="1" applyAlignment="1">
      <alignment horizontal="center"/>
    </xf>
    <xf numFmtId="0" fontId="30" fillId="0" borderId="0" xfId="3" applyFont="1" applyAlignment="1" applyProtection="1">
      <alignment horizontal="justify" vertical="justify" wrapText="1"/>
      <protection hidden="1"/>
    </xf>
    <xf numFmtId="0" fontId="29" fillId="16" borderId="14" xfId="3" applyFont="1" applyFill="1" applyBorder="1" applyAlignment="1" applyProtection="1">
      <alignment horizontal="center" vertical="center"/>
      <protection hidden="1"/>
    </xf>
    <xf numFmtId="0" fontId="32" fillId="3" borderId="0" xfId="3" applyFont="1" applyFill="1" applyAlignment="1" applyProtection="1">
      <alignment horizontal="justify" vertical="center" wrapText="1"/>
      <protection hidden="1"/>
    </xf>
    <xf numFmtId="164" fontId="75" fillId="8" borderId="1" xfId="1" applyNumberFormat="1" applyFont="1" applyFill="1" applyBorder="1" applyAlignment="1">
      <alignment horizontal="center" vertical="center" wrapText="1"/>
    </xf>
    <xf numFmtId="43" fontId="26" fillId="8" borderId="22" xfId="8" applyFont="1" applyFill="1" applyBorder="1" applyAlignment="1" applyProtection="1">
      <alignment horizontal="center" vertical="center" wrapText="1"/>
      <protection hidden="1"/>
    </xf>
    <xf numFmtId="43" fontId="26" fillId="8" borderId="56" xfId="0" applyNumberFormat="1" applyFont="1" applyFill="1" applyBorder="1" applyAlignment="1" applyProtection="1">
      <alignment horizontal="center" vertical="center" wrapText="1"/>
      <protection hidden="1"/>
    </xf>
    <xf numFmtId="0" fontId="27" fillId="23" borderId="86" xfId="3" applyFont="1" applyFill="1" applyBorder="1" applyAlignment="1" applyProtection="1">
      <alignment horizontal="center" vertical="center" wrapText="1"/>
      <protection hidden="1"/>
    </xf>
    <xf numFmtId="0" fontId="27" fillId="23" borderId="56" xfId="3" applyFont="1" applyFill="1" applyBorder="1" applyAlignment="1" applyProtection="1">
      <alignment horizontal="center" vertical="center" wrapText="1"/>
      <protection hidden="1"/>
    </xf>
    <xf numFmtId="43" fontId="26" fillId="13" borderId="22" xfId="6" quotePrefix="1" applyFont="1" applyFill="1" applyBorder="1" applyAlignment="1" applyProtection="1">
      <alignment horizontal="center" vertical="center" wrapText="1"/>
      <protection hidden="1"/>
    </xf>
    <xf numFmtId="43" fontId="26" fillId="13" borderId="28" xfId="6" quotePrefix="1" applyFont="1" applyFill="1" applyBorder="1" applyAlignment="1" applyProtection="1">
      <alignment horizontal="center" vertical="center" wrapText="1"/>
      <protection hidden="1"/>
    </xf>
    <xf numFmtId="177" fontId="0" fillId="32" borderId="1" xfId="1" applyNumberFormat="1" applyFont="1" applyFill="1" applyBorder="1"/>
    <xf numFmtId="164" fontId="0" fillId="21" borderId="1" xfId="1" applyNumberFormat="1" applyFont="1" applyFill="1" applyBorder="1"/>
    <xf numFmtId="174" fontId="0" fillId="0" borderId="1" xfId="0" applyNumberFormat="1" applyBorder="1"/>
    <xf numFmtId="175" fontId="0" fillId="0" borderId="1" xfId="0" applyNumberFormat="1" applyBorder="1"/>
    <xf numFmtId="2" fontId="0" fillId="0" borderId="11" xfId="0" applyNumberFormat="1" applyBorder="1"/>
    <xf numFmtId="0" fontId="60" fillId="0" borderId="0" xfId="3" applyFont="1" applyAlignment="1" applyProtection="1">
      <alignment vertical="center" wrapText="1"/>
      <protection hidden="1"/>
    </xf>
    <xf numFmtId="43" fontId="26" fillId="0" borderId="56" xfId="8" quotePrefix="1" applyFont="1" applyFill="1" applyBorder="1" applyAlignment="1" applyProtection="1">
      <alignment horizontal="center" vertical="center" wrapText="1"/>
      <protection hidden="1"/>
    </xf>
    <xf numFmtId="177" fontId="0" fillId="0" borderId="1" xfId="1" applyNumberFormat="1" applyFont="1" applyFill="1" applyBorder="1"/>
    <xf numFmtId="164" fontId="77" fillId="26" borderId="1" xfId="1" applyNumberFormat="1" applyFont="1" applyFill="1" applyBorder="1"/>
    <xf numFmtId="168" fontId="38" fillId="23" borderId="56" xfId="3" quotePrefix="1" applyNumberFormat="1" applyFont="1" applyFill="1" applyBorder="1" applyAlignment="1" applyProtection="1">
      <alignment horizontal="center" vertical="center" wrapText="1"/>
      <protection hidden="1"/>
    </xf>
    <xf numFmtId="43" fontId="26" fillId="13" borderId="56" xfId="8" quotePrefix="1" applyFont="1" applyFill="1" applyBorder="1" applyAlignment="1" applyProtection="1">
      <alignment horizontal="center" vertical="center" wrapText="1"/>
      <protection hidden="1"/>
    </xf>
    <xf numFmtId="2" fontId="56" fillId="0" borderId="0" xfId="0" applyNumberFormat="1" applyFont="1"/>
    <xf numFmtId="0" fontId="8" fillId="0" borderId="0" xfId="0" applyFont="1"/>
    <xf numFmtId="9" fontId="8" fillId="0" borderId="0" xfId="0" applyNumberFormat="1" applyFont="1"/>
    <xf numFmtId="2" fontId="8" fillId="0" borderId="0" xfId="0" applyNumberFormat="1" applyFont="1"/>
    <xf numFmtId="0" fontId="78" fillId="0" borderId="87" xfId="0" applyFont="1" applyBorder="1" applyAlignment="1">
      <alignment horizontal="center"/>
    </xf>
    <xf numFmtId="2" fontId="8" fillId="0" borderId="88" xfId="0" applyNumberFormat="1" applyFont="1" applyBorder="1"/>
    <xf numFmtId="2" fontId="61" fillId="0" borderId="88" xfId="0" applyNumberFormat="1" applyFont="1" applyBorder="1"/>
    <xf numFmtId="0" fontId="27" fillId="16" borderId="0" xfId="3" applyFont="1" applyFill="1" applyAlignment="1" applyProtection="1">
      <alignment vertical="center" wrapText="1"/>
      <protection hidden="1"/>
    </xf>
    <xf numFmtId="0" fontId="29" fillId="16" borderId="14" xfId="3" applyFont="1" applyFill="1" applyBorder="1" applyAlignment="1" applyProtection="1">
      <alignment horizontal="center" vertical="center" wrapText="1"/>
      <protection hidden="1"/>
    </xf>
    <xf numFmtId="0" fontId="29" fillId="16" borderId="31" xfId="3" applyFont="1" applyFill="1" applyBorder="1" applyAlignment="1" applyProtection="1">
      <alignment horizontal="center" vertical="center" wrapText="1"/>
      <protection hidden="1"/>
    </xf>
    <xf numFmtId="9" fontId="27" fillId="12" borderId="22" xfId="3" quotePrefix="1" applyNumberFormat="1" applyFont="1" applyFill="1" applyBorder="1" applyAlignment="1" applyProtection="1">
      <alignment horizontal="center" vertical="center" wrapText="1"/>
      <protection hidden="1"/>
    </xf>
    <xf numFmtId="43" fontId="26" fillId="22" borderId="56" xfId="8" applyFont="1" applyFill="1" applyBorder="1" applyAlignment="1" applyProtection="1">
      <alignment horizontal="center" vertical="center" wrapText="1"/>
      <protection hidden="1"/>
    </xf>
    <xf numFmtId="9" fontId="27" fillId="12" borderId="55" xfId="3" quotePrefix="1" applyNumberFormat="1" applyFont="1" applyFill="1" applyBorder="1" applyAlignment="1" applyProtection="1">
      <alignment horizontal="center" vertical="center" wrapText="1"/>
      <protection hidden="1"/>
    </xf>
    <xf numFmtId="43" fontId="22" fillId="0" borderId="42" xfId="4" applyFont="1" applyFill="1" applyBorder="1" applyAlignment="1" applyProtection="1">
      <alignment horizontal="center" vertical="center" wrapText="1"/>
      <protection hidden="1"/>
    </xf>
    <xf numFmtId="43" fontId="22" fillId="0" borderId="47" xfId="4" applyFont="1" applyFill="1" applyBorder="1" applyAlignment="1" applyProtection="1">
      <alignment horizontal="center" vertical="center" wrapText="1"/>
      <protection hidden="1"/>
    </xf>
    <xf numFmtId="43" fontId="14" fillId="0" borderId="42" xfId="4" applyFont="1" applyFill="1" applyBorder="1" applyAlignment="1" applyProtection="1">
      <alignment horizontal="center" vertical="center" wrapText="1"/>
      <protection hidden="1"/>
    </xf>
    <xf numFmtId="167" fontId="14" fillId="0" borderId="42" xfId="4" applyNumberFormat="1" applyFont="1" applyFill="1" applyBorder="1" applyAlignment="1" applyProtection="1">
      <alignment horizontal="center" vertical="center" wrapText="1"/>
      <protection hidden="1"/>
    </xf>
    <xf numFmtId="43" fontId="14" fillId="0" borderId="22" xfId="4" applyFont="1" applyFill="1" applyBorder="1" applyAlignment="1" applyProtection="1">
      <alignment horizontal="center" vertical="center" wrapText="1"/>
      <protection hidden="1"/>
    </xf>
    <xf numFmtId="43" fontId="17" fillId="27" borderId="42" xfId="4" applyFont="1" applyFill="1" applyBorder="1" applyAlignment="1" applyProtection="1">
      <alignment horizontal="center" vertical="center" wrapText="1"/>
      <protection hidden="1"/>
    </xf>
    <xf numFmtId="0" fontId="14" fillId="0" borderId="22" xfId="0" applyFont="1" applyBorder="1" applyAlignment="1" applyProtection="1">
      <alignment vertical="center"/>
      <protection hidden="1"/>
    </xf>
    <xf numFmtId="43" fontId="14" fillId="0" borderId="23" xfId="4" applyFont="1" applyFill="1" applyBorder="1" applyAlignment="1" applyProtection="1">
      <alignment horizontal="center" vertical="center" wrapText="1"/>
      <protection hidden="1"/>
    </xf>
    <xf numFmtId="43" fontId="14" fillId="0" borderId="22" xfId="4" applyFont="1" applyFill="1" applyBorder="1" applyAlignment="1" applyProtection="1">
      <alignment horizontal="right" vertical="center" wrapText="1"/>
      <protection hidden="1"/>
    </xf>
    <xf numFmtId="0" fontId="14" fillId="0" borderId="27" xfId="0" applyFont="1" applyBorder="1" applyAlignment="1" applyProtection="1">
      <alignment horizontal="left" vertical="center" wrapText="1"/>
      <protection hidden="1"/>
    </xf>
    <xf numFmtId="0" fontId="14" fillId="0" borderId="28" xfId="0" applyFont="1" applyBorder="1" applyAlignment="1" applyProtection="1">
      <alignment horizontal="left" vertical="center" wrapText="1"/>
      <protection hidden="1"/>
    </xf>
    <xf numFmtId="0" fontId="14" fillId="21" borderId="28" xfId="0" applyFont="1" applyFill="1" applyBorder="1" applyAlignment="1" applyProtection="1">
      <alignment horizontal="left" vertical="center" wrapText="1"/>
      <protection hidden="1"/>
    </xf>
    <xf numFmtId="0" fontId="14" fillId="3" borderId="28" xfId="0" applyFont="1" applyFill="1" applyBorder="1" applyAlignment="1" applyProtection="1">
      <alignment horizontal="left" vertical="center" wrapText="1"/>
      <protection hidden="1"/>
    </xf>
    <xf numFmtId="15" fontId="16" fillId="12" borderId="90" xfId="0" quotePrefix="1" applyNumberFormat="1" applyFont="1" applyFill="1" applyBorder="1" applyAlignment="1" applyProtection="1">
      <alignment horizontal="center" vertical="center" wrapText="1"/>
      <protection hidden="1"/>
    </xf>
    <xf numFmtId="15" fontId="16" fillId="12" borderId="0" xfId="0" quotePrefix="1" applyNumberFormat="1" applyFont="1" applyFill="1" applyAlignment="1" applyProtection="1">
      <alignment horizontal="center" vertical="center" wrapText="1"/>
      <protection hidden="1"/>
    </xf>
    <xf numFmtId="166" fontId="17" fillId="29" borderId="0" xfId="4" applyNumberFormat="1" applyFont="1" applyFill="1" applyBorder="1" applyAlignment="1" applyProtection="1">
      <alignment horizontal="center" vertical="center" wrapText="1"/>
      <protection hidden="1"/>
    </xf>
    <xf numFmtId="43" fontId="17" fillId="0" borderId="0" xfId="4" applyFont="1" applyFill="1" applyBorder="1" applyAlignment="1" applyProtection="1">
      <alignment horizontal="center" vertical="center" wrapText="1"/>
      <protection hidden="1"/>
    </xf>
    <xf numFmtId="43" fontId="17" fillId="0" borderId="0" xfId="4" applyFont="1" applyFill="1" applyBorder="1" applyAlignment="1" applyProtection="1">
      <alignment horizontal="right" vertical="center" wrapText="1"/>
      <protection hidden="1"/>
    </xf>
    <xf numFmtId="43" fontId="17" fillId="13" borderId="0" xfId="4" applyFont="1" applyFill="1" applyBorder="1" applyAlignment="1" applyProtection="1">
      <alignment horizontal="right" vertical="center" wrapText="1"/>
      <protection hidden="1"/>
    </xf>
    <xf numFmtId="2" fontId="17" fillId="0" borderId="0" xfId="0" applyNumberFormat="1" applyFont="1" applyAlignment="1" applyProtection="1">
      <alignment horizontal="right" vertical="center" wrapText="1"/>
      <protection hidden="1"/>
    </xf>
    <xf numFmtId="9" fontId="13" fillId="12" borderId="91" xfId="5" quotePrefix="1" applyFont="1" applyFill="1" applyBorder="1" applyAlignment="1" applyProtection="1">
      <alignment horizontal="center" vertical="center" wrapText="1"/>
      <protection hidden="1"/>
    </xf>
    <xf numFmtId="9" fontId="13" fillId="12" borderId="92" xfId="5" quotePrefix="1" applyFont="1" applyFill="1" applyBorder="1" applyAlignment="1" applyProtection="1">
      <alignment horizontal="center" vertical="center" wrapText="1"/>
      <protection hidden="1"/>
    </xf>
    <xf numFmtId="43" fontId="17" fillId="27" borderId="21" xfId="4" applyFont="1" applyFill="1" applyBorder="1" applyAlignment="1" applyProtection="1">
      <alignment horizontal="right" vertical="center" wrapText="1"/>
      <protection hidden="1"/>
    </xf>
    <xf numFmtId="43" fontId="22" fillId="27" borderId="45" xfId="4" applyFont="1" applyFill="1" applyBorder="1" applyAlignment="1" applyProtection="1">
      <alignment horizontal="center" vertical="center" wrapText="1"/>
      <protection hidden="1"/>
    </xf>
    <xf numFmtId="43" fontId="17" fillId="27" borderId="45" xfId="4" applyFont="1" applyFill="1" applyBorder="1" applyAlignment="1" applyProtection="1">
      <alignment horizontal="center" vertical="center" wrapText="1"/>
      <protection hidden="1"/>
    </xf>
    <xf numFmtId="43" fontId="79" fillId="27" borderId="23" xfId="4" applyFont="1" applyFill="1" applyBorder="1" applyAlignment="1" applyProtection="1">
      <alignment horizontal="center" vertical="center" wrapText="1"/>
      <protection hidden="1"/>
    </xf>
    <xf numFmtId="164" fontId="8" fillId="0" borderId="1" xfId="1" applyNumberFormat="1" applyFont="1" applyFill="1" applyBorder="1"/>
    <xf numFmtId="164" fontId="8" fillId="0" borderId="1" xfId="1" applyNumberFormat="1" applyFont="1" applyFill="1" applyBorder="1" applyAlignment="1">
      <alignment horizontal="center"/>
    </xf>
    <xf numFmtId="164" fontId="70" fillId="8" borderId="1" xfId="1" applyNumberFormat="1" applyFont="1" applyFill="1" applyBorder="1" applyAlignment="1">
      <alignment horizontal="center" vertical="center" wrapText="1"/>
    </xf>
    <xf numFmtId="164" fontId="8" fillId="26" borderId="1" xfId="1" applyNumberFormat="1" applyFont="1" applyFill="1" applyBorder="1"/>
    <xf numFmtId="0" fontId="29" fillId="16" borderId="13" xfId="3" applyFont="1" applyFill="1" applyBorder="1" applyAlignment="1" applyProtection="1">
      <alignment vertical="center" wrapText="1"/>
      <protection hidden="1"/>
    </xf>
    <xf numFmtId="0" fontId="29" fillId="16" borderId="14" xfId="3" applyFont="1" applyFill="1" applyBorder="1" applyAlignment="1" applyProtection="1">
      <alignment vertical="center" wrapText="1"/>
      <protection hidden="1"/>
    </xf>
    <xf numFmtId="0" fontId="29" fillId="16" borderId="30" xfId="3" applyFont="1" applyFill="1" applyBorder="1" applyAlignment="1" applyProtection="1">
      <alignment vertical="center" wrapText="1"/>
      <protection hidden="1"/>
    </xf>
    <xf numFmtId="0" fontId="29" fillId="16" borderId="31" xfId="3" applyFont="1" applyFill="1" applyBorder="1" applyAlignment="1" applyProtection="1">
      <alignment vertical="center" wrapText="1"/>
      <protection hidden="1"/>
    </xf>
    <xf numFmtId="0" fontId="27" fillId="12" borderId="62" xfId="3" applyFont="1" applyFill="1" applyBorder="1" applyAlignment="1" applyProtection="1">
      <alignment horizontal="center" vertical="center" wrapText="1"/>
      <protection hidden="1"/>
    </xf>
    <xf numFmtId="0" fontId="27" fillId="12" borderId="54" xfId="3" applyFont="1" applyFill="1" applyBorder="1" applyAlignment="1" applyProtection="1">
      <alignment horizontal="center" vertical="center" wrapText="1"/>
      <protection hidden="1"/>
    </xf>
    <xf numFmtId="0" fontId="30" fillId="0" borderId="0" xfId="3" applyFont="1" applyAlignment="1" applyProtection="1">
      <alignment horizontal="center" vertical="center" wrapText="1"/>
      <protection hidden="1"/>
    </xf>
    <xf numFmtId="0" fontId="29" fillId="16" borderId="13" xfId="3" applyFont="1" applyFill="1" applyBorder="1" applyAlignment="1" applyProtection="1">
      <alignment vertical="center"/>
      <protection hidden="1"/>
    </xf>
    <xf numFmtId="0" fontId="29" fillId="16" borderId="14" xfId="3" applyFont="1" applyFill="1" applyBorder="1" applyAlignment="1" applyProtection="1">
      <alignment vertical="center"/>
      <protection hidden="1"/>
    </xf>
    <xf numFmtId="0" fontId="29" fillId="16" borderId="15" xfId="3" applyFont="1" applyFill="1" applyBorder="1" applyAlignment="1" applyProtection="1">
      <alignment vertical="center"/>
      <protection hidden="1"/>
    </xf>
    <xf numFmtId="0" fontId="29" fillId="16" borderId="30" xfId="3" applyFont="1" applyFill="1" applyBorder="1" applyAlignment="1" applyProtection="1">
      <alignment vertical="center"/>
      <protection hidden="1"/>
    </xf>
    <xf numFmtId="0" fontId="29" fillId="16" borderId="31" xfId="3" applyFont="1" applyFill="1" applyBorder="1" applyAlignment="1" applyProtection="1">
      <alignment vertical="center"/>
      <protection hidden="1"/>
    </xf>
    <xf numFmtId="0" fontId="29" fillId="16" borderId="54" xfId="3" applyFont="1" applyFill="1" applyBorder="1" applyAlignment="1" applyProtection="1">
      <alignment vertical="center"/>
      <protection hidden="1"/>
    </xf>
    <xf numFmtId="43" fontId="24" fillId="27" borderId="1" xfId="0" applyNumberFormat="1" applyFont="1" applyFill="1" applyBorder="1" applyAlignment="1">
      <alignment horizontal="center"/>
    </xf>
    <xf numFmtId="2" fontId="56" fillId="27" borderId="0" xfId="0" applyNumberFormat="1" applyFont="1" applyFill="1"/>
    <xf numFmtId="2" fontId="0" fillId="31" borderId="0" xfId="0" applyNumberFormat="1" applyFill="1"/>
    <xf numFmtId="2" fontId="0" fillId="26" borderId="0" xfId="0" applyNumberFormat="1" applyFill="1"/>
    <xf numFmtId="2" fontId="61" fillId="0" borderId="0" xfId="0" applyNumberFormat="1" applyFont="1"/>
    <xf numFmtId="43" fontId="0" fillId="0" borderId="0" xfId="6" applyFont="1"/>
    <xf numFmtId="180" fontId="0" fillId="0" borderId="0" xfId="6" applyNumberFormat="1" applyFont="1"/>
    <xf numFmtId="181" fontId="0" fillId="0" borderId="0" xfId="6" applyNumberFormat="1" applyFont="1"/>
    <xf numFmtId="9" fontId="0" fillId="0" borderId="0" xfId="0" applyNumberFormat="1"/>
    <xf numFmtId="43" fontId="24" fillId="0" borderId="0" xfId="0" applyNumberFormat="1" applyFont="1"/>
    <xf numFmtId="0" fontId="80" fillId="13" borderId="0" xfId="0" applyFont="1" applyFill="1" applyAlignment="1" applyProtection="1">
      <alignment vertical="center"/>
      <protection hidden="1"/>
    </xf>
    <xf numFmtId="0" fontId="77" fillId="0" borderId="1" xfId="0" applyFont="1" applyBorder="1"/>
    <xf numFmtId="164" fontId="8" fillId="18" borderId="1" xfId="1" applyNumberFormat="1" applyFont="1" applyFill="1" applyBorder="1"/>
    <xf numFmtId="164" fontId="0" fillId="15" borderId="1" xfId="1" applyNumberFormat="1" applyFont="1" applyFill="1" applyBorder="1"/>
    <xf numFmtId="43" fontId="26" fillId="17" borderId="58" xfId="8" applyFont="1" applyFill="1" applyBorder="1" applyAlignment="1" applyProtection="1">
      <alignment horizontal="center" vertical="center" wrapText="1"/>
      <protection hidden="1"/>
    </xf>
    <xf numFmtId="0" fontId="27" fillId="12" borderId="57" xfId="3" applyFont="1" applyFill="1" applyBorder="1" applyAlignment="1" applyProtection="1">
      <alignment horizontal="center" vertical="center" wrapText="1"/>
      <protection hidden="1"/>
    </xf>
    <xf numFmtId="43" fontId="26" fillId="13" borderId="22" xfId="8" applyFont="1" applyFill="1" applyBorder="1" applyAlignment="1" applyProtection="1">
      <alignment horizontal="right" vertical="center" wrapText="1"/>
      <protection hidden="1"/>
    </xf>
    <xf numFmtId="43" fontId="26" fillId="0" borderId="22" xfId="8" applyFont="1" applyFill="1" applyBorder="1" applyAlignment="1" applyProtection="1">
      <alignment horizontal="right" vertical="center" wrapText="1"/>
      <protection hidden="1"/>
    </xf>
    <xf numFmtId="164" fontId="0" fillId="0" borderId="9" xfId="1" applyNumberFormat="1" applyFont="1" applyBorder="1"/>
    <xf numFmtId="164" fontId="8" fillId="18" borderId="9" xfId="1" applyNumberFormat="1" applyFont="1" applyFill="1" applyBorder="1"/>
    <xf numFmtId="164" fontId="0" fillId="15" borderId="9" xfId="1" applyNumberFormat="1" applyFont="1" applyFill="1" applyBorder="1"/>
    <xf numFmtId="164" fontId="8" fillId="0" borderId="9" xfId="1" applyNumberFormat="1" applyFont="1" applyFill="1" applyBorder="1"/>
    <xf numFmtId="164" fontId="8" fillId="0" borderId="9" xfId="1" applyNumberFormat="1" applyFont="1" applyFill="1" applyBorder="1" applyAlignment="1">
      <alignment horizontal="center"/>
    </xf>
    <xf numFmtId="164" fontId="8" fillId="26" borderId="9" xfId="1" applyNumberFormat="1" applyFont="1" applyFill="1" applyBorder="1"/>
    <xf numFmtId="164" fontId="0" fillId="19" borderId="9" xfId="1" applyNumberFormat="1" applyFont="1" applyFill="1" applyBorder="1"/>
    <xf numFmtId="43" fontId="24" fillId="0" borderId="9" xfId="0" applyNumberFormat="1" applyFont="1" applyBorder="1" applyAlignment="1">
      <alignment horizontal="center"/>
    </xf>
    <xf numFmtId="164" fontId="0" fillId="0" borderId="12" xfId="1" applyNumberFormat="1" applyFont="1" applyBorder="1"/>
    <xf numFmtId="164" fontId="8" fillId="18" borderId="12" xfId="1" applyNumberFormat="1" applyFont="1" applyFill="1" applyBorder="1"/>
    <xf numFmtId="164" fontId="0" fillId="15" borderId="12" xfId="1" applyNumberFormat="1" applyFont="1" applyFill="1" applyBorder="1"/>
    <xf numFmtId="164" fontId="8" fillId="0" borderId="12" xfId="1" applyNumberFormat="1" applyFont="1" applyFill="1" applyBorder="1"/>
    <xf numFmtId="164" fontId="0" fillId="21" borderId="12" xfId="1" applyNumberFormat="1" applyFont="1" applyFill="1" applyBorder="1"/>
    <xf numFmtId="164" fontId="77" fillId="26" borderId="12" xfId="1" applyNumberFormat="1" applyFont="1" applyFill="1" applyBorder="1"/>
    <xf numFmtId="43" fontId="24" fillId="0" borderId="12" xfId="0" applyNumberFormat="1" applyFont="1" applyBorder="1" applyAlignment="1">
      <alignment horizontal="center"/>
    </xf>
    <xf numFmtId="164" fontId="0" fillId="0" borderId="93" xfId="1" applyNumberFormat="1" applyFont="1" applyBorder="1"/>
    <xf numFmtId="164" fontId="8" fillId="18" borderId="94" xfId="1" applyNumberFormat="1" applyFont="1" applyFill="1" applyBorder="1"/>
    <xf numFmtId="164" fontId="0" fillId="15" borderId="94" xfId="1" applyNumberFormat="1" applyFont="1" applyFill="1" applyBorder="1"/>
    <xf numFmtId="164" fontId="0" fillId="0" borderId="94" xfId="1" applyNumberFormat="1" applyFont="1" applyBorder="1"/>
    <xf numFmtId="164" fontId="8" fillId="0" borderId="94" xfId="1" applyNumberFormat="1" applyFont="1" applyFill="1" applyBorder="1"/>
    <xf numFmtId="164" fontId="0" fillId="32" borderId="94" xfId="1" applyNumberFormat="1" applyFont="1" applyFill="1" applyBorder="1"/>
    <xf numFmtId="164" fontId="77" fillId="26" borderId="94" xfId="1" applyNumberFormat="1" applyFont="1" applyFill="1" applyBorder="1"/>
    <xf numFmtId="43" fontId="24" fillId="0" borderId="94" xfId="0" applyNumberFormat="1" applyFont="1" applyBorder="1" applyAlignment="1">
      <alignment horizontal="center"/>
    </xf>
    <xf numFmtId="43" fontId="0" fillId="3" borderId="95" xfId="0" applyNumberFormat="1" applyFill="1" applyBorder="1"/>
    <xf numFmtId="164" fontId="0" fillId="21" borderId="9" xfId="1" applyNumberFormat="1" applyFont="1" applyFill="1" applyBorder="1"/>
    <xf numFmtId="164" fontId="77" fillId="26" borderId="9" xfId="1" applyNumberFormat="1" applyFont="1" applyFill="1" applyBorder="1"/>
    <xf numFmtId="164" fontId="8" fillId="0" borderId="12" xfId="1" applyNumberFormat="1" applyFont="1" applyFill="1" applyBorder="1" applyAlignment="1">
      <alignment horizontal="center"/>
    </xf>
    <xf numFmtId="164" fontId="8" fillId="26" borderId="12" xfId="1" applyNumberFormat="1" applyFont="1" applyFill="1" applyBorder="1"/>
    <xf numFmtId="164" fontId="0" fillId="19" borderId="12" xfId="1" applyNumberFormat="1" applyFont="1" applyFill="1" applyBorder="1"/>
    <xf numFmtId="43" fontId="24" fillId="2" borderId="12" xfId="0" applyNumberFormat="1" applyFont="1" applyFill="1" applyBorder="1" applyAlignment="1">
      <alignment horizontal="center"/>
    </xf>
    <xf numFmtId="164" fontId="8" fillId="0" borderId="94" xfId="1" applyNumberFormat="1" applyFont="1" applyFill="1" applyBorder="1" applyAlignment="1">
      <alignment horizontal="center"/>
    </xf>
    <xf numFmtId="164" fontId="8" fillId="26" borderId="94" xfId="1" applyNumberFormat="1" applyFont="1" applyFill="1" applyBorder="1"/>
    <xf numFmtId="0" fontId="0" fillId="0" borderId="96" xfId="0" applyBorder="1"/>
    <xf numFmtId="164" fontId="0" fillId="19" borderId="94" xfId="1" applyNumberFormat="1" applyFont="1" applyFill="1" applyBorder="1"/>
    <xf numFmtId="0" fontId="0" fillId="21" borderId="95" xfId="0" applyFill="1" applyBorder="1"/>
    <xf numFmtId="164" fontId="8" fillId="3" borderId="9" xfId="1" applyNumberFormat="1" applyFont="1" applyFill="1" applyBorder="1"/>
    <xf numFmtId="43" fontId="24" fillId="27" borderId="9" xfId="0" applyNumberFormat="1" applyFont="1" applyFill="1" applyBorder="1" applyAlignment="1">
      <alignment horizontal="center"/>
    </xf>
    <xf numFmtId="164" fontId="0" fillId="21" borderId="94" xfId="1" applyNumberFormat="1" applyFont="1" applyFill="1" applyBorder="1"/>
    <xf numFmtId="0" fontId="61" fillId="0" borderId="95" xfId="0" applyFont="1" applyBorder="1"/>
    <xf numFmtId="0" fontId="56" fillId="33" borderId="0" xfId="0" applyFont="1" applyFill="1"/>
    <xf numFmtId="0" fontId="26" fillId="24" borderId="0" xfId="3" quotePrefix="1" applyFont="1" applyFill="1" applyAlignment="1" applyProtection="1">
      <alignment vertical="center" wrapText="1"/>
      <protection hidden="1"/>
    </xf>
    <xf numFmtId="0" fontId="27" fillId="12" borderId="56" xfId="3" applyFont="1" applyFill="1" applyBorder="1" applyAlignment="1" applyProtection="1">
      <alignment horizontal="center" vertical="center" wrapText="1"/>
      <protection hidden="1"/>
    </xf>
    <xf numFmtId="0" fontId="19" fillId="24" borderId="0" xfId="3" applyFont="1" applyFill="1" applyAlignment="1" applyProtection="1">
      <alignment vertical="center" wrapText="1"/>
      <protection hidden="1"/>
    </xf>
    <xf numFmtId="164" fontId="26" fillId="0" borderId="56" xfId="1" applyNumberFormat="1" applyFont="1" applyFill="1" applyBorder="1" applyAlignment="1" applyProtection="1">
      <alignment horizontal="right" vertical="center" wrapText="1"/>
      <protection hidden="1"/>
    </xf>
    <xf numFmtId="0" fontId="0" fillId="34" borderId="0" xfId="0" applyFill="1"/>
    <xf numFmtId="9" fontId="0" fillId="34" borderId="0" xfId="0" applyNumberFormat="1" applyFill="1" applyAlignment="1">
      <alignment horizontal="center"/>
    </xf>
    <xf numFmtId="0" fontId="0" fillId="34" borderId="1" xfId="0" applyFill="1" applyBorder="1" applyAlignment="1">
      <alignment horizontal="center" vertical="center" wrapText="1"/>
    </xf>
    <xf numFmtId="2" fontId="0" fillId="34" borderId="1" xfId="0" applyNumberFormat="1" applyFill="1" applyBorder="1"/>
    <xf numFmtId="174" fontId="0" fillId="34" borderId="1" xfId="0" applyNumberFormat="1" applyFill="1" applyBorder="1"/>
    <xf numFmtId="174" fontId="0" fillId="22" borderId="11" xfId="0" applyNumberFormat="1" applyFill="1" applyBorder="1"/>
    <xf numFmtId="174" fontId="0" fillId="7" borderId="75" xfId="0" applyNumberFormat="1" applyFill="1" applyBorder="1"/>
    <xf numFmtId="176" fontId="0" fillId="7" borderId="75" xfId="0" applyNumberFormat="1" applyFill="1" applyBorder="1"/>
    <xf numFmtId="182" fontId="0" fillId="7" borderId="75" xfId="0" applyNumberFormat="1" applyFill="1" applyBorder="1"/>
    <xf numFmtId="0" fontId="0" fillId="27" borderId="11" xfId="0" applyFill="1" applyBorder="1" applyAlignment="1">
      <alignment horizontal="center" vertical="center" wrapText="1"/>
    </xf>
    <xf numFmtId="0" fontId="0" fillId="27" borderId="1" xfId="0" applyFill="1" applyBorder="1" applyAlignment="1">
      <alignment horizontal="center" vertical="center" wrapText="1"/>
    </xf>
    <xf numFmtId="2" fontId="0" fillId="27" borderId="11" xfId="0" applyNumberFormat="1" applyFill="1" applyBorder="1"/>
    <xf numFmtId="2" fontId="0" fillId="27" borderId="1" xfId="0" applyNumberFormat="1" applyFill="1" applyBorder="1"/>
    <xf numFmtId="9" fontId="27" fillId="12" borderId="55" xfId="7" applyFont="1" applyFill="1" applyBorder="1" applyAlignment="1" applyProtection="1">
      <alignment horizontal="center" vertical="center" wrapText="1"/>
      <protection hidden="1"/>
    </xf>
    <xf numFmtId="9" fontId="27" fillId="12" borderId="19" xfId="7" applyFont="1" applyFill="1" applyBorder="1" applyAlignment="1" applyProtection="1">
      <alignment horizontal="center" vertical="center" wrapText="1"/>
      <protection hidden="1"/>
    </xf>
    <xf numFmtId="0" fontId="27" fillId="12" borderId="49" xfId="3" applyFont="1" applyFill="1" applyBorder="1" applyAlignment="1" applyProtection="1">
      <alignment horizontal="center" vertical="center" wrapText="1"/>
      <protection hidden="1"/>
    </xf>
    <xf numFmtId="0" fontId="27" fillId="12" borderId="42" xfId="3" applyFont="1" applyFill="1" applyBorder="1" applyAlignment="1" applyProtection="1">
      <alignment horizontal="center" vertical="center" wrapText="1"/>
      <protection hidden="1"/>
    </xf>
    <xf numFmtId="0" fontId="27" fillId="12" borderId="102" xfId="3" applyFont="1" applyFill="1" applyBorder="1" applyAlignment="1" applyProtection="1">
      <alignment horizontal="center" vertical="center" wrapText="1"/>
      <protection hidden="1"/>
    </xf>
    <xf numFmtId="169" fontId="27" fillId="12" borderId="49" xfId="3" quotePrefix="1" applyNumberFormat="1" applyFont="1" applyFill="1" applyBorder="1" applyAlignment="1" applyProtection="1">
      <alignment horizontal="center" vertical="center" wrapText="1"/>
      <protection hidden="1"/>
    </xf>
    <xf numFmtId="169" fontId="27" fillId="12" borderId="42" xfId="3" quotePrefix="1" applyNumberFormat="1" applyFont="1" applyFill="1" applyBorder="1" applyAlignment="1" applyProtection="1">
      <alignment horizontal="center" vertical="center" wrapText="1"/>
      <protection hidden="1"/>
    </xf>
    <xf numFmtId="9" fontId="27" fillId="12" borderId="42" xfId="3" quotePrefix="1" applyNumberFormat="1" applyFont="1" applyFill="1" applyBorder="1" applyAlignment="1" applyProtection="1">
      <alignment horizontal="center" vertical="center" wrapText="1"/>
      <protection hidden="1"/>
    </xf>
    <xf numFmtId="9" fontId="27" fillId="12" borderId="102" xfId="3" quotePrefix="1" applyNumberFormat="1" applyFont="1" applyFill="1" applyBorder="1" applyAlignment="1" applyProtection="1">
      <alignment horizontal="center" vertical="center" wrapText="1"/>
      <protection hidden="1"/>
    </xf>
    <xf numFmtId="43" fontId="26" fillId="13" borderId="49" xfId="8" applyFont="1" applyFill="1" applyBorder="1" applyAlignment="1" applyProtection="1">
      <alignment horizontal="center" vertical="center" wrapText="1"/>
      <protection hidden="1"/>
    </xf>
    <xf numFmtId="43" fontId="26" fillId="13" borderId="42" xfId="8" applyFont="1" applyFill="1" applyBorder="1" applyAlignment="1" applyProtection="1">
      <alignment horizontal="center" vertical="center" wrapText="1"/>
      <protection hidden="1"/>
    </xf>
    <xf numFmtId="43" fontId="26" fillId="13" borderId="102" xfId="8" applyFont="1" applyFill="1" applyBorder="1" applyAlignment="1" applyProtection="1">
      <alignment horizontal="center" vertical="center" wrapText="1"/>
      <protection hidden="1"/>
    </xf>
    <xf numFmtId="43" fontId="26" fillId="0" borderId="49" xfId="8" applyFont="1" applyFill="1" applyBorder="1" applyAlignment="1" applyProtection="1">
      <alignment horizontal="center" vertical="center" wrapText="1"/>
      <protection hidden="1"/>
    </xf>
    <xf numFmtId="43" fontId="26" fillId="0" borderId="42" xfId="0" applyNumberFormat="1" applyFont="1" applyBorder="1" applyAlignment="1" applyProtection="1">
      <alignment horizontal="center" vertical="center" wrapText="1"/>
      <protection hidden="1"/>
    </xf>
    <xf numFmtId="43" fontId="26" fillId="8" borderId="42" xfId="0" applyNumberFormat="1" applyFont="1" applyFill="1" applyBorder="1" applyAlignment="1" applyProtection="1">
      <alignment horizontal="center" vertical="center" wrapText="1"/>
      <protection hidden="1"/>
    </xf>
    <xf numFmtId="43" fontId="26" fillId="0" borderId="42" xfId="8" applyFont="1" applyFill="1" applyBorder="1" applyAlignment="1" applyProtection="1">
      <alignment horizontal="center" vertical="center" wrapText="1"/>
      <protection hidden="1"/>
    </xf>
    <xf numFmtId="43" fontId="26" fillId="0" borderId="102" xfId="8" applyFont="1" applyFill="1" applyBorder="1" applyAlignment="1" applyProtection="1">
      <alignment horizontal="center" vertical="center" wrapText="1"/>
      <protection hidden="1"/>
    </xf>
    <xf numFmtId="43" fontId="26" fillId="0" borderId="42" xfId="0" applyNumberFormat="1" applyFont="1" applyBorder="1" applyAlignment="1" applyProtection="1">
      <alignment horizontal="right" vertical="center" wrapText="1"/>
      <protection hidden="1"/>
    </xf>
    <xf numFmtId="43" fontId="26" fillId="8" borderId="42" xfId="0" applyNumberFormat="1" applyFont="1" applyFill="1" applyBorder="1" applyAlignment="1" applyProtection="1">
      <alignment horizontal="right" vertical="center" wrapText="1"/>
      <protection hidden="1"/>
    </xf>
    <xf numFmtId="43" fontId="26" fillId="0" borderId="42" xfId="0" quotePrefix="1" applyNumberFormat="1" applyFont="1" applyBorder="1" applyAlignment="1" applyProtection="1">
      <alignment horizontal="center" vertical="center" wrapText="1"/>
      <protection hidden="1"/>
    </xf>
    <xf numFmtId="43" fontId="26" fillId="8" borderId="42" xfId="8" applyFont="1" applyFill="1" applyBorder="1" applyAlignment="1" applyProtection="1">
      <alignment horizontal="center" vertical="center" wrapText="1"/>
      <protection hidden="1"/>
    </xf>
    <xf numFmtId="43" fontId="26" fillId="17" borderId="49" xfId="8" applyFont="1" applyFill="1" applyBorder="1" applyAlignment="1" applyProtection="1">
      <alignment horizontal="center" vertical="center" wrapText="1"/>
      <protection hidden="1"/>
    </xf>
    <xf numFmtId="43" fontId="26" fillId="22" borderId="42" xfId="8" applyFont="1" applyFill="1" applyBorder="1" applyAlignment="1" applyProtection="1">
      <alignment horizontal="center" vertical="center" wrapText="1"/>
      <protection hidden="1"/>
    </xf>
    <xf numFmtId="43" fontId="26" fillId="22" borderId="102" xfId="8" applyFont="1" applyFill="1" applyBorder="1" applyAlignment="1" applyProtection="1">
      <alignment horizontal="center" vertical="center" wrapText="1"/>
      <protection hidden="1"/>
    </xf>
    <xf numFmtId="43" fontId="26" fillId="0" borderId="49" xfId="0" applyNumberFormat="1" applyFont="1" applyBorder="1" applyAlignment="1" applyProtection="1">
      <alignment horizontal="center" vertical="center" wrapText="1"/>
      <protection hidden="1"/>
    </xf>
    <xf numFmtId="43" fontId="26" fillId="17" borderId="42" xfId="0" applyNumberFormat="1" applyFont="1" applyFill="1" applyBorder="1" applyAlignment="1" applyProtection="1">
      <alignment horizontal="right" vertical="center" wrapText="1"/>
      <protection hidden="1"/>
    </xf>
    <xf numFmtId="43" fontId="26" fillId="17" borderId="42" xfId="8" applyFont="1" applyFill="1" applyBorder="1" applyAlignment="1" applyProtection="1">
      <alignment horizontal="center" vertical="center" wrapText="1"/>
      <protection hidden="1"/>
    </xf>
    <xf numFmtId="43" fontId="26" fillId="17" borderId="102" xfId="8" applyFont="1" applyFill="1" applyBorder="1" applyAlignment="1" applyProtection="1">
      <alignment horizontal="center" vertical="center" wrapText="1"/>
      <protection hidden="1"/>
    </xf>
    <xf numFmtId="43" fontId="26" fillId="13" borderId="42" xfId="8" applyFont="1" applyFill="1" applyBorder="1" applyAlignment="1" applyProtection="1">
      <alignment horizontal="right" vertical="center" wrapText="1"/>
      <protection hidden="1"/>
    </xf>
    <xf numFmtId="43" fontId="26" fillId="17" borderId="50" xfId="8" applyFont="1" applyFill="1" applyBorder="1" applyAlignment="1" applyProtection="1">
      <alignment horizontal="center" vertical="center" wrapText="1"/>
      <protection hidden="1"/>
    </xf>
    <xf numFmtId="43" fontId="26" fillId="17" borderId="47" xfId="8" applyFont="1" applyFill="1" applyBorder="1" applyAlignment="1" applyProtection="1">
      <alignment horizontal="center" vertical="center" wrapText="1"/>
      <protection hidden="1"/>
    </xf>
    <xf numFmtId="43" fontId="26" fillId="17" borderId="103" xfId="8" applyFont="1" applyFill="1" applyBorder="1" applyAlignment="1" applyProtection="1">
      <alignment horizontal="center" vertical="center" wrapText="1"/>
      <protection hidden="1"/>
    </xf>
    <xf numFmtId="0" fontId="27" fillId="12" borderId="21" xfId="3" applyFont="1" applyFill="1" applyBorder="1" applyAlignment="1" applyProtection="1">
      <alignment horizontal="center" vertical="center" wrapText="1"/>
      <protection hidden="1"/>
    </xf>
    <xf numFmtId="43" fontId="26" fillId="0" borderId="42" xfId="8" quotePrefix="1" applyFont="1" applyFill="1" applyBorder="1" applyAlignment="1" applyProtection="1">
      <alignment horizontal="center" vertical="center" wrapText="1"/>
      <protection hidden="1"/>
    </xf>
    <xf numFmtId="43" fontId="26" fillId="0" borderId="102" xfId="8" quotePrefix="1" applyFont="1" applyFill="1" applyBorder="1" applyAlignment="1" applyProtection="1">
      <alignment horizontal="center" vertical="center" wrapText="1"/>
      <protection hidden="1"/>
    </xf>
    <xf numFmtId="165" fontId="26" fillId="17" borderId="49" xfId="0" applyNumberFormat="1" applyFont="1" applyFill="1" applyBorder="1" applyAlignment="1" applyProtection="1">
      <alignment horizontal="center" vertical="center" wrapText="1"/>
      <protection hidden="1"/>
    </xf>
    <xf numFmtId="165" fontId="26" fillId="17" borderId="42" xfId="0" applyNumberFormat="1" applyFont="1" applyFill="1" applyBorder="1" applyAlignment="1" applyProtection="1">
      <alignment horizontal="center" vertical="center" wrapText="1"/>
      <protection hidden="1"/>
    </xf>
    <xf numFmtId="165" fontId="26" fillId="17" borderId="102" xfId="0" applyNumberFormat="1" applyFont="1" applyFill="1" applyBorder="1" applyAlignment="1" applyProtection="1">
      <alignment horizontal="center" vertical="center" wrapText="1"/>
      <protection hidden="1"/>
    </xf>
    <xf numFmtId="43" fontId="26" fillId="0" borderId="104" xfId="8" applyFont="1" applyFill="1" applyBorder="1" applyAlignment="1" applyProtection="1">
      <alignment horizontal="center" vertical="center" wrapText="1"/>
      <protection hidden="1"/>
    </xf>
    <xf numFmtId="9" fontId="27" fillId="12" borderId="42" xfId="7" applyFont="1" applyFill="1" applyBorder="1" applyAlignment="1" applyProtection="1">
      <alignment horizontal="center" vertical="center" wrapText="1"/>
      <protection hidden="1"/>
    </xf>
    <xf numFmtId="9" fontId="27" fillId="12" borderId="102" xfId="7" applyFont="1" applyFill="1" applyBorder="1" applyAlignment="1" applyProtection="1">
      <alignment horizontal="center" vertical="center" wrapText="1"/>
      <protection hidden="1"/>
    </xf>
    <xf numFmtId="43" fontId="26" fillId="13" borderId="42" xfId="8" quotePrefix="1" applyFont="1" applyFill="1" applyBorder="1" applyAlignment="1" applyProtection="1">
      <alignment horizontal="center" vertical="center" wrapText="1"/>
      <protection hidden="1"/>
    </xf>
    <xf numFmtId="43" fontId="26" fillId="3" borderId="102" xfId="8" applyFont="1" applyFill="1" applyBorder="1" applyAlignment="1" applyProtection="1">
      <alignment horizontal="center" vertical="center" wrapText="1"/>
      <protection hidden="1"/>
    </xf>
    <xf numFmtId="178" fontId="27" fillId="12" borderId="49" xfId="3" quotePrefix="1" applyNumberFormat="1" applyFont="1" applyFill="1" applyBorder="1" applyAlignment="1" applyProtection="1">
      <alignment horizontal="center" vertical="center" wrapText="1"/>
      <protection hidden="1"/>
    </xf>
    <xf numFmtId="43" fontId="26" fillId="30" borderId="49" xfId="8" applyFont="1" applyFill="1" applyBorder="1" applyAlignment="1" applyProtection="1">
      <alignment horizontal="center" vertical="center" wrapText="1"/>
      <protection hidden="1"/>
    </xf>
    <xf numFmtId="43" fontId="26" fillId="30" borderId="42" xfId="8" applyFont="1" applyFill="1" applyBorder="1" applyAlignment="1" applyProtection="1">
      <alignment horizontal="center" vertical="center" wrapText="1"/>
      <protection hidden="1"/>
    </xf>
    <xf numFmtId="43" fontId="26" fillId="30" borderId="102" xfId="8" applyFont="1" applyFill="1" applyBorder="1" applyAlignment="1" applyProtection="1">
      <alignment horizontal="center" vertical="center" wrapText="1"/>
      <protection hidden="1"/>
    </xf>
    <xf numFmtId="43" fontId="26" fillId="30" borderId="50" xfId="8" applyFont="1" applyFill="1" applyBorder="1" applyAlignment="1" applyProtection="1">
      <alignment horizontal="center" vertical="center" wrapText="1"/>
      <protection hidden="1"/>
    </xf>
    <xf numFmtId="9" fontId="27" fillId="12" borderId="42" xfId="7" quotePrefix="1" applyFont="1" applyFill="1" applyBorder="1" applyAlignment="1" applyProtection="1">
      <alignment horizontal="center" vertical="center" wrapText="1"/>
      <protection hidden="1"/>
    </xf>
    <xf numFmtId="165" fontId="26" fillId="0" borderId="49" xfId="0" applyNumberFormat="1" applyFont="1" applyBorder="1" applyAlignment="1" applyProtection="1">
      <alignment horizontal="left" vertical="center" wrapText="1"/>
      <protection hidden="1"/>
    </xf>
    <xf numFmtId="165" fontId="26" fillId="0" borderId="42" xfId="0" applyNumberFormat="1" applyFont="1" applyBorder="1" applyAlignment="1" applyProtection="1">
      <alignment horizontal="left" vertical="center" wrapText="1"/>
      <protection hidden="1"/>
    </xf>
    <xf numFmtId="43" fontId="26" fillId="0" borderId="49" xfId="0" applyNumberFormat="1" applyFont="1" applyBorder="1" applyAlignment="1" applyProtection="1">
      <alignment horizontal="right" vertical="center" wrapText="1"/>
      <protection hidden="1"/>
    </xf>
    <xf numFmtId="43" fontId="26" fillId="13" borderId="102" xfId="8" applyFont="1" applyFill="1" applyBorder="1" applyAlignment="1" applyProtection="1">
      <alignment horizontal="right" vertical="center" wrapText="1"/>
      <protection hidden="1"/>
    </xf>
    <xf numFmtId="43" fontId="26" fillId="0" borderId="42" xfId="8" applyFont="1" applyFill="1" applyBorder="1" applyAlignment="1" applyProtection="1">
      <alignment horizontal="right" vertical="center" wrapText="1"/>
      <protection hidden="1"/>
    </xf>
    <xf numFmtId="165" fontId="26" fillId="17" borderId="49" xfId="0" applyNumberFormat="1" applyFont="1" applyFill="1" applyBorder="1" applyAlignment="1" applyProtection="1">
      <alignment horizontal="right" vertical="center" wrapText="1"/>
      <protection hidden="1"/>
    </xf>
    <xf numFmtId="165" fontId="26" fillId="17" borderId="42" xfId="0" applyNumberFormat="1" applyFont="1" applyFill="1" applyBorder="1" applyAlignment="1" applyProtection="1">
      <alignment horizontal="right" vertical="center" wrapText="1"/>
      <protection hidden="1"/>
    </xf>
    <xf numFmtId="165" fontId="26" fillId="17" borderId="102" xfId="0" applyNumberFormat="1" applyFont="1" applyFill="1" applyBorder="1" applyAlignment="1" applyProtection="1">
      <alignment horizontal="right" vertical="center" wrapText="1"/>
      <protection hidden="1"/>
    </xf>
    <xf numFmtId="43" fontId="26" fillId="0" borderId="102" xfId="8" applyFont="1" applyFill="1" applyBorder="1" applyAlignment="1" applyProtection="1">
      <alignment horizontal="right" vertical="center" wrapText="1"/>
      <protection hidden="1"/>
    </xf>
    <xf numFmtId="0" fontId="26" fillId="17" borderId="50" xfId="0" applyFont="1" applyFill="1" applyBorder="1" applyAlignment="1" applyProtection="1">
      <alignment horizontal="center" vertical="center" wrapText="1"/>
      <protection hidden="1"/>
    </xf>
    <xf numFmtId="0" fontId="26" fillId="17" borderId="47" xfId="0" applyFont="1" applyFill="1" applyBorder="1" applyAlignment="1" applyProtection="1">
      <alignment horizontal="center" vertical="center" wrapText="1"/>
      <protection hidden="1"/>
    </xf>
    <xf numFmtId="43" fontId="26" fillId="13" borderId="102" xfId="8" quotePrefix="1" applyFont="1" applyFill="1" applyBorder="1" applyAlignment="1" applyProtection="1">
      <alignment horizontal="center" vertical="center" wrapText="1"/>
      <protection hidden="1"/>
    </xf>
    <xf numFmtId="0" fontId="60" fillId="0" borderId="0" xfId="3" applyFont="1" applyAlignment="1" applyProtection="1">
      <alignment vertical="center"/>
      <protection hidden="1"/>
    </xf>
    <xf numFmtId="43" fontId="26" fillId="29" borderId="49" xfId="8" applyFont="1" applyFill="1" applyBorder="1" applyAlignment="1" applyProtection="1">
      <alignment horizontal="center" vertical="center" wrapText="1"/>
      <protection hidden="1"/>
    </xf>
    <xf numFmtId="165" fontId="26" fillId="30" borderId="49" xfId="0" applyNumberFormat="1" applyFont="1" applyFill="1" applyBorder="1" applyAlignment="1" applyProtection="1">
      <alignment horizontal="center" vertical="center" wrapText="1"/>
      <protection hidden="1"/>
    </xf>
    <xf numFmtId="165" fontId="26" fillId="30" borderId="42" xfId="0" applyNumberFormat="1" applyFont="1" applyFill="1" applyBorder="1" applyAlignment="1" applyProtection="1">
      <alignment horizontal="center" vertical="center" wrapText="1"/>
      <protection hidden="1"/>
    </xf>
    <xf numFmtId="165" fontId="26" fillId="30" borderId="102" xfId="0" applyNumberFormat="1" applyFont="1" applyFill="1" applyBorder="1" applyAlignment="1" applyProtection="1">
      <alignment horizontal="center" vertical="center" wrapText="1"/>
      <protection hidden="1"/>
    </xf>
    <xf numFmtId="43" fontId="26" fillId="30" borderId="47" xfId="8" applyFont="1" applyFill="1" applyBorder="1" applyAlignment="1" applyProtection="1">
      <alignment horizontal="center" vertical="center" wrapText="1"/>
      <protection hidden="1"/>
    </xf>
    <xf numFmtId="165" fontId="26" fillId="0" borderId="49" xfId="0" applyNumberFormat="1" applyFont="1" applyBorder="1" applyAlignment="1" applyProtection="1">
      <alignment horizontal="center" vertical="center" wrapText="1"/>
      <protection hidden="1"/>
    </xf>
    <xf numFmtId="165" fontId="26" fillId="0" borderId="42" xfId="0" applyNumberFormat="1" applyFont="1" applyBorder="1" applyAlignment="1" applyProtection="1">
      <alignment horizontal="center" vertical="center" wrapText="1"/>
      <protection hidden="1"/>
    </xf>
    <xf numFmtId="43" fontId="26" fillId="0" borderId="102" xfId="8" quotePrefix="1" applyFont="1" applyFill="1" applyBorder="1" applyAlignment="1" applyProtection="1">
      <alignment horizontal="right" vertical="center" wrapText="1"/>
      <protection hidden="1"/>
    </xf>
    <xf numFmtId="43" fontId="26" fillId="29" borderId="42" xfId="8" applyFont="1" applyFill="1" applyBorder="1" applyAlignment="1" applyProtection="1">
      <alignment horizontal="center" vertical="center" wrapText="1"/>
      <protection hidden="1"/>
    </xf>
    <xf numFmtId="2" fontId="8" fillId="27" borderId="88" xfId="0" applyNumberFormat="1" applyFont="1" applyFill="1" applyBorder="1"/>
    <xf numFmtId="2" fontId="8" fillId="27" borderId="89" xfId="0" applyNumberFormat="1" applyFont="1" applyFill="1" applyBorder="1"/>
    <xf numFmtId="172" fontId="8" fillId="0" borderId="0" xfId="0" applyNumberFormat="1" applyFont="1"/>
    <xf numFmtId="172" fontId="8" fillId="0" borderId="89" xfId="0" applyNumberFormat="1" applyFont="1" applyBorder="1"/>
    <xf numFmtId="43" fontId="14" fillId="3" borderId="22" xfId="4" applyFont="1" applyFill="1" applyBorder="1" applyAlignment="1" applyProtection="1">
      <alignment horizontal="right" vertical="center" wrapText="1"/>
      <protection hidden="1"/>
    </xf>
    <xf numFmtId="43" fontId="22" fillId="3" borderId="42" xfId="4" applyFont="1" applyFill="1" applyBorder="1" applyAlignment="1" applyProtection="1">
      <alignment horizontal="center" vertical="center" wrapText="1"/>
      <protection hidden="1"/>
    </xf>
    <xf numFmtId="2" fontId="26" fillId="35" borderId="0" xfId="3" quotePrefix="1" applyNumberFormat="1" applyFont="1" applyFill="1" applyAlignment="1" applyProtection="1">
      <alignment vertical="center" wrapText="1"/>
      <protection hidden="1"/>
    </xf>
    <xf numFmtId="0" fontId="26" fillId="35" borderId="0" xfId="3" quotePrefix="1" applyFont="1" applyFill="1" applyAlignment="1" applyProtection="1">
      <alignment vertical="center" wrapText="1"/>
      <protection hidden="1"/>
    </xf>
    <xf numFmtId="0" fontId="0" fillId="35" borderId="0" xfId="0" applyFill="1"/>
    <xf numFmtId="0" fontId="26" fillId="31" borderId="0" xfId="3" quotePrefix="1" applyFont="1" applyFill="1" applyAlignment="1" applyProtection="1">
      <alignment vertical="center"/>
      <protection hidden="1"/>
    </xf>
    <xf numFmtId="0" fontId="26" fillId="31" borderId="0" xfId="3" quotePrefix="1" applyFont="1" applyFill="1" applyAlignment="1" applyProtection="1">
      <alignment vertical="center" wrapText="1"/>
      <protection hidden="1"/>
    </xf>
    <xf numFmtId="0" fontId="27" fillId="12" borderId="52" xfId="3" applyFont="1" applyFill="1" applyBorder="1" applyAlignment="1" applyProtection="1">
      <alignment horizontal="center" vertical="center" wrapText="1"/>
      <protection hidden="1"/>
    </xf>
    <xf numFmtId="0" fontId="27" fillId="12" borderId="68" xfId="3" applyFont="1" applyFill="1" applyBorder="1" applyAlignment="1" applyProtection="1">
      <alignment horizontal="center" vertical="center" wrapText="1"/>
      <protection hidden="1"/>
    </xf>
    <xf numFmtId="0" fontId="27" fillId="12" borderId="53" xfId="3" applyFont="1" applyFill="1" applyBorder="1" applyAlignment="1" applyProtection="1">
      <alignment horizontal="center" vertical="center" wrapText="1"/>
      <protection hidden="1"/>
    </xf>
    <xf numFmtId="43" fontId="26" fillId="13" borderId="23" xfId="8" quotePrefix="1" applyFont="1" applyFill="1" applyBorder="1" applyAlignment="1" applyProtection="1">
      <alignment horizontal="center" vertical="center" wrapText="1"/>
      <protection hidden="1"/>
    </xf>
    <xf numFmtId="43" fontId="26" fillId="13" borderId="23" xfId="6" quotePrefix="1" applyFont="1" applyFill="1" applyBorder="1" applyAlignment="1" applyProtection="1">
      <alignment horizontal="center" vertical="center" wrapText="1"/>
      <protection hidden="1"/>
    </xf>
    <xf numFmtId="43" fontId="26" fillId="13" borderId="52" xfId="8" applyFont="1" applyFill="1" applyBorder="1" applyAlignment="1" applyProtection="1">
      <alignment horizontal="center" vertical="center" wrapText="1"/>
      <protection hidden="1"/>
    </xf>
    <xf numFmtId="43" fontId="26" fillId="13" borderId="108" xfId="8" applyFont="1" applyFill="1" applyBorder="1" applyAlignment="1" applyProtection="1">
      <alignment horizontal="center" vertical="center" wrapText="1"/>
      <protection hidden="1"/>
    </xf>
    <xf numFmtId="43" fontId="26" fillId="13" borderId="68" xfId="8" applyFont="1" applyFill="1" applyBorder="1" applyAlignment="1" applyProtection="1">
      <alignment horizontal="center" vertical="center" wrapText="1"/>
      <protection hidden="1"/>
    </xf>
    <xf numFmtId="43" fontId="26" fillId="13" borderId="53" xfId="8" applyFont="1" applyFill="1" applyBorder="1" applyAlignment="1" applyProtection="1">
      <alignment horizontal="center" vertical="center" wrapText="1"/>
      <protection hidden="1"/>
    </xf>
    <xf numFmtId="0" fontId="27" fillId="12" borderId="29" xfId="3" applyFont="1" applyFill="1" applyBorder="1" applyAlignment="1" applyProtection="1">
      <alignment horizontal="center" vertical="center" wrapText="1"/>
      <protection hidden="1"/>
    </xf>
    <xf numFmtId="0" fontId="27" fillId="12" borderId="26" xfId="3" applyFont="1" applyFill="1" applyBorder="1" applyAlignment="1" applyProtection="1">
      <alignment horizontal="center" vertical="center" wrapText="1"/>
      <protection hidden="1"/>
    </xf>
    <xf numFmtId="0" fontId="27" fillId="12" borderId="25" xfId="3" applyFont="1" applyFill="1" applyBorder="1" applyAlignment="1" applyProtection="1">
      <alignment horizontal="center" vertical="center" wrapText="1"/>
      <protection hidden="1"/>
    </xf>
    <xf numFmtId="43" fontId="62" fillId="0" borderId="42" xfId="4" applyFont="1" applyFill="1" applyBorder="1" applyAlignment="1" applyProtection="1">
      <alignment horizontal="center" vertical="center" wrapText="1"/>
      <protection hidden="1"/>
    </xf>
    <xf numFmtId="164" fontId="82" fillId="8" borderId="1" xfId="1" applyNumberFormat="1" applyFont="1" applyFill="1" applyBorder="1" applyAlignment="1">
      <alignment horizontal="center" vertical="center" wrapText="1"/>
    </xf>
    <xf numFmtId="43" fontId="84" fillId="27" borderId="1" xfId="0" applyNumberFormat="1" applyFont="1" applyFill="1" applyBorder="1" applyAlignment="1">
      <alignment vertical="center"/>
    </xf>
    <xf numFmtId="14" fontId="0" fillId="0" borderId="0" xfId="0" applyNumberFormat="1"/>
    <xf numFmtId="10" fontId="78" fillId="26" borderId="1" xfId="0" applyNumberFormat="1" applyFont="1" applyFill="1" applyBorder="1"/>
    <xf numFmtId="10" fontId="78" fillId="7" borderId="1" xfId="0" applyNumberFormat="1" applyFont="1" applyFill="1" applyBorder="1"/>
    <xf numFmtId="0" fontId="85" fillId="0" borderId="0" xfId="0" applyFont="1"/>
    <xf numFmtId="4" fontId="85" fillId="0" borderId="0" xfId="0" applyNumberFormat="1" applyFont="1"/>
    <xf numFmtId="171" fontId="85" fillId="0" borderId="0" xfId="0" applyNumberFormat="1" applyFont="1"/>
    <xf numFmtId="0" fontId="85" fillId="3" borderId="0" xfId="0" applyFont="1" applyFill="1"/>
    <xf numFmtId="43" fontId="85" fillId="3" borderId="0" xfId="0" applyNumberFormat="1" applyFont="1" applyFill="1"/>
    <xf numFmtId="0" fontId="86" fillId="3" borderId="0" xfId="0" applyFont="1" applyFill="1"/>
    <xf numFmtId="2" fontId="85" fillId="3" borderId="0" xfId="0" applyNumberFormat="1" applyFont="1" applyFill="1"/>
    <xf numFmtId="171" fontId="85" fillId="3" borderId="0" xfId="0" applyNumberFormat="1" applyFont="1" applyFill="1"/>
    <xf numFmtId="0" fontId="85" fillId="7" borderId="0" xfId="0" applyFont="1" applyFill="1"/>
    <xf numFmtId="43" fontId="85" fillId="0" borderId="0" xfId="0" applyNumberFormat="1" applyFont="1"/>
    <xf numFmtId="0" fontId="87" fillId="0" borderId="0" xfId="0" applyFont="1"/>
    <xf numFmtId="43" fontId="87" fillId="0" borderId="0" xfId="0" applyNumberFormat="1" applyFont="1"/>
    <xf numFmtId="0" fontId="88" fillId="3" borderId="0" xfId="0" applyFont="1" applyFill="1"/>
    <xf numFmtId="0" fontId="85" fillId="8" borderId="0" xfId="0" applyFont="1" applyFill="1"/>
    <xf numFmtId="43" fontId="85" fillId="8" borderId="0" xfId="0" applyNumberFormat="1" applyFont="1" applyFill="1"/>
    <xf numFmtId="0" fontId="86" fillId="8" borderId="0" xfId="0" applyFont="1" applyFill="1" applyAlignment="1">
      <alignment horizontal="center"/>
    </xf>
    <xf numFmtId="4" fontId="85" fillId="3" borderId="0" xfId="0" applyNumberFormat="1" applyFont="1" applyFill="1"/>
    <xf numFmtId="4" fontId="87" fillId="0" borderId="0" xfId="0" applyNumberFormat="1" applyFont="1"/>
    <xf numFmtId="0" fontId="86" fillId="8" borderId="0" xfId="0" applyFont="1" applyFill="1"/>
    <xf numFmtId="4" fontId="85" fillId="8" borderId="0" xfId="0" applyNumberFormat="1" applyFont="1" applyFill="1"/>
    <xf numFmtId="0" fontId="89" fillId="18" borderId="0" xfId="0" applyFont="1" applyFill="1"/>
    <xf numFmtId="4" fontId="85" fillId="27" borderId="0" xfId="0" applyNumberFormat="1" applyFont="1" applyFill="1"/>
    <xf numFmtId="10" fontId="83" fillId="26" borderId="1" xfId="0" applyNumberFormat="1" applyFont="1" applyFill="1" applyBorder="1"/>
    <xf numFmtId="0" fontId="90" fillId="36" borderId="1" xfId="0" applyFont="1" applyFill="1" applyBorder="1" applyAlignment="1">
      <alignment horizontal="center" vertical="center" wrapText="1"/>
    </xf>
    <xf numFmtId="0" fontId="0" fillId="0" borderId="12" xfId="0" applyBorder="1"/>
    <xf numFmtId="10" fontId="8" fillId="0" borderId="12" xfId="7" applyNumberFormat="1" applyFont="1" applyBorder="1" applyAlignment="1">
      <alignment horizontal="center"/>
    </xf>
    <xf numFmtId="0" fontId="0" fillId="0" borderId="1" xfId="0" applyBorder="1" applyAlignment="1">
      <alignment vertical="center" wrapText="1"/>
    </xf>
    <xf numFmtId="0" fontId="0" fillId="0" borderId="0" xfId="0" applyAlignment="1">
      <alignment vertical="center"/>
    </xf>
    <xf numFmtId="0" fontId="90" fillId="36" borderId="113" xfId="0" applyFont="1" applyFill="1" applyBorder="1" applyAlignment="1">
      <alignment horizontal="center" vertical="center" wrapText="1"/>
    </xf>
    <xf numFmtId="10" fontId="0" fillId="0" borderId="0" xfId="7" applyNumberFormat="1" applyFont="1"/>
    <xf numFmtId="10" fontId="0" fillId="0" borderId="0" xfId="0" applyNumberFormat="1" applyAlignment="1">
      <alignment horizontal="center"/>
    </xf>
    <xf numFmtId="0" fontId="0" fillId="30" borderId="0" xfId="0" applyFill="1" applyAlignment="1">
      <alignment horizontal="center"/>
    </xf>
    <xf numFmtId="0" fontId="0" fillId="30" borderId="0" xfId="0" applyFill="1" applyAlignment="1">
      <alignment horizontal="center" vertical="center" wrapText="1"/>
    </xf>
    <xf numFmtId="0" fontId="0" fillId="34" borderId="0" xfId="0" applyFill="1" applyAlignment="1">
      <alignment horizontal="center"/>
    </xf>
    <xf numFmtId="0" fontId="0" fillId="34" borderId="0" xfId="0" applyFill="1" applyAlignment="1">
      <alignment horizontal="center" vertical="center" wrapText="1"/>
    </xf>
    <xf numFmtId="2" fontId="0" fillId="34" borderId="0" xfId="0" applyNumberFormat="1" applyFill="1"/>
    <xf numFmtId="0" fontId="27" fillId="12" borderId="27" xfId="3" applyFont="1" applyFill="1" applyBorder="1" applyAlignment="1" applyProtection="1">
      <alignment horizontal="center" vertical="center" wrapText="1"/>
      <protection hidden="1"/>
    </xf>
    <xf numFmtId="0" fontId="27" fillId="12" borderId="32" xfId="3" applyFont="1" applyFill="1" applyBorder="1" applyAlignment="1" applyProtection="1">
      <alignment horizontal="center" vertical="center" wrapText="1"/>
      <protection hidden="1"/>
    </xf>
    <xf numFmtId="0" fontId="27" fillId="12" borderId="97" xfId="3" applyFont="1" applyFill="1" applyBorder="1" applyAlignment="1" applyProtection="1">
      <alignment horizontal="center" vertical="center" wrapText="1"/>
      <protection hidden="1"/>
    </xf>
    <xf numFmtId="0" fontId="29" fillId="16" borderId="0" xfId="3" applyFont="1" applyFill="1" applyAlignment="1" applyProtection="1">
      <alignment horizontal="center" vertical="center"/>
      <protection hidden="1"/>
    </xf>
    <xf numFmtId="0" fontId="0" fillId="5" borderId="11" xfId="0" applyFill="1" applyBorder="1" applyAlignment="1">
      <alignment horizontal="center" vertical="center" wrapText="1"/>
    </xf>
    <xf numFmtId="0" fontId="0" fillId="5" borderId="1" xfId="0" applyFill="1" applyBorder="1" applyAlignment="1">
      <alignment horizontal="center" vertical="center" wrapText="1"/>
    </xf>
    <xf numFmtId="2" fontId="0" fillId="5" borderId="11" xfId="0" applyNumberFormat="1" applyFill="1" applyBorder="1"/>
    <xf numFmtId="43" fontId="26" fillId="0" borderId="23" xfId="6" quotePrefix="1" applyFont="1" applyFill="1" applyBorder="1" applyAlignment="1" applyProtection="1">
      <alignment horizontal="center" vertical="center" wrapText="1"/>
      <protection hidden="1"/>
    </xf>
    <xf numFmtId="43" fontId="26" fillId="17" borderId="114" xfId="8" applyFont="1" applyFill="1" applyBorder="1" applyAlignment="1" applyProtection="1">
      <alignment horizontal="center" vertical="center" wrapText="1"/>
      <protection hidden="1"/>
    </xf>
    <xf numFmtId="0" fontId="27" fillId="12" borderId="33" xfId="3" applyFont="1" applyFill="1" applyBorder="1" applyAlignment="1" applyProtection="1">
      <alignment horizontal="center" vertical="center" wrapText="1"/>
      <protection hidden="1"/>
    </xf>
    <xf numFmtId="0" fontId="27" fillId="12" borderId="43" xfId="3" applyFont="1" applyFill="1" applyBorder="1" applyAlignment="1" applyProtection="1">
      <alignment horizontal="center" vertical="center" wrapText="1"/>
      <protection hidden="1"/>
    </xf>
    <xf numFmtId="0" fontId="27" fillId="12" borderId="116" xfId="3" applyFont="1" applyFill="1" applyBorder="1" applyAlignment="1" applyProtection="1">
      <alignment horizontal="center" vertical="center" wrapText="1"/>
      <protection hidden="1"/>
    </xf>
    <xf numFmtId="165" fontId="26" fillId="0" borderId="117" xfId="0" applyNumberFormat="1" applyFont="1" applyBorder="1" applyAlignment="1" applyProtection="1">
      <alignment horizontal="left" vertical="center" wrapText="1"/>
      <protection hidden="1"/>
    </xf>
    <xf numFmtId="43" fontId="26" fillId="0" borderId="112" xfId="8" applyFont="1" applyFill="1" applyBorder="1" applyAlignment="1" applyProtection="1">
      <alignment horizontal="center" vertical="center" wrapText="1"/>
      <protection hidden="1"/>
    </xf>
    <xf numFmtId="43" fontId="26" fillId="0" borderId="115" xfId="8" applyFont="1" applyFill="1" applyBorder="1" applyAlignment="1" applyProtection="1">
      <alignment horizontal="center" vertical="center" wrapText="1"/>
      <protection hidden="1"/>
    </xf>
    <xf numFmtId="43" fontId="26" fillId="0" borderId="101" xfId="8" applyFont="1" applyFill="1" applyBorder="1" applyAlignment="1" applyProtection="1">
      <alignment horizontal="center" vertical="center" wrapText="1"/>
      <protection hidden="1"/>
    </xf>
    <xf numFmtId="43" fontId="26" fillId="0" borderId="118" xfId="8" applyFont="1" applyFill="1" applyBorder="1" applyAlignment="1" applyProtection="1">
      <alignment horizontal="center" vertical="center" wrapText="1"/>
      <protection hidden="1"/>
    </xf>
    <xf numFmtId="43" fontId="26" fillId="0" borderId="59" xfId="0" applyNumberFormat="1" applyFont="1" applyBorder="1" applyAlignment="1" applyProtection="1">
      <alignment horizontal="center" vertical="center" wrapText="1"/>
      <protection hidden="1"/>
    </xf>
    <xf numFmtId="165" fontId="26" fillId="17" borderId="65" xfId="0" applyNumberFormat="1" applyFont="1" applyFill="1" applyBorder="1" applyAlignment="1" applyProtection="1">
      <alignment horizontal="center" vertical="center" wrapText="1"/>
      <protection hidden="1"/>
    </xf>
    <xf numFmtId="0" fontId="26" fillId="17" borderId="66" xfId="0" applyFont="1" applyFill="1" applyBorder="1" applyAlignment="1" applyProtection="1">
      <alignment horizontal="center" vertical="center" wrapText="1"/>
      <protection hidden="1"/>
    </xf>
    <xf numFmtId="0" fontId="26" fillId="17" borderId="51" xfId="0" applyFont="1" applyFill="1" applyBorder="1" applyAlignment="1" applyProtection="1">
      <alignment horizontal="center" vertical="center" wrapText="1"/>
      <protection hidden="1"/>
    </xf>
    <xf numFmtId="0" fontId="26" fillId="17" borderId="85" xfId="0" applyFont="1" applyFill="1" applyBorder="1" applyAlignment="1" applyProtection="1">
      <alignment horizontal="center" vertical="center" wrapText="1"/>
      <protection hidden="1"/>
    </xf>
    <xf numFmtId="43" fontId="26" fillId="17" borderId="85" xfId="8" applyFont="1" applyFill="1" applyBorder="1" applyAlignment="1" applyProtection="1">
      <alignment horizontal="center" vertical="center" wrapText="1"/>
      <protection hidden="1"/>
    </xf>
    <xf numFmtId="43" fontId="26" fillId="17" borderId="119" xfId="8" applyFont="1" applyFill="1" applyBorder="1" applyAlignment="1" applyProtection="1">
      <alignment horizontal="center" vertical="center" wrapText="1"/>
      <protection hidden="1"/>
    </xf>
    <xf numFmtId="43" fontId="26" fillId="17" borderId="120" xfId="8" applyFont="1" applyFill="1" applyBorder="1" applyAlignment="1" applyProtection="1">
      <alignment horizontal="center" vertical="center" wrapText="1"/>
      <protection hidden="1"/>
    </xf>
    <xf numFmtId="165" fontId="26" fillId="0" borderId="121" xfId="0" applyNumberFormat="1" applyFont="1" applyBorder="1" applyAlignment="1" applyProtection="1">
      <alignment horizontal="left" vertical="center" wrapText="1"/>
      <protection hidden="1"/>
    </xf>
    <xf numFmtId="43" fontId="26" fillId="0" borderId="122" xfId="8" applyFont="1" applyFill="1" applyBorder="1" applyAlignment="1" applyProtection="1">
      <alignment horizontal="center" vertical="center" wrapText="1"/>
      <protection hidden="1"/>
    </xf>
    <xf numFmtId="43" fontId="26" fillId="0" borderId="123" xfId="8" applyFont="1" applyFill="1" applyBorder="1" applyAlignment="1" applyProtection="1">
      <alignment horizontal="center" vertical="center" wrapText="1"/>
      <protection hidden="1"/>
    </xf>
    <xf numFmtId="43" fontId="26" fillId="0" borderId="124" xfId="0" applyNumberFormat="1" applyFont="1" applyBorder="1" applyAlignment="1" applyProtection="1">
      <alignment horizontal="center" vertical="center" wrapText="1"/>
      <protection hidden="1"/>
    </xf>
    <xf numFmtId="43" fontId="26" fillId="0" borderId="125" xfId="8" quotePrefix="1" applyFont="1" applyFill="1" applyBorder="1" applyAlignment="1" applyProtection="1">
      <alignment horizontal="center" vertical="center" wrapText="1"/>
      <protection hidden="1"/>
    </xf>
    <xf numFmtId="43" fontId="26" fillId="13" borderId="125" xfId="8" quotePrefix="1" applyFont="1" applyFill="1" applyBorder="1" applyAlignment="1" applyProtection="1">
      <alignment horizontal="center" vertical="center" wrapText="1"/>
      <protection hidden="1"/>
    </xf>
    <xf numFmtId="43" fontId="26" fillId="0" borderId="126" xfId="8" applyFont="1" applyFill="1" applyBorder="1" applyAlignment="1" applyProtection="1">
      <alignment horizontal="center" vertical="center" wrapText="1"/>
      <protection hidden="1"/>
    </xf>
    <xf numFmtId="43" fontId="26" fillId="0" borderId="125" xfId="0" applyNumberFormat="1" applyFont="1" applyBorder="1" applyAlignment="1" applyProtection="1">
      <alignment horizontal="center" vertical="center" wrapText="1"/>
      <protection hidden="1"/>
    </xf>
    <xf numFmtId="43" fontId="26" fillId="0" borderId="125" xfId="8" applyFont="1" applyFill="1" applyBorder="1" applyAlignment="1" applyProtection="1">
      <alignment horizontal="center" vertical="center" wrapText="1"/>
      <protection hidden="1"/>
    </xf>
    <xf numFmtId="43" fontId="26" fillId="13" borderId="125" xfId="8" applyFont="1" applyFill="1" applyBorder="1" applyAlignment="1" applyProtection="1">
      <alignment horizontal="center" vertical="center" wrapText="1"/>
      <protection hidden="1"/>
    </xf>
    <xf numFmtId="43" fontId="26" fillId="0" borderId="126" xfId="0" applyNumberFormat="1" applyFont="1" applyBorder="1" applyAlignment="1" applyProtection="1">
      <alignment horizontal="center" vertical="center" wrapText="1"/>
      <protection hidden="1"/>
    </xf>
    <xf numFmtId="43" fontId="26" fillId="3" borderId="126" xfId="8" applyFont="1" applyFill="1" applyBorder="1" applyAlignment="1" applyProtection="1">
      <alignment horizontal="center" vertical="center" wrapText="1"/>
      <protection hidden="1"/>
    </xf>
    <xf numFmtId="165" fontId="26" fillId="17" borderId="124" xfId="0" applyNumberFormat="1" applyFont="1" applyFill="1" applyBorder="1" applyAlignment="1" applyProtection="1">
      <alignment horizontal="center" vertical="center" wrapText="1"/>
      <protection hidden="1"/>
    </xf>
    <xf numFmtId="165" fontId="26" fillId="17" borderId="125" xfId="0" applyNumberFormat="1" applyFont="1" applyFill="1" applyBorder="1" applyAlignment="1" applyProtection="1">
      <alignment horizontal="center" vertical="center" wrapText="1"/>
      <protection hidden="1"/>
    </xf>
    <xf numFmtId="43" fontId="26" fillId="17" borderId="125" xfId="8" applyFont="1" applyFill="1" applyBorder="1" applyAlignment="1" applyProtection="1">
      <alignment horizontal="center" vertical="center" wrapText="1"/>
      <protection hidden="1"/>
    </xf>
    <xf numFmtId="43" fontId="26" fillId="17" borderId="126" xfId="8" applyFont="1" applyFill="1" applyBorder="1" applyAlignment="1" applyProtection="1">
      <alignment horizontal="center" vertical="center" wrapText="1"/>
      <protection hidden="1"/>
    </xf>
    <xf numFmtId="165" fontId="26" fillId="17" borderId="126" xfId="0" applyNumberFormat="1" applyFont="1" applyFill="1" applyBorder="1" applyAlignment="1" applyProtection="1">
      <alignment horizontal="center" vertical="center" wrapText="1"/>
      <protection hidden="1"/>
    </xf>
    <xf numFmtId="43" fontId="26" fillId="0" borderId="127" xfId="0" applyNumberFormat="1" applyFont="1" applyBorder="1" applyAlignment="1" applyProtection="1">
      <alignment horizontal="center" vertical="center" wrapText="1"/>
      <protection hidden="1"/>
    </xf>
    <xf numFmtId="43" fontId="26" fillId="0" borderId="128" xfId="0" applyNumberFormat="1" applyFont="1" applyBorder="1" applyAlignment="1" applyProtection="1">
      <alignment horizontal="center" vertical="center" wrapText="1"/>
      <protection hidden="1"/>
    </xf>
    <xf numFmtId="43" fontId="26" fillId="0" borderId="128" xfId="8" applyFont="1" applyFill="1" applyBorder="1" applyAlignment="1" applyProtection="1">
      <alignment horizontal="center" vertical="center" wrapText="1"/>
      <protection hidden="1"/>
    </xf>
    <xf numFmtId="43" fontId="26" fillId="13" borderId="128" xfId="8" applyFont="1" applyFill="1" applyBorder="1" applyAlignment="1" applyProtection="1">
      <alignment horizontal="center" vertical="center" wrapText="1"/>
      <protection hidden="1"/>
    </xf>
    <xf numFmtId="43" fontId="26" fillId="0" borderId="129" xfId="8" applyFont="1" applyFill="1" applyBorder="1" applyAlignment="1" applyProtection="1">
      <alignment horizontal="center" vertical="center" wrapText="1"/>
      <protection hidden="1"/>
    </xf>
    <xf numFmtId="0" fontId="27" fillId="12" borderId="41" xfId="3" applyFont="1" applyFill="1" applyBorder="1" applyAlignment="1" applyProtection="1">
      <alignment horizontal="center" vertical="center" wrapText="1"/>
      <protection hidden="1"/>
    </xf>
    <xf numFmtId="43" fontId="26" fillId="0" borderId="130" xfId="8" applyFont="1" applyFill="1" applyBorder="1" applyAlignment="1" applyProtection="1">
      <alignment horizontal="center" vertical="center" wrapText="1"/>
      <protection hidden="1"/>
    </xf>
    <xf numFmtId="43" fontId="26" fillId="0" borderId="99" xfId="8" applyFont="1" applyFill="1" applyBorder="1" applyAlignment="1" applyProtection="1">
      <alignment horizontal="center" vertical="center" wrapText="1"/>
      <protection hidden="1"/>
    </xf>
    <xf numFmtId="181" fontId="26" fillId="0" borderId="56" xfId="6" applyNumberFormat="1" applyFont="1" applyBorder="1" applyAlignment="1" applyProtection="1">
      <alignment horizontal="right" vertical="center" wrapText="1"/>
      <protection hidden="1"/>
    </xf>
    <xf numFmtId="43" fontId="26" fillId="0" borderId="56" xfId="6" applyFont="1" applyBorder="1" applyAlignment="1" applyProtection="1">
      <alignment horizontal="right" vertical="center" wrapText="1"/>
      <protection hidden="1"/>
    </xf>
    <xf numFmtId="43" fontId="26" fillId="0" borderId="55" xfId="6" applyFont="1" applyFill="1" applyBorder="1" applyAlignment="1" applyProtection="1">
      <alignment horizontal="center" vertical="center" wrapText="1"/>
      <protection hidden="1"/>
    </xf>
    <xf numFmtId="43" fontId="26" fillId="13" borderId="49" xfId="6" applyFont="1" applyFill="1" applyBorder="1" applyAlignment="1" applyProtection="1">
      <alignment horizontal="center" vertical="center" wrapText="1"/>
      <protection hidden="1"/>
    </xf>
    <xf numFmtId="43" fontId="26" fillId="13" borderId="102" xfId="6" applyFont="1" applyFill="1" applyBorder="1" applyAlignment="1" applyProtection="1">
      <alignment horizontal="center" vertical="center" wrapText="1"/>
      <protection hidden="1"/>
    </xf>
    <xf numFmtId="43" fontId="26" fillId="0" borderId="56" xfId="6" applyFont="1" applyBorder="1" applyAlignment="1" applyProtection="1">
      <alignment horizontal="center" vertical="center" wrapText="1"/>
      <protection hidden="1"/>
    </xf>
    <xf numFmtId="43" fontId="26" fillId="13" borderId="55" xfId="6" quotePrefix="1" applyFont="1" applyFill="1" applyBorder="1" applyAlignment="1" applyProtection="1">
      <alignment horizontal="center" vertical="center" wrapText="1"/>
      <protection hidden="1"/>
    </xf>
    <xf numFmtId="43" fontId="26" fillId="0" borderId="49" xfId="6" applyFont="1" applyFill="1" applyBorder="1" applyAlignment="1" applyProtection="1">
      <alignment horizontal="center" vertical="center" wrapText="1"/>
      <protection hidden="1"/>
    </xf>
    <xf numFmtId="43" fontId="26" fillId="0" borderId="102" xfId="6" applyFont="1" applyFill="1" applyBorder="1" applyAlignment="1" applyProtection="1">
      <alignment horizontal="center" vertical="center" wrapText="1"/>
      <protection hidden="1"/>
    </xf>
    <xf numFmtId="43" fontId="26" fillId="0" borderId="56" xfId="6" quotePrefix="1" applyFont="1" applyBorder="1" applyAlignment="1" applyProtection="1">
      <alignment horizontal="center" vertical="center" wrapText="1"/>
      <protection hidden="1"/>
    </xf>
    <xf numFmtId="43" fontId="26" fillId="13" borderId="55" xfId="6" applyFont="1" applyFill="1" applyBorder="1" applyAlignment="1" applyProtection="1">
      <alignment horizontal="center" vertical="center" wrapText="1"/>
      <protection hidden="1"/>
    </xf>
    <xf numFmtId="43" fontId="26" fillId="13" borderId="22" xfId="6" applyFont="1" applyFill="1" applyBorder="1" applyAlignment="1" applyProtection="1">
      <alignment horizontal="center" vertical="center" wrapText="1"/>
      <protection hidden="1"/>
    </xf>
    <xf numFmtId="43" fontId="26" fillId="22" borderId="22" xfId="6" applyFont="1" applyFill="1" applyBorder="1" applyAlignment="1" applyProtection="1">
      <alignment horizontal="center" vertical="center" wrapText="1"/>
      <protection hidden="1"/>
    </xf>
    <xf numFmtId="43" fontId="26" fillId="22" borderId="55" xfId="6" applyFont="1" applyFill="1" applyBorder="1" applyAlignment="1" applyProtection="1">
      <alignment horizontal="center" vertical="center" wrapText="1"/>
      <protection hidden="1"/>
    </xf>
    <xf numFmtId="43" fontId="26" fillId="17" borderId="49" xfId="6" applyFont="1" applyFill="1" applyBorder="1" applyAlignment="1" applyProtection="1">
      <alignment horizontal="center" vertical="center" wrapText="1"/>
      <protection hidden="1"/>
    </xf>
    <xf numFmtId="43" fontId="26" fillId="22" borderId="102" xfId="6" applyFont="1" applyFill="1" applyBorder="1" applyAlignment="1" applyProtection="1">
      <alignment horizontal="center" vertical="center" wrapText="1"/>
      <protection hidden="1"/>
    </xf>
    <xf numFmtId="43" fontId="26" fillId="0" borderId="56" xfId="6" quotePrefix="1" applyFont="1" applyBorder="1" applyAlignment="1" applyProtection="1">
      <alignment horizontal="right" vertical="center" wrapText="1"/>
      <protection hidden="1"/>
    </xf>
    <xf numFmtId="43" fontId="26" fillId="0" borderId="49" xfId="6" applyFont="1" applyBorder="1" applyAlignment="1" applyProtection="1">
      <alignment horizontal="center" vertical="center" wrapText="1"/>
      <protection hidden="1"/>
    </xf>
    <xf numFmtId="43" fontId="26" fillId="17" borderId="56" xfId="6" applyFont="1" applyFill="1" applyBorder="1" applyAlignment="1" applyProtection="1">
      <alignment horizontal="right" vertical="center" wrapText="1"/>
      <protection hidden="1"/>
    </xf>
    <xf numFmtId="43" fontId="26" fillId="17" borderId="22" xfId="6" applyFont="1" applyFill="1" applyBorder="1" applyAlignment="1" applyProtection="1">
      <alignment horizontal="center" vertical="center" wrapText="1"/>
      <protection hidden="1"/>
    </xf>
    <xf numFmtId="43" fontId="26" fillId="17" borderId="55" xfId="6" applyFont="1" applyFill="1" applyBorder="1" applyAlignment="1" applyProtection="1">
      <alignment horizontal="center" vertical="center" wrapText="1"/>
      <protection hidden="1"/>
    </xf>
    <xf numFmtId="43" fontId="26" fillId="17" borderId="102" xfId="6" applyFont="1" applyFill="1" applyBorder="1" applyAlignment="1" applyProtection="1">
      <alignment horizontal="center" vertical="center" wrapText="1"/>
      <protection hidden="1"/>
    </xf>
    <xf numFmtId="43" fontId="26" fillId="13" borderId="56" xfId="6" applyFont="1" applyFill="1" applyBorder="1" applyAlignment="1" applyProtection="1">
      <alignment horizontal="right" vertical="center" wrapText="1"/>
      <protection hidden="1"/>
    </xf>
    <xf numFmtId="2" fontId="26" fillId="0" borderId="117" xfId="0" applyNumberFormat="1" applyFont="1" applyBorder="1" applyAlignment="1" applyProtection="1">
      <alignment horizontal="right" vertical="center" wrapText="1"/>
      <protection hidden="1"/>
    </xf>
    <xf numFmtId="2" fontId="26" fillId="0" borderId="115" xfId="0" applyNumberFormat="1" applyFont="1" applyBorder="1" applyAlignment="1" applyProtection="1">
      <alignment horizontal="right" vertical="center" wrapText="1"/>
      <protection hidden="1"/>
    </xf>
    <xf numFmtId="43" fontId="26" fillId="0" borderId="65" xfId="0" applyNumberFormat="1" applyFont="1" applyBorder="1" applyAlignment="1" applyProtection="1">
      <alignment horizontal="right" vertical="center" wrapText="1"/>
      <protection hidden="1"/>
    </xf>
    <xf numFmtId="43" fontId="26" fillId="0" borderId="59" xfId="0" applyNumberFormat="1" applyFont="1" applyBorder="1" applyAlignment="1" applyProtection="1">
      <alignment horizontal="right" vertical="center" wrapText="1"/>
      <protection hidden="1"/>
    </xf>
    <xf numFmtId="43" fontId="26" fillId="22" borderId="28" xfId="8" applyFont="1" applyFill="1" applyBorder="1" applyAlignment="1" applyProtection="1">
      <alignment horizontal="center" vertical="center" wrapText="1"/>
      <protection hidden="1"/>
    </xf>
    <xf numFmtId="43" fontId="26" fillId="0" borderId="65" xfId="0" quotePrefix="1" applyNumberFormat="1" applyFont="1" applyBorder="1" applyAlignment="1" applyProtection="1">
      <alignment horizontal="center" vertical="center" wrapText="1"/>
      <protection hidden="1"/>
    </xf>
    <xf numFmtId="43" fontId="26" fillId="17" borderId="65" xfId="0" applyNumberFormat="1" applyFont="1" applyFill="1" applyBorder="1" applyAlignment="1" applyProtection="1">
      <alignment horizontal="right" vertical="center" wrapText="1"/>
      <protection hidden="1"/>
    </xf>
    <xf numFmtId="0" fontId="26" fillId="17" borderId="66" xfId="0" applyFont="1" applyFill="1" applyBorder="1" applyAlignment="1" applyProtection="1">
      <alignment horizontal="right" vertical="center" wrapText="1"/>
      <protection hidden="1"/>
    </xf>
    <xf numFmtId="43" fontId="26" fillId="0" borderId="131" xfId="8" applyFont="1" applyFill="1" applyBorder="1" applyAlignment="1" applyProtection="1">
      <alignment horizontal="center" vertical="center" wrapText="1"/>
      <protection hidden="1"/>
    </xf>
    <xf numFmtId="2" fontId="26" fillId="0" borderId="121" xfId="0" applyNumberFormat="1" applyFont="1" applyBorder="1" applyAlignment="1" applyProtection="1">
      <alignment horizontal="right" vertical="center" wrapText="1"/>
      <protection hidden="1"/>
    </xf>
    <xf numFmtId="2" fontId="26" fillId="0" borderId="122" xfId="0" applyNumberFormat="1" applyFont="1" applyBorder="1" applyAlignment="1" applyProtection="1">
      <alignment horizontal="right" vertical="center" wrapText="1"/>
      <protection hidden="1"/>
    </xf>
    <xf numFmtId="43" fontId="26" fillId="13" borderId="126" xfId="8" quotePrefix="1" applyFont="1" applyFill="1" applyBorder="1" applyAlignment="1" applyProtection="1">
      <alignment horizontal="center" vertical="center" wrapText="1"/>
      <protection hidden="1"/>
    </xf>
    <xf numFmtId="43" fontId="26" fillId="0" borderId="124" xfId="0" applyNumberFormat="1" applyFont="1" applyBorder="1" applyAlignment="1" applyProtection="1">
      <alignment horizontal="right" vertical="center" wrapText="1"/>
      <protection hidden="1"/>
    </xf>
    <xf numFmtId="43" fontId="26" fillId="0" borderId="125" xfId="0" applyNumberFormat="1" applyFont="1" applyBorder="1" applyAlignment="1" applyProtection="1">
      <alignment horizontal="right" vertical="center" wrapText="1"/>
      <protection hidden="1"/>
    </xf>
    <xf numFmtId="43" fontId="26" fillId="0" borderId="126" xfId="0" applyNumberFormat="1" applyFont="1" applyBorder="1" applyAlignment="1" applyProtection="1">
      <alignment horizontal="right" vertical="center" wrapText="1"/>
      <protection hidden="1"/>
    </xf>
    <xf numFmtId="43" fontId="26" fillId="13" borderId="126" xfId="8" applyFont="1" applyFill="1" applyBorder="1" applyAlignment="1" applyProtection="1">
      <alignment horizontal="center" vertical="center" wrapText="1"/>
      <protection hidden="1"/>
    </xf>
    <xf numFmtId="43" fontId="26" fillId="22" borderId="124" xfId="8" applyFont="1" applyFill="1" applyBorder="1" applyAlignment="1" applyProtection="1">
      <alignment horizontal="center" vertical="center" wrapText="1"/>
      <protection hidden="1"/>
    </xf>
    <xf numFmtId="43" fontId="26" fillId="22" borderId="125" xfId="8" applyFont="1" applyFill="1" applyBorder="1" applyAlignment="1" applyProtection="1">
      <alignment horizontal="center" vertical="center" wrapText="1"/>
      <protection hidden="1"/>
    </xf>
    <xf numFmtId="43" fontId="26" fillId="22" borderId="126" xfId="8" applyFont="1" applyFill="1" applyBorder="1" applyAlignment="1" applyProtection="1">
      <alignment horizontal="center" vertical="center" wrapText="1"/>
      <protection hidden="1"/>
    </xf>
    <xf numFmtId="43" fontId="26" fillId="0" borderId="124" xfId="0" quotePrefix="1" applyNumberFormat="1" applyFont="1" applyBorder="1" applyAlignment="1" applyProtection="1">
      <alignment horizontal="center" vertical="center" wrapText="1"/>
      <protection hidden="1"/>
    </xf>
    <xf numFmtId="43" fontId="26" fillId="0" borderId="125" xfId="0" quotePrefix="1" applyNumberFormat="1" applyFont="1" applyBorder="1" applyAlignment="1" applyProtection="1">
      <alignment horizontal="center" vertical="center" wrapText="1"/>
      <protection hidden="1"/>
    </xf>
    <xf numFmtId="43" fontId="26" fillId="17" borderId="124" xfId="0" applyNumberFormat="1" applyFont="1" applyFill="1" applyBorder="1" applyAlignment="1" applyProtection="1">
      <alignment horizontal="right" vertical="center" wrapText="1"/>
      <protection hidden="1"/>
    </xf>
    <xf numFmtId="43" fontId="26" fillId="17" borderId="125" xfId="0" applyNumberFormat="1" applyFont="1" applyFill="1" applyBorder="1" applyAlignment="1" applyProtection="1">
      <alignment horizontal="right" vertical="center" wrapText="1"/>
      <protection hidden="1"/>
    </xf>
    <xf numFmtId="170" fontId="26" fillId="0" borderId="124" xfId="0" applyNumberFormat="1" applyFont="1" applyBorder="1" applyAlignment="1" applyProtection="1">
      <alignment horizontal="center" vertical="center" wrapText="1"/>
      <protection hidden="1"/>
    </xf>
    <xf numFmtId="170" fontId="26" fillId="0" borderId="125" xfId="0" applyNumberFormat="1" applyFont="1" applyBorder="1" applyAlignment="1" applyProtection="1">
      <alignment horizontal="center" vertical="center" wrapText="1"/>
      <protection hidden="1"/>
    </xf>
    <xf numFmtId="43" fontId="26" fillId="13" borderId="124" xfId="8" applyFont="1" applyFill="1" applyBorder="1" applyAlignment="1" applyProtection="1">
      <alignment horizontal="center" vertical="center" wrapText="1"/>
      <protection hidden="1"/>
    </xf>
    <xf numFmtId="0" fontId="26" fillId="17" borderId="127" xfId="0" applyFont="1" applyFill="1" applyBorder="1" applyAlignment="1" applyProtection="1">
      <alignment horizontal="right" vertical="center" wrapText="1"/>
      <protection hidden="1"/>
    </xf>
    <xf numFmtId="43" fontId="26" fillId="17" borderId="128" xfId="8" applyFont="1" applyFill="1" applyBorder="1" applyAlignment="1" applyProtection="1">
      <alignment horizontal="center" vertical="center" wrapText="1"/>
      <protection hidden="1"/>
    </xf>
    <xf numFmtId="43" fontId="26" fillId="17" borderId="129" xfId="8" applyFont="1" applyFill="1" applyBorder="1" applyAlignment="1" applyProtection="1">
      <alignment horizontal="center" vertical="center" wrapText="1"/>
      <protection hidden="1"/>
    </xf>
    <xf numFmtId="2" fontId="26" fillId="0" borderId="123" xfId="0" applyNumberFormat="1" applyFont="1" applyBorder="1" applyAlignment="1" applyProtection="1">
      <alignment horizontal="right" vertical="center" wrapText="1"/>
      <protection hidden="1"/>
    </xf>
    <xf numFmtId="43" fontId="26" fillId="0" borderId="126" xfId="0" quotePrefix="1" applyNumberFormat="1" applyFont="1" applyBorder="1" applyAlignment="1" applyProtection="1">
      <alignment horizontal="center" vertical="center" wrapText="1"/>
      <protection hidden="1"/>
    </xf>
    <xf numFmtId="43" fontId="26" fillId="17" borderId="126" xfId="0" applyNumberFormat="1" applyFont="1" applyFill="1" applyBorder="1" applyAlignment="1" applyProtection="1">
      <alignment horizontal="right" vertical="center" wrapText="1"/>
      <protection hidden="1"/>
    </xf>
    <xf numFmtId="170" fontId="26" fillId="0" borderId="126" xfId="0" applyNumberFormat="1" applyFont="1" applyBorder="1" applyAlignment="1" applyProtection="1">
      <alignment horizontal="center" vertical="center" wrapText="1"/>
      <protection hidden="1"/>
    </xf>
    <xf numFmtId="2" fontId="26" fillId="8" borderId="115" xfId="0" applyNumberFormat="1" applyFont="1" applyFill="1" applyBorder="1" applyAlignment="1" applyProtection="1">
      <alignment horizontal="right" vertical="center" wrapText="1"/>
      <protection hidden="1"/>
    </xf>
    <xf numFmtId="2" fontId="26" fillId="0" borderId="131" xfId="0" applyNumberFormat="1" applyFont="1" applyBorder="1" applyAlignment="1" applyProtection="1">
      <alignment horizontal="right" vertical="center" wrapText="1"/>
      <protection hidden="1"/>
    </xf>
    <xf numFmtId="43" fontId="26" fillId="13" borderId="65" xfId="8" applyFont="1" applyFill="1" applyBorder="1" applyAlignment="1" applyProtection="1">
      <alignment horizontal="right" vertical="center" wrapText="1"/>
      <protection hidden="1"/>
    </xf>
    <xf numFmtId="43" fontId="26" fillId="13" borderId="132" xfId="8" applyFont="1" applyFill="1" applyBorder="1" applyAlignment="1" applyProtection="1">
      <alignment horizontal="center" vertical="center" wrapText="1"/>
      <protection hidden="1"/>
    </xf>
    <xf numFmtId="43" fontId="26" fillId="0" borderId="132" xfId="8" applyFont="1" applyFill="1" applyBorder="1" applyAlignment="1" applyProtection="1">
      <alignment horizontal="center" vertical="center" wrapText="1"/>
      <protection hidden="1"/>
    </xf>
    <xf numFmtId="43" fontId="26" fillId="22" borderId="132" xfId="8" applyFont="1" applyFill="1" applyBorder="1" applyAlignment="1" applyProtection="1">
      <alignment horizontal="center" vertical="center" wrapText="1"/>
      <protection hidden="1"/>
    </xf>
    <xf numFmtId="43" fontId="26" fillId="17" borderId="132" xfId="8" applyFont="1" applyFill="1" applyBorder="1" applyAlignment="1" applyProtection="1">
      <alignment horizontal="center" vertical="center" wrapText="1"/>
      <protection hidden="1"/>
    </xf>
    <xf numFmtId="43" fontId="26" fillId="17" borderId="133" xfId="8" applyFont="1" applyFill="1" applyBorder="1" applyAlignment="1" applyProtection="1">
      <alignment horizontal="center" vertical="center" wrapText="1"/>
      <protection hidden="1"/>
    </xf>
    <xf numFmtId="43" fontId="26" fillId="13" borderId="99" xfId="8" applyFont="1" applyFill="1" applyBorder="1" applyAlignment="1" applyProtection="1">
      <alignment horizontal="center" vertical="center" wrapText="1"/>
      <protection hidden="1"/>
    </xf>
    <xf numFmtId="2" fontId="26" fillId="0" borderId="100" xfId="0" applyNumberFormat="1" applyFont="1" applyBorder="1" applyAlignment="1" applyProtection="1">
      <alignment horizontal="right" vertical="center" wrapText="1"/>
      <protection hidden="1"/>
    </xf>
    <xf numFmtId="2" fontId="26" fillId="8" borderId="100" xfId="0" applyNumberFormat="1" applyFont="1" applyFill="1" applyBorder="1" applyAlignment="1" applyProtection="1">
      <alignment horizontal="right" vertical="center" wrapText="1"/>
      <protection hidden="1"/>
    </xf>
    <xf numFmtId="43" fontId="26" fillId="13" borderId="100" xfId="8" applyFont="1" applyFill="1" applyBorder="1" applyAlignment="1" applyProtection="1">
      <alignment horizontal="center" vertical="center" wrapText="1"/>
      <protection hidden="1"/>
    </xf>
    <xf numFmtId="43" fontId="26" fillId="13" borderId="101" xfId="8" applyFont="1" applyFill="1" applyBorder="1" applyAlignment="1" applyProtection="1">
      <alignment horizontal="center" vertical="center" wrapText="1"/>
      <protection hidden="1"/>
    </xf>
    <xf numFmtId="43" fontId="26" fillId="17" borderId="25" xfId="6" applyFont="1" applyFill="1" applyBorder="1" applyAlignment="1" applyProtection="1">
      <alignment horizontal="center" vertical="center" wrapText="1"/>
      <protection hidden="1"/>
    </xf>
    <xf numFmtId="43" fontId="26" fillId="13" borderId="23" xfId="6" applyFont="1" applyFill="1" applyBorder="1" applyAlignment="1" applyProtection="1">
      <alignment horizontal="center" vertical="center" wrapText="1"/>
      <protection hidden="1"/>
    </xf>
    <xf numFmtId="43" fontId="26" fillId="17" borderId="26" xfId="6" applyFont="1" applyFill="1" applyBorder="1" applyAlignment="1" applyProtection="1">
      <alignment horizontal="center" vertical="center" wrapText="1"/>
      <protection hidden="1"/>
    </xf>
    <xf numFmtId="43" fontId="26" fillId="0" borderId="117" xfId="6" applyFont="1" applyBorder="1" applyAlignment="1" applyProtection="1">
      <alignment horizontal="right" vertical="center" wrapText="1"/>
      <protection hidden="1"/>
    </xf>
    <xf numFmtId="43" fontId="26" fillId="0" borderId="115" xfId="6" applyFont="1" applyBorder="1" applyAlignment="1" applyProtection="1">
      <alignment horizontal="right" vertical="center" wrapText="1"/>
      <protection hidden="1"/>
    </xf>
    <xf numFmtId="43" fontId="26" fillId="0" borderId="65" xfId="6" applyFont="1" applyBorder="1" applyAlignment="1" applyProtection="1">
      <alignment horizontal="center" vertical="center" wrapText="1"/>
      <protection hidden="1"/>
    </xf>
    <xf numFmtId="43" fontId="26" fillId="0" borderId="65" xfId="6" applyFont="1" applyBorder="1" applyAlignment="1" applyProtection="1">
      <alignment horizontal="right" vertical="center" wrapText="1"/>
      <protection hidden="1"/>
    </xf>
    <xf numFmtId="43" fontId="26" fillId="0" borderId="65" xfId="6" quotePrefix="1" applyFont="1" applyBorder="1" applyAlignment="1" applyProtection="1">
      <alignment horizontal="center" vertical="center" wrapText="1"/>
      <protection hidden="1"/>
    </xf>
    <xf numFmtId="43" fontId="26" fillId="0" borderId="65" xfId="6" quotePrefix="1" applyFont="1" applyBorder="1" applyAlignment="1" applyProtection="1">
      <alignment horizontal="right" vertical="center" wrapText="1"/>
      <protection hidden="1"/>
    </xf>
    <xf numFmtId="43" fontId="26" fillId="13" borderId="65" xfId="6" applyFont="1" applyFill="1" applyBorder="1" applyAlignment="1" applyProtection="1">
      <alignment horizontal="right" vertical="center" wrapText="1"/>
      <protection hidden="1"/>
    </xf>
    <xf numFmtId="43" fontId="26" fillId="17" borderId="66" xfId="6" applyFont="1" applyFill="1" applyBorder="1" applyAlignment="1" applyProtection="1">
      <alignment horizontal="right" vertical="center" wrapText="1"/>
      <protection hidden="1"/>
    </xf>
    <xf numFmtId="43" fontId="26" fillId="0" borderId="59" xfId="6" applyFont="1" applyBorder="1" applyAlignment="1" applyProtection="1">
      <alignment horizontal="right" vertical="center" wrapText="1"/>
      <protection hidden="1"/>
    </xf>
    <xf numFmtId="43" fontId="26" fillId="0" borderId="134" xfId="6" applyFont="1" applyBorder="1" applyAlignment="1" applyProtection="1">
      <alignment horizontal="right" vertical="center" wrapText="1"/>
      <protection hidden="1"/>
    </xf>
    <xf numFmtId="43" fontId="26" fillId="0" borderId="135" xfId="6" applyFont="1" applyBorder="1" applyAlignment="1" applyProtection="1">
      <alignment horizontal="right" vertical="center" wrapText="1"/>
      <protection hidden="1"/>
    </xf>
    <xf numFmtId="43" fontId="26" fillId="0" borderId="136" xfId="6" applyFont="1" applyFill="1" applyBorder="1" applyAlignment="1" applyProtection="1">
      <alignment horizontal="center" vertical="center" wrapText="1"/>
      <protection hidden="1"/>
    </xf>
    <xf numFmtId="43" fontId="26" fillId="0" borderId="137" xfId="6" applyFont="1" applyBorder="1" applyAlignment="1" applyProtection="1">
      <alignment horizontal="center" vertical="center" wrapText="1"/>
      <protection hidden="1"/>
    </xf>
    <xf numFmtId="43" fontId="26" fillId="0" borderId="138" xfId="6" applyFont="1" applyBorder="1" applyAlignment="1" applyProtection="1">
      <alignment horizontal="center" vertical="center" wrapText="1"/>
      <protection hidden="1"/>
    </xf>
    <xf numFmtId="43" fontId="26" fillId="13" borderId="139" xfId="6" quotePrefix="1" applyFont="1" applyFill="1" applyBorder="1" applyAlignment="1" applyProtection="1">
      <alignment horizontal="center" vertical="center" wrapText="1"/>
      <protection hidden="1"/>
    </xf>
    <xf numFmtId="43" fontId="26" fillId="0" borderId="137" xfId="6" applyFont="1" applyBorder="1" applyAlignment="1" applyProtection="1">
      <alignment horizontal="right" vertical="center" wrapText="1"/>
      <protection hidden="1"/>
    </xf>
    <xf numFmtId="43" fontId="26" fillId="0" borderId="138" xfId="6" applyFont="1" applyBorder="1" applyAlignment="1" applyProtection="1">
      <alignment horizontal="right" vertical="center" wrapText="1"/>
      <protection hidden="1"/>
    </xf>
    <xf numFmtId="43" fontId="26" fillId="0" borderId="139" xfId="6" applyFont="1" applyFill="1" applyBorder="1" applyAlignment="1" applyProtection="1">
      <alignment horizontal="center" vertical="center" wrapText="1"/>
      <protection hidden="1"/>
    </xf>
    <xf numFmtId="43" fontId="26" fillId="0" borderId="137" xfId="6" quotePrefix="1" applyFont="1" applyBorder="1" applyAlignment="1" applyProtection="1">
      <alignment horizontal="center" vertical="center" wrapText="1"/>
      <protection hidden="1"/>
    </xf>
    <xf numFmtId="43" fontId="26" fillId="0" borderId="138" xfId="6" quotePrefix="1" applyFont="1" applyBorder="1" applyAlignment="1" applyProtection="1">
      <alignment horizontal="center" vertical="center" wrapText="1"/>
      <protection hidden="1"/>
    </xf>
    <xf numFmtId="43" fontId="26" fillId="13" borderId="139" xfId="6" applyFont="1" applyFill="1" applyBorder="1" applyAlignment="1" applyProtection="1">
      <alignment horizontal="center" vertical="center" wrapText="1"/>
      <protection hidden="1"/>
    </xf>
    <xf numFmtId="43" fontId="26" fillId="13" borderId="138" xfId="6" applyFont="1" applyFill="1" applyBorder="1" applyAlignment="1" applyProtection="1">
      <alignment horizontal="center" vertical="center" wrapText="1"/>
      <protection hidden="1"/>
    </xf>
    <xf numFmtId="43" fontId="26" fillId="0" borderId="139" xfId="6" applyFont="1" applyBorder="1" applyAlignment="1" applyProtection="1">
      <alignment horizontal="right" vertical="center" wrapText="1"/>
      <protection hidden="1"/>
    </xf>
    <xf numFmtId="43" fontId="26" fillId="22" borderId="137" xfId="6" applyFont="1" applyFill="1" applyBorder="1" applyAlignment="1" applyProtection="1">
      <alignment horizontal="center" vertical="center" wrapText="1"/>
      <protection hidden="1"/>
    </xf>
    <xf numFmtId="43" fontId="26" fillId="22" borderId="138" xfId="6" applyFont="1" applyFill="1" applyBorder="1" applyAlignment="1" applyProtection="1">
      <alignment horizontal="center" vertical="center" wrapText="1"/>
      <protection hidden="1"/>
    </xf>
    <xf numFmtId="43" fontId="26" fillId="22" borderId="139" xfId="6" applyFont="1" applyFill="1" applyBorder="1" applyAlignment="1" applyProtection="1">
      <alignment horizontal="center" vertical="center" wrapText="1"/>
      <protection hidden="1"/>
    </xf>
    <xf numFmtId="43" fontId="26" fillId="0" borderId="137" xfId="6" quotePrefix="1" applyFont="1" applyBorder="1" applyAlignment="1" applyProtection="1">
      <alignment horizontal="right" vertical="center" wrapText="1"/>
      <protection hidden="1"/>
    </xf>
    <xf numFmtId="43" fontId="26" fillId="0" borderId="138" xfId="6" applyFont="1" applyFill="1" applyBorder="1" applyAlignment="1" applyProtection="1">
      <alignment horizontal="center" vertical="center" wrapText="1"/>
      <protection hidden="1"/>
    </xf>
    <xf numFmtId="43" fontId="26" fillId="17" borderId="137" xfId="6" applyFont="1" applyFill="1" applyBorder="1" applyAlignment="1" applyProtection="1">
      <alignment horizontal="right" vertical="center" wrapText="1"/>
      <protection hidden="1"/>
    </xf>
    <xf numFmtId="43" fontId="26" fillId="17" borderId="138" xfId="6" applyFont="1" applyFill="1" applyBorder="1" applyAlignment="1" applyProtection="1">
      <alignment horizontal="right" vertical="center" wrapText="1"/>
      <protection hidden="1"/>
    </xf>
    <xf numFmtId="43" fontId="26" fillId="17" borderId="138" xfId="6" applyFont="1" applyFill="1" applyBorder="1" applyAlignment="1" applyProtection="1">
      <alignment horizontal="center" vertical="center" wrapText="1"/>
      <protection hidden="1"/>
    </xf>
    <xf numFmtId="43" fontId="26" fillId="17" borderId="139" xfId="6" applyFont="1" applyFill="1" applyBorder="1" applyAlignment="1" applyProtection="1">
      <alignment horizontal="center" vertical="center" wrapText="1"/>
      <protection hidden="1"/>
    </xf>
    <xf numFmtId="43" fontId="26" fillId="13" borderId="137" xfId="6" applyFont="1" applyFill="1" applyBorder="1" applyAlignment="1" applyProtection="1">
      <alignment horizontal="right" vertical="center" wrapText="1"/>
      <protection hidden="1"/>
    </xf>
    <xf numFmtId="43" fontId="26" fillId="13" borderId="138" xfId="6" applyFont="1" applyFill="1" applyBorder="1" applyAlignment="1" applyProtection="1">
      <alignment horizontal="right" vertical="center" wrapText="1"/>
      <protection hidden="1"/>
    </xf>
    <xf numFmtId="43" fontId="26" fillId="17" borderId="140" xfId="6" applyFont="1" applyFill="1" applyBorder="1" applyAlignment="1" applyProtection="1">
      <alignment horizontal="right" vertical="center" wrapText="1"/>
      <protection hidden="1"/>
    </xf>
    <xf numFmtId="43" fontId="26" fillId="17" borderId="141" xfId="6" applyFont="1" applyFill="1" applyBorder="1" applyAlignment="1" applyProtection="1">
      <alignment horizontal="right" vertical="center" wrapText="1"/>
      <protection hidden="1"/>
    </xf>
    <xf numFmtId="43" fontId="26" fillId="17" borderId="141" xfId="6" applyFont="1" applyFill="1" applyBorder="1" applyAlignment="1" applyProtection="1">
      <alignment horizontal="center" vertical="center" wrapText="1"/>
      <protection hidden="1"/>
    </xf>
    <xf numFmtId="43" fontId="26" fillId="17" borderId="142" xfId="6" applyFont="1" applyFill="1" applyBorder="1" applyAlignment="1" applyProtection="1">
      <alignment horizontal="center" vertical="center" wrapText="1"/>
      <protection hidden="1"/>
    </xf>
    <xf numFmtId="43" fontId="26" fillId="0" borderId="136" xfId="6" applyFont="1" applyBorder="1" applyAlignment="1" applyProtection="1">
      <alignment horizontal="right" vertical="center" wrapText="1"/>
      <protection hidden="1"/>
    </xf>
    <xf numFmtId="43" fontId="26" fillId="0" borderId="139" xfId="6" applyFont="1" applyBorder="1" applyAlignment="1" applyProtection="1">
      <alignment horizontal="center" vertical="center" wrapText="1"/>
      <protection hidden="1"/>
    </xf>
    <xf numFmtId="43" fontId="26" fillId="0" borderId="139" xfId="6" quotePrefix="1" applyFont="1" applyBorder="1" applyAlignment="1" applyProtection="1">
      <alignment horizontal="center" vertical="center" wrapText="1"/>
      <protection hidden="1"/>
    </xf>
    <xf numFmtId="43" fontId="26" fillId="17" borderId="139" xfId="6" applyFont="1" applyFill="1" applyBorder="1" applyAlignment="1" applyProtection="1">
      <alignment horizontal="right" vertical="center" wrapText="1"/>
      <protection hidden="1"/>
    </xf>
    <xf numFmtId="43" fontId="26" fillId="13" borderId="139" xfId="6" applyFont="1" applyFill="1" applyBorder="1" applyAlignment="1" applyProtection="1">
      <alignment horizontal="right" vertical="center" wrapText="1"/>
      <protection hidden="1"/>
    </xf>
    <xf numFmtId="43" fontId="26" fillId="17" borderId="142" xfId="6" applyFont="1" applyFill="1" applyBorder="1" applyAlignment="1" applyProtection="1">
      <alignment horizontal="right" vertical="center" wrapText="1"/>
      <protection hidden="1"/>
    </xf>
    <xf numFmtId="165" fontId="26" fillId="0" borderId="115" xfId="0" applyNumberFormat="1" applyFont="1" applyBorder="1" applyAlignment="1" applyProtection="1">
      <alignment horizontal="left" vertical="center" wrapText="1"/>
      <protection hidden="1"/>
    </xf>
    <xf numFmtId="43" fontId="26" fillId="0" borderId="59" xfId="8" quotePrefix="1" applyFont="1" applyFill="1" applyBorder="1" applyAlignment="1" applyProtection="1">
      <alignment horizontal="center" vertical="center" wrapText="1"/>
      <protection hidden="1"/>
    </xf>
    <xf numFmtId="43" fontId="26" fillId="3" borderId="62" xfId="8" applyFont="1" applyFill="1" applyBorder="1" applyAlignment="1" applyProtection="1">
      <alignment horizontal="center" vertical="center" wrapText="1"/>
      <protection hidden="1"/>
    </xf>
    <xf numFmtId="43" fontId="26" fillId="17" borderId="109" xfId="8" applyFont="1" applyFill="1" applyBorder="1" applyAlignment="1" applyProtection="1">
      <alignment horizontal="center" vertical="center" wrapText="1"/>
      <protection hidden="1"/>
    </xf>
    <xf numFmtId="43" fontId="26" fillId="13" borderId="54" xfId="8" applyFont="1" applyFill="1" applyBorder="1" applyAlignment="1" applyProtection="1">
      <alignment horizontal="center" vertical="center" wrapText="1"/>
      <protection hidden="1"/>
    </xf>
    <xf numFmtId="165" fontId="26" fillId="17" borderId="59" xfId="0" applyNumberFormat="1" applyFont="1" applyFill="1" applyBorder="1" applyAlignment="1" applyProtection="1">
      <alignment horizontal="center" vertical="center" wrapText="1"/>
      <protection hidden="1"/>
    </xf>
    <xf numFmtId="43" fontId="26" fillId="30" borderId="22" xfId="6" applyFont="1" applyFill="1" applyBorder="1" applyAlignment="1" applyProtection="1">
      <alignment horizontal="center" vertical="center" wrapText="1"/>
      <protection hidden="1"/>
    </xf>
    <xf numFmtId="43" fontId="26" fillId="30" borderId="56" xfId="6" applyFont="1" applyFill="1" applyBorder="1" applyAlignment="1" applyProtection="1">
      <alignment horizontal="center" vertical="center" wrapText="1"/>
      <protection hidden="1"/>
    </xf>
    <xf numFmtId="43" fontId="26" fillId="13" borderId="56" xfId="6" applyFont="1" applyFill="1" applyBorder="1" applyAlignment="1" applyProtection="1">
      <alignment horizontal="center" vertical="center" wrapText="1"/>
      <protection hidden="1"/>
    </xf>
    <xf numFmtId="43" fontId="26" fillId="0" borderId="131" xfId="6" applyFont="1" applyBorder="1" applyAlignment="1" applyProtection="1">
      <alignment horizontal="right" vertical="center" wrapText="1"/>
      <protection hidden="1"/>
    </xf>
    <xf numFmtId="43" fontId="26" fillId="0" borderId="59" xfId="6" applyFont="1" applyBorder="1" applyAlignment="1" applyProtection="1">
      <alignment horizontal="center" vertical="center" wrapText="1"/>
      <protection hidden="1"/>
    </xf>
    <xf numFmtId="43" fontId="26" fillId="30" borderId="28" xfId="6" applyFont="1" applyFill="1" applyBorder="1" applyAlignment="1" applyProtection="1">
      <alignment horizontal="center" vertical="center" wrapText="1"/>
      <protection hidden="1"/>
    </xf>
    <xf numFmtId="43" fontId="26" fillId="30" borderId="23" xfId="6" applyFont="1" applyFill="1" applyBorder="1" applyAlignment="1" applyProtection="1">
      <alignment horizontal="center" vertical="center" wrapText="1"/>
      <protection hidden="1"/>
    </xf>
    <xf numFmtId="43" fontId="26" fillId="0" borderId="59" xfId="6" quotePrefix="1" applyFont="1" applyBorder="1" applyAlignment="1" applyProtection="1">
      <alignment horizontal="center" vertical="center" wrapText="1"/>
      <protection hidden="1"/>
    </xf>
    <xf numFmtId="43" fontId="26" fillId="30" borderId="65" xfId="6" applyFont="1" applyFill="1" applyBorder="1" applyAlignment="1" applyProtection="1">
      <alignment horizontal="right" vertical="center" wrapText="1"/>
      <protection hidden="1"/>
    </xf>
    <xf numFmtId="43" fontId="26" fillId="30" borderId="59" xfId="6" applyFont="1" applyFill="1" applyBorder="1" applyAlignment="1" applyProtection="1">
      <alignment horizontal="center" vertical="center" wrapText="1"/>
      <protection hidden="1"/>
    </xf>
    <xf numFmtId="43" fontId="26" fillId="13" borderId="59" xfId="6" applyFont="1" applyFill="1" applyBorder="1" applyAlignment="1" applyProtection="1">
      <alignment horizontal="center" vertical="center" wrapText="1"/>
      <protection hidden="1"/>
    </xf>
    <xf numFmtId="43" fontId="26" fillId="0" borderId="143" xfId="6" applyFont="1" applyFill="1" applyBorder="1" applyAlignment="1" applyProtection="1">
      <alignment horizontal="center" vertical="center" wrapText="1"/>
      <protection hidden="1"/>
    </xf>
    <xf numFmtId="43" fontId="26" fillId="0" borderId="144" xfId="6" applyFont="1" applyFill="1" applyBorder="1" applyAlignment="1" applyProtection="1">
      <alignment horizontal="center" vertical="center" wrapText="1"/>
      <protection hidden="1"/>
    </xf>
    <xf numFmtId="43" fontId="26" fillId="0" borderId="145" xfId="6" applyFont="1" applyFill="1" applyBorder="1" applyAlignment="1" applyProtection="1">
      <alignment horizontal="center" vertical="center" wrapText="1"/>
      <protection hidden="1"/>
    </xf>
    <xf numFmtId="43" fontId="26" fillId="0" borderId="146" xfId="6" applyFont="1" applyFill="1" applyBorder="1" applyAlignment="1" applyProtection="1">
      <alignment horizontal="center" vertical="center" wrapText="1"/>
      <protection hidden="1"/>
    </xf>
    <xf numFmtId="43" fontId="26" fillId="13" borderId="145" xfId="6" applyFont="1" applyFill="1" applyBorder="1" applyAlignment="1" applyProtection="1">
      <alignment horizontal="center" vertical="center" wrapText="1"/>
      <protection hidden="1"/>
    </xf>
    <xf numFmtId="43" fontId="26" fillId="13" borderId="146" xfId="6" applyFont="1" applyFill="1" applyBorder="1" applyAlignment="1" applyProtection="1">
      <alignment horizontal="center" vertical="center" wrapText="1"/>
      <protection hidden="1"/>
    </xf>
    <xf numFmtId="43" fontId="26" fillId="30" borderId="145" xfId="6" applyFont="1" applyFill="1" applyBorder="1" applyAlignment="1" applyProtection="1">
      <alignment horizontal="center" vertical="center" wrapText="1"/>
      <protection hidden="1"/>
    </xf>
    <xf numFmtId="43" fontId="26" fillId="30" borderId="146" xfId="6" applyFont="1" applyFill="1" applyBorder="1" applyAlignment="1" applyProtection="1">
      <alignment horizontal="center" vertical="center" wrapText="1"/>
      <protection hidden="1"/>
    </xf>
    <xf numFmtId="43" fontId="26" fillId="17" borderId="147" xfId="6" applyFont="1" applyFill="1" applyBorder="1" applyAlignment="1" applyProtection="1">
      <alignment horizontal="center" vertical="center" wrapText="1"/>
      <protection hidden="1"/>
    </xf>
    <xf numFmtId="9" fontId="27" fillId="12" borderId="27" xfId="7" applyFont="1" applyFill="1" applyBorder="1" applyAlignment="1" applyProtection="1">
      <alignment horizontal="center" vertical="center" wrapText="1"/>
      <protection hidden="1"/>
    </xf>
    <xf numFmtId="165" fontId="26" fillId="0" borderId="65" xfId="0" applyNumberFormat="1" applyFont="1" applyBorder="1" applyAlignment="1" applyProtection="1">
      <alignment horizontal="left" vertical="center" wrapText="1"/>
      <protection hidden="1"/>
    </xf>
    <xf numFmtId="43" fontId="26" fillId="13" borderId="118" xfId="8" applyFont="1" applyFill="1" applyBorder="1" applyAlignment="1" applyProtection="1">
      <alignment horizontal="center" vertical="center" wrapText="1"/>
      <protection hidden="1"/>
    </xf>
    <xf numFmtId="43" fontId="26" fillId="0" borderId="118" xfId="0" applyNumberFormat="1" applyFont="1" applyBorder="1" applyAlignment="1" applyProtection="1">
      <alignment horizontal="center" vertical="center" wrapText="1"/>
      <protection hidden="1"/>
    </xf>
    <xf numFmtId="165" fontId="26" fillId="0" borderId="99" xfId="0" applyNumberFormat="1" applyFont="1" applyBorder="1" applyAlignment="1" applyProtection="1">
      <alignment horizontal="left" vertical="center" wrapText="1"/>
      <protection hidden="1"/>
    </xf>
    <xf numFmtId="43" fontId="26" fillId="0" borderId="100" xfId="8" applyFont="1" applyFill="1" applyBorder="1" applyAlignment="1" applyProtection="1">
      <alignment horizontal="center" vertical="center" wrapText="1"/>
      <protection hidden="1"/>
    </xf>
    <xf numFmtId="43" fontId="62" fillId="3" borderId="22" xfId="4" applyFont="1" applyFill="1" applyBorder="1" applyAlignment="1" applyProtection="1">
      <alignment horizontal="right" vertical="center" wrapText="1"/>
      <protection hidden="1"/>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84" xfId="0" applyBorder="1" applyAlignment="1">
      <alignment horizontal="center" vertical="center"/>
    </xf>
    <xf numFmtId="0" fontId="0" fillId="0" borderId="1" xfId="0"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0" fillId="0" borderId="11" xfId="0" applyBorder="1" applyAlignment="1">
      <alignment horizontal="center"/>
    </xf>
    <xf numFmtId="0" fontId="0" fillId="0" borderId="1" xfId="0" applyBorder="1" applyAlignment="1">
      <alignment horizontal="center"/>
    </xf>
    <xf numFmtId="0" fontId="0" fillId="31" borderId="11" xfId="0" applyFill="1" applyBorder="1" applyAlignment="1">
      <alignment horizontal="center"/>
    </xf>
    <xf numFmtId="0" fontId="0" fillId="31" borderId="1" xfId="0" applyFill="1" applyBorder="1" applyAlignment="1">
      <alignment horizontal="center"/>
    </xf>
    <xf numFmtId="0" fontId="0" fillId="0" borderId="1" xfId="0" applyBorder="1" applyAlignment="1">
      <alignment horizontal="center" vertical="center" wrapText="1"/>
    </xf>
    <xf numFmtId="0" fontId="0" fillId="0" borderId="72" xfId="0" applyBorder="1" applyAlignment="1">
      <alignment horizontal="center"/>
    </xf>
    <xf numFmtId="0" fontId="0" fillId="0" borderId="73" xfId="0" applyBorder="1" applyAlignment="1">
      <alignment horizontal="center"/>
    </xf>
    <xf numFmtId="0" fontId="0" fillId="0" borderId="74" xfId="0" applyBorder="1" applyAlignment="1">
      <alignment horizontal="center"/>
    </xf>
    <xf numFmtId="0" fontId="0" fillId="0" borderId="2" xfId="0" applyBorder="1" applyAlignment="1">
      <alignment horizontal="center"/>
    </xf>
    <xf numFmtId="0" fontId="0" fillId="0" borderId="10"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1" xfId="0" applyBorder="1" applyAlignment="1">
      <alignment horizontal="center" vertical="center"/>
    </xf>
    <xf numFmtId="0" fontId="0" fillId="3" borderId="1" xfId="0" applyFill="1" applyBorder="1" applyAlignment="1">
      <alignment horizontal="center"/>
    </xf>
    <xf numFmtId="0" fontId="0" fillId="22" borderId="11" xfId="0" applyFill="1" applyBorder="1" applyAlignment="1">
      <alignment horizontal="center"/>
    </xf>
    <xf numFmtId="0" fontId="0" fillId="22" borderId="1" xfId="0" applyFill="1" applyBorder="1" applyAlignment="1">
      <alignment horizontal="center"/>
    </xf>
    <xf numFmtId="0" fontId="0" fillId="31" borderId="1" xfId="0" applyFill="1" applyBorder="1" applyAlignment="1">
      <alignment horizontal="center" vertical="center" wrapText="1"/>
    </xf>
    <xf numFmtId="0" fontId="0" fillId="5" borderId="11" xfId="0" applyFill="1" applyBorder="1" applyAlignment="1">
      <alignment horizontal="center"/>
    </xf>
    <xf numFmtId="0" fontId="0" fillId="5" borderId="1" xfId="0" applyFill="1" applyBorder="1" applyAlignment="1">
      <alignment horizontal="center"/>
    </xf>
    <xf numFmtId="0" fontId="0" fillId="30" borderId="2" xfId="0" applyFill="1" applyBorder="1" applyAlignment="1">
      <alignment horizontal="center"/>
    </xf>
    <xf numFmtId="0" fontId="0" fillId="30" borderId="10" xfId="0" applyFill="1" applyBorder="1" applyAlignment="1">
      <alignment horizontal="center"/>
    </xf>
    <xf numFmtId="0" fontId="0" fillId="30" borderId="11" xfId="0" applyFill="1" applyBorder="1" applyAlignment="1">
      <alignment horizontal="center"/>
    </xf>
    <xf numFmtId="0" fontId="0" fillId="30" borderId="2" xfId="0" applyFill="1" applyBorder="1" applyAlignment="1">
      <alignment horizontal="center" vertical="center" wrapText="1"/>
    </xf>
    <xf numFmtId="0" fontId="0" fillId="30" borderId="11" xfId="0" applyFill="1" applyBorder="1" applyAlignment="1">
      <alignment horizontal="center" vertical="center" wrapText="1"/>
    </xf>
    <xf numFmtId="0" fontId="0" fillId="30" borderId="9" xfId="0" applyFill="1" applyBorder="1" applyAlignment="1">
      <alignment horizontal="center" vertical="center" wrapText="1"/>
    </xf>
    <xf numFmtId="0" fontId="0" fillId="30" borderId="12" xfId="0" applyFill="1" applyBorder="1" applyAlignment="1">
      <alignment horizontal="center" vertical="center" wrapText="1"/>
    </xf>
    <xf numFmtId="0" fontId="0" fillId="34" borderId="1" xfId="0" applyFill="1" applyBorder="1" applyAlignment="1">
      <alignment horizontal="center"/>
    </xf>
    <xf numFmtId="0" fontId="0" fillId="34" borderId="1" xfId="0" applyFill="1" applyBorder="1" applyAlignment="1">
      <alignment horizontal="center" vertical="center" wrapText="1"/>
    </xf>
    <xf numFmtId="0" fontId="18" fillId="0" borderId="0" xfId="0" applyFont="1" applyAlignment="1" applyProtection="1">
      <alignment horizontal="justify" vertical="top" wrapText="1"/>
      <protection hidden="1"/>
    </xf>
    <xf numFmtId="0" fontId="19" fillId="0" borderId="0" xfId="3" applyFont="1" applyAlignment="1" applyProtection="1">
      <alignment horizontal="left" vertical="center" wrapText="1"/>
      <protection hidden="1"/>
    </xf>
    <xf numFmtId="0" fontId="18" fillId="0" borderId="0" xfId="0" applyFont="1" applyAlignment="1" applyProtection="1">
      <alignment horizontal="justify" vertical="center" wrapText="1"/>
      <protection hidden="1"/>
    </xf>
    <xf numFmtId="0" fontId="21" fillId="10" borderId="16" xfId="0" applyFont="1" applyFill="1" applyBorder="1" applyAlignment="1" applyProtection="1">
      <alignment horizontal="center" vertical="center" wrapText="1"/>
      <protection hidden="1"/>
    </xf>
    <xf numFmtId="0" fontId="21" fillId="10" borderId="0" xfId="0" applyFont="1" applyFill="1" applyAlignment="1" applyProtection="1">
      <alignment horizontal="center" vertical="center" wrapText="1"/>
      <protection hidden="1"/>
    </xf>
    <xf numFmtId="0" fontId="15" fillId="11" borderId="30" xfId="0" applyFont="1" applyFill="1" applyBorder="1" applyAlignment="1" applyProtection="1">
      <alignment horizontal="center" vertical="center"/>
      <protection hidden="1"/>
    </xf>
    <xf numFmtId="0" fontId="15" fillId="11" borderId="31" xfId="0" applyFont="1" applyFill="1" applyBorder="1" applyAlignment="1" applyProtection="1">
      <alignment horizontal="center" vertical="center"/>
      <protection hidden="1"/>
    </xf>
    <xf numFmtId="0" fontId="13" fillId="12" borderId="32" xfId="0" applyFont="1" applyFill="1" applyBorder="1" applyAlignment="1" applyProtection="1">
      <alignment horizontal="center" vertical="center" wrapText="1"/>
      <protection hidden="1"/>
    </xf>
    <xf numFmtId="0" fontId="13" fillId="12" borderId="17" xfId="0" applyFont="1" applyFill="1" applyBorder="1" applyAlignment="1" applyProtection="1">
      <alignment horizontal="center" vertical="center" wrapText="1"/>
      <protection hidden="1"/>
    </xf>
    <xf numFmtId="0" fontId="13" fillId="12" borderId="24" xfId="0" applyFont="1" applyFill="1" applyBorder="1" applyAlignment="1" applyProtection="1">
      <alignment horizontal="center" vertical="center" wrapText="1"/>
      <protection hidden="1"/>
    </xf>
    <xf numFmtId="0" fontId="13" fillId="12" borderId="33" xfId="0" quotePrefix="1" applyFont="1" applyFill="1" applyBorder="1" applyAlignment="1" applyProtection="1">
      <alignment horizontal="center" vertical="center" wrapText="1"/>
      <protection hidden="1"/>
    </xf>
    <xf numFmtId="0" fontId="13" fillId="12" borderId="21" xfId="0" quotePrefix="1" applyFont="1" applyFill="1" applyBorder="1" applyAlignment="1" applyProtection="1">
      <alignment horizontal="center" vertical="center" wrapText="1"/>
      <protection hidden="1"/>
    </xf>
    <xf numFmtId="0" fontId="13" fillId="12" borderId="18" xfId="0" quotePrefix="1" applyFont="1" applyFill="1" applyBorder="1" applyAlignment="1" applyProtection="1">
      <alignment horizontal="center" vertical="center" wrapText="1"/>
      <protection hidden="1"/>
    </xf>
    <xf numFmtId="0" fontId="23" fillId="11" borderId="37" xfId="0" applyFont="1" applyFill="1" applyBorder="1" applyAlignment="1" applyProtection="1">
      <alignment horizontal="center" vertical="center" wrapText="1"/>
      <protection hidden="1"/>
    </xf>
    <xf numFmtId="0" fontId="23" fillId="11" borderId="38" xfId="0" applyFont="1" applyFill="1" applyBorder="1" applyAlignment="1" applyProtection="1">
      <alignment horizontal="center" vertical="center" wrapText="1"/>
      <protection hidden="1"/>
    </xf>
    <xf numFmtId="0" fontId="23" fillId="11" borderId="39" xfId="0" applyFont="1" applyFill="1" applyBorder="1" applyAlignment="1" applyProtection="1">
      <alignment horizontal="center" vertical="center" wrapText="1"/>
      <protection hidden="1"/>
    </xf>
    <xf numFmtId="0" fontId="23" fillId="11" borderId="40" xfId="0" applyFont="1" applyFill="1" applyBorder="1" applyAlignment="1" applyProtection="1">
      <alignment horizontal="center" vertical="center" wrapText="1"/>
      <protection hidden="1"/>
    </xf>
    <xf numFmtId="0" fontId="25" fillId="12" borderId="41" xfId="0" applyFont="1" applyFill="1" applyBorder="1" applyAlignment="1" applyProtection="1">
      <alignment horizontal="center" vertical="center" wrapText="1"/>
      <protection hidden="1"/>
    </xf>
    <xf numFmtId="0" fontId="25" fillId="12" borderId="44" xfId="0" applyFont="1" applyFill="1" applyBorder="1" applyAlignment="1" applyProtection="1">
      <alignment horizontal="center" vertical="center" wrapText="1"/>
      <protection hidden="1"/>
    </xf>
    <xf numFmtId="0" fontId="25" fillId="12" borderId="46" xfId="0" applyFont="1" applyFill="1" applyBorder="1" applyAlignment="1" applyProtection="1">
      <alignment horizontal="center" vertical="center" wrapText="1"/>
      <protection hidden="1"/>
    </xf>
    <xf numFmtId="0" fontId="25" fillId="12" borderId="43" xfId="0" applyFont="1" applyFill="1" applyBorder="1" applyAlignment="1" applyProtection="1">
      <alignment horizontal="center" vertical="center" wrapText="1"/>
      <protection hidden="1"/>
    </xf>
    <xf numFmtId="0" fontId="25" fillId="12" borderId="45" xfId="0" applyFont="1" applyFill="1" applyBorder="1" applyAlignment="1" applyProtection="1">
      <alignment horizontal="center" vertical="center" wrapText="1"/>
      <protection hidden="1"/>
    </xf>
    <xf numFmtId="0" fontId="30" fillId="0" borderId="0" xfId="3" applyFont="1" applyAlignment="1" applyProtection="1">
      <alignment horizontal="left" vertical="center" wrapText="1"/>
      <protection hidden="1"/>
    </xf>
    <xf numFmtId="0" fontId="30" fillId="0" borderId="0" xfId="3" applyFont="1" applyAlignment="1" applyProtection="1">
      <alignment horizontal="justify" vertical="justify" wrapText="1"/>
      <protection hidden="1"/>
    </xf>
    <xf numFmtId="0" fontId="20" fillId="0" borderId="0" xfId="3" applyFont="1" applyAlignment="1" applyProtection="1">
      <alignment horizontal="justify" vertical="center" wrapText="1"/>
      <protection hidden="1"/>
    </xf>
    <xf numFmtId="0" fontId="19" fillId="0" borderId="0" xfId="3" applyFont="1" applyAlignment="1" applyProtection="1">
      <alignment horizontal="justify" vertical="center" wrapText="1"/>
      <protection hidden="1"/>
    </xf>
    <xf numFmtId="0" fontId="29" fillId="16" borderId="13" xfId="3" applyFont="1" applyFill="1" applyBorder="1" applyAlignment="1" applyProtection="1">
      <alignment horizontal="center" vertical="center" wrapText="1"/>
      <protection hidden="1"/>
    </xf>
    <xf numFmtId="0" fontId="29" fillId="16" borderId="14" xfId="3" applyFont="1" applyFill="1" applyBorder="1" applyAlignment="1" applyProtection="1">
      <alignment horizontal="center" vertical="center" wrapText="1"/>
      <protection hidden="1"/>
    </xf>
    <xf numFmtId="0" fontId="29" fillId="16" borderId="15" xfId="3" applyFont="1" applyFill="1" applyBorder="1" applyAlignment="1" applyProtection="1">
      <alignment horizontal="center" vertical="center" wrapText="1"/>
      <protection hidden="1"/>
    </xf>
    <xf numFmtId="0" fontId="29" fillId="16" borderId="16" xfId="3" applyFont="1" applyFill="1" applyBorder="1" applyAlignment="1" applyProtection="1">
      <alignment horizontal="center" vertical="center" wrapText="1"/>
      <protection hidden="1"/>
    </xf>
    <xf numFmtId="0" fontId="29" fillId="16" borderId="0" xfId="3" applyFont="1" applyFill="1" applyAlignment="1" applyProtection="1">
      <alignment horizontal="center" vertical="center" wrapText="1"/>
      <protection hidden="1"/>
    </xf>
    <xf numFmtId="0" fontId="29" fillId="16" borderId="109" xfId="3" applyFont="1" applyFill="1" applyBorder="1" applyAlignment="1" applyProtection="1">
      <alignment horizontal="center" vertical="center" wrapText="1"/>
      <protection hidden="1"/>
    </xf>
    <xf numFmtId="0" fontId="27" fillId="12" borderId="28" xfId="3" quotePrefix="1" applyFont="1" applyFill="1" applyBorder="1" applyAlignment="1" applyProtection="1">
      <alignment horizontal="center" vertical="center" wrapText="1"/>
      <protection hidden="1"/>
    </xf>
    <xf numFmtId="0" fontId="27" fillId="0" borderId="28" xfId="0" applyFont="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27" fillId="0" borderId="23" xfId="0" applyFont="1" applyBorder="1" applyAlignment="1" applyProtection="1">
      <alignment horizontal="center" vertical="center" wrapText="1"/>
      <protection hidden="1"/>
    </xf>
    <xf numFmtId="0" fontId="27" fillId="12" borderId="111" xfId="3" applyFont="1" applyFill="1" applyBorder="1" applyAlignment="1" applyProtection="1">
      <alignment horizontal="center" vertical="center" wrapText="1"/>
      <protection hidden="1"/>
    </xf>
    <xf numFmtId="0" fontId="27" fillId="12" borderId="19" xfId="3" applyFont="1" applyFill="1" applyBorder="1" applyAlignment="1" applyProtection="1">
      <alignment horizontal="center" vertical="center" wrapText="1"/>
      <protection hidden="1"/>
    </xf>
    <xf numFmtId="0" fontId="27" fillId="12" borderId="110" xfId="3" applyFont="1" applyFill="1" applyBorder="1" applyAlignment="1" applyProtection="1">
      <alignment horizontal="center" vertical="center" wrapText="1"/>
      <protection hidden="1"/>
    </xf>
    <xf numFmtId="0" fontId="27" fillId="12" borderId="27" xfId="3" applyFont="1" applyFill="1" applyBorder="1" applyAlignment="1" applyProtection="1">
      <alignment horizontal="center" vertical="center" wrapText="1"/>
      <protection hidden="1"/>
    </xf>
    <xf numFmtId="0" fontId="60" fillId="0" borderId="0" xfId="3" applyFont="1" applyAlignment="1" applyProtection="1">
      <alignment horizontal="justify" vertical="center" wrapText="1"/>
      <protection hidden="1"/>
    </xf>
    <xf numFmtId="0" fontId="30" fillId="0" borderId="0" xfId="3" applyFont="1" applyAlignment="1" applyProtection="1">
      <alignment horizontal="justify" vertical="center" wrapText="1"/>
      <protection hidden="1"/>
    </xf>
    <xf numFmtId="0" fontId="29" fillId="20" borderId="100" xfId="3" applyFont="1" applyFill="1" applyBorder="1" applyAlignment="1" applyProtection="1">
      <alignment horizontal="center" vertical="center"/>
      <protection hidden="1"/>
    </xf>
    <xf numFmtId="0" fontId="29" fillId="20" borderId="101" xfId="3" applyFont="1" applyFill="1" applyBorder="1" applyAlignment="1" applyProtection="1">
      <alignment horizontal="center" vertical="center"/>
      <protection hidden="1"/>
    </xf>
    <xf numFmtId="0" fontId="29" fillId="20" borderId="42" xfId="3" applyFont="1" applyFill="1" applyBorder="1" applyAlignment="1" applyProtection="1">
      <alignment horizontal="center" vertical="center"/>
      <protection hidden="1"/>
    </xf>
    <xf numFmtId="0" fontId="29" fillId="20" borderId="102" xfId="3" applyFont="1" applyFill="1" applyBorder="1" applyAlignment="1" applyProtection="1">
      <alignment horizontal="center" vertical="center"/>
      <protection hidden="1"/>
    </xf>
    <xf numFmtId="0" fontId="29" fillId="16" borderId="16" xfId="3" applyFont="1" applyFill="1" applyBorder="1" applyAlignment="1" applyProtection="1">
      <alignment horizontal="center" vertical="center"/>
      <protection hidden="1"/>
    </xf>
    <xf numFmtId="0" fontId="29" fillId="16" borderId="0" xfId="3" applyFont="1" applyFill="1" applyAlignment="1" applyProtection="1">
      <alignment horizontal="center" vertical="center"/>
      <protection hidden="1"/>
    </xf>
    <xf numFmtId="0" fontId="29" fillId="16" borderId="30" xfId="3" applyFont="1" applyFill="1" applyBorder="1" applyAlignment="1" applyProtection="1">
      <alignment horizontal="center" vertical="center"/>
      <protection hidden="1"/>
    </xf>
    <xf numFmtId="0" fontId="29" fillId="16" borderId="31" xfId="3" applyFont="1" applyFill="1" applyBorder="1" applyAlignment="1" applyProtection="1">
      <alignment horizontal="center" vertical="center"/>
      <protection hidden="1"/>
    </xf>
    <xf numFmtId="0" fontId="27" fillId="12" borderId="32" xfId="3" applyFont="1" applyFill="1" applyBorder="1" applyAlignment="1" applyProtection="1">
      <alignment horizontal="center" vertical="center" wrapText="1"/>
      <protection hidden="1"/>
    </xf>
    <xf numFmtId="0" fontId="29" fillId="16" borderId="13" xfId="3" applyFont="1" applyFill="1" applyBorder="1" applyAlignment="1" applyProtection="1">
      <alignment horizontal="center" vertical="center"/>
      <protection hidden="1"/>
    </xf>
    <xf numFmtId="0" fontId="29" fillId="16" borderId="14" xfId="3" applyFont="1" applyFill="1" applyBorder="1" applyAlignment="1" applyProtection="1">
      <alignment horizontal="center" vertical="center"/>
      <protection hidden="1"/>
    </xf>
    <xf numFmtId="0" fontId="27" fillId="20" borderId="99" xfId="3" quotePrefix="1" applyFont="1" applyFill="1" applyBorder="1" applyAlignment="1" applyProtection="1">
      <alignment horizontal="center" vertical="center"/>
      <protection hidden="1"/>
    </xf>
    <xf numFmtId="0" fontId="27" fillId="20" borderId="100" xfId="3" quotePrefix="1" applyFont="1" applyFill="1" applyBorder="1" applyAlignment="1" applyProtection="1">
      <alignment horizontal="center" vertical="center"/>
      <protection hidden="1"/>
    </xf>
    <xf numFmtId="0" fontId="27" fillId="20" borderId="49" xfId="3" quotePrefix="1" applyFont="1" applyFill="1" applyBorder="1" applyAlignment="1" applyProtection="1">
      <alignment horizontal="center" vertical="center"/>
      <protection hidden="1"/>
    </xf>
    <xf numFmtId="0" fontId="27" fillId="20" borderId="42" xfId="3" quotePrefix="1" applyFont="1" applyFill="1" applyBorder="1" applyAlignment="1" applyProtection="1">
      <alignment horizontal="center" vertical="center"/>
      <protection hidden="1"/>
    </xf>
    <xf numFmtId="0" fontId="29" fillId="20" borderId="13" xfId="3" applyFont="1" applyFill="1" applyBorder="1" applyAlignment="1" applyProtection="1">
      <alignment horizontal="center" vertical="center" wrapText="1"/>
      <protection hidden="1"/>
    </xf>
    <xf numFmtId="0" fontId="29" fillId="20" borderId="15" xfId="3" applyFont="1" applyFill="1" applyBorder="1" applyAlignment="1" applyProtection="1">
      <alignment horizontal="center" vertical="center" wrapText="1"/>
      <protection hidden="1"/>
    </xf>
    <xf numFmtId="0" fontId="29" fillId="20" borderId="30" xfId="3" applyFont="1" applyFill="1" applyBorder="1" applyAlignment="1" applyProtection="1">
      <alignment horizontal="center" vertical="center" wrapText="1"/>
      <protection hidden="1"/>
    </xf>
    <xf numFmtId="0" fontId="29" fillId="20" borderId="54" xfId="3" applyFont="1" applyFill="1" applyBorder="1" applyAlignment="1" applyProtection="1">
      <alignment horizontal="center" vertical="center" wrapText="1"/>
      <protection hidden="1"/>
    </xf>
    <xf numFmtId="0" fontId="27" fillId="12" borderId="57" xfId="3" applyFont="1" applyFill="1" applyBorder="1" applyAlignment="1" applyProtection="1">
      <alignment horizontal="center" vertical="center" wrapText="1"/>
      <protection hidden="1"/>
    </xf>
    <xf numFmtId="0" fontId="29" fillId="16" borderId="30" xfId="3" applyFont="1" applyFill="1" applyBorder="1" applyAlignment="1" applyProtection="1">
      <alignment horizontal="center" vertical="center" wrapText="1"/>
      <protection hidden="1"/>
    </xf>
    <xf numFmtId="0" fontId="29" fillId="16" borderId="31" xfId="3" applyFont="1" applyFill="1" applyBorder="1" applyAlignment="1" applyProtection="1">
      <alignment horizontal="center" vertical="center" wrapText="1"/>
      <protection hidden="1"/>
    </xf>
    <xf numFmtId="0" fontId="35" fillId="0" borderId="0" xfId="3" applyFont="1" applyAlignment="1" applyProtection="1">
      <alignment horizontal="left" vertical="center" wrapText="1"/>
      <protection hidden="1"/>
    </xf>
    <xf numFmtId="0" fontId="27" fillId="12" borderId="97" xfId="3" applyFont="1" applyFill="1" applyBorder="1" applyAlignment="1" applyProtection="1">
      <alignment horizontal="center" vertical="center" wrapText="1"/>
      <protection hidden="1"/>
    </xf>
    <xf numFmtId="0" fontId="27" fillId="12" borderId="18" xfId="3" applyFont="1" applyFill="1" applyBorder="1" applyAlignment="1" applyProtection="1">
      <alignment horizontal="center" vertical="center" wrapText="1"/>
      <protection hidden="1"/>
    </xf>
    <xf numFmtId="0" fontId="29" fillId="20" borderId="99" xfId="3" applyFont="1" applyFill="1" applyBorder="1" applyAlignment="1" applyProtection="1">
      <alignment horizontal="center" vertical="center" wrapText="1"/>
      <protection hidden="1"/>
    </xf>
    <xf numFmtId="0" fontId="29" fillId="20" borderId="101" xfId="3" applyFont="1" applyFill="1" applyBorder="1" applyAlignment="1" applyProtection="1">
      <alignment horizontal="center" vertical="center" wrapText="1"/>
      <protection hidden="1"/>
    </xf>
    <xf numFmtId="0" fontId="29" fillId="20" borderId="49" xfId="3" applyFont="1" applyFill="1" applyBorder="1" applyAlignment="1" applyProtection="1">
      <alignment horizontal="center" vertical="center" wrapText="1"/>
      <protection hidden="1"/>
    </xf>
    <xf numFmtId="0" fontId="29" fillId="20" borderId="102" xfId="3" applyFont="1" applyFill="1" applyBorder="1" applyAlignment="1" applyProtection="1">
      <alignment horizontal="center" vertical="center" wrapText="1"/>
      <protection hidden="1"/>
    </xf>
    <xf numFmtId="0" fontId="81" fillId="16" borderId="13" xfId="3" applyFont="1" applyFill="1" applyBorder="1" applyAlignment="1" applyProtection="1">
      <alignment horizontal="center" vertical="center" wrapText="1"/>
      <protection hidden="1"/>
    </xf>
    <xf numFmtId="0" fontId="81" fillId="16" borderId="14" xfId="3" applyFont="1" applyFill="1" applyBorder="1" applyAlignment="1" applyProtection="1">
      <alignment horizontal="center" vertical="center" wrapText="1"/>
      <protection hidden="1"/>
    </xf>
    <xf numFmtId="0" fontId="81" fillId="16" borderId="15" xfId="3" applyFont="1" applyFill="1" applyBorder="1" applyAlignment="1" applyProtection="1">
      <alignment horizontal="center" vertical="center" wrapText="1"/>
      <protection hidden="1"/>
    </xf>
    <xf numFmtId="0" fontId="81" fillId="16" borderId="30" xfId="3" applyFont="1" applyFill="1" applyBorder="1" applyAlignment="1" applyProtection="1">
      <alignment horizontal="center" vertical="center" wrapText="1"/>
      <protection hidden="1"/>
    </xf>
    <xf numFmtId="0" fontId="81" fillId="16" borderId="31" xfId="3" applyFont="1" applyFill="1" applyBorder="1" applyAlignment="1" applyProtection="1">
      <alignment horizontal="center" vertical="center" wrapText="1"/>
      <protection hidden="1"/>
    </xf>
    <xf numFmtId="0" fontId="81" fillId="16" borderId="54" xfId="3" applyFont="1" applyFill="1" applyBorder="1" applyAlignment="1" applyProtection="1">
      <alignment horizontal="center" vertical="center" wrapText="1"/>
      <protection hidden="1"/>
    </xf>
    <xf numFmtId="0" fontId="29" fillId="20" borderId="16" xfId="3" applyFont="1" applyFill="1" applyBorder="1" applyAlignment="1" applyProtection="1">
      <alignment horizontal="center" vertical="center" wrapText="1"/>
      <protection hidden="1"/>
    </xf>
    <xf numFmtId="0" fontId="29" fillId="20" borderId="0" xfId="3" applyFont="1" applyFill="1" applyAlignment="1" applyProtection="1">
      <alignment horizontal="center" vertical="center" wrapText="1"/>
      <protection hidden="1"/>
    </xf>
    <xf numFmtId="0" fontId="29" fillId="20" borderId="31" xfId="3" applyFont="1" applyFill="1" applyBorder="1" applyAlignment="1" applyProtection="1">
      <alignment horizontal="center" vertical="center" wrapText="1"/>
      <protection hidden="1"/>
    </xf>
    <xf numFmtId="0" fontId="29" fillId="16" borderId="51" xfId="3" applyFont="1" applyFill="1" applyBorder="1" applyAlignment="1" applyProtection="1">
      <alignment horizontal="center" vertical="center" wrapText="1"/>
      <protection hidden="1"/>
    </xf>
    <xf numFmtId="0" fontId="29" fillId="16" borderId="85" xfId="3" applyFont="1" applyFill="1" applyBorder="1" applyAlignment="1" applyProtection="1">
      <alignment horizontal="center" vertical="center" wrapText="1"/>
      <protection hidden="1"/>
    </xf>
    <xf numFmtId="0" fontId="29" fillId="16" borderId="98" xfId="3" applyFont="1" applyFill="1" applyBorder="1" applyAlignment="1" applyProtection="1">
      <alignment horizontal="center" vertical="center" wrapText="1"/>
      <protection hidden="1"/>
    </xf>
    <xf numFmtId="0" fontId="27" fillId="12" borderId="17" xfId="3" applyFont="1" applyFill="1" applyBorder="1" applyAlignment="1" applyProtection="1">
      <alignment horizontal="center" vertical="center" wrapText="1"/>
      <protection hidden="1"/>
    </xf>
    <xf numFmtId="0" fontId="29" fillId="16" borderId="99" xfId="3" applyFont="1" applyFill="1" applyBorder="1" applyAlignment="1" applyProtection="1">
      <alignment horizontal="center" vertical="center" wrapText="1"/>
      <protection hidden="1"/>
    </xf>
    <xf numFmtId="0" fontId="29" fillId="16" borderId="100" xfId="3" applyFont="1" applyFill="1" applyBorder="1" applyAlignment="1" applyProtection="1">
      <alignment horizontal="center" vertical="center" wrapText="1"/>
      <protection hidden="1"/>
    </xf>
    <xf numFmtId="0" fontId="29" fillId="16" borderId="101" xfId="3" applyFont="1" applyFill="1" applyBorder="1" applyAlignment="1" applyProtection="1">
      <alignment horizontal="center" vertical="center" wrapText="1"/>
      <protection hidden="1"/>
    </xf>
    <xf numFmtId="0" fontId="29" fillId="16" borderId="49" xfId="3" applyFont="1" applyFill="1" applyBorder="1" applyAlignment="1" applyProtection="1">
      <alignment horizontal="center" vertical="center" wrapText="1"/>
      <protection hidden="1"/>
    </xf>
    <xf numFmtId="0" fontId="29" fillId="16" borderId="42" xfId="3" applyFont="1" applyFill="1" applyBorder="1" applyAlignment="1" applyProtection="1">
      <alignment horizontal="center" vertical="center" wrapText="1"/>
      <protection hidden="1"/>
    </xf>
    <xf numFmtId="0" fontId="29" fillId="16" borderId="102" xfId="3" applyFont="1" applyFill="1" applyBorder="1" applyAlignment="1" applyProtection="1">
      <alignment horizontal="center" vertical="center" wrapText="1"/>
      <protection hidden="1"/>
    </xf>
    <xf numFmtId="0" fontId="27" fillId="12" borderId="58" xfId="3" applyFont="1" applyFill="1" applyBorder="1" applyAlignment="1" applyProtection="1">
      <alignment horizontal="center" vertical="center" wrapText="1"/>
      <protection hidden="1"/>
    </xf>
    <xf numFmtId="0" fontId="27" fillId="12" borderId="31" xfId="3" applyFont="1" applyFill="1" applyBorder="1" applyAlignment="1" applyProtection="1">
      <alignment horizontal="center" vertical="center" wrapText="1"/>
      <protection hidden="1"/>
    </xf>
    <xf numFmtId="0" fontId="27" fillId="12" borderId="55" xfId="3" applyFont="1" applyFill="1" applyBorder="1" applyAlignment="1" applyProtection="1">
      <alignment horizontal="center" vertical="center"/>
      <protection hidden="1"/>
    </xf>
    <xf numFmtId="0" fontId="27" fillId="0" borderId="55" xfId="0" applyFont="1" applyBorder="1" applyAlignment="1" applyProtection="1">
      <alignment horizontal="center" vertical="center"/>
      <protection hidden="1"/>
    </xf>
    <xf numFmtId="0" fontId="30" fillId="0" borderId="0" xfId="3" applyFont="1" applyAlignment="1" applyProtection="1">
      <alignment horizontal="center" vertical="center" wrapText="1"/>
      <protection hidden="1"/>
    </xf>
    <xf numFmtId="0" fontId="32" fillId="3" borderId="0" xfId="3" applyFont="1" applyFill="1" applyAlignment="1" applyProtection="1">
      <alignment horizontal="justify" vertical="center" wrapText="1"/>
      <protection hidden="1"/>
    </xf>
    <xf numFmtId="0" fontId="29" fillId="16" borderId="7" xfId="3" applyFont="1" applyFill="1" applyBorder="1" applyAlignment="1" applyProtection="1">
      <alignment horizontal="center" vertical="center"/>
      <protection hidden="1"/>
    </xf>
    <xf numFmtId="0" fontId="29" fillId="20" borderId="14" xfId="3" applyFont="1" applyFill="1" applyBorder="1" applyAlignment="1" applyProtection="1">
      <alignment horizontal="center" vertical="center"/>
      <protection hidden="1"/>
    </xf>
    <xf numFmtId="0" fontId="29" fillId="20" borderId="7" xfId="3" applyFont="1" applyFill="1" applyBorder="1" applyAlignment="1" applyProtection="1">
      <alignment horizontal="center" vertical="center"/>
      <protection hidden="1"/>
    </xf>
    <xf numFmtId="0" fontId="27" fillId="16" borderId="69" xfId="3" applyFont="1" applyFill="1" applyBorder="1" applyAlignment="1" applyProtection="1">
      <alignment horizontal="center" vertical="center"/>
      <protection hidden="1"/>
    </xf>
    <xf numFmtId="0" fontId="27" fillId="16" borderId="18" xfId="3" applyFont="1" applyFill="1" applyBorder="1" applyAlignment="1" applyProtection="1">
      <alignment horizontal="center" vertical="center"/>
      <protection hidden="1"/>
    </xf>
    <xf numFmtId="0" fontId="26" fillId="0" borderId="7" xfId="3" applyFont="1" applyBorder="1" applyAlignment="1" applyProtection="1">
      <alignment horizontal="left" vertical="center"/>
      <protection hidden="1"/>
    </xf>
    <xf numFmtId="0" fontId="26" fillId="0" borderId="0" xfId="3" applyFont="1" applyAlignment="1" applyProtection="1">
      <alignment horizontal="left" vertical="center"/>
      <protection hidden="1"/>
    </xf>
    <xf numFmtId="0" fontId="29" fillId="20" borderId="105" xfId="3" applyFont="1" applyFill="1" applyBorder="1" applyAlignment="1" applyProtection="1">
      <alignment horizontal="center" vertical="center" wrapText="1"/>
      <protection hidden="1"/>
    </xf>
    <xf numFmtId="0" fontId="29" fillId="20" borderId="107" xfId="3" applyFont="1" applyFill="1" applyBorder="1" applyAlignment="1" applyProtection="1">
      <alignment horizontal="center" vertical="center" wrapText="1"/>
      <protection hidden="1"/>
    </xf>
    <xf numFmtId="0" fontId="29" fillId="20" borderId="99" xfId="3" applyFont="1" applyFill="1" applyBorder="1" applyAlignment="1" applyProtection="1">
      <alignment horizontal="center" vertical="center"/>
      <protection hidden="1"/>
    </xf>
    <xf numFmtId="0" fontId="29" fillId="20" borderId="49" xfId="3" applyFont="1" applyFill="1" applyBorder="1" applyAlignment="1" applyProtection="1">
      <alignment horizontal="center" vertical="center"/>
      <protection hidden="1"/>
    </xf>
    <xf numFmtId="0" fontId="29" fillId="20" borderId="16" xfId="3" applyFont="1" applyFill="1" applyBorder="1" applyAlignment="1" applyProtection="1">
      <alignment horizontal="center" vertical="center"/>
      <protection hidden="1"/>
    </xf>
    <xf numFmtId="0" fontId="29" fillId="20" borderId="0" xfId="3" applyFont="1" applyFill="1" applyAlignment="1" applyProtection="1">
      <alignment horizontal="center" vertical="center"/>
      <protection hidden="1"/>
    </xf>
    <xf numFmtId="0" fontId="29" fillId="20" borderId="105" xfId="3" applyFont="1" applyFill="1" applyBorder="1" applyAlignment="1" applyProtection="1">
      <alignment horizontal="center" vertical="center"/>
      <protection hidden="1"/>
    </xf>
    <xf numFmtId="0" fontId="29" fillId="20" borderId="106" xfId="3" applyFont="1" applyFill="1" applyBorder="1" applyAlignment="1" applyProtection="1">
      <alignment horizontal="center" vertical="center"/>
      <protection hidden="1"/>
    </xf>
    <xf numFmtId="0" fontId="19" fillId="0" borderId="0" xfId="3" applyFont="1" applyAlignment="1" applyProtection="1">
      <alignment horizontal="justify" vertical="justify" wrapText="1"/>
      <protection hidden="1"/>
    </xf>
    <xf numFmtId="0" fontId="66" fillId="0" borderId="0" xfId="3" applyFont="1" applyAlignment="1" applyProtection="1">
      <alignment horizontal="left" vertical="center" wrapText="1"/>
      <protection hidden="1"/>
    </xf>
    <xf numFmtId="0" fontId="19" fillId="0" borderId="0" xfId="3" applyFont="1" applyAlignment="1" applyProtection="1">
      <alignment horizontal="center" vertical="center" wrapText="1"/>
      <protection hidden="1"/>
    </xf>
    <xf numFmtId="0" fontId="60" fillId="0" borderId="0" xfId="3" applyFont="1" applyAlignment="1" applyProtection="1">
      <alignment horizontal="center" vertical="center" wrapText="1"/>
      <protection hidden="1"/>
    </xf>
    <xf numFmtId="0" fontId="30" fillId="0" borderId="0" xfId="3" applyFont="1" applyAlignment="1" applyProtection="1">
      <alignment horizontal="left" vertical="justify"/>
      <protection hidden="1"/>
    </xf>
    <xf numFmtId="0" fontId="27" fillId="12" borderId="49" xfId="3" applyFont="1" applyFill="1" applyBorder="1" applyAlignment="1" applyProtection="1">
      <alignment horizontal="center" vertical="center" wrapText="1"/>
      <protection hidden="1"/>
    </xf>
    <xf numFmtId="0" fontId="29" fillId="16" borderId="15" xfId="3" applyFont="1" applyFill="1" applyBorder="1" applyAlignment="1" applyProtection="1">
      <alignment horizontal="center" vertical="center"/>
      <protection hidden="1"/>
    </xf>
    <xf numFmtId="0" fontId="29" fillId="16" borderId="105" xfId="3" applyFont="1" applyFill="1" applyBorder="1" applyAlignment="1" applyProtection="1">
      <alignment horizontal="center" vertical="center"/>
      <protection hidden="1"/>
    </xf>
    <xf numFmtId="0" fontId="29" fillId="16" borderId="106" xfId="3" applyFont="1" applyFill="1" applyBorder="1" applyAlignment="1" applyProtection="1">
      <alignment horizontal="center" vertical="center"/>
      <protection hidden="1"/>
    </xf>
    <xf numFmtId="0" fontId="29" fillId="16" borderId="107" xfId="3" applyFont="1" applyFill="1" applyBorder="1" applyAlignment="1" applyProtection="1">
      <alignment horizontal="center" vertical="center"/>
      <protection hidden="1"/>
    </xf>
    <xf numFmtId="0" fontId="29" fillId="20" borderId="13" xfId="3" applyFont="1" applyFill="1" applyBorder="1" applyAlignment="1" applyProtection="1">
      <alignment horizontal="center" vertical="center"/>
      <protection hidden="1"/>
    </xf>
    <xf numFmtId="0" fontId="29" fillId="20" borderId="15" xfId="3" applyFont="1" applyFill="1" applyBorder="1" applyAlignment="1" applyProtection="1">
      <alignment horizontal="center" vertical="center"/>
      <protection hidden="1"/>
    </xf>
    <xf numFmtId="0" fontId="29" fillId="20" borderId="107" xfId="3" applyFont="1" applyFill="1" applyBorder="1" applyAlignment="1" applyProtection="1">
      <alignment horizontal="center" vertical="center"/>
      <protection hidden="1"/>
    </xf>
    <xf numFmtId="0" fontId="60" fillId="0" borderId="0" xfId="3" applyFont="1" applyAlignment="1" applyProtection="1">
      <alignment horizontal="left" vertical="center" wrapText="1"/>
      <protection hidden="1"/>
    </xf>
    <xf numFmtId="0" fontId="40" fillId="0" borderId="0" xfId="0" applyFont="1" applyAlignment="1" applyProtection="1">
      <alignment horizontal="center" vertical="center"/>
      <protection hidden="1"/>
    </xf>
    <xf numFmtId="0" fontId="27" fillId="12" borderId="52" xfId="3" applyFont="1" applyFill="1" applyBorder="1" applyAlignment="1" applyProtection="1">
      <alignment horizontal="center" vertical="center" wrapText="1"/>
      <protection hidden="1"/>
    </xf>
    <xf numFmtId="0" fontId="27" fillId="12" borderId="28" xfId="3" applyFont="1" applyFill="1" applyBorder="1" applyAlignment="1" applyProtection="1">
      <alignment horizontal="center" vertical="center" wrapText="1"/>
      <protection hidden="1"/>
    </xf>
    <xf numFmtId="0" fontId="27" fillId="12" borderId="68" xfId="3" applyFont="1" applyFill="1" applyBorder="1" applyAlignment="1" applyProtection="1">
      <alignment horizontal="center" vertical="center" wrapText="1"/>
      <protection hidden="1"/>
    </xf>
    <xf numFmtId="0" fontId="27" fillId="12" borderId="22" xfId="3" applyFont="1" applyFill="1" applyBorder="1" applyAlignment="1" applyProtection="1">
      <alignment horizontal="center" vertical="center" wrapText="1"/>
      <protection hidden="1"/>
    </xf>
    <xf numFmtId="0" fontId="27" fillId="12" borderId="53" xfId="3" applyFont="1" applyFill="1" applyBorder="1" applyAlignment="1" applyProtection="1">
      <alignment horizontal="center" vertical="center" wrapText="1"/>
      <protection hidden="1"/>
    </xf>
    <xf numFmtId="0" fontId="45" fillId="0" borderId="0" xfId="0" applyFont="1" applyAlignment="1" applyProtection="1">
      <alignment horizontal="justify" vertical="justify"/>
      <protection hidden="1"/>
    </xf>
  </cellXfs>
  <cellStyles count="14">
    <cellStyle name="Hipervínculo" xfId="9" builtinId="8"/>
    <cellStyle name="Hipervínculo 2" xfId="12" xr:uid="{71BEC5F9-FC71-4534-A608-0DC25C29D296}"/>
    <cellStyle name="Millares" xfId="6" builtinId="3"/>
    <cellStyle name="Millares [0]" xfId="1" builtinId="6"/>
    <cellStyle name="Millares [0] 2" xfId="11" xr:uid="{9A2E8975-D3B1-464A-A0E5-574EB0EE48BB}"/>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 name="Porcentual 2 2" xfId="13" xr:uid="{10156946-0071-47D7-AF99-52B11402ED93}"/>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4.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5.png"/><Relationship Id="rId4" Type="http://schemas.openxmlformats.org/officeDocument/2006/relationships/image" Target="../media/image3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48729</xdr:colOff>
      <xdr:row>2</xdr:row>
      <xdr:rowOff>574187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00" y="190500"/>
          <a:ext cx="2886075" cy="764687"/>
        </a:xfrm>
        <a:prstGeom prst="rect">
          <a:avLst/>
        </a:prstGeom>
      </xdr:spPr>
    </xdr:pic>
    <xdr:clientData/>
  </xdr:twoCellAnchor>
  <xdr:twoCellAnchor editAs="oneCell">
    <xdr:from>
      <xdr:col>0</xdr:col>
      <xdr:colOff>237849</xdr:colOff>
      <xdr:row>28</xdr:row>
      <xdr:rowOff>96907</xdr:rowOff>
    </xdr:from>
    <xdr:to>
      <xdr:col>6</xdr:col>
      <xdr:colOff>476198</xdr:colOff>
      <xdr:row>37</xdr:row>
      <xdr:rowOff>163831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7849" y="5773807"/>
          <a:ext cx="7763099" cy="1692524"/>
        </a:xfrm>
        <a:prstGeom prst="rect">
          <a:avLst/>
        </a:prstGeom>
      </xdr:spPr>
    </xdr:pic>
    <xdr:clientData/>
  </xdr:twoCellAnchor>
  <xdr:twoCellAnchor editAs="oneCell">
    <xdr:from>
      <xdr:col>7</xdr:col>
      <xdr:colOff>730704</xdr:colOff>
      <xdr:row>14</xdr:row>
      <xdr:rowOff>90715</xdr:rowOff>
    </xdr:from>
    <xdr:to>
      <xdr:col>23</xdr:col>
      <xdr:colOff>691125</xdr:colOff>
      <xdr:row>22</xdr:row>
      <xdr:rowOff>122698</xdr:rowOff>
    </xdr:to>
    <xdr:pic>
      <xdr:nvPicPr>
        <xdr:cNvPr id="5" name="Imagen 4">
          <a:extLst>
            <a:ext uri="{FF2B5EF4-FFF2-40B4-BE49-F238E27FC236}">
              <a16:creationId xmlns:a16="http://schemas.microsoft.com/office/drawing/2014/main" id="{F2CBF4E4-450F-4632-B8C2-2885F47D9C96}"/>
            </a:ext>
          </a:extLst>
        </xdr:cNvPr>
        <xdr:cNvPicPr>
          <a:picLocks noChangeAspect="1"/>
        </xdr:cNvPicPr>
      </xdr:nvPicPr>
      <xdr:blipFill>
        <a:blip xmlns:r="http://schemas.openxmlformats.org/officeDocument/2006/relationships" r:embed="rId3"/>
        <a:stretch>
          <a:fillRect/>
        </a:stretch>
      </xdr:blipFill>
      <xdr:spPr>
        <a:xfrm>
          <a:off x="9069161" y="3302001"/>
          <a:ext cx="12674935" cy="1697497"/>
        </a:xfrm>
        <a:prstGeom prst="rect">
          <a:avLst/>
        </a:prstGeom>
      </xdr:spPr>
    </xdr:pic>
    <xdr:clientData/>
  </xdr:twoCellAnchor>
  <xdr:twoCellAnchor>
    <xdr:from>
      <xdr:col>9</xdr:col>
      <xdr:colOff>0</xdr:colOff>
      <xdr:row>14</xdr:row>
      <xdr:rowOff>28575</xdr:rowOff>
    </xdr:from>
    <xdr:to>
      <xdr:col>13</xdr:col>
      <xdr:colOff>464819</xdr:colOff>
      <xdr:row>28</xdr:row>
      <xdr:rowOff>122714</xdr:rowOff>
    </xdr:to>
    <xdr:pic>
      <xdr:nvPicPr>
        <xdr:cNvPr id="4" name="Imagen 3">
          <a:extLst>
            <a:ext uri="{FF2B5EF4-FFF2-40B4-BE49-F238E27FC236}">
              <a16:creationId xmlns:a16="http://schemas.microsoft.com/office/drawing/2014/main" id="{0155BF43-5D89-4AA3-9EF1-30D4C6BB11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96475" y="3171825"/>
          <a:ext cx="3627119" cy="2808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57868</xdr:colOff>
      <xdr:row>26</xdr:row>
      <xdr:rowOff>38521</xdr:rowOff>
    </xdr:from>
    <xdr:to>
      <xdr:col>23</xdr:col>
      <xdr:colOff>524382</xdr:colOff>
      <xdr:row>31</xdr:row>
      <xdr:rowOff>182096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8541811" y="4937092"/>
          <a:ext cx="2044398" cy="2002946"/>
        </a:xfrm>
        <a:prstGeom prst="rect">
          <a:avLst/>
        </a:prstGeom>
      </xdr:spPr>
    </xdr:pic>
    <xdr:clientData/>
  </xdr:twoCellAnchor>
  <xdr:twoCellAnchor editAs="oneCell">
    <xdr:from>
      <xdr:col>24</xdr:col>
      <xdr:colOff>137660</xdr:colOff>
      <xdr:row>25</xdr:row>
      <xdr:rowOff>184769</xdr:rowOff>
    </xdr:from>
    <xdr:to>
      <xdr:col>26</xdr:col>
      <xdr:colOff>256565</xdr:colOff>
      <xdr:row>31</xdr:row>
      <xdr:rowOff>220070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4548" t="6115" r="12715" b="5678"/>
        <a:stretch/>
      </xdr:blipFill>
      <xdr:spPr>
        <a:xfrm>
          <a:off x="21005574" y="4898283"/>
          <a:ext cx="1688535" cy="2056870"/>
        </a:xfrm>
        <a:prstGeom prst="rect">
          <a:avLst/>
        </a:prstGeom>
      </xdr:spPr>
    </xdr:pic>
    <xdr:clientData/>
  </xdr:twoCellAnchor>
  <xdr:twoCellAnchor editAs="oneCell">
    <xdr:from>
      <xdr:col>21</xdr:col>
      <xdr:colOff>697032</xdr:colOff>
      <xdr:row>34</xdr:row>
      <xdr:rowOff>120265</xdr:rowOff>
    </xdr:from>
    <xdr:to>
      <xdr:col>23</xdr:col>
      <xdr:colOff>600500</xdr:colOff>
      <xdr:row>35</xdr:row>
      <xdr:rowOff>181121</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052489" y="6680091"/>
          <a:ext cx="1424295" cy="331517"/>
        </a:xfrm>
        <a:prstGeom prst="rect">
          <a:avLst/>
        </a:prstGeom>
      </xdr:spPr>
    </xdr:pic>
    <xdr:clientData/>
  </xdr:twoCellAnchor>
  <xdr:twoCellAnchor editAs="oneCell">
    <xdr:from>
      <xdr:col>21</xdr:col>
      <xdr:colOff>736893</xdr:colOff>
      <xdr:row>36</xdr:row>
      <xdr:rowOff>105602</xdr:rowOff>
    </xdr:from>
    <xdr:to>
      <xdr:col>22</xdr:col>
      <xdr:colOff>752872</xdr:colOff>
      <xdr:row>41</xdr:row>
      <xdr:rowOff>104566</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2092350" y="7046428"/>
          <a:ext cx="762106" cy="1297860"/>
        </a:xfrm>
        <a:prstGeom prst="rect">
          <a:avLst/>
        </a:prstGeom>
      </xdr:spPr>
    </xdr:pic>
    <xdr:clientData/>
  </xdr:twoCellAnchor>
  <xdr:twoCellAnchor editAs="oneCell">
    <xdr:from>
      <xdr:col>23</xdr:col>
      <xdr:colOff>762000</xdr:colOff>
      <xdr:row>37</xdr:row>
      <xdr:rowOff>0</xdr:rowOff>
    </xdr:from>
    <xdr:to>
      <xdr:col>26</xdr:col>
      <xdr:colOff>561371</xdr:colOff>
      <xdr:row>38</xdr:row>
      <xdr:rowOff>221045</xdr:rowOff>
    </xdr:to>
    <xdr:pic>
      <xdr:nvPicPr>
        <xdr:cNvPr id="8" name="Imagen 7">
          <a:extLst>
            <a:ext uri="{FF2B5EF4-FFF2-40B4-BE49-F238E27FC236}">
              <a16:creationId xmlns:a16="http://schemas.microsoft.com/office/drawing/2014/main" id="{941C2F5D-938D-5858-2CC9-F78FD763A312}"/>
            </a:ext>
          </a:extLst>
        </xdr:cNvPr>
        <xdr:cNvPicPr>
          <a:picLocks noChangeAspect="1"/>
        </xdr:cNvPicPr>
      </xdr:nvPicPr>
      <xdr:blipFill>
        <a:blip xmlns:r="http://schemas.openxmlformats.org/officeDocument/2006/relationships" r:embed="rId5"/>
        <a:stretch>
          <a:fillRect/>
        </a:stretch>
      </xdr:blipFill>
      <xdr:spPr>
        <a:xfrm>
          <a:off x="20835257" y="7641771"/>
          <a:ext cx="2180168" cy="457264"/>
        </a:xfrm>
        <a:prstGeom prst="rect">
          <a:avLst/>
        </a:prstGeom>
      </xdr:spPr>
    </xdr:pic>
    <xdr:clientData/>
  </xdr:twoCellAnchor>
  <xdr:twoCellAnchor editAs="oneCell">
    <xdr:from>
      <xdr:col>16</xdr:col>
      <xdr:colOff>271327</xdr:colOff>
      <xdr:row>26</xdr:row>
      <xdr:rowOff>123825</xdr:rowOff>
    </xdr:from>
    <xdr:to>
      <xdr:col>16</xdr:col>
      <xdr:colOff>828526</xdr:colOff>
      <xdr:row>34</xdr:row>
      <xdr:rowOff>104565</xdr:rowOff>
    </xdr:to>
    <xdr:pic>
      <xdr:nvPicPr>
        <xdr:cNvPr id="12" name="Imagen 11">
          <a:extLst>
            <a:ext uri="{FF2B5EF4-FFF2-40B4-BE49-F238E27FC236}">
              <a16:creationId xmlns:a16="http://schemas.microsoft.com/office/drawing/2014/main" id="{D8838FD9-3C87-3867-7EAE-F2E55E420241}"/>
            </a:ext>
          </a:extLst>
        </xdr:cNvPr>
        <xdr:cNvPicPr>
          <a:picLocks noChangeAspect="1"/>
        </xdr:cNvPicPr>
      </xdr:nvPicPr>
      <xdr:blipFill>
        <a:blip xmlns:r="http://schemas.openxmlformats.org/officeDocument/2006/relationships" r:embed="rId6"/>
        <a:stretch>
          <a:fillRect/>
        </a:stretch>
      </xdr:blipFill>
      <xdr:spPr>
        <a:xfrm>
          <a:off x="14682652" y="5638800"/>
          <a:ext cx="552754" cy="2606464"/>
        </a:xfrm>
        <a:prstGeom prst="rect">
          <a:avLst/>
        </a:prstGeom>
      </xdr:spPr>
    </xdr:pic>
    <xdr:clientData/>
  </xdr:twoCellAnchor>
  <xdr:twoCellAnchor editAs="oneCell">
    <xdr:from>
      <xdr:col>24</xdr:col>
      <xdr:colOff>627529</xdr:colOff>
      <xdr:row>0</xdr:row>
      <xdr:rowOff>67235</xdr:rowOff>
    </xdr:from>
    <xdr:to>
      <xdr:col>36</xdr:col>
      <xdr:colOff>285857</xdr:colOff>
      <xdr:row>17</xdr:row>
      <xdr:rowOff>113739</xdr:rowOff>
    </xdr:to>
    <xdr:pic>
      <xdr:nvPicPr>
        <xdr:cNvPr id="4" name="Imagen 3">
          <a:extLst>
            <a:ext uri="{FF2B5EF4-FFF2-40B4-BE49-F238E27FC236}">
              <a16:creationId xmlns:a16="http://schemas.microsoft.com/office/drawing/2014/main" id="{3127E257-986A-2721-67BD-97F31FAD98FA}"/>
            </a:ext>
          </a:extLst>
        </xdr:cNvPr>
        <xdr:cNvPicPr>
          <a:picLocks noChangeAspect="1"/>
        </xdr:cNvPicPr>
      </xdr:nvPicPr>
      <xdr:blipFill rotWithShape="1">
        <a:blip xmlns:r="http://schemas.openxmlformats.org/officeDocument/2006/relationships" r:embed="rId7"/>
        <a:srcRect b="42757"/>
        <a:stretch/>
      </xdr:blipFill>
      <xdr:spPr>
        <a:xfrm>
          <a:off x="24507264" y="67235"/>
          <a:ext cx="8802328" cy="3755651"/>
        </a:xfrm>
        <a:prstGeom prst="rect">
          <a:avLst/>
        </a:prstGeom>
      </xdr:spPr>
    </xdr:pic>
    <xdr:clientData/>
  </xdr:twoCellAnchor>
  <xdr:twoCellAnchor editAs="oneCell">
    <xdr:from>
      <xdr:col>9</xdr:col>
      <xdr:colOff>358588</xdr:colOff>
      <xdr:row>1</xdr:row>
      <xdr:rowOff>112059</xdr:rowOff>
    </xdr:from>
    <xdr:to>
      <xdr:col>16</xdr:col>
      <xdr:colOff>663583</xdr:colOff>
      <xdr:row>20</xdr:row>
      <xdr:rowOff>123265</xdr:rowOff>
    </xdr:to>
    <xdr:pic>
      <xdr:nvPicPr>
        <xdr:cNvPr id="6" name="Imagen 5">
          <a:extLst>
            <a:ext uri="{FF2B5EF4-FFF2-40B4-BE49-F238E27FC236}">
              <a16:creationId xmlns:a16="http://schemas.microsoft.com/office/drawing/2014/main" id="{CC550E00-E078-4CA8-0270-63BDBBEA9DF7}"/>
            </a:ext>
          </a:extLst>
        </xdr:cNvPr>
        <xdr:cNvPicPr>
          <a:picLocks noChangeAspect="1"/>
        </xdr:cNvPicPr>
      </xdr:nvPicPr>
      <xdr:blipFill>
        <a:blip xmlns:r="http://schemas.openxmlformats.org/officeDocument/2006/relationships" r:embed="rId8"/>
        <a:stretch>
          <a:fillRect/>
        </a:stretch>
      </xdr:blipFill>
      <xdr:spPr>
        <a:xfrm>
          <a:off x="10589559" y="302559"/>
          <a:ext cx="7409524" cy="4202206"/>
        </a:xfrm>
        <a:prstGeom prst="rect">
          <a:avLst/>
        </a:prstGeom>
      </xdr:spPr>
    </xdr:pic>
    <xdr:clientData/>
  </xdr:twoCellAnchor>
  <xdr:twoCellAnchor editAs="oneCell">
    <xdr:from>
      <xdr:col>16</xdr:col>
      <xdr:colOff>246529</xdr:colOff>
      <xdr:row>0</xdr:row>
      <xdr:rowOff>0</xdr:rowOff>
    </xdr:from>
    <xdr:to>
      <xdr:col>25</xdr:col>
      <xdr:colOff>359342</xdr:colOff>
      <xdr:row>21</xdr:row>
      <xdr:rowOff>213287</xdr:rowOff>
    </xdr:to>
    <xdr:pic>
      <xdr:nvPicPr>
        <xdr:cNvPr id="10" name="Imagen 9">
          <a:extLst>
            <a:ext uri="{FF2B5EF4-FFF2-40B4-BE49-F238E27FC236}">
              <a16:creationId xmlns:a16="http://schemas.microsoft.com/office/drawing/2014/main" id="{45CE8747-DFA6-0876-C99E-68883440B9E9}"/>
            </a:ext>
          </a:extLst>
        </xdr:cNvPr>
        <xdr:cNvPicPr>
          <a:picLocks noChangeAspect="1"/>
        </xdr:cNvPicPr>
      </xdr:nvPicPr>
      <xdr:blipFill>
        <a:blip xmlns:r="http://schemas.openxmlformats.org/officeDocument/2006/relationships" r:embed="rId9"/>
        <a:stretch>
          <a:fillRect/>
        </a:stretch>
      </xdr:blipFill>
      <xdr:spPr>
        <a:xfrm>
          <a:off x="17582029" y="0"/>
          <a:ext cx="7419048" cy="4818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554848</xdr:colOff>
      <xdr:row>32</xdr:row>
      <xdr:rowOff>64646</xdr:rowOff>
    </xdr:from>
    <xdr:to>
      <xdr:col>4</xdr:col>
      <xdr:colOff>555953</xdr:colOff>
      <xdr:row>37</xdr:row>
      <xdr:rowOff>214701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54848" y="6495926"/>
          <a:ext cx="4458805" cy="1262575"/>
        </a:xfrm>
        <a:prstGeom prst="rect">
          <a:avLst/>
        </a:prstGeom>
      </xdr:spPr>
    </xdr:pic>
    <xdr:clientData/>
  </xdr:twoCellAnchor>
  <xdr:twoCellAnchor>
    <xdr:from>
      <xdr:col>26</xdr:col>
      <xdr:colOff>200943</xdr:colOff>
      <xdr:row>58</xdr:row>
      <xdr:rowOff>29329</xdr:rowOff>
    </xdr:from>
    <xdr:to>
      <xdr:col>30</xdr:col>
      <xdr:colOff>723340</xdr:colOff>
      <xdr:row>68</xdr:row>
      <xdr:rowOff>15128</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22660893" y="13021429"/>
          <a:ext cx="3970447" cy="2271799"/>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29125" y="12165465"/>
            <a:ext cx="4839898" cy="655346"/>
          </a:xfrm>
          <a:prstGeom prst="rect">
            <a:avLst/>
          </a:prstGeom>
        </xdr:spPr>
      </xdr:pic>
    </xdr:grpSp>
    <xdr:clientData/>
  </xdr:twoCellAnchor>
  <xdr:twoCellAnchor editAs="oneCell">
    <xdr:from>
      <xdr:col>0</xdr:col>
      <xdr:colOff>1333500</xdr:colOff>
      <xdr:row>91</xdr:row>
      <xdr:rowOff>142271</xdr:rowOff>
    </xdr:from>
    <xdr:to>
      <xdr:col>5</xdr:col>
      <xdr:colOff>655272</xdr:colOff>
      <xdr:row>102</xdr:row>
      <xdr:rowOff>28819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33500" y="19452736"/>
          <a:ext cx="5168794" cy="1986493"/>
        </a:xfrm>
        <a:prstGeom prst="rect">
          <a:avLst/>
        </a:prstGeom>
      </xdr:spPr>
    </xdr:pic>
    <xdr:clientData/>
  </xdr:twoCellAnchor>
  <xdr:twoCellAnchor editAs="oneCell">
    <xdr:from>
      <xdr:col>69</xdr:col>
      <xdr:colOff>60385</xdr:colOff>
      <xdr:row>34</xdr:row>
      <xdr:rowOff>152090</xdr:rowOff>
    </xdr:from>
    <xdr:to>
      <xdr:col>71</xdr:col>
      <xdr:colOff>233568</xdr:colOff>
      <xdr:row>43</xdr:row>
      <xdr:rowOff>48765</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52795267" y="7256619"/>
          <a:ext cx="1697183" cy="2324617"/>
        </a:xfrm>
        <a:prstGeom prst="rect">
          <a:avLst/>
        </a:prstGeom>
      </xdr:spPr>
    </xdr:pic>
    <xdr:clientData/>
  </xdr:twoCellAnchor>
  <xdr:twoCellAnchor editAs="oneCell">
    <xdr:from>
      <xdr:col>38</xdr:col>
      <xdr:colOff>48931</xdr:colOff>
      <xdr:row>3</xdr:row>
      <xdr:rowOff>128206</xdr:rowOff>
    </xdr:from>
    <xdr:to>
      <xdr:col>44</xdr:col>
      <xdr:colOff>105996</xdr:colOff>
      <xdr:row>7</xdr:row>
      <xdr:rowOff>139796</xdr:rowOff>
    </xdr:to>
    <xdr:pic>
      <xdr:nvPicPr>
        <xdr:cNvPr id="9" name="Imagen 8">
          <a:extLst>
            <a:ext uri="{FF2B5EF4-FFF2-40B4-BE49-F238E27FC236}">
              <a16:creationId xmlns:a16="http://schemas.microsoft.com/office/drawing/2014/main" id="{A9F67D5B-7201-4461-88A1-C36B05679DD4}"/>
            </a:ext>
          </a:extLst>
        </xdr:cNvPr>
        <xdr:cNvPicPr>
          <a:picLocks noChangeAspect="1"/>
        </xdr:cNvPicPr>
      </xdr:nvPicPr>
      <xdr:blipFill>
        <a:blip xmlns:r="http://schemas.openxmlformats.org/officeDocument/2006/relationships" r:embed="rId6"/>
        <a:stretch>
          <a:fillRect/>
        </a:stretch>
      </xdr:blipFill>
      <xdr:spPr>
        <a:xfrm>
          <a:off x="33162313" y="699706"/>
          <a:ext cx="4886801" cy="773590"/>
        </a:xfrm>
        <a:prstGeom prst="rect">
          <a:avLst/>
        </a:prstGeom>
      </xdr:spPr>
    </xdr:pic>
    <xdr:clientData/>
  </xdr:twoCellAnchor>
  <xdr:twoCellAnchor editAs="oneCell">
    <xdr:from>
      <xdr:col>0</xdr:col>
      <xdr:colOff>0</xdr:colOff>
      <xdr:row>105</xdr:row>
      <xdr:rowOff>0</xdr:rowOff>
    </xdr:from>
    <xdr:to>
      <xdr:col>7</xdr:col>
      <xdr:colOff>390676</xdr:colOff>
      <xdr:row>125</xdr:row>
      <xdr:rowOff>122090</xdr:rowOff>
    </xdr:to>
    <xdr:pic>
      <xdr:nvPicPr>
        <xdr:cNvPr id="11" name="Imagen 10">
          <a:extLst>
            <a:ext uri="{FF2B5EF4-FFF2-40B4-BE49-F238E27FC236}">
              <a16:creationId xmlns:a16="http://schemas.microsoft.com/office/drawing/2014/main" id="{4ACEB709-6789-4B68-B0FB-6853BA4DF26C}"/>
            </a:ext>
          </a:extLst>
        </xdr:cNvPr>
        <xdr:cNvPicPr>
          <a:picLocks noChangeAspect="1"/>
        </xdr:cNvPicPr>
      </xdr:nvPicPr>
      <xdr:blipFill>
        <a:blip xmlns:r="http://schemas.openxmlformats.org/officeDocument/2006/relationships" r:embed="rId7"/>
        <a:stretch>
          <a:fillRect/>
        </a:stretch>
      </xdr:blipFill>
      <xdr:spPr>
        <a:xfrm>
          <a:off x="0" y="21336000"/>
          <a:ext cx="7582958" cy="3820058"/>
        </a:xfrm>
        <a:prstGeom prst="rect">
          <a:avLst/>
        </a:prstGeom>
      </xdr:spPr>
    </xdr:pic>
    <xdr:clientData/>
  </xdr:twoCellAnchor>
  <xdr:twoCellAnchor editAs="oneCell">
    <xdr:from>
      <xdr:col>7</xdr:col>
      <xdr:colOff>871311</xdr:colOff>
      <xdr:row>91</xdr:row>
      <xdr:rowOff>165226</xdr:rowOff>
    </xdr:from>
    <xdr:to>
      <xdr:col>15</xdr:col>
      <xdr:colOff>348083</xdr:colOff>
      <xdr:row>103</xdr:row>
      <xdr:rowOff>150071</xdr:rowOff>
    </xdr:to>
    <xdr:pic>
      <xdr:nvPicPr>
        <xdr:cNvPr id="12" name="Imagen 11">
          <a:extLst>
            <a:ext uri="{FF2B5EF4-FFF2-40B4-BE49-F238E27FC236}">
              <a16:creationId xmlns:a16="http://schemas.microsoft.com/office/drawing/2014/main" id="{7914C9EC-898B-4462-B92B-C9E0C48AEC62}"/>
            </a:ext>
          </a:extLst>
        </xdr:cNvPr>
        <xdr:cNvPicPr>
          <a:picLocks noChangeAspect="1"/>
        </xdr:cNvPicPr>
      </xdr:nvPicPr>
      <xdr:blipFill>
        <a:blip xmlns:r="http://schemas.openxmlformats.org/officeDocument/2006/relationships" r:embed="rId8"/>
        <a:stretch>
          <a:fillRect/>
        </a:stretch>
      </xdr:blipFill>
      <xdr:spPr>
        <a:xfrm>
          <a:off x="8219168" y="18235512"/>
          <a:ext cx="6334772" cy="2107559"/>
        </a:xfrm>
        <a:prstGeom prst="rect">
          <a:avLst/>
        </a:prstGeom>
      </xdr:spPr>
    </xdr:pic>
    <xdr:clientData/>
  </xdr:twoCellAnchor>
  <xdr:twoCellAnchor editAs="oneCell">
    <xdr:from>
      <xdr:col>8</xdr:col>
      <xdr:colOff>335190</xdr:colOff>
      <xdr:row>105</xdr:row>
      <xdr:rowOff>147516</xdr:rowOff>
    </xdr:from>
    <xdr:to>
      <xdr:col>15</xdr:col>
      <xdr:colOff>454244</xdr:colOff>
      <xdr:row>115</xdr:row>
      <xdr:rowOff>119181</xdr:rowOff>
    </xdr:to>
    <xdr:pic>
      <xdr:nvPicPr>
        <xdr:cNvPr id="13" name="Imagen 12">
          <a:extLst>
            <a:ext uri="{FF2B5EF4-FFF2-40B4-BE49-F238E27FC236}">
              <a16:creationId xmlns:a16="http://schemas.microsoft.com/office/drawing/2014/main" id="{E2B2A85E-6DF4-4DA1-855D-60BB848FC88B}"/>
            </a:ext>
          </a:extLst>
        </xdr:cNvPr>
        <xdr:cNvPicPr>
          <a:picLocks noChangeAspect="1"/>
        </xdr:cNvPicPr>
      </xdr:nvPicPr>
      <xdr:blipFill>
        <a:blip xmlns:r="http://schemas.openxmlformats.org/officeDocument/2006/relationships" r:embed="rId9"/>
        <a:stretch>
          <a:fillRect/>
        </a:stretch>
      </xdr:blipFill>
      <xdr:spPr>
        <a:xfrm>
          <a:off x="8594726" y="20694302"/>
          <a:ext cx="6065375" cy="1740593"/>
        </a:xfrm>
        <a:prstGeom prst="rect">
          <a:avLst/>
        </a:prstGeom>
      </xdr:spPr>
    </xdr:pic>
    <xdr:clientData/>
  </xdr:twoCellAnchor>
  <xdr:twoCellAnchor editAs="oneCell">
    <xdr:from>
      <xdr:col>0</xdr:col>
      <xdr:colOff>0</xdr:colOff>
      <xdr:row>132</xdr:row>
      <xdr:rowOff>0</xdr:rowOff>
    </xdr:from>
    <xdr:to>
      <xdr:col>7</xdr:col>
      <xdr:colOff>377975</xdr:colOff>
      <xdr:row>143</xdr:row>
      <xdr:rowOff>98270</xdr:rowOff>
    </xdr:to>
    <xdr:pic>
      <xdr:nvPicPr>
        <xdr:cNvPr id="15" name="Imagen 14">
          <a:extLst>
            <a:ext uri="{FF2B5EF4-FFF2-40B4-BE49-F238E27FC236}">
              <a16:creationId xmlns:a16="http://schemas.microsoft.com/office/drawing/2014/main" id="{50B5CCC4-764A-417E-B4F5-3FDB0BCEBE2F}"/>
            </a:ext>
          </a:extLst>
        </xdr:cNvPr>
        <xdr:cNvPicPr>
          <a:picLocks noChangeAspect="1"/>
        </xdr:cNvPicPr>
      </xdr:nvPicPr>
      <xdr:blipFill>
        <a:blip xmlns:r="http://schemas.openxmlformats.org/officeDocument/2006/relationships" r:embed="rId10"/>
        <a:stretch>
          <a:fillRect/>
        </a:stretch>
      </xdr:blipFill>
      <xdr:spPr>
        <a:xfrm>
          <a:off x="0" y="26332543"/>
          <a:ext cx="7573432" cy="2133898"/>
        </a:xfrm>
        <a:prstGeom prst="rect">
          <a:avLst/>
        </a:prstGeom>
      </xdr:spPr>
    </xdr:pic>
    <xdr:clientData/>
  </xdr:twoCellAnchor>
  <xdr:twoCellAnchor editAs="oneCell">
    <xdr:from>
      <xdr:col>0</xdr:col>
      <xdr:colOff>0</xdr:colOff>
      <xdr:row>145</xdr:row>
      <xdr:rowOff>0</xdr:rowOff>
    </xdr:from>
    <xdr:to>
      <xdr:col>5</xdr:col>
      <xdr:colOff>50649</xdr:colOff>
      <xdr:row>150</xdr:row>
      <xdr:rowOff>144839</xdr:rowOff>
    </xdr:to>
    <xdr:pic>
      <xdr:nvPicPr>
        <xdr:cNvPr id="16" name="Imagen 15">
          <a:extLst>
            <a:ext uri="{FF2B5EF4-FFF2-40B4-BE49-F238E27FC236}">
              <a16:creationId xmlns:a16="http://schemas.microsoft.com/office/drawing/2014/main" id="{A75467FC-EF71-4C79-8C54-7F55EBD4A300}"/>
            </a:ext>
          </a:extLst>
        </xdr:cNvPr>
        <xdr:cNvPicPr>
          <a:picLocks noChangeAspect="1"/>
        </xdr:cNvPicPr>
      </xdr:nvPicPr>
      <xdr:blipFill>
        <a:blip xmlns:r="http://schemas.openxmlformats.org/officeDocument/2006/relationships" r:embed="rId11"/>
        <a:stretch>
          <a:fillRect/>
        </a:stretch>
      </xdr:blipFill>
      <xdr:spPr>
        <a:xfrm>
          <a:off x="0" y="28738286"/>
          <a:ext cx="5420481" cy="1066949"/>
        </a:xfrm>
        <a:prstGeom prst="rect">
          <a:avLst/>
        </a:prstGeom>
      </xdr:spPr>
    </xdr:pic>
    <xdr:clientData/>
  </xdr:twoCellAnchor>
  <xdr:twoCellAnchor editAs="oneCell">
    <xdr:from>
      <xdr:col>8</xdr:col>
      <xdr:colOff>0</xdr:colOff>
      <xdr:row>132</xdr:row>
      <xdr:rowOff>0</xdr:rowOff>
    </xdr:from>
    <xdr:to>
      <xdr:col>17</xdr:col>
      <xdr:colOff>269129</xdr:colOff>
      <xdr:row>142</xdr:row>
      <xdr:rowOff>105502</xdr:rowOff>
    </xdr:to>
    <xdr:pic>
      <xdr:nvPicPr>
        <xdr:cNvPr id="17" name="Imagen 16">
          <a:extLst>
            <a:ext uri="{FF2B5EF4-FFF2-40B4-BE49-F238E27FC236}">
              <a16:creationId xmlns:a16="http://schemas.microsoft.com/office/drawing/2014/main" id="{39205853-A194-48CF-96FB-D6EB2CFA51BF}"/>
            </a:ext>
          </a:extLst>
        </xdr:cNvPr>
        <xdr:cNvPicPr>
          <a:picLocks noChangeAspect="1"/>
        </xdr:cNvPicPr>
      </xdr:nvPicPr>
      <xdr:blipFill>
        <a:blip xmlns:r="http://schemas.openxmlformats.org/officeDocument/2006/relationships" r:embed="rId12"/>
        <a:stretch>
          <a:fillRect/>
        </a:stretch>
      </xdr:blipFill>
      <xdr:spPr>
        <a:xfrm>
          <a:off x="8077200" y="26332543"/>
          <a:ext cx="7649643" cy="1952898"/>
        </a:xfrm>
        <a:prstGeom prst="rect">
          <a:avLst/>
        </a:prstGeom>
      </xdr:spPr>
    </xdr:pic>
    <xdr:clientData/>
  </xdr:twoCellAnchor>
  <xdr:twoCellAnchor editAs="oneCell">
    <xdr:from>
      <xdr:col>17</xdr:col>
      <xdr:colOff>0</xdr:colOff>
      <xdr:row>102</xdr:row>
      <xdr:rowOff>0</xdr:rowOff>
    </xdr:from>
    <xdr:to>
      <xdr:col>25</xdr:col>
      <xdr:colOff>707254</xdr:colOff>
      <xdr:row>111</xdr:row>
      <xdr:rowOff>154015</xdr:rowOff>
    </xdr:to>
    <xdr:pic>
      <xdr:nvPicPr>
        <xdr:cNvPr id="18" name="Imagen 17">
          <a:extLst>
            <a:ext uri="{FF2B5EF4-FFF2-40B4-BE49-F238E27FC236}">
              <a16:creationId xmlns:a16="http://schemas.microsoft.com/office/drawing/2014/main" id="{071B5D14-10C7-4765-B9C7-AF874B3B01D1}"/>
            </a:ext>
          </a:extLst>
        </xdr:cNvPr>
        <xdr:cNvPicPr>
          <a:picLocks noChangeAspect="1"/>
        </xdr:cNvPicPr>
      </xdr:nvPicPr>
      <xdr:blipFill>
        <a:blip xmlns:r="http://schemas.openxmlformats.org/officeDocument/2006/relationships" r:embed="rId13"/>
        <a:stretch>
          <a:fillRect/>
        </a:stretch>
      </xdr:blipFill>
      <xdr:spPr>
        <a:xfrm>
          <a:off x="15457714" y="20780829"/>
          <a:ext cx="7478169" cy="1819529"/>
        </a:xfrm>
        <a:prstGeom prst="rect">
          <a:avLst/>
        </a:prstGeom>
      </xdr:spPr>
    </xdr:pic>
    <xdr:clientData/>
  </xdr:twoCellAnchor>
  <xdr:twoCellAnchor editAs="oneCell">
    <xdr:from>
      <xdr:col>8</xdr:col>
      <xdr:colOff>0</xdr:colOff>
      <xdr:row>146</xdr:row>
      <xdr:rowOff>0</xdr:rowOff>
    </xdr:from>
    <xdr:to>
      <xdr:col>17</xdr:col>
      <xdr:colOff>256427</xdr:colOff>
      <xdr:row>155</xdr:row>
      <xdr:rowOff>141314</xdr:rowOff>
    </xdr:to>
    <xdr:pic>
      <xdr:nvPicPr>
        <xdr:cNvPr id="19" name="Imagen 18">
          <a:extLst>
            <a:ext uri="{FF2B5EF4-FFF2-40B4-BE49-F238E27FC236}">
              <a16:creationId xmlns:a16="http://schemas.microsoft.com/office/drawing/2014/main" id="{1E0AE8EE-2A23-4A01-B79B-16EA8F473E31}"/>
            </a:ext>
          </a:extLst>
        </xdr:cNvPr>
        <xdr:cNvPicPr>
          <a:picLocks noChangeAspect="1"/>
        </xdr:cNvPicPr>
      </xdr:nvPicPr>
      <xdr:blipFill>
        <a:blip xmlns:r="http://schemas.openxmlformats.org/officeDocument/2006/relationships" r:embed="rId14"/>
        <a:stretch>
          <a:fillRect/>
        </a:stretch>
      </xdr:blipFill>
      <xdr:spPr>
        <a:xfrm>
          <a:off x="8077200" y="28923343"/>
          <a:ext cx="7640116" cy="1810003"/>
        </a:xfrm>
        <a:prstGeom prst="rect">
          <a:avLst/>
        </a:prstGeom>
      </xdr:spPr>
    </xdr:pic>
    <xdr:clientData/>
  </xdr:twoCellAnchor>
  <xdr:twoCellAnchor editAs="oneCell">
    <xdr:from>
      <xdr:col>7</xdr:col>
      <xdr:colOff>27215</xdr:colOff>
      <xdr:row>113</xdr:row>
      <xdr:rowOff>152854</xdr:rowOff>
    </xdr:from>
    <xdr:to>
      <xdr:col>14</xdr:col>
      <xdr:colOff>368743</xdr:colOff>
      <xdr:row>130</xdr:row>
      <xdr:rowOff>175760</xdr:rowOff>
    </xdr:to>
    <xdr:pic>
      <xdr:nvPicPr>
        <xdr:cNvPr id="14" name="Imagen 13">
          <a:extLst>
            <a:ext uri="{FF2B5EF4-FFF2-40B4-BE49-F238E27FC236}">
              <a16:creationId xmlns:a16="http://schemas.microsoft.com/office/drawing/2014/main" id="{8CEDBC18-0734-46F7-8D33-A3B43DBEC31C}"/>
            </a:ext>
          </a:extLst>
        </xdr:cNvPr>
        <xdr:cNvPicPr>
          <a:picLocks noChangeAspect="1"/>
        </xdr:cNvPicPr>
      </xdr:nvPicPr>
      <xdr:blipFill>
        <a:blip xmlns:r="http://schemas.openxmlformats.org/officeDocument/2006/relationships" r:embed="rId15"/>
        <a:stretch>
          <a:fillRect/>
        </a:stretch>
      </xdr:blipFill>
      <xdr:spPr>
        <a:xfrm>
          <a:off x="7375072" y="22114783"/>
          <a:ext cx="6410314" cy="3030084"/>
        </a:xfrm>
        <a:prstGeom prst="rect">
          <a:avLst/>
        </a:prstGeom>
      </xdr:spPr>
    </xdr:pic>
    <xdr:clientData/>
  </xdr:twoCellAnchor>
  <xdr:twoCellAnchor editAs="oneCell">
    <xdr:from>
      <xdr:col>0</xdr:col>
      <xdr:colOff>333375</xdr:colOff>
      <xdr:row>153</xdr:row>
      <xdr:rowOff>142874</xdr:rowOff>
    </xdr:from>
    <xdr:to>
      <xdr:col>7</xdr:col>
      <xdr:colOff>166121</xdr:colOff>
      <xdr:row>187</xdr:row>
      <xdr:rowOff>166907</xdr:rowOff>
    </xdr:to>
    <xdr:pic>
      <xdr:nvPicPr>
        <xdr:cNvPr id="20" name="Imagen 19">
          <a:extLst>
            <a:ext uri="{FF2B5EF4-FFF2-40B4-BE49-F238E27FC236}">
              <a16:creationId xmlns:a16="http://schemas.microsoft.com/office/drawing/2014/main" id="{8DA373E2-D04C-4248-AFF5-F75044E88D38}"/>
            </a:ext>
          </a:extLst>
        </xdr:cNvPr>
        <xdr:cNvPicPr>
          <a:picLocks noChangeAspect="1"/>
        </xdr:cNvPicPr>
      </xdr:nvPicPr>
      <xdr:blipFill>
        <a:blip xmlns:r="http://schemas.openxmlformats.org/officeDocument/2006/relationships" r:embed="rId16"/>
        <a:stretch>
          <a:fillRect/>
        </a:stretch>
      </xdr:blipFill>
      <xdr:spPr>
        <a:xfrm>
          <a:off x="333375" y="29727524"/>
          <a:ext cx="7014596" cy="6177183"/>
        </a:xfrm>
        <a:prstGeom prst="rect">
          <a:avLst/>
        </a:prstGeom>
      </xdr:spPr>
    </xdr:pic>
    <xdr:clientData/>
  </xdr:twoCellAnchor>
  <xdr:twoCellAnchor editAs="oneCell">
    <xdr:from>
      <xdr:col>15</xdr:col>
      <xdr:colOff>33618</xdr:colOff>
      <xdr:row>0</xdr:row>
      <xdr:rowOff>0</xdr:rowOff>
    </xdr:from>
    <xdr:to>
      <xdr:col>21</xdr:col>
      <xdr:colOff>484654</xdr:colOff>
      <xdr:row>11</xdr:row>
      <xdr:rowOff>267519</xdr:rowOff>
    </xdr:to>
    <xdr:pic>
      <xdr:nvPicPr>
        <xdr:cNvPr id="2" name="Imagen 1">
          <a:extLst>
            <a:ext uri="{FF2B5EF4-FFF2-40B4-BE49-F238E27FC236}">
              <a16:creationId xmlns:a16="http://schemas.microsoft.com/office/drawing/2014/main" id="{12E00A64-F6AD-3F86-C32B-36577469464A}"/>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525500" y="0"/>
          <a:ext cx="5224742" cy="237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21</xdr:row>
      <xdr:rowOff>328995</xdr:rowOff>
    </xdr:from>
    <xdr:to>
      <xdr:col>14</xdr:col>
      <xdr:colOff>414618</xdr:colOff>
      <xdr:row>37</xdr:row>
      <xdr:rowOff>75376</xdr:rowOff>
    </xdr:to>
    <xdr:pic>
      <xdr:nvPicPr>
        <xdr:cNvPr id="3" name="Imagen 2">
          <a:extLst>
            <a:ext uri="{FF2B5EF4-FFF2-40B4-BE49-F238E27FC236}">
              <a16:creationId xmlns:a16="http://schemas.microsoft.com/office/drawing/2014/main" id="{C3AAC97E-3CF7-A1A3-AE7C-25C9EADE42A6}"/>
            </a:ext>
          </a:extLst>
        </xdr:cNvPr>
        <xdr:cNvPicPr>
          <a:picLocks noChangeAspect="1"/>
        </xdr:cNvPicPr>
      </xdr:nvPicPr>
      <xdr:blipFill>
        <a:blip xmlns:r="http://schemas.openxmlformats.org/officeDocument/2006/relationships" r:embed="rId1"/>
        <a:stretch>
          <a:fillRect/>
        </a:stretch>
      </xdr:blipFill>
      <xdr:spPr>
        <a:xfrm>
          <a:off x="8505265" y="4643260"/>
          <a:ext cx="6062382" cy="2446998"/>
        </a:xfrm>
        <a:prstGeom prst="rect">
          <a:avLst/>
        </a:prstGeom>
      </xdr:spPr>
    </xdr:pic>
    <xdr:clientData/>
  </xdr:twoCellAnchor>
  <xdr:twoCellAnchor editAs="oneCell">
    <xdr:from>
      <xdr:col>0</xdr:col>
      <xdr:colOff>1411941</xdr:colOff>
      <xdr:row>25</xdr:row>
      <xdr:rowOff>78441</xdr:rowOff>
    </xdr:from>
    <xdr:to>
      <xdr:col>4</xdr:col>
      <xdr:colOff>515140</xdr:colOff>
      <xdr:row>37</xdr:row>
      <xdr:rowOff>101119</xdr:rowOff>
    </xdr:to>
    <xdr:pic>
      <xdr:nvPicPr>
        <xdr:cNvPr id="4" name="Imagen 3">
          <a:extLst>
            <a:ext uri="{FF2B5EF4-FFF2-40B4-BE49-F238E27FC236}">
              <a16:creationId xmlns:a16="http://schemas.microsoft.com/office/drawing/2014/main" id="{A0083B4C-5862-EDDB-A824-9CBFDA8AFDF0}"/>
            </a:ext>
          </a:extLst>
        </xdr:cNvPr>
        <xdr:cNvPicPr>
          <a:picLocks noChangeAspect="1"/>
        </xdr:cNvPicPr>
      </xdr:nvPicPr>
      <xdr:blipFill>
        <a:blip xmlns:r="http://schemas.openxmlformats.org/officeDocument/2006/relationships" r:embed="rId2"/>
        <a:stretch>
          <a:fillRect/>
        </a:stretch>
      </xdr:blipFill>
      <xdr:spPr>
        <a:xfrm>
          <a:off x="1411941" y="5210735"/>
          <a:ext cx="5658640" cy="19052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119620</xdr:colOff>
      <xdr:row>48</xdr:row>
      <xdr:rowOff>69273</xdr:rowOff>
    </xdr:from>
    <xdr:to>
      <xdr:col>26</xdr:col>
      <xdr:colOff>647194</xdr:colOff>
      <xdr:row>56</xdr:row>
      <xdr:rowOff>208419</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16531319" y="10329553"/>
          <a:ext cx="2213870" cy="2077892"/>
        </a:xfrm>
        <a:prstGeom prst="rect">
          <a:avLst/>
        </a:prstGeom>
      </xdr:spPr>
    </xdr:pic>
    <xdr:clientData/>
  </xdr:twoCellAnchor>
  <xdr:twoCellAnchor editAs="oneCell">
    <xdr:from>
      <xdr:col>20</xdr:col>
      <xdr:colOff>369093</xdr:colOff>
      <xdr:row>52</xdr:row>
      <xdr:rowOff>12644</xdr:rowOff>
    </xdr:from>
    <xdr:to>
      <xdr:col>21</xdr:col>
      <xdr:colOff>799796</xdr:colOff>
      <xdr:row>53</xdr:row>
      <xdr:rowOff>105583</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54</xdr:row>
      <xdr:rowOff>55959</xdr:rowOff>
    </xdr:from>
    <xdr:to>
      <xdr:col>21</xdr:col>
      <xdr:colOff>265583</xdr:colOff>
      <xdr:row>59</xdr:row>
      <xdr:rowOff>143726</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twoCellAnchor editAs="oneCell">
    <xdr:from>
      <xdr:col>3</xdr:col>
      <xdr:colOff>27215</xdr:colOff>
      <xdr:row>54</xdr:row>
      <xdr:rowOff>45357</xdr:rowOff>
    </xdr:from>
    <xdr:to>
      <xdr:col>21</xdr:col>
      <xdr:colOff>620369</xdr:colOff>
      <xdr:row>67</xdr:row>
      <xdr:rowOff>154214</xdr:rowOff>
    </xdr:to>
    <xdr:pic>
      <xdr:nvPicPr>
        <xdr:cNvPr id="2" name="Imagen 1">
          <a:extLst>
            <a:ext uri="{FF2B5EF4-FFF2-40B4-BE49-F238E27FC236}">
              <a16:creationId xmlns:a16="http://schemas.microsoft.com/office/drawing/2014/main" id="{AF1099B7-8CFF-B703-13EF-81E74A19A7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01" y="12781643"/>
          <a:ext cx="14599439" cy="317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297136</xdr:colOff>
      <xdr:row>1</xdr:row>
      <xdr:rowOff>0</xdr:rowOff>
    </xdr:from>
    <xdr:to>
      <xdr:col>27</xdr:col>
      <xdr:colOff>675804</xdr:colOff>
      <xdr:row>11</xdr:row>
      <xdr:rowOff>125067</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4548" t="6115" r="12715" b="5678"/>
        <a:stretch/>
      </xdr:blipFill>
      <xdr:spPr>
        <a:xfrm>
          <a:off x="14562224" y="1028010"/>
          <a:ext cx="1854669" cy="2475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 val="EP RUs"/>
      <sheetName val="Synth.  zone &quot;E0&quot; 02"/>
      <sheetName val="Z_mantto"/>
      <sheetName val="Aviso_1"/>
      <sheetName val="Aviso_2"/>
      <sheetName val="Factor_A"/>
      <sheetName val="San_Andrés"/>
      <sheetName val="Vol Lub Mes"/>
      <sheetName val="Vol Avi Mes"/>
      <sheetName val="DATOS_PI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R27"/>
  <sheetViews>
    <sheetView showGridLines="0" topLeftCell="B1" zoomScale="80" zoomScaleNormal="80" workbookViewId="0">
      <selection activeCell="F18" sqref="F18"/>
    </sheetView>
  </sheetViews>
  <sheetFormatPr baseColWidth="10" defaultRowHeight="15" x14ac:dyDescent="0.25"/>
  <cols>
    <col min="3" max="3" width="31.140625" customWidth="1"/>
    <col min="4" max="4" width="19" customWidth="1"/>
    <col min="5" max="5" width="25" customWidth="1"/>
  </cols>
  <sheetData>
    <row r="3" spans="2:18" ht="47.25" customHeight="1" x14ac:dyDescent="0.25"/>
    <row r="5" spans="2:18" ht="45" x14ac:dyDescent="0.25">
      <c r="C5" s="276" t="s">
        <v>391</v>
      </c>
      <c r="D5" s="286" t="s">
        <v>392</v>
      </c>
      <c r="E5" s="277" t="s">
        <v>393</v>
      </c>
    </row>
    <row r="6" spans="2:18" x14ac:dyDescent="0.25">
      <c r="B6" s="848" t="s">
        <v>394</v>
      </c>
      <c r="C6" s="278" t="s">
        <v>395</v>
      </c>
      <c r="D6" s="279">
        <v>8.3800000000000008</v>
      </c>
      <c r="E6" s="279" t="s">
        <v>396</v>
      </c>
      <c r="P6" s="272"/>
    </row>
    <row r="7" spans="2:18" ht="15.75" thickBot="1" x14ac:dyDescent="0.3">
      <c r="B7" s="850"/>
      <c r="C7" s="285" t="s">
        <v>403</v>
      </c>
      <c r="D7" s="279"/>
      <c r="E7" s="279" t="s">
        <v>406</v>
      </c>
      <c r="O7" s="272"/>
    </row>
    <row r="8" spans="2:18" x14ac:dyDescent="0.25">
      <c r="B8" s="848" t="s">
        <v>397</v>
      </c>
      <c r="C8" s="278" t="s">
        <v>401</v>
      </c>
      <c r="D8" s="279">
        <v>8.3800000000000008</v>
      </c>
      <c r="E8" s="279" t="s">
        <v>396</v>
      </c>
      <c r="H8" s="383"/>
      <c r="I8" s="384">
        <v>0.03</v>
      </c>
      <c r="J8" s="386">
        <v>2016</v>
      </c>
      <c r="K8" s="386">
        <v>2017</v>
      </c>
      <c r="L8" s="386">
        <v>2018</v>
      </c>
      <c r="M8" s="386">
        <v>2019</v>
      </c>
      <c r="N8" s="386">
        <v>2020</v>
      </c>
      <c r="O8" s="386">
        <v>2021</v>
      </c>
      <c r="P8" s="386">
        <v>2022</v>
      </c>
      <c r="Q8" s="386">
        <v>2021</v>
      </c>
    </row>
    <row r="9" spans="2:18" x14ac:dyDescent="0.25">
      <c r="B9" s="849"/>
      <c r="C9" s="285" t="s">
        <v>404</v>
      </c>
      <c r="D9" s="279"/>
      <c r="E9" s="279" t="str">
        <f>+E7</f>
        <v>4,55.</v>
      </c>
      <c r="H9" s="383">
        <v>6.82</v>
      </c>
      <c r="I9" s="385">
        <f t="shared" ref="I9:P11" si="0">+H9*(1+$I$8)</f>
        <v>7.0246000000000004</v>
      </c>
      <c r="J9" s="387">
        <f t="shared" si="0"/>
        <v>7.2353380000000005</v>
      </c>
      <c r="K9" s="387">
        <f t="shared" si="0"/>
        <v>7.4523981400000006</v>
      </c>
      <c r="L9" s="387">
        <f>+K9*(1+$I$8)-0.01</f>
        <v>7.6659700842000014</v>
      </c>
      <c r="M9" s="388">
        <f>+L9*(1+$I$8)</f>
        <v>7.8959491867260017</v>
      </c>
      <c r="N9" s="387">
        <f t="shared" si="0"/>
        <v>8.1328276623277826</v>
      </c>
      <c r="O9" s="387">
        <f>+N9*(1+$I$8)</f>
        <v>8.376812492197617</v>
      </c>
      <c r="P9" s="387">
        <f t="shared" si="0"/>
        <v>8.6281168669635466</v>
      </c>
      <c r="Q9" s="584">
        <f>+P9*(1+$I$8)</f>
        <v>8.8869603729724531</v>
      </c>
      <c r="R9" s="387"/>
    </row>
    <row r="10" spans="2:18" x14ac:dyDescent="0.25">
      <c r="B10" s="848" t="s">
        <v>398</v>
      </c>
      <c r="C10" s="278" t="s">
        <v>262</v>
      </c>
      <c r="D10" s="279">
        <v>8.3800000000000008</v>
      </c>
      <c r="E10" s="279" t="s">
        <v>396</v>
      </c>
      <c r="H10" s="383">
        <v>3.7</v>
      </c>
      <c r="I10" s="385">
        <f t="shared" si="0"/>
        <v>3.8110000000000004</v>
      </c>
      <c r="J10" s="387">
        <f t="shared" si="0"/>
        <v>3.9253300000000007</v>
      </c>
      <c r="K10" s="387">
        <f t="shared" si="0"/>
        <v>4.0430899000000009</v>
      </c>
      <c r="L10" s="387">
        <f t="shared" si="0"/>
        <v>4.1643825970000012</v>
      </c>
      <c r="M10" s="387">
        <f t="shared" si="0"/>
        <v>4.2893140749100018</v>
      </c>
      <c r="N10" s="387">
        <f t="shared" si="0"/>
        <v>4.4179934971573021</v>
      </c>
      <c r="O10" s="387">
        <f t="shared" si="0"/>
        <v>4.5505333020720213</v>
      </c>
      <c r="P10" s="387">
        <f t="shared" si="0"/>
        <v>4.6870493011341825</v>
      </c>
      <c r="Q10" s="387">
        <f>+P10*(1+$I$8)</f>
        <v>4.8276607801682081</v>
      </c>
      <c r="R10" s="387"/>
    </row>
    <row r="11" spans="2:18" ht="15.75" thickBot="1" x14ac:dyDescent="0.3">
      <c r="B11" s="849"/>
      <c r="C11" s="285" t="s">
        <v>405</v>
      </c>
      <c r="D11" s="279"/>
      <c r="E11" s="279" t="str">
        <f>+E9</f>
        <v>4,55.</v>
      </c>
      <c r="H11" s="383">
        <v>10.52</v>
      </c>
      <c r="I11" s="586">
        <f t="shared" si="0"/>
        <v>10.835599999999999</v>
      </c>
      <c r="J11" s="587">
        <f t="shared" si="0"/>
        <v>11.160667999999999</v>
      </c>
      <c r="K11" s="587">
        <f t="shared" si="0"/>
        <v>11.49548804</v>
      </c>
      <c r="L11" s="587">
        <f t="shared" si="0"/>
        <v>11.840352681200001</v>
      </c>
      <c r="M11" s="587">
        <f t="shared" si="0"/>
        <v>12.195563261636002</v>
      </c>
      <c r="N11" s="587">
        <f t="shared" si="0"/>
        <v>12.561430159485083</v>
      </c>
      <c r="O11" s="587">
        <f t="shared" si="0"/>
        <v>12.938273064269636</v>
      </c>
      <c r="P11" s="587">
        <f t="shared" si="0"/>
        <v>13.326421256197724</v>
      </c>
      <c r="Q11" s="585">
        <f>+P11*(1+$I$8)</f>
        <v>13.726213893883656</v>
      </c>
    </row>
    <row r="12" spans="2:18" x14ac:dyDescent="0.25">
      <c r="B12" s="850" t="s">
        <v>399</v>
      </c>
      <c r="C12" s="278" t="s">
        <v>402</v>
      </c>
      <c r="D12" s="279">
        <v>8.3800000000000008</v>
      </c>
      <c r="E12" s="279" t="s">
        <v>396</v>
      </c>
      <c r="H12" s="284"/>
      <c r="I12" s="284"/>
      <c r="J12" s="284"/>
      <c r="K12" s="284"/>
      <c r="L12" s="284"/>
      <c r="M12" s="284"/>
      <c r="N12" s="284"/>
      <c r="O12" s="284">
        <f>12.94-8.38</f>
        <v>4.5599999999999987</v>
      </c>
      <c r="P12" s="284"/>
    </row>
    <row r="13" spans="2:18" x14ac:dyDescent="0.25">
      <c r="B13" s="849"/>
      <c r="C13" s="278" t="s">
        <v>402</v>
      </c>
      <c r="D13" s="279"/>
      <c r="E13" s="279" t="str">
        <f>+E11</f>
        <v>4,55.</v>
      </c>
    </row>
    <row r="15" spans="2:18" x14ac:dyDescent="0.25">
      <c r="C15" s="251" t="s">
        <v>400</v>
      </c>
    </row>
    <row r="17" spans="2:8" ht="45" x14ac:dyDescent="0.25">
      <c r="C17" s="276" t="s">
        <v>391</v>
      </c>
      <c r="D17" s="286" t="s">
        <v>392</v>
      </c>
      <c r="E17" s="277" t="s">
        <v>393</v>
      </c>
    </row>
    <row r="18" spans="2:8" x14ac:dyDescent="0.25">
      <c r="B18" s="848" t="s">
        <v>394</v>
      </c>
      <c r="C18" s="278" t="s">
        <v>395</v>
      </c>
      <c r="D18" s="279">
        <v>8.6300000000000008</v>
      </c>
      <c r="E18" s="279" t="s">
        <v>458</v>
      </c>
      <c r="G18">
        <f>6.82+3.7</f>
        <v>10.52</v>
      </c>
    </row>
    <row r="19" spans="2:8" x14ac:dyDescent="0.25">
      <c r="B19" s="850"/>
      <c r="C19" s="285" t="s">
        <v>403</v>
      </c>
      <c r="D19" s="279"/>
      <c r="E19" s="279">
        <v>4.6900000000000004</v>
      </c>
    </row>
    <row r="20" spans="2:8" x14ac:dyDescent="0.25">
      <c r="B20" s="848" t="s">
        <v>397</v>
      </c>
      <c r="C20" s="278" t="s">
        <v>401</v>
      </c>
      <c r="D20" s="279">
        <v>8.6300000000000008</v>
      </c>
      <c r="E20" s="279" t="s">
        <v>458</v>
      </c>
    </row>
    <row r="21" spans="2:8" x14ac:dyDescent="0.25">
      <c r="B21" s="849"/>
      <c r="C21" s="285" t="s">
        <v>404</v>
      </c>
      <c r="D21" s="279"/>
      <c r="E21" s="279">
        <f>+E19</f>
        <v>4.6900000000000004</v>
      </c>
    </row>
    <row r="22" spans="2:8" x14ac:dyDescent="0.25">
      <c r="B22" s="848" t="s">
        <v>398</v>
      </c>
      <c r="C22" s="278" t="s">
        <v>262</v>
      </c>
      <c r="D22" s="279">
        <v>8.6300000000000008</v>
      </c>
      <c r="E22" s="279" t="s">
        <v>458</v>
      </c>
    </row>
    <row r="23" spans="2:8" x14ac:dyDescent="0.25">
      <c r="B23" s="849"/>
      <c r="C23" s="285" t="s">
        <v>405</v>
      </c>
      <c r="D23" s="279"/>
      <c r="E23" s="279">
        <f>+E21</f>
        <v>4.6900000000000004</v>
      </c>
    </row>
    <row r="24" spans="2:8" x14ac:dyDescent="0.25">
      <c r="B24" s="850" t="s">
        <v>399</v>
      </c>
      <c r="C24" s="278" t="s">
        <v>402</v>
      </c>
      <c r="D24" s="279">
        <v>8.6300000000000008</v>
      </c>
      <c r="E24" s="279" t="s">
        <v>458</v>
      </c>
    </row>
    <row r="25" spans="2:8" x14ac:dyDescent="0.25">
      <c r="B25" s="849"/>
      <c r="C25" s="278" t="s">
        <v>402</v>
      </c>
      <c r="D25" s="279"/>
      <c r="E25" s="279">
        <f>+E23</f>
        <v>4.6900000000000004</v>
      </c>
    </row>
    <row r="27" spans="2:8" x14ac:dyDescent="0.25">
      <c r="H27">
        <f>8.63+4.69</f>
        <v>13.32</v>
      </c>
    </row>
  </sheetData>
  <mergeCells count="8">
    <mergeCell ref="B20:B21"/>
    <mergeCell ref="B22:B23"/>
    <mergeCell ref="B24:B25"/>
    <mergeCell ref="B6:B7"/>
    <mergeCell ref="B8:B9"/>
    <mergeCell ref="B10:B11"/>
    <mergeCell ref="B12:B13"/>
    <mergeCell ref="B18:B1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P41"/>
  <sheetViews>
    <sheetView showGridLines="0" zoomScale="90" zoomScaleNormal="90" workbookViewId="0">
      <selection activeCell="C15" sqref="C15"/>
    </sheetView>
  </sheetViews>
  <sheetFormatPr baseColWidth="10" defaultRowHeight="15" x14ac:dyDescent="0.25"/>
  <cols>
    <col min="1" max="1" width="6.140625" customWidth="1"/>
    <col min="2" max="2" width="46" customWidth="1"/>
    <col min="3" max="3" width="12.85546875" customWidth="1"/>
    <col min="4" max="4" width="10.7109375" customWidth="1"/>
    <col min="5" max="5" width="11.5703125" customWidth="1"/>
    <col min="6" max="6" width="11.42578125" customWidth="1"/>
    <col min="7" max="7" width="14" customWidth="1"/>
    <col min="8" max="8" width="11.85546875" customWidth="1"/>
    <col min="9" max="9" width="14.140625" customWidth="1"/>
    <col min="10" max="10" width="11.42578125" customWidth="1"/>
  </cols>
  <sheetData>
    <row r="1" spans="1:10" x14ac:dyDescent="0.25">
      <c r="A1" s="77"/>
      <c r="B1" s="77" t="str">
        <f>+AMAZONAS!C1</f>
        <v>Vigencia: 22 de Marzo de 2025; 00:00 horas</v>
      </c>
      <c r="C1" s="77"/>
      <c r="D1" s="77"/>
      <c r="E1" s="77"/>
      <c r="F1" s="77"/>
      <c r="G1" s="77"/>
      <c r="H1" s="77"/>
    </row>
    <row r="2" spans="1:10" ht="15.75" thickBot="1" x14ac:dyDescent="0.3">
      <c r="A2" s="146" t="s">
        <v>162</v>
      </c>
      <c r="B2" s="147"/>
      <c r="C2" s="147"/>
      <c r="D2" s="593"/>
      <c r="E2" s="147"/>
      <c r="F2" s="147"/>
      <c r="G2" s="593"/>
      <c r="H2" s="147"/>
    </row>
    <row r="3" spans="1:10" ht="15.95" customHeight="1" thickTop="1" x14ac:dyDescent="0.25">
      <c r="A3" s="125"/>
      <c r="B3" s="104" t="s">
        <v>240</v>
      </c>
      <c r="C3" s="943" t="s">
        <v>163</v>
      </c>
      <c r="D3" s="944"/>
      <c r="E3" s="944"/>
      <c r="F3" s="944"/>
      <c r="G3" s="945" t="s">
        <v>231</v>
      </c>
      <c r="H3" s="946"/>
    </row>
    <row r="4" spans="1:10" ht="25.5" x14ac:dyDescent="0.25">
      <c r="A4" s="78"/>
      <c r="B4" s="389" t="s">
        <v>459</v>
      </c>
      <c r="C4" s="938"/>
      <c r="D4" s="939"/>
      <c r="E4" s="939"/>
      <c r="F4" s="939"/>
      <c r="G4" s="947"/>
      <c r="H4" s="948"/>
    </row>
    <row r="5" spans="1:10" ht="27.75" customHeight="1" x14ac:dyDescent="0.25">
      <c r="A5" s="924" t="s">
        <v>164</v>
      </c>
      <c r="B5" s="926" t="s">
        <v>165</v>
      </c>
      <c r="C5" s="942" t="s">
        <v>222</v>
      </c>
      <c r="D5" s="106" t="s">
        <v>96</v>
      </c>
      <c r="E5" s="106" t="s">
        <v>367</v>
      </c>
      <c r="F5" s="106" t="s">
        <v>497</v>
      </c>
      <c r="G5" s="515" t="str">
        <f>+D5</f>
        <v>Gasolina Corriente</v>
      </c>
      <c r="H5" s="516" t="s">
        <v>497</v>
      </c>
    </row>
    <row r="6" spans="1:10" x14ac:dyDescent="0.25">
      <c r="A6" s="924"/>
      <c r="B6" s="926"/>
      <c r="C6" s="931"/>
      <c r="D6" s="121">
        <v>0.1</v>
      </c>
      <c r="E6" s="121">
        <v>0.02</v>
      </c>
      <c r="F6" s="233">
        <v>0.1</v>
      </c>
      <c r="G6" s="121">
        <v>0.1</v>
      </c>
      <c r="H6" s="552">
        <v>0.1</v>
      </c>
    </row>
    <row r="7" spans="1:10" ht="15.75" thickBot="1" x14ac:dyDescent="0.3">
      <c r="A7" s="925"/>
      <c r="B7" s="927"/>
      <c r="C7" s="650" t="s">
        <v>166</v>
      </c>
      <c r="D7" s="658" t="s">
        <v>166</v>
      </c>
      <c r="E7" s="658" t="s">
        <v>166</v>
      </c>
      <c r="F7" s="658" t="s">
        <v>166</v>
      </c>
      <c r="G7" s="696" t="str">
        <f>+D7</f>
        <v>$/Galón</v>
      </c>
      <c r="H7" s="659" t="s">
        <v>166</v>
      </c>
    </row>
    <row r="8" spans="1:10" ht="15.75" thickTop="1" x14ac:dyDescent="0.25">
      <c r="A8" s="80" t="s">
        <v>167</v>
      </c>
      <c r="B8" s="86" t="s">
        <v>168</v>
      </c>
      <c r="C8" s="661">
        <f>+'Calculo IP ZDF'!B30</f>
        <v>10456.1</v>
      </c>
      <c r="D8" s="662">
        <f>+'Calculo IP ZDF'!H30</f>
        <v>11009.89</v>
      </c>
      <c r="E8" s="697">
        <f>+'Calculo IP ZDF'!F30</f>
        <v>5595.79</v>
      </c>
      <c r="F8" s="662">
        <f>+'Calculo IP ZDF'!M30</f>
        <v>6833.5940320000009</v>
      </c>
      <c r="G8" s="698">
        <f>+'IMPUESTO AL CARBONO GMR'!D9</f>
        <v>11009.89</v>
      </c>
      <c r="H8" s="664">
        <f>+BIODIESEL!F9</f>
        <v>6983.2690000000002</v>
      </c>
    </row>
    <row r="9" spans="1:10" ht="20.45" customHeight="1" x14ac:dyDescent="0.25">
      <c r="A9" s="80" t="s">
        <v>169</v>
      </c>
      <c r="B9" s="86" t="s">
        <v>170</v>
      </c>
      <c r="C9" s="90" t="s">
        <v>677</v>
      </c>
      <c r="D9" s="129" t="s">
        <v>677</v>
      </c>
      <c r="E9" s="355" t="s">
        <v>677</v>
      </c>
      <c r="F9" s="129" t="s">
        <v>677</v>
      </c>
      <c r="G9" s="525">
        <f>+'IMPUESTO AL CARBONO GMR'!D10</f>
        <v>686.15099999999995</v>
      </c>
      <c r="H9" s="529">
        <f>+BIODIESEL!F10</f>
        <v>656.74</v>
      </c>
    </row>
    <row r="10" spans="1:10" ht="15.6" customHeight="1" x14ac:dyDescent="0.25">
      <c r="A10" s="80"/>
      <c r="B10" s="86" t="s">
        <v>129</v>
      </c>
      <c r="C10" s="90" t="s">
        <v>677</v>
      </c>
      <c r="D10" s="129" t="s">
        <v>677</v>
      </c>
      <c r="E10" s="355" t="s">
        <v>677</v>
      </c>
      <c r="F10" s="129" t="s">
        <v>677</v>
      </c>
      <c r="G10" s="525" t="s">
        <v>130</v>
      </c>
      <c r="H10" s="529" t="s">
        <v>130</v>
      </c>
    </row>
    <row r="11" spans="1:10" x14ac:dyDescent="0.25">
      <c r="A11" s="80"/>
      <c r="B11" s="86" t="s">
        <v>131</v>
      </c>
      <c r="C11" s="169">
        <f>+'IMPUESTO AL CARBONO GMR'!C12</f>
        <v>197.93</v>
      </c>
      <c r="D11" s="129">
        <f>+'IMPUESTO AL CARBONO GMR'!D12</f>
        <v>178.137</v>
      </c>
      <c r="E11" s="355">
        <f>+BIODIESEL!E12</f>
        <v>219.21619999999999</v>
      </c>
      <c r="F11" s="355">
        <f>+BIODIESEL!F12</f>
        <v>201.321</v>
      </c>
      <c r="G11" s="525">
        <f>+'IMPUESTO AL CARBONO GMR'!D12</f>
        <v>178.137</v>
      </c>
      <c r="H11" s="529">
        <f>+F11</f>
        <v>201.321</v>
      </c>
      <c r="J11" s="248" t="s">
        <v>384</v>
      </c>
    </row>
    <row r="12" spans="1:10" x14ac:dyDescent="0.25">
      <c r="A12" s="80" t="s">
        <v>172</v>
      </c>
      <c r="B12" s="86" t="s">
        <v>232</v>
      </c>
      <c r="C12" s="169" t="s">
        <v>200</v>
      </c>
      <c r="D12" s="84" t="s">
        <v>200</v>
      </c>
      <c r="E12" s="136" t="s">
        <v>200</v>
      </c>
      <c r="F12" s="84" t="s">
        <v>200</v>
      </c>
      <c r="G12" s="525" t="s">
        <v>200</v>
      </c>
      <c r="H12" s="529" t="s">
        <v>200</v>
      </c>
    </row>
    <row r="13" spans="1:10" x14ac:dyDescent="0.25">
      <c r="A13" s="80" t="s">
        <v>233</v>
      </c>
      <c r="B13" s="86" t="s">
        <v>234</v>
      </c>
      <c r="C13" s="169" t="s">
        <v>235</v>
      </c>
      <c r="D13" s="84" t="s">
        <v>235</v>
      </c>
      <c r="E13" s="355" t="s">
        <v>201</v>
      </c>
      <c r="F13" s="355" t="s">
        <v>201</v>
      </c>
      <c r="G13" s="525" t="s">
        <v>235</v>
      </c>
      <c r="H13" s="529" t="s">
        <v>201</v>
      </c>
    </row>
    <row r="14" spans="1:10" x14ac:dyDescent="0.25">
      <c r="A14" s="80" t="s">
        <v>174</v>
      </c>
      <c r="B14" s="86" t="s">
        <v>175</v>
      </c>
      <c r="C14" s="169">
        <f>+RUBROS!$AL$15</f>
        <v>30.560765344237307</v>
      </c>
      <c r="D14" s="128">
        <f>+RUBROS!$AL$15</f>
        <v>30.560765344237307</v>
      </c>
      <c r="E14" s="128">
        <f>+RUBROS!$AL$15</f>
        <v>30.560765344237307</v>
      </c>
      <c r="F14" s="128">
        <f>+RUBROS!$AL$15</f>
        <v>30.560765344237307</v>
      </c>
      <c r="G14" s="525">
        <f>+D14</f>
        <v>30.560765344237307</v>
      </c>
      <c r="H14" s="529">
        <f>+E14</f>
        <v>30.560765344237307</v>
      </c>
      <c r="J14" s="248" t="s">
        <v>384</v>
      </c>
    </row>
    <row r="15" spans="1:10" x14ac:dyDescent="0.25">
      <c r="A15" s="80" t="s">
        <v>178</v>
      </c>
      <c r="B15" s="86" t="s">
        <v>179</v>
      </c>
      <c r="C15" s="169">
        <f>+RUBROS!BJ29</f>
        <v>14.562140320021172</v>
      </c>
      <c r="D15" s="84">
        <f>+C15</f>
        <v>14.562140320021172</v>
      </c>
      <c r="E15" s="130">
        <f>+RUBROS!BJ29</f>
        <v>14.562140320021172</v>
      </c>
      <c r="F15" s="84">
        <f>+E15</f>
        <v>14.562140320021172</v>
      </c>
      <c r="G15" s="525">
        <f>+D15</f>
        <v>14.562140320021172</v>
      </c>
      <c r="H15" s="529">
        <f>+E15</f>
        <v>14.562140320021172</v>
      </c>
      <c r="J15" s="248" t="s">
        <v>383</v>
      </c>
    </row>
    <row r="16" spans="1:10" ht="20.25" hidden="1" customHeight="1" x14ac:dyDescent="0.25">
      <c r="A16" s="80"/>
      <c r="B16" s="86" t="s">
        <v>180</v>
      </c>
      <c r="C16" s="169"/>
      <c r="D16" s="353"/>
      <c r="E16" s="131"/>
      <c r="F16" s="353"/>
      <c r="G16" s="522"/>
      <c r="H16" s="529"/>
    </row>
    <row r="17" spans="1:16" x14ac:dyDescent="0.25">
      <c r="A17" s="87" t="s">
        <v>181</v>
      </c>
      <c r="B17" s="112" t="s">
        <v>182</v>
      </c>
      <c r="C17" s="667">
        <f t="shared" ref="C17:H17" si="0">SUM(C8:C16)</f>
        <v>10699.152905664258</v>
      </c>
      <c r="D17" s="132">
        <f t="shared" si="0"/>
        <v>11233.149905664257</v>
      </c>
      <c r="E17" s="133">
        <f t="shared" si="0"/>
        <v>5860.1291056642585</v>
      </c>
      <c r="F17" s="132">
        <f t="shared" si="0"/>
        <v>7080.0379376642595</v>
      </c>
      <c r="G17" s="534">
        <f t="shared" si="0"/>
        <v>11919.300905664259</v>
      </c>
      <c r="H17" s="540">
        <f t="shared" si="0"/>
        <v>7886.4529056642587</v>
      </c>
    </row>
    <row r="18" spans="1:16" x14ac:dyDescent="0.25">
      <c r="A18" s="80" t="s">
        <v>183</v>
      </c>
      <c r="B18" s="86" t="s">
        <v>184</v>
      </c>
      <c r="C18" s="169" t="s">
        <v>213</v>
      </c>
      <c r="D18" s="128" t="s">
        <v>213</v>
      </c>
      <c r="E18" s="135" t="s">
        <v>213</v>
      </c>
      <c r="F18" s="128" t="s">
        <v>213</v>
      </c>
      <c r="G18" s="522" t="s">
        <v>213</v>
      </c>
      <c r="H18" s="524" t="s">
        <v>213</v>
      </c>
    </row>
    <row r="19" spans="1:16" x14ac:dyDescent="0.25">
      <c r="A19" s="80" t="s">
        <v>185</v>
      </c>
      <c r="B19" s="86" t="s">
        <v>186</v>
      </c>
      <c r="C19" s="169" t="s">
        <v>211</v>
      </c>
      <c r="D19" s="128" t="s">
        <v>211</v>
      </c>
      <c r="E19" s="136" t="s">
        <v>211</v>
      </c>
      <c r="F19" s="128" t="s">
        <v>211</v>
      </c>
      <c r="G19" s="522" t="s">
        <v>211</v>
      </c>
      <c r="H19" s="524" t="s">
        <v>211</v>
      </c>
    </row>
    <row r="20" spans="1:16" x14ac:dyDescent="0.25">
      <c r="A20" s="80" t="s">
        <v>187</v>
      </c>
      <c r="B20" s="86" t="s">
        <v>188</v>
      </c>
      <c r="C20" s="169" t="s">
        <v>215</v>
      </c>
      <c r="D20" s="128" t="s">
        <v>215</v>
      </c>
      <c r="E20" s="84" t="s">
        <v>215</v>
      </c>
      <c r="F20" s="128" t="s">
        <v>215</v>
      </c>
      <c r="G20" s="522" t="s">
        <v>215</v>
      </c>
      <c r="H20" s="524" t="s">
        <v>215</v>
      </c>
    </row>
    <row r="21" spans="1:16" x14ac:dyDescent="0.25">
      <c r="A21" s="87" t="s">
        <v>189</v>
      </c>
      <c r="B21" s="112" t="s">
        <v>190</v>
      </c>
      <c r="C21" s="667">
        <f t="shared" ref="C21:E21" si="1">+C17</f>
        <v>10699.152905664258</v>
      </c>
      <c r="D21" s="132">
        <f t="shared" si="1"/>
        <v>11233.149905664257</v>
      </c>
      <c r="E21" s="132">
        <f t="shared" si="1"/>
        <v>5860.1291056642585</v>
      </c>
      <c r="F21" s="132">
        <f t="shared" ref="F21" si="2">+F17</f>
        <v>7080.0379376642595</v>
      </c>
      <c r="G21" s="548">
        <f t="shared" ref="G21" si="3">+G17</f>
        <v>11919.300905664259</v>
      </c>
      <c r="H21" s="550">
        <f t="shared" ref="H21" si="4">+H17</f>
        <v>7886.4529056642587</v>
      </c>
    </row>
    <row r="22" spans="1:16" x14ac:dyDescent="0.25">
      <c r="A22" s="80" t="s">
        <v>191</v>
      </c>
      <c r="B22" s="86" t="s">
        <v>150</v>
      </c>
      <c r="C22" s="169" t="s">
        <v>213</v>
      </c>
      <c r="D22" s="128" t="s">
        <v>213</v>
      </c>
      <c r="E22" s="84" t="s">
        <v>213</v>
      </c>
      <c r="F22" s="128" t="s">
        <v>213</v>
      </c>
      <c r="G22" s="522" t="s">
        <v>213</v>
      </c>
      <c r="H22" s="524" t="s">
        <v>213</v>
      </c>
    </row>
    <row r="23" spans="1:16" x14ac:dyDescent="0.25">
      <c r="A23" s="80" t="s">
        <v>192</v>
      </c>
      <c r="B23" s="81" t="s">
        <v>193</v>
      </c>
      <c r="C23" s="169" t="s">
        <v>217</v>
      </c>
      <c r="D23" s="128" t="s">
        <v>217</v>
      </c>
      <c r="E23" s="84" t="s">
        <v>235</v>
      </c>
      <c r="F23" s="128" t="s">
        <v>194</v>
      </c>
      <c r="G23" s="522" t="str">
        <f>+D23</f>
        <v>*****</v>
      </c>
      <c r="H23" s="524" t="s">
        <v>236</v>
      </c>
    </row>
    <row r="24" spans="1:16" x14ac:dyDescent="0.25">
      <c r="A24" s="80" t="s">
        <v>195</v>
      </c>
      <c r="B24" s="86" t="s">
        <v>196</v>
      </c>
      <c r="C24" s="169" t="s">
        <v>218</v>
      </c>
      <c r="D24" s="128" t="s">
        <v>218</v>
      </c>
      <c r="E24" s="136" t="s">
        <v>218</v>
      </c>
      <c r="F24" s="128" t="s">
        <v>218</v>
      </c>
      <c r="G24" s="522" t="s">
        <v>218</v>
      </c>
      <c r="H24" s="524" t="s">
        <v>218</v>
      </c>
    </row>
    <row r="25" spans="1:16" ht="15.75" thickBot="1" x14ac:dyDescent="0.3">
      <c r="A25" s="91" t="s">
        <v>197</v>
      </c>
      <c r="B25" s="92" t="s">
        <v>198</v>
      </c>
      <c r="C25" s="668"/>
      <c r="D25" s="137"/>
      <c r="E25" s="138"/>
      <c r="F25" s="138"/>
      <c r="G25" s="542"/>
      <c r="H25" s="544"/>
    </row>
    <row r="26" spans="1:16" ht="15.75" thickTop="1" x14ac:dyDescent="0.25"/>
    <row r="27" spans="1:16" x14ac:dyDescent="0.25">
      <c r="A27" s="99"/>
      <c r="B27" s="116" t="s">
        <v>209</v>
      </c>
      <c r="C27" s="140"/>
      <c r="D27" s="140"/>
      <c r="E27" s="140"/>
      <c r="F27" s="140"/>
      <c r="G27" s="140"/>
      <c r="H27" s="124"/>
      <c r="I27" s="124"/>
      <c r="J27" s="124"/>
      <c r="K27" s="124"/>
      <c r="L27" s="124"/>
      <c r="M27" s="124"/>
      <c r="N27" s="124"/>
      <c r="O27" s="124"/>
      <c r="P27" s="124"/>
    </row>
    <row r="28" spans="1:16" x14ac:dyDescent="0.25">
      <c r="A28" s="99"/>
      <c r="B28" s="116"/>
      <c r="C28" s="140"/>
      <c r="D28" s="140"/>
      <c r="E28" s="140"/>
      <c r="F28" s="140"/>
      <c r="G28" s="140"/>
      <c r="H28" s="124"/>
      <c r="I28" s="124"/>
      <c r="J28" s="124"/>
      <c r="K28" s="124"/>
      <c r="L28" s="124"/>
      <c r="M28" s="124"/>
      <c r="N28" s="124"/>
      <c r="O28" s="124"/>
      <c r="P28" s="124"/>
    </row>
    <row r="29" spans="1:16" ht="30.6" customHeight="1" x14ac:dyDescent="0.25">
      <c r="A29" s="99" t="s">
        <v>173</v>
      </c>
      <c r="B29" s="933" t="str">
        <f>+ARAUCA!B29</f>
        <v>De acuerdo con lo establecido en la Resoluccion 91349 de 2014 del MME para combustible de origen nacional o importado a ser distribuido en zonas de frontera, aplica la tarifa de marcación o remarcación vigente a la fecha según corresponda</v>
      </c>
      <c r="C29" s="933"/>
      <c r="D29" s="933"/>
      <c r="E29" s="933"/>
      <c r="F29" s="933"/>
      <c r="G29" s="933"/>
      <c r="H29" s="933"/>
      <c r="I29" s="933"/>
      <c r="J29" s="933"/>
      <c r="K29" s="141"/>
      <c r="L29" s="141"/>
      <c r="M29" s="141"/>
      <c r="N29" s="141"/>
      <c r="O29" s="141"/>
      <c r="P29" s="141"/>
    </row>
    <row r="30" spans="1:16" x14ac:dyDescent="0.25">
      <c r="A30" s="99" t="s">
        <v>200</v>
      </c>
      <c r="B30" s="100" t="s">
        <v>199</v>
      </c>
      <c r="C30" s="140"/>
      <c r="D30" s="140"/>
      <c r="E30" s="140"/>
      <c r="F30" s="140"/>
      <c r="G30" s="140"/>
      <c r="H30" s="124"/>
      <c r="I30" s="124"/>
      <c r="J30" s="124"/>
      <c r="K30" s="124"/>
      <c r="L30" s="124"/>
      <c r="M30" s="124"/>
      <c r="N30" s="124"/>
      <c r="O30" s="124"/>
      <c r="P30" s="124"/>
    </row>
    <row r="31" spans="1:16" ht="53.45" customHeight="1" x14ac:dyDescent="0.25">
      <c r="A31" s="99" t="s">
        <v>130</v>
      </c>
      <c r="B31" s="933" t="s">
        <v>306</v>
      </c>
      <c r="C31" s="933"/>
      <c r="D31" s="933"/>
      <c r="E31" s="933"/>
      <c r="F31" s="933"/>
      <c r="G31" s="933"/>
      <c r="H31" s="933"/>
      <c r="I31" s="933"/>
      <c r="J31" s="933"/>
      <c r="K31" s="124"/>
      <c r="L31" s="124"/>
      <c r="M31" s="124"/>
      <c r="N31" s="124"/>
      <c r="O31" s="124"/>
      <c r="P31" s="124"/>
    </row>
    <row r="32" spans="1:16" ht="24.75" customHeight="1" x14ac:dyDescent="0.25">
      <c r="A32" s="99" t="s">
        <v>201</v>
      </c>
      <c r="B32" s="933" t="s">
        <v>238</v>
      </c>
      <c r="C32" s="933"/>
      <c r="D32" s="933"/>
      <c r="E32" s="933"/>
      <c r="F32" s="933"/>
      <c r="G32" s="933"/>
      <c r="H32" s="933"/>
      <c r="I32" s="933"/>
      <c r="J32" s="933"/>
      <c r="K32" s="124"/>
      <c r="L32" s="124"/>
      <c r="M32" s="124"/>
      <c r="N32" s="124"/>
      <c r="O32" s="124"/>
      <c r="P32" s="124"/>
    </row>
    <row r="33" spans="1:16" ht="41.45" customHeight="1" x14ac:dyDescent="0.25">
      <c r="A33" s="99"/>
      <c r="B33" s="933" t="s">
        <v>450</v>
      </c>
      <c r="C33" s="933"/>
      <c r="D33" s="933"/>
      <c r="E33" s="933"/>
      <c r="F33" s="933"/>
      <c r="G33" s="933"/>
      <c r="H33" s="933"/>
      <c r="I33" s="933"/>
      <c r="J33" s="124"/>
      <c r="K33" s="124"/>
      <c r="L33" s="124"/>
      <c r="M33" s="124"/>
      <c r="N33" s="124"/>
      <c r="O33" s="124"/>
      <c r="P33" s="124"/>
    </row>
    <row r="34" spans="1:16" x14ac:dyDescent="0.25">
      <c r="A34" s="117" t="s">
        <v>102</v>
      </c>
      <c r="B34" s="914" t="s">
        <v>210</v>
      </c>
      <c r="C34" s="914"/>
      <c r="D34" s="914"/>
      <c r="E34" s="914"/>
      <c r="F34" s="914"/>
      <c r="G34" s="914"/>
      <c r="H34" s="914"/>
      <c r="I34" s="914"/>
      <c r="J34" s="914"/>
      <c r="K34" s="124"/>
      <c r="L34" s="124"/>
      <c r="M34" s="124"/>
      <c r="N34" s="124"/>
      <c r="O34" s="124"/>
      <c r="P34" s="124"/>
    </row>
    <row r="35" spans="1:16" x14ac:dyDescent="0.25">
      <c r="A35" s="117" t="s">
        <v>211</v>
      </c>
      <c r="B35" s="933" t="s">
        <v>242</v>
      </c>
      <c r="C35" s="933"/>
      <c r="D35" s="933"/>
      <c r="E35" s="933"/>
      <c r="F35" s="933"/>
      <c r="G35" s="933"/>
      <c r="H35" s="933"/>
      <c r="I35" s="933"/>
      <c r="J35" s="933"/>
      <c r="K35" s="124"/>
      <c r="L35" s="124"/>
      <c r="M35" s="124"/>
      <c r="N35" s="124"/>
      <c r="O35" s="124"/>
      <c r="P35" s="124"/>
    </row>
    <row r="36" spans="1:16" x14ac:dyDescent="0.25">
      <c r="A36" s="99" t="s">
        <v>213</v>
      </c>
      <c r="B36" s="933" t="s">
        <v>214</v>
      </c>
      <c r="C36" s="933"/>
      <c r="D36" s="933"/>
      <c r="E36" s="933"/>
      <c r="F36" s="933"/>
      <c r="G36" s="933"/>
      <c r="H36" s="933"/>
      <c r="I36" s="99"/>
      <c r="J36" s="914"/>
      <c r="K36" s="914"/>
      <c r="L36" s="914"/>
      <c r="M36" s="914"/>
      <c r="N36" s="914"/>
      <c r="O36" s="914"/>
      <c r="P36" s="914"/>
    </row>
    <row r="37" spans="1:16" x14ac:dyDescent="0.25">
      <c r="A37" s="99" t="s">
        <v>215</v>
      </c>
      <c r="B37" s="914" t="s">
        <v>420</v>
      </c>
      <c r="C37" s="914"/>
      <c r="D37" s="914"/>
      <c r="E37" s="914"/>
      <c r="F37" s="914"/>
      <c r="G37" s="914"/>
      <c r="H37" s="914"/>
      <c r="I37" s="99"/>
      <c r="J37" s="100"/>
      <c r="K37" s="100"/>
      <c r="L37" s="100"/>
      <c r="M37" s="100"/>
      <c r="N37" s="100"/>
      <c r="O37" s="100"/>
      <c r="P37" s="100"/>
    </row>
    <row r="38" spans="1:16" x14ac:dyDescent="0.25">
      <c r="A38" s="117" t="s">
        <v>217</v>
      </c>
      <c r="B38" s="933" t="s">
        <v>219</v>
      </c>
      <c r="C38" s="933"/>
      <c r="D38" s="933"/>
      <c r="E38" s="933"/>
      <c r="F38" s="933"/>
      <c r="G38" s="933"/>
      <c r="H38" s="933"/>
      <c r="I38" s="933"/>
      <c r="J38" s="933"/>
      <c r="K38" s="124"/>
      <c r="L38" s="124"/>
      <c r="M38" s="124"/>
      <c r="N38" s="124"/>
      <c r="O38" s="124"/>
      <c r="P38" s="124"/>
    </row>
    <row r="39" spans="1:16" ht="28.5" customHeight="1" x14ac:dyDescent="0.25">
      <c r="A39" s="117" t="s">
        <v>218</v>
      </c>
      <c r="B39" s="933" t="s">
        <v>237</v>
      </c>
      <c r="C39" s="933"/>
      <c r="D39" s="933"/>
      <c r="E39" s="933"/>
      <c r="F39" s="933"/>
      <c r="G39" s="933"/>
      <c r="H39" s="933"/>
      <c r="I39" s="933"/>
      <c r="J39" s="933"/>
      <c r="K39" s="124"/>
      <c r="L39" s="124"/>
      <c r="M39" s="124"/>
      <c r="N39" s="124"/>
      <c r="O39" s="124"/>
      <c r="P39" s="124"/>
    </row>
    <row r="41" spans="1:16" ht="92.25" customHeight="1" x14ac:dyDescent="0.25">
      <c r="A41" s="917" t="s">
        <v>137</v>
      </c>
      <c r="B41" s="917"/>
      <c r="C41" s="917"/>
      <c r="D41" s="917"/>
      <c r="E41" s="917"/>
      <c r="F41" s="917"/>
      <c r="G41" s="917"/>
      <c r="H41" s="917"/>
      <c r="I41" s="917"/>
      <c r="J41" s="917"/>
    </row>
  </sheetData>
  <sheetProtection algorithmName="SHA-512" hashValue="J6RVAC9nz5Al91PRXR7QtEUnazYocc6GKarBEAqyt4Iilsghg5dATlr8/r1fu8lDYwEuJOxwBc2oELIaV7z0QQ==" saltValue="dasXH94L9iFSt7MZcxuhvA==" spinCount="100000" sheet="1" objects="1" scenarios="1"/>
  <mergeCells count="17">
    <mergeCell ref="A5:A7"/>
    <mergeCell ref="B5:B7"/>
    <mergeCell ref="C3:F4"/>
    <mergeCell ref="C5:C6"/>
    <mergeCell ref="G3:H4"/>
    <mergeCell ref="B29:J29"/>
    <mergeCell ref="B31:J31"/>
    <mergeCell ref="B32:J32"/>
    <mergeCell ref="B34:J34"/>
    <mergeCell ref="B35:J35"/>
    <mergeCell ref="B33:I33"/>
    <mergeCell ref="A41:J41"/>
    <mergeCell ref="B36:H36"/>
    <mergeCell ref="J36:P36"/>
    <mergeCell ref="B37:H37"/>
    <mergeCell ref="B38:J38"/>
    <mergeCell ref="B39:J39"/>
  </mergeCells>
  <hyperlinks>
    <hyperlink ref="B27" location="BOYACA!A41" display="Ver Nota Informativa" xr:uid="{00000000-0004-0000-0A00-000000000000}"/>
  </hyperlinks>
  <pageMargins left="0.7" right="0.7" top="0.75" bottom="0.75" header="0.3" footer="0.3"/>
  <ignoredErrors>
    <ignoredError sqref="C11 C17 E11 C21:C22" formula="1"/>
    <ignoredError sqref="E17 E12:E13 E21 E23" numberStoredAsText="1" formula="1"/>
    <ignoredError sqref="I25 I16:I18 E25 I20:I2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O117"/>
  <sheetViews>
    <sheetView showGridLines="0" zoomScale="80" zoomScaleNormal="80" workbookViewId="0">
      <selection activeCell="C11" sqref="C11"/>
    </sheetView>
  </sheetViews>
  <sheetFormatPr baseColWidth="10" defaultColWidth="45" defaultRowHeight="15" x14ac:dyDescent="0.25"/>
  <cols>
    <col min="1" max="1" width="7" customWidth="1"/>
    <col min="2" max="2" width="48.42578125" customWidth="1"/>
    <col min="3" max="3" width="15.140625" bestFit="1" customWidth="1"/>
    <col min="4" max="4" width="14" customWidth="1"/>
    <col min="5" max="5" width="13.5703125" customWidth="1"/>
    <col min="6" max="6" width="12.7109375" customWidth="1"/>
    <col min="7" max="7" width="14.5703125" customWidth="1"/>
    <col min="8" max="8" width="12.85546875" customWidth="1"/>
    <col min="9" max="9" width="13.140625" customWidth="1"/>
    <col min="10" max="10" width="13" customWidth="1"/>
    <col min="11" max="11" width="11.140625" customWidth="1"/>
    <col min="12" max="12" width="15.42578125" customWidth="1"/>
    <col min="13" max="13" width="14" customWidth="1"/>
    <col min="14" max="22" width="15.85546875" customWidth="1"/>
  </cols>
  <sheetData>
    <row r="1" spans="1:10" x14ac:dyDescent="0.25">
      <c r="A1" s="140" t="s">
        <v>148</v>
      </c>
      <c r="B1" s="77" t="str">
        <f>+AMAZONAS!C1</f>
        <v>Vigencia: 22 de Marzo de 2025; 00:00 horas</v>
      </c>
      <c r="C1" s="77"/>
      <c r="D1" s="140"/>
      <c r="E1" s="140"/>
      <c r="F1" s="140"/>
      <c r="G1" s="140"/>
      <c r="H1" s="140"/>
      <c r="I1" s="140"/>
    </row>
    <row r="2" spans="1:10" ht="15.75" thickBot="1" x14ac:dyDescent="0.3">
      <c r="A2" s="77" t="s">
        <v>162</v>
      </c>
      <c r="B2" s="102"/>
      <c r="C2" s="102"/>
      <c r="D2" s="594"/>
      <c r="E2" s="102"/>
      <c r="F2" s="140"/>
      <c r="G2" s="102"/>
      <c r="H2" s="594"/>
      <c r="I2" s="102"/>
      <c r="J2" s="102"/>
    </row>
    <row r="3" spans="1:10" ht="15" customHeight="1" thickTop="1" x14ac:dyDescent="0.25">
      <c r="A3" s="125"/>
      <c r="B3" s="104" t="s">
        <v>243</v>
      </c>
      <c r="C3" s="963" t="s">
        <v>163</v>
      </c>
      <c r="D3" s="964"/>
      <c r="E3" s="964"/>
      <c r="F3" s="964"/>
      <c r="G3" s="965"/>
      <c r="H3" s="959" t="s">
        <v>231</v>
      </c>
      <c r="I3" s="960"/>
    </row>
    <row r="4" spans="1:10" ht="30.2" customHeight="1" x14ac:dyDescent="0.25">
      <c r="A4" s="105"/>
      <c r="B4" s="389" t="s">
        <v>459</v>
      </c>
      <c r="C4" s="966"/>
      <c r="D4" s="967"/>
      <c r="E4" s="967"/>
      <c r="F4" s="967"/>
      <c r="G4" s="968"/>
      <c r="H4" s="961"/>
      <c r="I4" s="962"/>
    </row>
    <row r="5" spans="1:10" ht="27" customHeight="1" x14ac:dyDescent="0.25">
      <c r="A5" s="924" t="s">
        <v>164</v>
      </c>
      <c r="B5" s="926" t="s">
        <v>165</v>
      </c>
      <c r="C5" s="942" t="s">
        <v>222</v>
      </c>
      <c r="D5" s="106" t="s">
        <v>96</v>
      </c>
      <c r="E5" s="106" t="s">
        <v>462</v>
      </c>
      <c r="F5" s="106" t="s">
        <v>497</v>
      </c>
      <c r="G5" s="957" t="s">
        <v>370</v>
      </c>
      <c r="H5" s="515" t="s">
        <v>96</v>
      </c>
      <c r="I5" s="517" t="s">
        <v>497</v>
      </c>
    </row>
    <row r="6" spans="1:10" ht="15.6" customHeight="1" x14ac:dyDescent="0.25">
      <c r="A6" s="924"/>
      <c r="B6" s="926"/>
      <c r="C6" s="931"/>
      <c r="D6" s="291" t="s">
        <v>492</v>
      </c>
      <c r="E6" s="233">
        <v>0.02</v>
      </c>
      <c r="F6" s="233">
        <v>0.1</v>
      </c>
      <c r="G6" s="958"/>
      <c r="H6" s="518" t="str">
        <f>+D6</f>
        <v>Oxigena 10%</v>
      </c>
      <c r="I6" s="553">
        <v>0.1</v>
      </c>
    </row>
    <row r="7" spans="1:10" ht="21.6" customHeight="1" x14ac:dyDescent="0.25">
      <c r="A7" s="925"/>
      <c r="B7" s="927"/>
      <c r="C7" s="79" t="s">
        <v>166</v>
      </c>
      <c r="D7" s="106" t="s">
        <v>166</v>
      </c>
      <c r="E7" s="106" t="s">
        <v>166</v>
      </c>
      <c r="F7" s="106" t="s">
        <v>166</v>
      </c>
      <c r="G7" s="152" t="s">
        <v>166</v>
      </c>
      <c r="H7" s="515" t="s">
        <v>166</v>
      </c>
      <c r="I7" s="517" t="s">
        <v>166</v>
      </c>
    </row>
    <row r="8" spans="1:10" x14ac:dyDescent="0.25">
      <c r="A8" s="80" t="s">
        <v>167</v>
      </c>
      <c r="B8" s="86" t="s">
        <v>168</v>
      </c>
      <c r="C8" s="700">
        <f>+'Calculo IP ZDF'!B31</f>
        <v>10456.1</v>
      </c>
      <c r="D8" s="700">
        <f>+'Calculo IP ZDF'!H31</f>
        <v>11009.89</v>
      </c>
      <c r="E8" s="700">
        <f>+'Calculo IP ZDF'!F31</f>
        <v>5626.25</v>
      </c>
      <c r="F8" s="700">
        <f>+'Calculo IP ZDF'!M31</f>
        <v>6861.5660752000003</v>
      </c>
      <c r="G8" s="701">
        <f>+'Calculo IP ZDF'!C31</f>
        <v>5317.4145280000002</v>
      </c>
      <c r="H8" s="702">
        <f>+'IMPUESTO AL CARBONO GMR'!D9</f>
        <v>11009.89</v>
      </c>
      <c r="I8" s="703">
        <f>+BIODIESEL!F9</f>
        <v>6983.2690000000002</v>
      </c>
    </row>
    <row r="9" spans="1:10" x14ac:dyDescent="0.25">
      <c r="A9" s="80" t="s">
        <v>169</v>
      </c>
      <c r="B9" s="86" t="s">
        <v>170</v>
      </c>
      <c r="C9" s="704" t="str">
        <f>+E9</f>
        <v>------------------</v>
      </c>
      <c r="D9" s="704" t="s">
        <v>171</v>
      </c>
      <c r="E9" s="704" t="s">
        <v>171</v>
      </c>
      <c r="F9" s="704" t="s">
        <v>171</v>
      </c>
      <c r="G9" s="705" t="s">
        <v>171</v>
      </c>
      <c r="H9" s="706">
        <f>+'IMPUESTO AL CARBONO GMR'!D10</f>
        <v>686.15099999999995</v>
      </c>
      <c r="I9" s="707">
        <f>+BIODIESEL!F10</f>
        <v>656.74</v>
      </c>
    </row>
    <row r="10" spans="1:10" x14ac:dyDescent="0.25">
      <c r="A10" s="80"/>
      <c r="B10" s="86" t="s">
        <v>129</v>
      </c>
      <c r="C10" s="704" t="str">
        <f>+E10</f>
        <v>------------------</v>
      </c>
      <c r="D10" s="704" t="s">
        <v>171</v>
      </c>
      <c r="E10" s="704" t="s">
        <v>171</v>
      </c>
      <c r="F10" s="704" t="s">
        <v>171</v>
      </c>
      <c r="G10" s="705" t="s">
        <v>171</v>
      </c>
      <c r="H10" s="706" t="s">
        <v>130</v>
      </c>
      <c r="I10" s="707" t="s">
        <v>130</v>
      </c>
    </row>
    <row r="11" spans="1:10" ht="17.45" customHeight="1" x14ac:dyDescent="0.25">
      <c r="A11" s="80"/>
      <c r="B11" s="86" t="s">
        <v>131</v>
      </c>
      <c r="C11" s="700">
        <f>+'IMPUESTO AL CARBONO GMR'!C12</f>
        <v>197.93</v>
      </c>
      <c r="D11" s="700">
        <f>+'IMPUESTO AL CARBONO GMR'!$D$12</f>
        <v>178.137</v>
      </c>
      <c r="E11" s="700">
        <f>+BIODIESEL!E12</f>
        <v>219.21619999999999</v>
      </c>
      <c r="F11" s="700">
        <f>+BIODIESEL!F12</f>
        <v>201.321</v>
      </c>
      <c r="G11" s="701">
        <f>+BIODIESEL!C12</f>
        <v>223.69</v>
      </c>
      <c r="H11" s="706">
        <f>+'IMPUESTO AL CARBONO GMR'!D12</f>
        <v>178.137</v>
      </c>
      <c r="I11" s="707">
        <f>+F11</f>
        <v>201.321</v>
      </c>
    </row>
    <row r="12" spans="1:10" x14ac:dyDescent="0.25">
      <c r="A12" s="80" t="s">
        <v>172</v>
      </c>
      <c r="B12" s="86" t="s">
        <v>249</v>
      </c>
      <c r="C12" s="708" t="s">
        <v>200</v>
      </c>
      <c r="D12" s="704" t="s">
        <v>200</v>
      </c>
      <c r="E12" s="704" t="str">
        <f>+C12</f>
        <v>(2)</v>
      </c>
      <c r="F12" s="704" t="str">
        <f>+E12</f>
        <v>(2)</v>
      </c>
      <c r="G12" s="709" t="str">
        <f>+C12</f>
        <v>(2)</v>
      </c>
      <c r="H12" s="706" t="str">
        <f>+I12</f>
        <v>(2)</v>
      </c>
      <c r="I12" s="707" t="str">
        <f>+E12</f>
        <v>(2)</v>
      </c>
    </row>
    <row r="13" spans="1:10" x14ac:dyDescent="0.25">
      <c r="A13" s="80" t="s">
        <v>174</v>
      </c>
      <c r="B13" s="86" t="s">
        <v>175</v>
      </c>
      <c r="C13" s="700">
        <f>+RUBROS!AL13</f>
        <v>30.560765344237307</v>
      </c>
      <c r="D13" s="710">
        <f>+C13</f>
        <v>30.560765344237307</v>
      </c>
      <c r="E13" s="710">
        <f>+C13</f>
        <v>30.560765344237307</v>
      </c>
      <c r="F13" s="710">
        <f>+E13</f>
        <v>30.560765344237307</v>
      </c>
      <c r="G13" s="709">
        <f>+C13</f>
        <v>30.560765344237307</v>
      </c>
      <c r="H13" s="702">
        <f>+RUBROS!AM13</f>
        <v>30.560765344237307</v>
      </c>
      <c r="I13" s="703">
        <f>+E13</f>
        <v>30.560765344237307</v>
      </c>
    </row>
    <row r="14" spans="1:10" x14ac:dyDescent="0.25">
      <c r="A14" s="80" t="s">
        <v>178</v>
      </c>
      <c r="B14" s="86" t="s">
        <v>179</v>
      </c>
      <c r="C14" s="700">
        <f>+RUBROS!$BJ$42</f>
        <v>14.562140320021172</v>
      </c>
      <c r="D14" s="710">
        <f>+C14</f>
        <v>14.562140320021172</v>
      </c>
      <c r="E14" s="710">
        <f>+C14</f>
        <v>14.562140320021172</v>
      </c>
      <c r="F14" s="710">
        <f>+E14</f>
        <v>14.562140320021172</v>
      </c>
      <c r="G14" s="709">
        <f>+C14</f>
        <v>14.562140320021172</v>
      </c>
      <c r="H14" s="702">
        <f>+C14</f>
        <v>14.562140320021172</v>
      </c>
      <c r="I14" s="703">
        <f>+H14</f>
        <v>14.562140320021172</v>
      </c>
    </row>
    <row r="15" spans="1:10" ht="14.45" hidden="1" customHeight="1" x14ac:dyDescent="0.25">
      <c r="A15" s="80"/>
      <c r="B15" s="86" t="s">
        <v>180</v>
      </c>
      <c r="C15" s="700"/>
      <c r="D15" s="443"/>
      <c r="E15" s="443"/>
      <c r="F15" s="710"/>
      <c r="G15" s="709"/>
      <c r="H15" s="702"/>
      <c r="I15" s="703"/>
    </row>
    <row r="16" spans="1:10" x14ac:dyDescent="0.25">
      <c r="A16" s="87" t="s">
        <v>181</v>
      </c>
      <c r="B16" s="112" t="s">
        <v>182</v>
      </c>
      <c r="C16" s="711">
        <f>SUM(C8:C15)</f>
        <v>10699.152905664258</v>
      </c>
      <c r="D16" s="711">
        <f>SUM(D8:D15)</f>
        <v>11233.149905664257</v>
      </c>
      <c r="E16" s="711">
        <f t="shared" ref="E16" si="0">SUM(E8:E15)</f>
        <v>5890.5891056642586</v>
      </c>
      <c r="F16" s="711">
        <f t="shared" ref="F16:I16" si="1">SUM(F8:F15)</f>
        <v>7108.009980864259</v>
      </c>
      <c r="G16" s="712">
        <f t="shared" si="1"/>
        <v>5586.2274336642586</v>
      </c>
      <c r="H16" s="713">
        <f t="shared" si="1"/>
        <v>11919.300905664259</v>
      </c>
      <c r="I16" s="714">
        <f t="shared" si="1"/>
        <v>7886.4529056642587</v>
      </c>
    </row>
    <row r="17" spans="1:10" x14ac:dyDescent="0.25">
      <c r="A17" s="80" t="s">
        <v>183</v>
      </c>
      <c r="B17" s="86" t="s">
        <v>245</v>
      </c>
      <c r="C17" s="715" t="s">
        <v>213</v>
      </c>
      <c r="D17" s="710" t="s">
        <v>213</v>
      </c>
      <c r="E17" s="710" t="str">
        <f>+C17</f>
        <v>***</v>
      </c>
      <c r="F17" s="710" t="str">
        <f>+E17</f>
        <v>***</v>
      </c>
      <c r="G17" s="709" t="str">
        <f>+E17</f>
        <v>***</v>
      </c>
      <c r="H17" s="702" t="s">
        <v>213</v>
      </c>
      <c r="I17" s="703" t="s">
        <v>213</v>
      </c>
    </row>
    <row r="18" spans="1:10" x14ac:dyDescent="0.25">
      <c r="A18" s="80" t="s">
        <v>185</v>
      </c>
      <c r="B18" s="86" t="s">
        <v>186</v>
      </c>
      <c r="C18" s="708" t="s">
        <v>211</v>
      </c>
      <c r="D18" s="710" t="s">
        <v>211</v>
      </c>
      <c r="E18" s="710" t="str">
        <f>+C18</f>
        <v>**</v>
      </c>
      <c r="F18" s="710" t="str">
        <f>+E18</f>
        <v>**</v>
      </c>
      <c r="G18" s="709" t="str">
        <f>+C18</f>
        <v>**</v>
      </c>
      <c r="H18" s="702" t="s">
        <v>211</v>
      </c>
      <c r="I18" s="703" t="s">
        <v>211</v>
      </c>
    </row>
    <row r="19" spans="1:10" x14ac:dyDescent="0.25">
      <c r="A19" s="80" t="s">
        <v>187</v>
      </c>
      <c r="B19" s="86" t="s">
        <v>134</v>
      </c>
      <c r="C19" s="700" t="str">
        <f>+E19</f>
        <v>****</v>
      </c>
      <c r="D19" s="710" t="s">
        <v>215</v>
      </c>
      <c r="E19" s="710" t="str">
        <f>+A112</f>
        <v>****</v>
      </c>
      <c r="F19" s="710" t="str">
        <f>+E19</f>
        <v>****</v>
      </c>
      <c r="G19" s="701" t="str">
        <f>+A112</f>
        <v>****</v>
      </c>
      <c r="H19" s="716" t="s">
        <v>215</v>
      </c>
      <c r="I19" s="703" t="s">
        <v>215</v>
      </c>
    </row>
    <row r="20" spans="1:10" x14ac:dyDescent="0.25">
      <c r="A20" s="87" t="s">
        <v>189</v>
      </c>
      <c r="B20" s="112" t="s">
        <v>190</v>
      </c>
      <c r="C20" s="717">
        <f t="shared" ref="C20:E20" si="2">+C16</f>
        <v>10699.152905664258</v>
      </c>
      <c r="D20" s="718">
        <f>+D16</f>
        <v>11233.149905664257</v>
      </c>
      <c r="E20" s="718">
        <f t="shared" si="2"/>
        <v>5890.5891056642586</v>
      </c>
      <c r="F20" s="718">
        <f t="shared" ref="F20:I20" si="3">+F16</f>
        <v>7108.009980864259</v>
      </c>
      <c r="G20" s="719">
        <f t="shared" si="3"/>
        <v>5586.2274336642586</v>
      </c>
      <c r="H20" s="713">
        <f t="shared" si="3"/>
        <v>11919.300905664259</v>
      </c>
      <c r="I20" s="720">
        <f t="shared" si="3"/>
        <v>7886.4529056642587</v>
      </c>
    </row>
    <row r="21" spans="1:10" x14ac:dyDescent="0.25">
      <c r="A21" s="80" t="s">
        <v>191</v>
      </c>
      <c r="B21" s="86" t="s">
        <v>150</v>
      </c>
      <c r="C21" s="700" t="str">
        <f>+E21</f>
        <v>***</v>
      </c>
      <c r="D21" s="710" t="s">
        <v>213</v>
      </c>
      <c r="E21" s="710" t="str">
        <f t="shared" ref="E21" si="4">+E17</f>
        <v>***</v>
      </c>
      <c r="F21" s="710" t="str">
        <f>+E21</f>
        <v>***</v>
      </c>
      <c r="G21" s="709" t="str">
        <f>+G17</f>
        <v>***</v>
      </c>
      <c r="H21" s="702" t="s">
        <v>213</v>
      </c>
      <c r="I21" s="703" t="s">
        <v>213</v>
      </c>
    </row>
    <row r="22" spans="1:10" x14ac:dyDescent="0.25">
      <c r="A22" s="80" t="s">
        <v>192</v>
      </c>
      <c r="B22" s="81" t="s">
        <v>193</v>
      </c>
      <c r="C22" s="721" t="s">
        <v>217</v>
      </c>
      <c r="D22" s="710" t="s">
        <v>217</v>
      </c>
      <c r="E22" s="710" t="s">
        <v>194</v>
      </c>
      <c r="F22" s="710" t="str">
        <f>+E22</f>
        <v>N.A</v>
      </c>
      <c r="G22" s="709" t="s">
        <v>194</v>
      </c>
      <c r="H22" s="702" t="s">
        <v>217</v>
      </c>
      <c r="I22" s="703" t="s">
        <v>235</v>
      </c>
    </row>
    <row r="23" spans="1:10" ht="24.75" customHeight="1" x14ac:dyDescent="0.25">
      <c r="A23" s="80" t="s">
        <v>195</v>
      </c>
      <c r="B23" s="81" t="s">
        <v>196</v>
      </c>
      <c r="C23" s="721" t="s">
        <v>218</v>
      </c>
      <c r="D23" s="710" t="s">
        <v>218</v>
      </c>
      <c r="E23" s="710" t="str">
        <f>+C23</f>
        <v>******</v>
      </c>
      <c r="F23" s="710" t="str">
        <f>+E23</f>
        <v>******</v>
      </c>
      <c r="G23" s="709" t="str">
        <f>+C23</f>
        <v>******</v>
      </c>
      <c r="H23" s="702" t="str">
        <f>+C23</f>
        <v>******</v>
      </c>
      <c r="I23" s="703" t="s">
        <v>218</v>
      </c>
    </row>
    <row r="24" spans="1:10" ht="15.75" thickBot="1" x14ac:dyDescent="0.3">
      <c r="A24" s="91" t="s">
        <v>197</v>
      </c>
      <c r="B24" s="92" t="s">
        <v>198</v>
      </c>
      <c r="C24" s="161"/>
      <c r="D24" s="115"/>
      <c r="E24" s="115"/>
      <c r="F24" s="115"/>
      <c r="G24" s="148"/>
      <c r="H24" s="542"/>
      <c r="I24" s="544"/>
    </row>
    <row r="25" spans="1:10" ht="15.75" thickTop="1" x14ac:dyDescent="0.25">
      <c r="A25" s="96"/>
      <c r="B25" s="97"/>
      <c r="C25" s="97"/>
      <c r="D25" s="98"/>
      <c r="E25" s="98"/>
      <c r="F25" s="98"/>
      <c r="G25" s="98"/>
      <c r="H25" s="98"/>
      <c r="I25" s="98"/>
      <c r="J25" s="98"/>
    </row>
    <row r="26" spans="1:10" ht="15.75" thickBot="1" x14ac:dyDescent="0.3">
      <c r="A26" s="96"/>
      <c r="B26" s="97"/>
      <c r="C26" s="97"/>
      <c r="D26" s="98"/>
      <c r="E26" s="98"/>
      <c r="F26" s="98"/>
      <c r="G26" s="98"/>
      <c r="H26" s="98"/>
      <c r="I26" s="98"/>
    </row>
    <row r="27" spans="1:10" ht="26.45" customHeight="1" thickTop="1" x14ac:dyDescent="0.25">
      <c r="A27" s="125"/>
      <c r="B27" s="104" t="s">
        <v>484</v>
      </c>
      <c r="C27" s="432" t="s">
        <v>163</v>
      </c>
      <c r="D27" s="433"/>
      <c r="E27" s="433"/>
      <c r="F27" s="433"/>
      <c r="G27" s="434"/>
      <c r="H27" s="969" t="s">
        <v>231</v>
      </c>
      <c r="I27" s="970"/>
      <c r="J27" s="98"/>
    </row>
    <row r="28" spans="1:10" ht="32.1" customHeight="1" x14ac:dyDescent="0.25">
      <c r="A28" s="105"/>
      <c r="B28" s="389" t="s">
        <v>459</v>
      </c>
      <c r="C28" s="435"/>
      <c r="D28" s="436"/>
      <c r="E28" s="436"/>
      <c r="F28" s="436"/>
      <c r="G28" s="437"/>
      <c r="H28" s="951"/>
      <c r="I28" s="971"/>
      <c r="J28" s="98"/>
    </row>
    <row r="29" spans="1:10" ht="38.25" customHeight="1" x14ac:dyDescent="0.25">
      <c r="A29" s="924" t="s">
        <v>164</v>
      </c>
      <c r="B29" s="926" t="s">
        <v>165</v>
      </c>
      <c r="C29" s="942" t="s">
        <v>222</v>
      </c>
      <c r="D29" s="106" t="s">
        <v>96</v>
      </c>
      <c r="E29" s="106" t="s">
        <v>462</v>
      </c>
      <c r="F29" s="106" t="s">
        <v>497</v>
      </c>
      <c r="G29" s="429" t="s">
        <v>369</v>
      </c>
      <c r="H29" s="79" t="s">
        <v>96</v>
      </c>
      <c r="I29" s="106" t="s">
        <v>497</v>
      </c>
      <c r="J29" s="98"/>
    </row>
    <row r="30" spans="1:10" ht="18" customHeight="1" x14ac:dyDescent="0.25">
      <c r="A30" s="924"/>
      <c r="B30" s="926"/>
      <c r="C30" s="931"/>
      <c r="D30" s="291" t="s">
        <v>492</v>
      </c>
      <c r="E30" s="121">
        <v>0.02</v>
      </c>
      <c r="F30" s="233">
        <v>0.1</v>
      </c>
      <c r="G30" s="430"/>
      <c r="H30" s="321" t="str">
        <f>+H6</f>
        <v>Oxigena 10%</v>
      </c>
      <c r="I30" s="233">
        <v>0.1</v>
      </c>
      <c r="J30" s="98"/>
    </row>
    <row r="31" spans="1:10" ht="16.899999999999999" customHeight="1" thickBot="1" x14ac:dyDescent="0.3">
      <c r="A31" s="925"/>
      <c r="B31" s="927"/>
      <c r="C31" s="650" t="s">
        <v>166</v>
      </c>
      <c r="D31" s="658" t="s">
        <v>166</v>
      </c>
      <c r="E31" s="658" t="s">
        <v>166</v>
      </c>
      <c r="F31" s="658" t="s">
        <v>166</v>
      </c>
      <c r="G31" s="658" t="s">
        <v>166</v>
      </c>
      <c r="H31" s="650" t="s">
        <v>166</v>
      </c>
      <c r="I31" s="658" t="s">
        <v>166</v>
      </c>
      <c r="J31" s="98"/>
    </row>
    <row r="32" spans="1:10" ht="15.75" thickTop="1" x14ac:dyDescent="0.25">
      <c r="A32" s="80" t="s">
        <v>167</v>
      </c>
      <c r="B32" s="86" t="s">
        <v>168</v>
      </c>
      <c r="C32" s="731">
        <f>+'Calculo IP ZDF'!B32</f>
        <v>10456.1</v>
      </c>
      <c r="D32" s="732">
        <f>+'Calculo IP ZDF'!H32</f>
        <v>11009.89</v>
      </c>
      <c r="E32" s="732">
        <f>+'Calculo IP ZDF'!F32</f>
        <v>4340.04</v>
      </c>
      <c r="F32" s="732">
        <f>+'Calculo IP ZDF'!M32</f>
        <v>5680.3606720000007</v>
      </c>
      <c r="G32" s="676">
        <f>+'Calculo IP ZDF'!C32</f>
        <v>4004.9640800000006</v>
      </c>
      <c r="H32" s="731">
        <f>+H8</f>
        <v>11009.89</v>
      </c>
      <c r="I32" s="751">
        <f>+BIODIESEL!F9</f>
        <v>6983.2690000000002</v>
      </c>
      <c r="J32" s="98"/>
    </row>
    <row r="33" spans="1:15" x14ac:dyDescent="0.25">
      <c r="A33" s="80" t="s">
        <v>169</v>
      </c>
      <c r="B33" s="86" t="s">
        <v>170</v>
      </c>
      <c r="C33" s="677" t="str">
        <f>+E33</f>
        <v>------------------</v>
      </c>
      <c r="D33" s="681" t="s">
        <v>171</v>
      </c>
      <c r="E33" s="681" t="s">
        <v>171</v>
      </c>
      <c r="F33" s="681" t="str">
        <f>+E33</f>
        <v>------------------</v>
      </c>
      <c r="G33" s="733" t="s">
        <v>171</v>
      </c>
      <c r="H33" s="677">
        <f>+H9</f>
        <v>686.15099999999995</v>
      </c>
      <c r="I33" s="684">
        <f>+I9</f>
        <v>656.74</v>
      </c>
      <c r="J33" s="98"/>
    </row>
    <row r="34" spans="1:15" x14ac:dyDescent="0.25">
      <c r="A34" s="80"/>
      <c r="B34" s="86" t="s">
        <v>129</v>
      </c>
      <c r="C34" s="677" t="str">
        <f>+E34</f>
        <v>------------------</v>
      </c>
      <c r="D34" s="681" t="s">
        <v>171</v>
      </c>
      <c r="E34" s="681" t="s">
        <v>171</v>
      </c>
      <c r="F34" s="681" t="str">
        <f>+E34</f>
        <v>------------------</v>
      </c>
      <c r="G34" s="733" t="s">
        <v>171</v>
      </c>
      <c r="H34" s="677" t="s">
        <v>130</v>
      </c>
      <c r="I34" s="684" t="s">
        <v>130</v>
      </c>
      <c r="J34" s="98"/>
    </row>
    <row r="35" spans="1:15" x14ac:dyDescent="0.25">
      <c r="A35" s="80"/>
      <c r="B35" s="86" t="s">
        <v>131</v>
      </c>
      <c r="C35" s="734">
        <f>+C11</f>
        <v>197.93</v>
      </c>
      <c r="D35" s="735">
        <f>+D11</f>
        <v>178.137</v>
      </c>
      <c r="E35" s="735">
        <f t="shared" ref="E35:I35" si="5">+E11</f>
        <v>219.21619999999999</v>
      </c>
      <c r="F35" s="735">
        <f t="shared" si="5"/>
        <v>201.321</v>
      </c>
      <c r="G35" s="736">
        <f t="shared" si="5"/>
        <v>223.69</v>
      </c>
      <c r="H35" s="734">
        <f t="shared" si="5"/>
        <v>178.137</v>
      </c>
      <c r="I35" s="736">
        <f t="shared" si="5"/>
        <v>201.321</v>
      </c>
      <c r="J35" s="98"/>
    </row>
    <row r="36" spans="1:15" x14ac:dyDescent="0.25">
      <c r="A36" s="80" t="s">
        <v>172</v>
      </c>
      <c r="B36" s="86" t="s">
        <v>249</v>
      </c>
      <c r="C36" s="677" t="s">
        <v>200</v>
      </c>
      <c r="D36" s="681" t="s">
        <v>200</v>
      </c>
      <c r="E36" s="681" t="s">
        <v>200</v>
      </c>
      <c r="F36" s="681" t="s">
        <v>200</v>
      </c>
      <c r="G36" s="680" t="s">
        <v>200</v>
      </c>
      <c r="H36" s="677" t="s">
        <v>200</v>
      </c>
      <c r="I36" s="684" t="s">
        <v>200</v>
      </c>
      <c r="J36" s="98"/>
    </row>
    <row r="37" spans="1:15" x14ac:dyDescent="0.25">
      <c r="A37" s="80" t="s">
        <v>176</v>
      </c>
      <c r="B37" s="86" t="s">
        <v>177</v>
      </c>
      <c r="C37" s="677">
        <f>+RUBROS!$AL$50</f>
        <v>146.40959970399982</v>
      </c>
      <c r="D37" s="681">
        <f>+RUBROS!$AL$50</f>
        <v>146.40959970399982</v>
      </c>
      <c r="E37" s="681">
        <f>+RUBROS!$AL$50</f>
        <v>146.40959970399982</v>
      </c>
      <c r="F37" s="681">
        <f>+RUBROS!$AL$50</f>
        <v>146.40959970399982</v>
      </c>
      <c r="G37" s="684">
        <f>+RUBROS!$AL$50</f>
        <v>146.40959970399982</v>
      </c>
      <c r="H37" s="677">
        <f>+RUBROS!$AM$50</f>
        <v>146.40959970399982</v>
      </c>
      <c r="I37" s="684">
        <f>+RUBROS!$AM$50</f>
        <v>146.40959970399982</v>
      </c>
      <c r="J37" s="98"/>
    </row>
    <row r="38" spans="1:15" x14ac:dyDescent="0.25">
      <c r="A38" s="80" t="s">
        <v>174</v>
      </c>
      <c r="B38" s="86" t="s">
        <v>175</v>
      </c>
      <c r="C38" s="734">
        <f>+RUBROS!AL21</f>
        <v>30.560765344237307</v>
      </c>
      <c r="D38" s="683">
        <f>+C38</f>
        <v>30.560765344237307</v>
      </c>
      <c r="E38" s="683">
        <f>+C38</f>
        <v>30.560765344237307</v>
      </c>
      <c r="F38" s="682">
        <f>+E38</f>
        <v>30.560765344237307</v>
      </c>
      <c r="G38" s="737">
        <f>+C38</f>
        <v>30.560765344237307</v>
      </c>
      <c r="H38" s="734">
        <f>+C38</f>
        <v>30.560765344237307</v>
      </c>
      <c r="I38" s="737">
        <f>+E38</f>
        <v>30.560765344237307</v>
      </c>
      <c r="J38" s="98"/>
    </row>
    <row r="39" spans="1:15" x14ac:dyDescent="0.25">
      <c r="A39" s="80" t="s">
        <v>178</v>
      </c>
      <c r="B39" s="86" t="s">
        <v>179</v>
      </c>
      <c r="C39" s="734">
        <f>+RUBROS!$BJ$42</f>
        <v>14.562140320021172</v>
      </c>
      <c r="D39" s="683">
        <f>+C39</f>
        <v>14.562140320021172</v>
      </c>
      <c r="E39" s="683">
        <f>+C39</f>
        <v>14.562140320021172</v>
      </c>
      <c r="F39" s="682">
        <f>+E39</f>
        <v>14.562140320021172</v>
      </c>
      <c r="G39" s="737">
        <f>+C39</f>
        <v>14.562140320021172</v>
      </c>
      <c r="H39" s="734">
        <f>+C39</f>
        <v>14.562140320021172</v>
      </c>
      <c r="I39" s="737">
        <f>+E39</f>
        <v>14.562140320021172</v>
      </c>
      <c r="J39" s="98"/>
    </row>
    <row r="40" spans="1:15" x14ac:dyDescent="0.25">
      <c r="A40" s="87" t="s">
        <v>181</v>
      </c>
      <c r="B40" s="112" t="s">
        <v>182</v>
      </c>
      <c r="C40" s="738">
        <f>SUM(C32:C39)</f>
        <v>10845.56250536826</v>
      </c>
      <c r="D40" s="739">
        <f>SUM(D32:D39)</f>
        <v>11379.559505368259</v>
      </c>
      <c r="E40" s="739">
        <f t="shared" ref="E40:H40" si="6">SUM(E32:E39)</f>
        <v>4750.788705368258</v>
      </c>
      <c r="F40" s="739">
        <f t="shared" si="6"/>
        <v>6073.2141773682588</v>
      </c>
      <c r="G40" s="740">
        <f t="shared" si="6"/>
        <v>4420.1865853682584</v>
      </c>
      <c r="H40" s="738">
        <f t="shared" si="6"/>
        <v>12065.710505368257</v>
      </c>
      <c r="I40" s="740">
        <f>SUM(I32:I39)</f>
        <v>8032.8625053682581</v>
      </c>
      <c r="J40" s="98"/>
      <c r="O40" s="15"/>
    </row>
    <row r="41" spans="1:15" x14ac:dyDescent="0.25">
      <c r="A41" s="80" t="s">
        <v>183</v>
      </c>
      <c r="B41" s="86" t="s">
        <v>245</v>
      </c>
      <c r="C41" s="741" t="s">
        <v>213</v>
      </c>
      <c r="D41" s="742" t="s">
        <v>213</v>
      </c>
      <c r="E41" s="683" t="s">
        <v>213</v>
      </c>
      <c r="F41" s="683" t="s">
        <v>213</v>
      </c>
      <c r="G41" s="737" t="s">
        <v>213</v>
      </c>
      <c r="H41" s="741" t="s">
        <v>213</v>
      </c>
      <c r="I41" s="752" t="s">
        <v>213</v>
      </c>
      <c r="J41" s="98"/>
    </row>
    <row r="42" spans="1:15" x14ac:dyDescent="0.25">
      <c r="A42" s="80" t="s">
        <v>185</v>
      </c>
      <c r="B42" s="86" t="s">
        <v>186</v>
      </c>
      <c r="C42" s="741" t="s">
        <v>211</v>
      </c>
      <c r="D42" s="742" t="s">
        <v>211</v>
      </c>
      <c r="E42" s="683" t="s">
        <v>211</v>
      </c>
      <c r="F42" s="683" t="s">
        <v>211</v>
      </c>
      <c r="G42" s="737" t="s">
        <v>211</v>
      </c>
      <c r="H42" s="741" t="s">
        <v>211</v>
      </c>
      <c r="I42" s="752" t="s">
        <v>211</v>
      </c>
      <c r="J42" s="98"/>
    </row>
    <row r="43" spans="1:15" x14ac:dyDescent="0.25">
      <c r="A43" s="80" t="s">
        <v>187</v>
      </c>
      <c r="B43" s="86" t="s">
        <v>134</v>
      </c>
      <c r="C43" s="677" t="s">
        <v>215</v>
      </c>
      <c r="D43" s="681" t="s">
        <v>215</v>
      </c>
      <c r="E43" s="682" t="s">
        <v>215</v>
      </c>
      <c r="F43" s="682" t="s">
        <v>215</v>
      </c>
      <c r="G43" s="680" t="s">
        <v>215</v>
      </c>
      <c r="H43" s="677" t="s">
        <v>215</v>
      </c>
      <c r="I43" s="684" t="s">
        <v>215</v>
      </c>
      <c r="J43" s="98"/>
    </row>
    <row r="44" spans="1:15" x14ac:dyDescent="0.25">
      <c r="A44" s="87" t="s">
        <v>189</v>
      </c>
      <c r="B44" s="112" t="s">
        <v>190</v>
      </c>
      <c r="C44" s="743">
        <f t="shared" ref="C44" si="7">+C40</f>
        <v>10845.56250536826</v>
      </c>
      <c r="D44" s="744">
        <f t="shared" ref="D44" si="8">+D40</f>
        <v>11379.559505368259</v>
      </c>
      <c r="E44" s="688">
        <f t="shared" ref="E44:H44" si="9">+E40</f>
        <v>4750.788705368258</v>
      </c>
      <c r="F44" s="688">
        <f t="shared" si="9"/>
        <v>6073.2141773682588</v>
      </c>
      <c r="G44" s="689">
        <f t="shared" si="9"/>
        <v>4420.1865853682584</v>
      </c>
      <c r="H44" s="743">
        <f t="shared" si="9"/>
        <v>12065.710505368257</v>
      </c>
      <c r="I44" s="753">
        <f>+I40</f>
        <v>8032.8625053682581</v>
      </c>
      <c r="J44" s="98"/>
    </row>
    <row r="45" spans="1:15" x14ac:dyDescent="0.25">
      <c r="A45" s="80" t="s">
        <v>191</v>
      </c>
      <c r="B45" s="86" t="s">
        <v>150</v>
      </c>
      <c r="C45" s="745" t="s">
        <v>213</v>
      </c>
      <c r="D45" s="746" t="s">
        <v>213</v>
      </c>
      <c r="E45" s="683" t="s">
        <v>213</v>
      </c>
      <c r="F45" s="683" t="s">
        <v>213</v>
      </c>
      <c r="G45" s="737" t="s">
        <v>213</v>
      </c>
      <c r="H45" s="745" t="s">
        <v>213</v>
      </c>
      <c r="I45" s="754">
        <v>0</v>
      </c>
      <c r="J45" s="98"/>
    </row>
    <row r="46" spans="1:15" x14ac:dyDescent="0.25">
      <c r="A46" s="80" t="s">
        <v>192</v>
      </c>
      <c r="B46" s="81" t="s">
        <v>193</v>
      </c>
      <c r="C46" s="747" t="s">
        <v>217</v>
      </c>
      <c r="D46" s="683" t="s">
        <v>217</v>
      </c>
      <c r="E46" s="683" t="s">
        <v>194</v>
      </c>
      <c r="F46" s="683" t="s">
        <v>194</v>
      </c>
      <c r="G46" s="737" t="s">
        <v>194</v>
      </c>
      <c r="H46" s="747" t="s">
        <v>217</v>
      </c>
      <c r="I46" s="737" t="s">
        <v>235</v>
      </c>
      <c r="J46" s="98"/>
    </row>
    <row r="47" spans="1:15" x14ac:dyDescent="0.25">
      <c r="A47" s="80" t="s">
        <v>195</v>
      </c>
      <c r="B47" s="81" t="s">
        <v>196</v>
      </c>
      <c r="C47" s="747" t="s">
        <v>218</v>
      </c>
      <c r="D47" s="683" t="s">
        <v>218</v>
      </c>
      <c r="E47" s="683" t="s">
        <v>218</v>
      </c>
      <c r="F47" s="683" t="s">
        <v>218</v>
      </c>
      <c r="G47" s="737" t="s">
        <v>218</v>
      </c>
      <c r="H47" s="747" t="s">
        <v>218</v>
      </c>
      <c r="I47" s="737" t="s">
        <v>218</v>
      </c>
      <c r="J47" s="98"/>
    </row>
    <row r="48" spans="1:15" ht="15.75" thickBot="1" x14ac:dyDescent="0.3">
      <c r="A48" s="91" t="s">
        <v>197</v>
      </c>
      <c r="B48" s="92" t="s">
        <v>198</v>
      </c>
      <c r="C48" s="748"/>
      <c r="D48" s="749"/>
      <c r="E48" s="749"/>
      <c r="F48" s="749"/>
      <c r="G48" s="750"/>
      <c r="H48" s="748"/>
      <c r="I48" s="750"/>
      <c r="J48" s="98"/>
    </row>
    <row r="49" spans="1:12" ht="15" hidden="1" customHeight="1" x14ac:dyDescent="0.25">
      <c r="A49" s="96"/>
      <c r="B49" s="97"/>
      <c r="C49" s="97"/>
      <c r="D49" s="98"/>
      <c r="E49" s="98"/>
      <c r="F49" s="98"/>
      <c r="G49" s="98"/>
      <c r="H49" s="98"/>
      <c r="I49" s="98"/>
    </row>
    <row r="50" spans="1:12" ht="15" hidden="1" customHeight="1" x14ac:dyDescent="0.25">
      <c r="A50" s="125"/>
      <c r="B50" s="104" t="s">
        <v>416</v>
      </c>
      <c r="C50" s="918" t="s">
        <v>163</v>
      </c>
      <c r="D50" s="919"/>
      <c r="E50" s="919"/>
      <c r="F50" s="919"/>
      <c r="G50" s="919"/>
      <c r="H50" s="949" t="s">
        <v>231</v>
      </c>
      <c r="I50" s="950"/>
    </row>
    <row r="51" spans="1:12" ht="63.2" hidden="1" customHeight="1" thickTop="1" x14ac:dyDescent="0.25">
      <c r="A51" s="105"/>
      <c r="B51" s="170" t="s">
        <v>252</v>
      </c>
      <c r="C51" s="954"/>
      <c r="D51" s="955"/>
      <c r="E51" s="955"/>
      <c r="F51" s="955"/>
      <c r="G51" s="955"/>
      <c r="H51" s="951"/>
      <c r="I51" s="952"/>
    </row>
    <row r="52" spans="1:12" ht="38.25" hidden="1" customHeight="1" thickTop="1" x14ac:dyDescent="0.25">
      <c r="A52" s="924" t="s">
        <v>164</v>
      </c>
      <c r="B52" s="926" t="s">
        <v>165</v>
      </c>
      <c r="C52" s="942" t="s">
        <v>222</v>
      </c>
      <c r="D52" s="106"/>
      <c r="E52" s="106" t="s">
        <v>155</v>
      </c>
      <c r="F52" s="453"/>
      <c r="G52" s="953" t="s">
        <v>370</v>
      </c>
      <c r="H52" s="79" t="s">
        <v>96</v>
      </c>
      <c r="I52" s="292" t="s">
        <v>124</v>
      </c>
    </row>
    <row r="53" spans="1:12" ht="21.75" hidden="1" customHeight="1" thickTop="1" x14ac:dyDescent="0.25">
      <c r="A53" s="924"/>
      <c r="B53" s="926"/>
      <c r="C53" s="931"/>
      <c r="D53" s="291"/>
      <c r="E53" s="121">
        <v>0.02</v>
      </c>
      <c r="F53" s="514"/>
      <c r="G53" s="929"/>
      <c r="H53" s="171">
        <v>0.04</v>
      </c>
      <c r="I53" s="172" t="s">
        <v>244</v>
      </c>
    </row>
    <row r="54" spans="1:12" ht="15" hidden="1" customHeight="1" thickTop="1" x14ac:dyDescent="0.25">
      <c r="A54" s="925"/>
      <c r="B54" s="927"/>
      <c r="C54" s="79" t="s">
        <v>166</v>
      </c>
      <c r="D54" s="106"/>
      <c r="E54" s="106" t="s">
        <v>166</v>
      </c>
      <c r="F54" s="106"/>
      <c r="G54" s="106" t="s">
        <v>166</v>
      </c>
      <c r="H54" s="79" t="s">
        <v>166</v>
      </c>
      <c r="I54" s="165" t="s">
        <v>166</v>
      </c>
    </row>
    <row r="55" spans="1:12" ht="15" hidden="1" customHeight="1" thickTop="1" x14ac:dyDescent="0.25">
      <c r="A55" s="80" t="s">
        <v>167</v>
      </c>
      <c r="B55" s="86" t="s">
        <v>168</v>
      </c>
      <c r="C55" s="166">
        <f>+'Calculo IP ZDF'!$B$42</f>
        <v>10456.1</v>
      </c>
      <c r="D55" s="166"/>
      <c r="E55" s="166">
        <f>+'Calculo IP ZDF'!$F$42</f>
        <v>5626.25</v>
      </c>
      <c r="F55" s="166"/>
      <c r="G55" s="111">
        <f>+'Calculo IP ZDF'!$C$42</f>
        <v>5317.4145280000002</v>
      </c>
      <c r="H55" s="153" t="e">
        <f>+'IMPUESTO AL CARBONO GMR'!#REF!</f>
        <v>#REF!</v>
      </c>
      <c r="I55" s="145" t="e">
        <f>+#REF!</f>
        <v>#REF!</v>
      </c>
    </row>
    <row r="56" spans="1:12" ht="15" hidden="1" customHeight="1" thickTop="1" x14ac:dyDescent="0.25">
      <c r="A56" s="80" t="s">
        <v>169</v>
      </c>
      <c r="B56" s="86" t="s">
        <v>170</v>
      </c>
      <c r="C56" s="128" t="str">
        <f>+E56</f>
        <v>------------------</v>
      </c>
      <c r="D56" s="128"/>
      <c r="E56" s="128" t="s">
        <v>171</v>
      </c>
      <c r="F56" s="128"/>
      <c r="G56" s="109" t="s">
        <v>171</v>
      </c>
      <c r="H56" s="154" t="e">
        <f>+'IMPUESTO AL CARBONO GMR'!#REF!</f>
        <v>#REF!</v>
      </c>
      <c r="I56" s="143" t="e">
        <f>+#REF!</f>
        <v>#REF!</v>
      </c>
    </row>
    <row r="57" spans="1:12" ht="15" hidden="1" customHeight="1" thickTop="1" x14ac:dyDescent="0.25">
      <c r="A57" s="80"/>
      <c r="B57" s="86" t="s">
        <v>129</v>
      </c>
      <c r="C57" s="128" t="str">
        <f>+E57</f>
        <v>------------------</v>
      </c>
      <c r="D57" s="128"/>
      <c r="E57" s="128" t="s">
        <v>171</v>
      </c>
      <c r="F57" s="128"/>
      <c r="G57" s="109" t="s">
        <v>171</v>
      </c>
      <c r="H57" s="154" t="str">
        <f>+H10</f>
        <v>(3)</v>
      </c>
      <c r="I57" s="143" t="e">
        <f>'[5]CORRIENTE OXIGENADA'!D60</f>
        <v>#REF!</v>
      </c>
    </row>
    <row r="58" spans="1:12" ht="15" hidden="1" customHeight="1" thickTop="1" x14ac:dyDescent="0.25">
      <c r="A58" s="80"/>
      <c r="B58" s="86" t="s">
        <v>131</v>
      </c>
      <c r="C58" s="155">
        <f>+'IMPUESTO AL CARBONO GMR'!$C$12</f>
        <v>197.93</v>
      </c>
      <c r="D58" s="155"/>
      <c r="E58" s="155">
        <f>+BIODIESEL!$E$12</f>
        <v>219.21619999999999</v>
      </c>
      <c r="F58" s="155"/>
      <c r="G58" s="111">
        <f>+BIODIESEL!$C$12</f>
        <v>223.69</v>
      </c>
      <c r="H58" s="154" t="e">
        <f>+'IMPUESTO AL CARBONO GMR'!#REF!</f>
        <v>#REF!</v>
      </c>
      <c r="I58" s="143" t="e">
        <f>+#REF!</f>
        <v>#REF!</v>
      </c>
      <c r="K58" s="248" t="s">
        <v>384</v>
      </c>
    </row>
    <row r="59" spans="1:12" ht="15" hidden="1" customHeight="1" thickTop="1" x14ac:dyDescent="0.25">
      <c r="A59" s="80" t="s">
        <v>172</v>
      </c>
      <c r="B59" s="86" t="s">
        <v>249</v>
      </c>
      <c r="C59" s="167" t="s">
        <v>200</v>
      </c>
      <c r="D59" s="128"/>
      <c r="E59" s="128" t="str">
        <f>+C59</f>
        <v>(2)</v>
      </c>
      <c r="F59" s="128"/>
      <c r="G59" s="108" t="str">
        <f>+C59</f>
        <v>(2)</v>
      </c>
      <c r="H59" s="154" t="str">
        <f>+I59</f>
        <v>(2)</v>
      </c>
      <c r="I59" s="143" t="str">
        <f>+E59</f>
        <v>(2)</v>
      </c>
    </row>
    <row r="60" spans="1:12" ht="15" hidden="1" customHeight="1" thickTop="1" x14ac:dyDescent="0.25">
      <c r="A60" s="80" t="s">
        <v>174</v>
      </c>
      <c r="B60" s="86" t="s">
        <v>175</v>
      </c>
      <c r="C60" s="155">
        <f>+RUBROS!$Z$13</f>
        <v>22.249601678692599</v>
      </c>
      <c r="D60" s="108"/>
      <c r="E60" s="108">
        <f>+C60</f>
        <v>22.249601678692599</v>
      </c>
      <c r="F60" s="108"/>
      <c r="G60" s="108">
        <f>+C60</f>
        <v>22.249601678692599</v>
      </c>
      <c r="H60" s="153" t="e">
        <f>+#REF!</f>
        <v>#REF!</v>
      </c>
      <c r="I60" s="83" t="e">
        <f>+#REF!</f>
        <v>#REF!</v>
      </c>
      <c r="K60" s="248" t="s">
        <v>384</v>
      </c>
      <c r="L60" s="248" t="s">
        <v>383</v>
      </c>
    </row>
    <row r="61" spans="1:12" ht="15" hidden="1" customHeight="1" thickTop="1" x14ac:dyDescent="0.25">
      <c r="A61" s="80" t="s">
        <v>178</v>
      </c>
      <c r="B61" s="86" t="s">
        <v>179</v>
      </c>
      <c r="C61" s="155">
        <f>+RUBROS!$AP$42</f>
        <v>12.938273064269636</v>
      </c>
      <c r="D61" s="108"/>
      <c r="E61" s="108">
        <f>+C61</f>
        <v>12.938273064269636</v>
      </c>
      <c r="F61" s="108"/>
      <c r="G61" s="108">
        <f>+C61</f>
        <v>12.938273064269636</v>
      </c>
      <c r="H61" s="153">
        <f>+C61</f>
        <v>12.938273064269636</v>
      </c>
      <c r="I61" s="83">
        <f>+H61</f>
        <v>12.938273064269636</v>
      </c>
      <c r="K61" s="248" t="s">
        <v>383</v>
      </c>
    </row>
    <row r="62" spans="1:12" ht="15" hidden="1" customHeight="1" thickTop="1" x14ac:dyDescent="0.25">
      <c r="A62" s="80"/>
      <c r="B62" s="86" t="s">
        <v>180</v>
      </c>
      <c r="C62" s="155"/>
      <c r="D62" s="108"/>
      <c r="E62" s="108"/>
      <c r="F62" s="108"/>
      <c r="G62" s="108"/>
      <c r="H62" s="153"/>
      <c r="I62" s="83">
        <f>+C62</f>
        <v>0</v>
      </c>
      <c r="K62" s="251" t="s">
        <v>385</v>
      </c>
    </row>
    <row r="63" spans="1:12" ht="15" hidden="1" customHeight="1" thickTop="1" x14ac:dyDescent="0.25">
      <c r="A63" s="87" t="s">
        <v>181</v>
      </c>
      <c r="B63" s="112" t="s">
        <v>182</v>
      </c>
      <c r="C63" s="156">
        <f>SUM(C55:C62)</f>
        <v>10689.217874742963</v>
      </c>
      <c r="D63" s="156"/>
      <c r="E63" s="156">
        <f t="shared" ref="E63:I63" si="10">SUM(E55:E62)</f>
        <v>5880.6540747429617</v>
      </c>
      <c r="F63" s="156"/>
      <c r="G63" s="156">
        <f t="shared" si="10"/>
        <v>5576.2924027429617</v>
      </c>
      <c r="H63" s="157" t="e">
        <f t="shared" si="10"/>
        <v>#REF!</v>
      </c>
      <c r="I63" s="158" t="e">
        <f t="shared" si="10"/>
        <v>#REF!</v>
      </c>
    </row>
    <row r="64" spans="1:12" ht="15" hidden="1" customHeight="1" thickTop="1" x14ac:dyDescent="0.25">
      <c r="A64" s="80" t="s">
        <v>183</v>
      </c>
      <c r="B64" s="86" t="s">
        <v>245</v>
      </c>
      <c r="C64" s="168" t="s">
        <v>213</v>
      </c>
      <c r="D64" s="108"/>
      <c r="E64" s="108" t="str">
        <f>+C64</f>
        <v>***</v>
      </c>
      <c r="F64" s="108"/>
      <c r="G64" s="108" t="str">
        <f>+E64</f>
        <v>***</v>
      </c>
      <c r="H64" s="153" t="str">
        <f>I64</f>
        <v>***</v>
      </c>
      <c r="I64" s="83" t="str">
        <f>+E64</f>
        <v>***</v>
      </c>
    </row>
    <row r="65" spans="1:9" ht="15" hidden="1" customHeight="1" thickTop="1" x14ac:dyDescent="0.25">
      <c r="A65" s="80" t="s">
        <v>185</v>
      </c>
      <c r="B65" s="86" t="s">
        <v>186</v>
      </c>
      <c r="C65" s="167" t="s">
        <v>211</v>
      </c>
      <c r="D65" s="108"/>
      <c r="E65" s="108" t="str">
        <f>+C65</f>
        <v>**</v>
      </c>
      <c r="F65" s="108"/>
      <c r="G65" s="108" t="str">
        <f>+C65</f>
        <v>**</v>
      </c>
      <c r="H65" s="153" t="e">
        <f>+#REF!</f>
        <v>#REF!</v>
      </c>
      <c r="I65" s="83" t="e">
        <f>+#REF!</f>
        <v>#REF!</v>
      </c>
    </row>
    <row r="66" spans="1:9" ht="15" hidden="1" customHeight="1" thickTop="1" x14ac:dyDescent="0.25">
      <c r="A66" s="80" t="s">
        <v>187</v>
      </c>
      <c r="B66" s="86" t="s">
        <v>134</v>
      </c>
      <c r="C66" s="155">
        <f>+E66</f>
        <v>0</v>
      </c>
      <c r="D66" s="108"/>
      <c r="E66" s="111">
        <f>+A161</f>
        <v>0</v>
      </c>
      <c r="F66" s="111"/>
      <c r="G66" s="111">
        <f>+A161</f>
        <v>0</v>
      </c>
      <c r="H66" s="169">
        <f>C66</f>
        <v>0</v>
      </c>
      <c r="I66" s="85">
        <f>H66</f>
        <v>0</v>
      </c>
    </row>
    <row r="67" spans="1:9" ht="15" hidden="1" customHeight="1" thickTop="1" x14ac:dyDescent="0.25">
      <c r="A67" s="87" t="s">
        <v>189</v>
      </c>
      <c r="B67" s="112" t="s">
        <v>190</v>
      </c>
      <c r="C67" s="159">
        <f t="shared" ref="C67:I68" si="11">+C63</f>
        <v>10689.217874742963</v>
      </c>
      <c r="D67" s="113"/>
      <c r="E67" s="113">
        <f t="shared" si="11"/>
        <v>5880.6540747429617</v>
      </c>
      <c r="F67" s="113"/>
      <c r="G67" s="113">
        <f t="shared" si="11"/>
        <v>5576.2924027429617</v>
      </c>
      <c r="H67" s="157" t="e">
        <f t="shared" si="11"/>
        <v>#REF!</v>
      </c>
      <c r="I67" s="89" t="e">
        <f t="shared" si="11"/>
        <v>#REF!</v>
      </c>
    </row>
    <row r="68" spans="1:9" ht="15" hidden="1" customHeight="1" thickTop="1" x14ac:dyDescent="0.25">
      <c r="A68" s="80" t="s">
        <v>191</v>
      </c>
      <c r="B68" s="86" t="s">
        <v>150</v>
      </c>
      <c r="C68" s="155" t="str">
        <f>+E68</f>
        <v>***</v>
      </c>
      <c r="D68" s="108"/>
      <c r="E68" s="108" t="str">
        <f t="shared" si="11"/>
        <v>***</v>
      </c>
      <c r="F68" s="108"/>
      <c r="G68" s="108" t="str">
        <f>+G64</f>
        <v>***</v>
      </c>
      <c r="H68" s="153" t="str">
        <f>I68</f>
        <v>***</v>
      </c>
      <c r="I68" s="83" t="str">
        <f>+I64</f>
        <v>***</v>
      </c>
    </row>
    <row r="69" spans="1:9" ht="15" hidden="1" customHeight="1" thickTop="1" x14ac:dyDescent="0.25">
      <c r="A69" s="80" t="s">
        <v>192</v>
      </c>
      <c r="B69" s="81" t="s">
        <v>193</v>
      </c>
      <c r="C69" s="160" t="s">
        <v>217</v>
      </c>
      <c r="D69" s="108"/>
      <c r="E69" s="108" t="s">
        <v>194</v>
      </c>
      <c r="F69" s="108"/>
      <c r="G69" s="108" t="s">
        <v>194</v>
      </c>
      <c r="H69" s="153" t="e">
        <f>+#REF!</f>
        <v>#REF!</v>
      </c>
      <c r="I69" s="83" t="e">
        <f>+#REF!</f>
        <v>#REF!</v>
      </c>
    </row>
    <row r="70" spans="1:9" ht="24.75" hidden="1" customHeight="1" thickTop="1" x14ac:dyDescent="0.25">
      <c r="A70" s="80" t="s">
        <v>195</v>
      </c>
      <c r="B70" s="81" t="s">
        <v>196</v>
      </c>
      <c r="C70" s="160" t="s">
        <v>218</v>
      </c>
      <c r="D70" s="108"/>
      <c r="E70" s="108" t="str">
        <f>+C70</f>
        <v>******</v>
      </c>
      <c r="F70" s="108"/>
      <c r="G70" s="108" t="str">
        <f>+C70</f>
        <v>******</v>
      </c>
      <c r="H70" s="153" t="str">
        <f>+C70</f>
        <v>******</v>
      </c>
      <c r="I70" s="83" t="str">
        <f>+C70</f>
        <v>******</v>
      </c>
    </row>
    <row r="71" spans="1:9" ht="15.6" hidden="1" customHeight="1" thickTop="1" x14ac:dyDescent="0.25">
      <c r="A71" s="91" t="s">
        <v>197</v>
      </c>
      <c r="B71" s="92" t="s">
        <v>198</v>
      </c>
      <c r="C71" s="161"/>
      <c r="D71" s="115"/>
      <c r="E71" s="115"/>
      <c r="F71" s="115"/>
      <c r="G71" s="115"/>
      <c r="H71" s="237"/>
      <c r="I71" s="238"/>
    </row>
    <row r="72" spans="1:9" ht="15" hidden="1" customHeight="1" thickTop="1" x14ac:dyDescent="0.25">
      <c r="A72" s="96"/>
      <c r="B72" s="97"/>
      <c r="C72" s="97"/>
      <c r="D72" s="98"/>
      <c r="E72" s="98"/>
      <c r="F72" s="98"/>
      <c r="G72" s="98"/>
      <c r="H72" s="98"/>
      <c r="I72" s="98"/>
    </row>
    <row r="73" spans="1:9" ht="15" hidden="1" customHeight="1" thickTop="1" x14ac:dyDescent="0.25">
      <c r="A73" s="96"/>
      <c r="B73" s="97"/>
      <c r="C73" s="97"/>
      <c r="D73" s="98"/>
      <c r="E73" s="98"/>
      <c r="F73" s="98"/>
      <c r="G73" s="98"/>
      <c r="H73" s="98"/>
      <c r="I73" s="98"/>
    </row>
    <row r="74" spans="1:9" ht="15" hidden="1" customHeight="1" thickTop="1" x14ac:dyDescent="0.25">
      <c r="A74" s="125"/>
      <c r="B74" s="104" t="s">
        <v>417</v>
      </c>
      <c r="C74" s="918" t="s">
        <v>163</v>
      </c>
      <c r="D74" s="919"/>
      <c r="E74" s="919"/>
      <c r="F74" s="919"/>
      <c r="G74" s="919"/>
      <c r="H74" s="949" t="s">
        <v>231</v>
      </c>
      <c r="I74" s="950"/>
    </row>
    <row r="75" spans="1:9" ht="43.35" hidden="1" customHeight="1" thickTop="1" x14ac:dyDescent="0.25">
      <c r="A75" s="105"/>
      <c r="B75" s="170" t="s">
        <v>252</v>
      </c>
      <c r="C75" s="954"/>
      <c r="D75" s="955"/>
      <c r="E75" s="955"/>
      <c r="F75" s="955"/>
      <c r="G75" s="955"/>
      <c r="H75" s="951"/>
      <c r="I75" s="952"/>
    </row>
    <row r="76" spans="1:9" ht="42" hidden="1" customHeight="1" thickTop="1" x14ac:dyDescent="0.25">
      <c r="A76" s="924" t="s">
        <v>164</v>
      </c>
      <c r="B76" s="926" t="s">
        <v>165</v>
      </c>
      <c r="C76" s="942" t="s">
        <v>222</v>
      </c>
      <c r="D76" s="106"/>
      <c r="E76" s="106" t="s">
        <v>155</v>
      </c>
      <c r="F76" s="453"/>
      <c r="G76" s="953" t="s">
        <v>370</v>
      </c>
      <c r="H76" s="79" t="s">
        <v>96</v>
      </c>
      <c r="I76" s="292" t="s">
        <v>124</v>
      </c>
    </row>
    <row r="77" spans="1:9" ht="15" hidden="1" customHeight="1" thickTop="1" x14ac:dyDescent="0.25">
      <c r="A77" s="924"/>
      <c r="B77" s="926"/>
      <c r="C77" s="931"/>
      <c r="D77" s="291"/>
      <c r="E77" s="121">
        <v>0.02</v>
      </c>
      <c r="F77" s="514"/>
      <c r="G77" s="929"/>
      <c r="H77" s="171">
        <v>0.04</v>
      </c>
      <c r="I77" s="172" t="s">
        <v>244</v>
      </c>
    </row>
    <row r="78" spans="1:9" ht="15" hidden="1" customHeight="1" thickTop="1" x14ac:dyDescent="0.25">
      <c r="A78" s="925"/>
      <c r="B78" s="927"/>
      <c r="C78" s="79" t="s">
        <v>166</v>
      </c>
      <c r="D78" s="106"/>
      <c r="E78" s="106" t="s">
        <v>166</v>
      </c>
      <c r="F78" s="106"/>
      <c r="G78" s="106" t="s">
        <v>166</v>
      </c>
      <c r="H78" s="79" t="s">
        <v>166</v>
      </c>
      <c r="I78" s="165" t="s">
        <v>166</v>
      </c>
    </row>
    <row r="79" spans="1:9" ht="15" hidden="1" customHeight="1" thickTop="1" x14ac:dyDescent="0.25">
      <c r="A79" s="80" t="s">
        <v>167</v>
      </c>
      <c r="B79" s="86" t="s">
        <v>168</v>
      </c>
      <c r="C79" s="166">
        <f>+'Calculo IP ZDF'!$B$43</f>
        <v>10456.1</v>
      </c>
      <c r="D79" s="166"/>
      <c r="E79" s="166">
        <f>+'Calculo IP ZDF'!$F$43</f>
        <v>5626.25</v>
      </c>
      <c r="F79" s="166"/>
      <c r="G79" s="111">
        <f>+'Calculo IP ZDF'!$C$43</f>
        <v>5317.4145280000002</v>
      </c>
      <c r="H79" s="153" t="e">
        <f>+'IMPUESTO AL CARBONO GMR'!#REF!</f>
        <v>#REF!</v>
      </c>
      <c r="I79" s="145" t="e">
        <f>+#REF!</f>
        <v>#REF!</v>
      </c>
    </row>
    <row r="80" spans="1:9" ht="15" hidden="1" customHeight="1" thickTop="1" x14ac:dyDescent="0.25">
      <c r="A80" s="80" t="s">
        <v>169</v>
      </c>
      <c r="B80" s="86" t="s">
        <v>170</v>
      </c>
      <c r="C80" s="128" t="str">
        <f>+E80</f>
        <v>------------------</v>
      </c>
      <c r="D80" s="128"/>
      <c r="E80" s="128" t="s">
        <v>171</v>
      </c>
      <c r="F80" s="128"/>
      <c r="G80" s="109" t="s">
        <v>171</v>
      </c>
      <c r="H80" s="154" t="e">
        <f>+'IMPUESTO AL CARBONO GMR'!#REF!</f>
        <v>#REF!</v>
      </c>
      <c r="I80" s="143" t="e">
        <f>+#REF!</f>
        <v>#REF!</v>
      </c>
    </row>
    <row r="81" spans="1:9" ht="15" hidden="1" customHeight="1" thickTop="1" x14ac:dyDescent="0.25">
      <c r="A81" s="80"/>
      <c r="B81" s="86" t="s">
        <v>129</v>
      </c>
      <c r="C81" s="128" t="str">
        <f>+E81</f>
        <v>------------------</v>
      </c>
      <c r="D81" s="128"/>
      <c r="E81" s="128" t="s">
        <v>171</v>
      </c>
      <c r="F81" s="128"/>
      <c r="G81" s="109" t="s">
        <v>171</v>
      </c>
      <c r="H81" s="154" t="e">
        <f>+#REF!</f>
        <v>#REF!</v>
      </c>
      <c r="I81" s="143" t="e">
        <f>'[5]CORRIENTE OXIGENADA'!D84</f>
        <v>#REF!</v>
      </c>
    </row>
    <row r="82" spans="1:9" ht="15" hidden="1" customHeight="1" thickTop="1" x14ac:dyDescent="0.25">
      <c r="A82" s="80"/>
      <c r="B82" s="86" t="s">
        <v>131</v>
      </c>
      <c r="C82" s="155">
        <f>+'IMPUESTO AL CARBONO GMR'!$C$12</f>
        <v>197.93</v>
      </c>
      <c r="D82" s="155"/>
      <c r="E82" s="155">
        <f>+BIODIESEL!$E$12</f>
        <v>219.21619999999999</v>
      </c>
      <c r="F82" s="155"/>
      <c r="G82" s="111">
        <f>+BIODIESEL!$C$12</f>
        <v>223.69</v>
      </c>
      <c r="H82" s="154" t="e">
        <f>+'IMPUESTO AL CARBONO GMR'!#REF!</f>
        <v>#REF!</v>
      </c>
      <c r="I82" s="143" t="e">
        <f>+#REF!</f>
        <v>#REF!</v>
      </c>
    </row>
    <row r="83" spans="1:9" ht="15" hidden="1" customHeight="1" thickTop="1" x14ac:dyDescent="0.25">
      <c r="A83" s="80" t="s">
        <v>172</v>
      </c>
      <c r="B83" s="86" t="s">
        <v>249</v>
      </c>
      <c r="C83" s="167" t="s">
        <v>200</v>
      </c>
      <c r="D83" s="128"/>
      <c r="E83" s="128" t="str">
        <f>+C83</f>
        <v>(2)</v>
      </c>
      <c r="F83" s="128"/>
      <c r="G83" s="108" t="str">
        <f>+C83</f>
        <v>(2)</v>
      </c>
      <c r="H83" s="154" t="str">
        <f>+I83</f>
        <v>(2)</v>
      </c>
      <c r="I83" s="143" t="str">
        <f>+E83</f>
        <v>(2)</v>
      </c>
    </row>
    <row r="84" spans="1:9" ht="15" hidden="1" customHeight="1" thickTop="1" x14ac:dyDescent="0.25">
      <c r="A84" s="80" t="s">
        <v>174</v>
      </c>
      <c r="B84" s="86" t="s">
        <v>175</v>
      </c>
      <c r="C84" s="155">
        <f>+RUBROS!$Z$13</f>
        <v>22.249601678692599</v>
      </c>
      <c r="D84" s="108"/>
      <c r="E84" s="108">
        <f>+C84</f>
        <v>22.249601678692599</v>
      </c>
      <c r="F84" s="108"/>
      <c r="G84" s="108">
        <f>+C84</f>
        <v>22.249601678692599</v>
      </c>
      <c r="H84" s="153" t="e">
        <f>+#REF!</f>
        <v>#REF!</v>
      </c>
      <c r="I84" s="83" t="e">
        <f>+#REF!</f>
        <v>#REF!</v>
      </c>
    </row>
    <row r="85" spans="1:9" ht="15" hidden="1" customHeight="1" thickTop="1" x14ac:dyDescent="0.25">
      <c r="A85" s="80" t="s">
        <v>178</v>
      </c>
      <c r="B85" s="86" t="s">
        <v>179</v>
      </c>
      <c r="C85" s="155">
        <f>+RUBROS!$AP$42</f>
        <v>12.938273064269636</v>
      </c>
      <c r="D85" s="108"/>
      <c r="E85" s="108">
        <f>+C85</f>
        <v>12.938273064269636</v>
      </c>
      <c r="F85" s="108"/>
      <c r="G85" s="108">
        <f>+C85</f>
        <v>12.938273064269636</v>
      </c>
      <c r="H85" s="153">
        <f>+C85</f>
        <v>12.938273064269636</v>
      </c>
      <c r="I85" s="83">
        <f>+H85</f>
        <v>12.938273064269636</v>
      </c>
    </row>
    <row r="86" spans="1:9" ht="15" hidden="1" customHeight="1" thickTop="1" x14ac:dyDescent="0.25">
      <c r="A86" s="80"/>
      <c r="B86" s="86" t="s">
        <v>180</v>
      </c>
      <c r="C86" s="155"/>
      <c r="D86" s="108"/>
      <c r="E86" s="108"/>
      <c r="F86" s="108"/>
      <c r="G86" s="108"/>
      <c r="H86" s="153"/>
      <c r="I86" s="83">
        <f>+C86</f>
        <v>0</v>
      </c>
    </row>
    <row r="87" spans="1:9" ht="15" hidden="1" customHeight="1" thickTop="1" x14ac:dyDescent="0.25">
      <c r="A87" s="87" t="s">
        <v>181</v>
      </c>
      <c r="B87" s="112" t="s">
        <v>182</v>
      </c>
      <c r="C87" s="156">
        <f>SUM(C79:C86)</f>
        <v>10689.217874742963</v>
      </c>
      <c r="D87" s="156"/>
      <c r="E87" s="156">
        <f t="shared" ref="E87:I87" si="12">SUM(E79:E86)</f>
        <v>5880.6540747429617</v>
      </c>
      <c r="F87" s="156"/>
      <c r="G87" s="156">
        <f t="shared" si="12"/>
        <v>5576.2924027429617</v>
      </c>
      <c r="H87" s="157" t="e">
        <f t="shared" si="12"/>
        <v>#REF!</v>
      </c>
      <c r="I87" s="158" t="e">
        <f t="shared" si="12"/>
        <v>#REF!</v>
      </c>
    </row>
    <row r="88" spans="1:9" ht="15" hidden="1" customHeight="1" thickTop="1" x14ac:dyDescent="0.25">
      <c r="A88" s="80" t="s">
        <v>183</v>
      </c>
      <c r="B88" s="86" t="s">
        <v>245</v>
      </c>
      <c r="C88" s="168" t="s">
        <v>213</v>
      </c>
      <c r="D88" s="108"/>
      <c r="E88" s="108" t="str">
        <f>+C88</f>
        <v>***</v>
      </c>
      <c r="F88" s="108"/>
      <c r="G88" s="108" t="str">
        <f>+E88</f>
        <v>***</v>
      </c>
      <c r="H88" s="153" t="str">
        <f>I88</f>
        <v>***</v>
      </c>
      <c r="I88" s="83" t="str">
        <f>+E88</f>
        <v>***</v>
      </c>
    </row>
    <row r="89" spans="1:9" ht="15" hidden="1" customHeight="1" thickTop="1" x14ac:dyDescent="0.25">
      <c r="A89" s="80" t="s">
        <v>185</v>
      </c>
      <c r="B89" s="86" t="s">
        <v>186</v>
      </c>
      <c r="C89" s="167" t="s">
        <v>211</v>
      </c>
      <c r="D89" s="108"/>
      <c r="E89" s="108" t="str">
        <f>+C89</f>
        <v>**</v>
      </c>
      <c r="F89" s="108"/>
      <c r="G89" s="108" t="str">
        <f>+C89</f>
        <v>**</v>
      </c>
      <c r="H89" s="153" t="e">
        <f>+#REF!</f>
        <v>#REF!</v>
      </c>
      <c r="I89" s="83" t="e">
        <f>+#REF!</f>
        <v>#REF!</v>
      </c>
    </row>
    <row r="90" spans="1:9" ht="15" hidden="1" customHeight="1" thickTop="1" x14ac:dyDescent="0.25">
      <c r="A90" s="80" t="s">
        <v>187</v>
      </c>
      <c r="B90" s="86" t="s">
        <v>134</v>
      </c>
      <c r="C90" s="155">
        <f>+E90</f>
        <v>0</v>
      </c>
      <c r="D90" s="108"/>
      <c r="E90" s="111">
        <f>+A185</f>
        <v>0</v>
      </c>
      <c r="F90" s="111"/>
      <c r="G90" s="111">
        <f>+A185</f>
        <v>0</v>
      </c>
      <c r="H90" s="169">
        <f>C90</f>
        <v>0</v>
      </c>
      <c r="I90" s="85">
        <f>H90</f>
        <v>0</v>
      </c>
    </row>
    <row r="91" spans="1:9" ht="15" hidden="1" customHeight="1" thickTop="1" x14ac:dyDescent="0.25">
      <c r="A91" s="87" t="s">
        <v>189</v>
      </c>
      <c r="B91" s="112" t="s">
        <v>190</v>
      </c>
      <c r="C91" s="159">
        <f t="shared" ref="C91:I91" si="13">+C87</f>
        <v>10689.217874742963</v>
      </c>
      <c r="D91" s="113"/>
      <c r="E91" s="113">
        <f t="shared" si="13"/>
        <v>5880.6540747429617</v>
      </c>
      <c r="F91" s="113"/>
      <c r="G91" s="113">
        <f t="shared" si="13"/>
        <v>5576.2924027429617</v>
      </c>
      <c r="H91" s="157" t="e">
        <f t="shared" si="13"/>
        <v>#REF!</v>
      </c>
      <c r="I91" s="89" t="e">
        <f t="shared" si="13"/>
        <v>#REF!</v>
      </c>
    </row>
    <row r="92" spans="1:9" ht="15" hidden="1" customHeight="1" thickTop="1" x14ac:dyDescent="0.25">
      <c r="A92" s="80" t="s">
        <v>191</v>
      </c>
      <c r="B92" s="86" t="s">
        <v>150</v>
      </c>
      <c r="C92" s="155" t="str">
        <f>+E92</f>
        <v>***</v>
      </c>
      <c r="D92" s="108"/>
      <c r="E92" s="108" t="str">
        <f t="shared" ref="E92" si="14">+E88</f>
        <v>***</v>
      </c>
      <c r="F92" s="108"/>
      <c r="G92" s="108" t="str">
        <f>+G88</f>
        <v>***</v>
      </c>
      <c r="H92" s="153" t="str">
        <f>I92</f>
        <v>***</v>
      </c>
      <c r="I92" s="83" t="str">
        <f>+I88</f>
        <v>***</v>
      </c>
    </row>
    <row r="93" spans="1:9" ht="15" hidden="1" customHeight="1" thickTop="1" x14ac:dyDescent="0.25">
      <c r="A93" s="80" t="s">
        <v>192</v>
      </c>
      <c r="B93" s="81" t="s">
        <v>193</v>
      </c>
      <c r="C93" s="160" t="s">
        <v>217</v>
      </c>
      <c r="D93" s="108"/>
      <c r="E93" s="108" t="s">
        <v>194</v>
      </c>
      <c r="F93" s="108"/>
      <c r="G93" s="108" t="s">
        <v>194</v>
      </c>
      <c r="H93" s="153" t="e">
        <f>+#REF!</f>
        <v>#REF!</v>
      </c>
      <c r="I93" s="83" t="e">
        <f>+#REF!</f>
        <v>#REF!</v>
      </c>
    </row>
    <row r="94" spans="1:9" ht="15" hidden="1" customHeight="1" thickTop="1" x14ac:dyDescent="0.25">
      <c r="A94" s="80" t="s">
        <v>195</v>
      </c>
      <c r="B94" s="81" t="s">
        <v>196</v>
      </c>
      <c r="C94" s="160" t="s">
        <v>218</v>
      </c>
      <c r="D94" s="108"/>
      <c r="E94" s="108" t="str">
        <f>+C94</f>
        <v>******</v>
      </c>
      <c r="F94" s="108"/>
      <c r="G94" s="108" t="str">
        <f>+C94</f>
        <v>******</v>
      </c>
      <c r="H94" s="153" t="str">
        <f>+C94</f>
        <v>******</v>
      </c>
      <c r="I94" s="83" t="str">
        <f>+C94</f>
        <v>******</v>
      </c>
    </row>
    <row r="95" spans="1:9" ht="15.6" hidden="1" customHeight="1" thickTop="1" x14ac:dyDescent="0.25">
      <c r="A95" s="91" t="s">
        <v>197</v>
      </c>
      <c r="B95" s="92" t="s">
        <v>198</v>
      </c>
      <c r="C95" s="161"/>
      <c r="D95" s="115"/>
      <c r="E95" s="115"/>
      <c r="F95" s="115"/>
      <c r="G95" s="115"/>
      <c r="H95" s="237"/>
      <c r="I95" s="238"/>
    </row>
    <row r="96" spans="1:9" ht="15" hidden="1" customHeight="1" thickTop="1" x14ac:dyDescent="0.25">
      <c r="A96" s="96"/>
      <c r="B96" s="97"/>
      <c r="C96" s="97"/>
      <c r="D96" s="98"/>
      <c r="E96" s="98"/>
      <c r="F96" s="98"/>
      <c r="G96" s="98"/>
      <c r="H96" s="98"/>
      <c r="I96" s="98"/>
    </row>
    <row r="97" spans="1:9" ht="15" hidden="1" customHeight="1" thickTop="1" x14ac:dyDescent="0.25">
      <c r="A97" s="96"/>
      <c r="B97" s="97"/>
      <c r="C97" s="97"/>
      <c r="D97" s="98"/>
      <c r="E97" s="98"/>
      <c r="F97" s="98"/>
      <c r="G97" s="98"/>
      <c r="H97" s="98"/>
      <c r="I97" s="98"/>
    </row>
    <row r="98" spans="1:9" ht="15" hidden="1" customHeight="1" thickTop="1" x14ac:dyDescent="0.25">
      <c r="A98" s="96"/>
      <c r="B98" s="97"/>
      <c r="C98" s="97"/>
      <c r="D98" s="98"/>
      <c r="E98" s="98"/>
      <c r="F98" s="98"/>
      <c r="G98" s="98"/>
      <c r="H98" s="98"/>
      <c r="I98" s="98"/>
    </row>
    <row r="99" spans="1:9" ht="15.75" thickTop="1" x14ac:dyDescent="0.25">
      <c r="A99" s="96"/>
      <c r="B99" s="97"/>
      <c r="C99" s="97"/>
      <c r="D99" s="98"/>
      <c r="E99" s="98"/>
      <c r="F99" s="98"/>
      <c r="G99" s="98"/>
      <c r="H99" s="98"/>
      <c r="I99" s="98"/>
    </row>
    <row r="100" spans="1:9" x14ac:dyDescent="0.25">
      <c r="A100" s="96"/>
      <c r="B100" s="97"/>
      <c r="C100" s="97"/>
      <c r="D100" s="98"/>
      <c r="E100" s="98"/>
      <c r="F100" s="98"/>
      <c r="G100" s="98"/>
      <c r="H100" s="98"/>
      <c r="I100" s="98"/>
    </row>
    <row r="101" spans="1:9" x14ac:dyDescent="0.25">
      <c r="A101" s="96"/>
      <c r="B101" s="116" t="s">
        <v>209</v>
      </c>
      <c r="C101" s="97"/>
      <c r="D101" s="98"/>
      <c r="E101" s="98"/>
      <c r="F101" s="98"/>
      <c r="G101" s="98"/>
      <c r="H101" s="98"/>
      <c r="I101" s="98"/>
    </row>
    <row r="102" spans="1:9" x14ac:dyDescent="0.25">
      <c r="A102" s="96"/>
      <c r="B102" s="97"/>
      <c r="C102" s="97"/>
      <c r="D102" s="98"/>
      <c r="E102" s="98"/>
      <c r="F102" s="98"/>
      <c r="G102" s="98"/>
      <c r="H102" s="98"/>
      <c r="I102" s="98"/>
    </row>
    <row r="103" spans="1:9" ht="39.6" customHeight="1" x14ac:dyDescent="0.25">
      <c r="A103" s="99" t="s">
        <v>173</v>
      </c>
      <c r="B103" s="933" t="str">
        <f>+BOYACA!B29</f>
        <v>De acuerdo con lo establecido en la Resoluccion 91349 de 2014 del MME para combustible de origen nacional o importado a ser distribuido en zonas de frontera, aplica la tarifa de marcación o remarcación vigente a la fecha según corresponda</v>
      </c>
      <c r="C103" s="933"/>
      <c r="D103" s="933"/>
      <c r="E103" s="933"/>
      <c r="F103" s="933"/>
      <c r="G103" s="933"/>
      <c r="H103" s="933"/>
      <c r="I103" s="98"/>
    </row>
    <row r="104" spans="1:9" ht="24.75" customHeight="1" x14ac:dyDescent="0.25">
      <c r="A104" s="99" t="s">
        <v>200</v>
      </c>
      <c r="B104" s="915" t="s">
        <v>250</v>
      </c>
      <c r="C104" s="915"/>
      <c r="D104" s="915"/>
      <c r="E104" s="915"/>
      <c r="F104" s="915"/>
      <c r="G104" s="915"/>
      <c r="H104" s="915"/>
      <c r="I104" s="98"/>
    </row>
    <row r="105" spans="1:9" ht="39.200000000000003" customHeight="1" x14ac:dyDescent="0.25">
      <c r="A105" s="99" t="s">
        <v>130</v>
      </c>
      <c r="B105" s="933" t="s">
        <v>306</v>
      </c>
      <c r="C105" s="933"/>
      <c r="D105" s="933"/>
      <c r="E105" s="933"/>
      <c r="F105" s="933"/>
      <c r="G105" s="933"/>
      <c r="H105" s="933"/>
      <c r="I105" s="98"/>
    </row>
    <row r="106" spans="1:9" ht="7.5" customHeight="1" x14ac:dyDescent="0.25">
      <c r="A106" s="99"/>
      <c r="B106" s="142"/>
      <c r="C106" s="142"/>
      <c r="D106" s="142"/>
      <c r="E106" s="142"/>
      <c r="F106" s="142"/>
      <c r="G106" s="142"/>
      <c r="H106" s="142"/>
      <c r="I106" s="98"/>
    </row>
    <row r="107" spans="1:9" ht="25.5" customHeight="1" x14ac:dyDescent="0.25">
      <c r="A107" s="162">
        <v>2</v>
      </c>
      <c r="B107" s="956" t="s">
        <v>246</v>
      </c>
      <c r="C107" s="956"/>
      <c r="D107" s="956"/>
      <c r="E107" s="956"/>
      <c r="F107" s="956"/>
      <c r="G107" s="956"/>
      <c r="H107" s="956"/>
      <c r="I107" s="956"/>
    </row>
    <row r="108" spans="1:9" ht="39.200000000000003" customHeight="1" x14ac:dyDescent="0.25">
      <c r="A108" s="99"/>
      <c r="B108" s="933" t="s">
        <v>450</v>
      </c>
      <c r="C108" s="933"/>
      <c r="D108" s="933"/>
      <c r="E108" s="933"/>
      <c r="F108" s="933"/>
      <c r="G108" s="933"/>
      <c r="H108" s="933"/>
      <c r="I108" s="933"/>
    </row>
    <row r="109" spans="1:9" x14ac:dyDescent="0.25">
      <c r="A109" s="117" t="s">
        <v>102</v>
      </c>
      <c r="B109" s="914" t="s">
        <v>210</v>
      </c>
      <c r="C109" s="914"/>
      <c r="D109" s="914"/>
      <c r="E109" s="914"/>
      <c r="F109" s="914"/>
      <c r="G109" s="914"/>
      <c r="H109" s="914"/>
      <c r="I109" s="163"/>
    </row>
    <row r="110" spans="1:9" x14ac:dyDescent="0.25">
      <c r="A110" s="117" t="s">
        <v>211</v>
      </c>
      <c r="B110" s="914" t="s">
        <v>242</v>
      </c>
      <c r="C110" s="914"/>
      <c r="D110" s="914"/>
      <c r="E110" s="914"/>
      <c r="F110" s="914"/>
      <c r="G110" s="914"/>
      <c r="H110" s="914"/>
      <c r="I110" s="914"/>
    </row>
    <row r="111" spans="1:9" x14ac:dyDescent="0.25">
      <c r="A111" s="117" t="s">
        <v>213</v>
      </c>
      <c r="B111" s="914" t="s">
        <v>251</v>
      </c>
      <c r="C111" s="914"/>
      <c r="D111" s="914"/>
      <c r="E111" s="914"/>
      <c r="F111" s="914"/>
      <c r="G111" s="914"/>
      <c r="H111" s="914"/>
      <c r="I111" s="914"/>
    </row>
    <row r="112" spans="1:9" ht="17.850000000000001" customHeight="1" x14ac:dyDescent="0.25">
      <c r="A112" s="117" t="s">
        <v>215</v>
      </c>
      <c r="B112" s="914" t="s">
        <v>420</v>
      </c>
      <c r="C112" s="914"/>
      <c r="D112" s="914"/>
      <c r="E112" s="914"/>
      <c r="F112" s="914"/>
      <c r="G112" s="914"/>
      <c r="H112" s="914"/>
      <c r="I112" s="914"/>
    </row>
    <row r="113" spans="1:9" x14ac:dyDescent="0.25">
      <c r="A113" s="117" t="s">
        <v>217</v>
      </c>
      <c r="B113" s="914" t="s">
        <v>219</v>
      </c>
      <c r="C113" s="914"/>
      <c r="D113" s="914"/>
      <c r="E113" s="914"/>
      <c r="F113" s="914"/>
      <c r="G113" s="914"/>
      <c r="H113" s="100"/>
      <c r="I113" s="164"/>
    </row>
    <row r="114" spans="1:9" x14ac:dyDescent="0.25">
      <c r="A114" s="117" t="s">
        <v>218</v>
      </c>
      <c r="B114" s="914" t="s">
        <v>248</v>
      </c>
      <c r="C114" s="914"/>
      <c r="D114" s="914"/>
      <c r="E114" s="914"/>
      <c r="F114" s="914"/>
      <c r="G114" s="914"/>
      <c r="H114" s="914"/>
      <c r="I114" s="914"/>
    </row>
    <row r="115" spans="1:9" ht="38.85" customHeight="1" x14ac:dyDescent="0.25">
      <c r="A115" s="140"/>
      <c r="B115" s="914" t="s">
        <v>422</v>
      </c>
      <c r="C115" s="914"/>
      <c r="D115" s="914"/>
      <c r="E115" s="914"/>
      <c r="F115" s="914"/>
      <c r="G115" s="914"/>
      <c r="H115" s="140"/>
      <c r="I115" s="140"/>
    </row>
    <row r="116" spans="1:9" ht="45.95" customHeight="1" x14ac:dyDescent="0.25">
      <c r="A116" s="140"/>
      <c r="B116" s="100"/>
      <c r="C116" s="100"/>
      <c r="D116" s="100"/>
      <c r="E116" s="100"/>
      <c r="F116" s="100"/>
      <c r="G116" s="100"/>
      <c r="H116" s="140"/>
      <c r="I116" s="140"/>
    </row>
    <row r="117" spans="1:9" ht="87.95" customHeight="1" x14ac:dyDescent="0.25">
      <c r="A117" s="917" t="s">
        <v>137</v>
      </c>
      <c r="B117" s="917"/>
      <c r="C117" s="917"/>
      <c r="D117" s="917"/>
      <c r="E117" s="917"/>
      <c r="F117" s="917"/>
      <c r="G117" s="917"/>
      <c r="H117" s="917"/>
    </row>
  </sheetData>
  <sheetProtection algorithmName="SHA-512" hashValue="RkE/Ev5buyOWK4T2xpwMTwB5j7LWuH2IgyvVi+rdcQZAQF5NB0rkl8P0eyoYqdbV+Q9Bt9QXQuvy6ObnS+Qh9A==" saltValue="7ykAKfCIRCoU9SfAa7s/TA==" spinCount="100000" sheet="1" objects="1" scenarios="1"/>
  <mergeCells count="35">
    <mergeCell ref="H27:I28"/>
    <mergeCell ref="A29:A31"/>
    <mergeCell ref="B29:B31"/>
    <mergeCell ref="C29:C30"/>
    <mergeCell ref="C50:G51"/>
    <mergeCell ref="H50:I51"/>
    <mergeCell ref="A5:A7"/>
    <mergeCell ref="B5:B7"/>
    <mergeCell ref="C5:C6"/>
    <mergeCell ref="G5:G6"/>
    <mergeCell ref="H3:I4"/>
    <mergeCell ref="C3:G4"/>
    <mergeCell ref="A117:H117"/>
    <mergeCell ref="B103:H103"/>
    <mergeCell ref="B105:H105"/>
    <mergeCell ref="B114:I114"/>
    <mergeCell ref="B110:I110"/>
    <mergeCell ref="B111:I111"/>
    <mergeCell ref="B112:I112"/>
    <mergeCell ref="B113:G113"/>
    <mergeCell ref="B115:G115"/>
    <mergeCell ref="B108:I108"/>
    <mergeCell ref="B107:I107"/>
    <mergeCell ref="B104:H104"/>
    <mergeCell ref="B109:H109"/>
    <mergeCell ref="C52:C53"/>
    <mergeCell ref="G52:G53"/>
    <mergeCell ref="A52:A54"/>
    <mergeCell ref="B52:B54"/>
    <mergeCell ref="C74:G75"/>
    <mergeCell ref="H74:I75"/>
    <mergeCell ref="A76:A78"/>
    <mergeCell ref="B76:B78"/>
    <mergeCell ref="C76:C77"/>
    <mergeCell ref="G76:G77"/>
  </mergeCells>
  <hyperlinks>
    <hyperlink ref="B101" location="CESAR!A66" display="Ver Nota Informativa" xr:uid="{00000000-0004-0000-0B00-000001000000}"/>
  </hyperlinks>
  <pageMargins left="0.7" right="0.7" top="0.75" bottom="0.75" header="0.3" footer="0.3"/>
  <pageSetup orientation="portrait" r:id="rId1"/>
  <ignoredErrors>
    <ignoredError sqref="C17:C19 G13 C12 E12:E14 G14:H14 G12:H12 H34" numberStoredAsText="1"/>
    <ignoredError sqref="C20 E20 G20:H20" formula="1"/>
    <ignoredError sqref="E21:E23 E16:E19 G16:G18 G22 C21:C23 G23:H23 G19 H16 G21"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S41"/>
  <sheetViews>
    <sheetView showGridLines="0" zoomScale="90" zoomScaleNormal="90" workbookViewId="0">
      <selection activeCell="L19" sqref="L19"/>
    </sheetView>
  </sheetViews>
  <sheetFormatPr baseColWidth="10" defaultColWidth="45" defaultRowHeight="15" x14ac:dyDescent="0.25"/>
  <cols>
    <col min="1" max="1" width="7" customWidth="1"/>
    <col min="2" max="2" width="48" customWidth="1"/>
    <col min="3" max="3" width="14.140625" customWidth="1"/>
    <col min="4" max="4" width="13.5703125" hidden="1" customWidth="1"/>
    <col min="5" max="5" width="13.42578125" customWidth="1"/>
    <col min="6" max="6" width="13.28515625" hidden="1" customWidth="1"/>
    <col min="7" max="7" width="11.7109375" hidden="1" customWidth="1"/>
    <col min="8" max="8" width="12" customWidth="1"/>
    <col min="9" max="9" width="12.85546875" hidden="1" customWidth="1"/>
    <col min="10" max="10" width="12.28515625" customWidth="1"/>
    <col min="11" max="11" width="11.7109375" hidden="1" customWidth="1"/>
    <col min="12" max="12" width="11.42578125" customWidth="1"/>
    <col min="13" max="14" width="11.42578125" hidden="1" customWidth="1"/>
    <col min="15" max="15" width="12" hidden="1" customWidth="1"/>
    <col min="16" max="16" width="13.140625" customWidth="1"/>
    <col min="17" max="17" width="13.7109375" hidden="1" customWidth="1"/>
    <col min="18" max="18" width="33.140625" customWidth="1"/>
    <col min="19" max="19" width="17.140625" hidden="1" customWidth="1"/>
  </cols>
  <sheetData>
    <row r="1" spans="1:19" x14ac:dyDescent="0.25">
      <c r="A1" s="140" t="s">
        <v>148</v>
      </c>
      <c r="B1" s="77" t="str">
        <f>+AMAZONAS!C1</f>
        <v>Vigencia: 22 de Marzo de 2025; 00:00 horas</v>
      </c>
      <c r="C1" s="77"/>
      <c r="D1" s="77"/>
      <c r="E1" s="77"/>
      <c r="F1" s="140"/>
      <c r="G1" s="140"/>
      <c r="H1" s="140"/>
      <c r="I1" s="140"/>
      <c r="J1" s="140"/>
      <c r="K1" s="140"/>
      <c r="L1" s="140"/>
      <c r="M1" s="140"/>
      <c r="N1" s="140"/>
      <c r="O1" s="140"/>
      <c r="P1" s="140"/>
      <c r="Q1" s="140"/>
    </row>
    <row r="2" spans="1:19" ht="15.75" thickBot="1" x14ac:dyDescent="0.3">
      <c r="A2" s="77" t="s">
        <v>162</v>
      </c>
      <c r="B2" s="102"/>
      <c r="C2" s="102"/>
      <c r="D2" s="102"/>
      <c r="E2" s="594"/>
      <c r="F2" s="496"/>
      <c r="G2" s="102"/>
      <c r="H2" s="102"/>
      <c r="I2" s="102"/>
      <c r="J2" s="102"/>
      <c r="K2" s="102"/>
      <c r="L2" s="594"/>
      <c r="M2" s="498"/>
      <c r="N2" s="151"/>
      <c r="O2" s="151"/>
      <c r="P2" s="151"/>
      <c r="Q2" s="102"/>
    </row>
    <row r="3" spans="1:19" ht="21.95" customHeight="1" thickTop="1" x14ac:dyDescent="0.25">
      <c r="A3" s="125"/>
      <c r="B3" s="104" t="s">
        <v>253</v>
      </c>
      <c r="C3" s="918" t="s">
        <v>163</v>
      </c>
      <c r="D3" s="919"/>
      <c r="E3" s="919"/>
      <c r="F3" s="919"/>
      <c r="G3" s="919"/>
      <c r="H3" s="919"/>
      <c r="I3" s="919"/>
      <c r="J3" s="919"/>
      <c r="K3" s="920"/>
      <c r="L3" s="976" t="s">
        <v>231</v>
      </c>
      <c r="M3" s="977"/>
      <c r="N3" s="977"/>
      <c r="O3" s="977"/>
      <c r="P3" s="977"/>
      <c r="Q3" s="978"/>
    </row>
    <row r="4" spans="1:19" ht="23.1" customHeight="1" thickBot="1" x14ac:dyDescent="0.3">
      <c r="A4" s="105"/>
      <c r="B4" s="389" t="s">
        <v>459</v>
      </c>
      <c r="C4" s="972"/>
      <c r="D4" s="973"/>
      <c r="E4" s="973"/>
      <c r="F4" s="973"/>
      <c r="G4" s="973"/>
      <c r="H4" s="973"/>
      <c r="I4" s="973"/>
      <c r="J4" s="973"/>
      <c r="K4" s="974"/>
      <c r="L4" s="979"/>
      <c r="M4" s="980"/>
      <c r="N4" s="980"/>
      <c r="O4" s="980"/>
      <c r="P4" s="980"/>
      <c r="Q4" s="981"/>
    </row>
    <row r="5" spans="1:19" ht="26.45" customHeight="1" thickTop="1" x14ac:dyDescent="0.25">
      <c r="A5" s="924" t="s">
        <v>164</v>
      </c>
      <c r="B5" s="926" t="s">
        <v>165</v>
      </c>
      <c r="C5" s="975" t="s">
        <v>222</v>
      </c>
      <c r="D5" s="545" t="s">
        <v>96</v>
      </c>
      <c r="E5" s="545" t="s">
        <v>96</v>
      </c>
      <c r="F5" s="545" t="s">
        <v>96</v>
      </c>
      <c r="G5" s="545" t="s">
        <v>96</v>
      </c>
      <c r="H5" s="545" t="s">
        <v>367</v>
      </c>
      <c r="I5" s="545" t="s">
        <v>482</v>
      </c>
      <c r="J5" s="545" t="s">
        <v>497</v>
      </c>
      <c r="K5" s="545" t="s">
        <v>448</v>
      </c>
      <c r="L5" s="515" t="s">
        <v>96</v>
      </c>
      <c r="M5" s="516" t="s">
        <v>96</v>
      </c>
      <c r="N5" s="516" t="s">
        <v>96</v>
      </c>
      <c r="O5" s="516" t="s">
        <v>482</v>
      </c>
      <c r="P5" s="516" t="s">
        <v>372</v>
      </c>
      <c r="Q5" s="517" t="str">
        <f>+K5</f>
        <v>Biodiesel B11</v>
      </c>
    </row>
    <row r="6" spans="1:19" x14ac:dyDescent="0.25">
      <c r="A6" s="924"/>
      <c r="B6" s="926"/>
      <c r="C6" s="931"/>
      <c r="D6" s="291" t="s">
        <v>481</v>
      </c>
      <c r="E6" s="291" t="s">
        <v>492</v>
      </c>
      <c r="F6" s="291" t="s">
        <v>444</v>
      </c>
      <c r="G6" s="291" t="s">
        <v>447</v>
      </c>
      <c r="H6" s="121">
        <v>0.02</v>
      </c>
      <c r="I6" s="233">
        <v>0.08</v>
      </c>
      <c r="J6" s="233">
        <v>0.1</v>
      </c>
      <c r="K6" s="233">
        <v>0.11</v>
      </c>
      <c r="L6" s="518" t="str">
        <f>+E6</f>
        <v>Oxigena 10%</v>
      </c>
      <c r="M6" s="519" t="str">
        <f>+F6</f>
        <v>Oxigena 5%</v>
      </c>
      <c r="N6" s="519" t="str">
        <f>+G6</f>
        <v>Oxigena 6%</v>
      </c>
      <c r="O6" s="520">
        <v>0.08</v>
      </c>
      <c r="P6" s="520">
        <v>0.1</v>
      </c>
      <c r="Q6" s="521">
        <f>+K6</f>
        <v>0.11</v>
      </c>
    </row>
    <row r="7" spans="1:19" ht="15.75" thickBot="1" x14ac:dyDescent="0.3">
      <c r="A7" s="925"/>
      <c r="B7" s="927"/>
      <c r="C7" s="650" t="s">
        <v>166</v>
      </c>
      <c r="D7" s="658" t="s">
        <v>166</v>
      </c>
      <c r="E7" s="658" t="s">
        <v>166</v>
      </c>
      <c r="F7" s="658" t="s">
        <v>166</v>
      </c>
      <c r="G7" s="658" t="s">
        <v>166</v>
      </c>
      <c r="H7" s="658" t="s">
        <v>166</v>
      </c>
      <c r="I7" s="658" t="s">
        <v>166</v>
      </c>
      <c r="J7" s="658" t="s">
        <v>166</v>
      </c>
      <c r="K7" s="106" t="s">
        <v>166</v>
      </c>
      <c r="L7" s="696" t="s">
        <v>166</v>
      </c>
      <c r="M7" s="659" t="s">
        <v>166</v>
      </c>
      <c r="N7" s="659" t="s">
        <v>166</v>
      </c>
      <c r="O7" s="659" t="s">
        <v>166</v>
      </c>
      <c r="P7" s="659" t="s">
        <v>166</v>
      </c>
      <c r="Q7" s="517" t="s">
        <v>166</v>
      </c>
    </row>
    <row r="8" spans="1:19" ht="15.75" thickTop="1" x14ac:dyDescent="0.25">
      <c r="A8" s="80" t="s">
        <v>167</v>
      </c>
      <c r="B8" s="86" t="s">
        <v>168</v>
      </c>
      <c r="C8" s="722">
        <f>+'Calculo IP ZDF'!B33</f>
        <v>10456.1</v>
      </c>
      <c r="D8" s="723">
        <f>+'Calculo IP ZDF'!G33</f>
        <v>0</v>
      </c>
      <c r="E8" s="723">
        <f>+'Calculo IP ZDF'!H33</f>
        <v>11009.89</v>
      </c>
      <c r="F8" s="723">
        <f>+'Calculo IP ZDF'!I33</f>
        <v>10733</v>
      </c>
      <c r="G8" s="755">
        <f>+'Calculo IP ZDF'!J33</f>
        <v>10788.369999999999</v>
      </c>
      <c r="H8" s="723">
        <f>+'Calculo IP ZDF'!F33</f>
        <v>5529.5300000000007</v>
      </c>
      <c r="I8" s="723">
        <f>+'Calculo IP ZDF'!N33</f>
        <v>6461.9384044800008</v>
      </c>
      <c r="J8" s="756">
        <f>+'Calculo IP ZDF'!M33</f>
        <v>6772.7425696000009</v>
      </c>
      <c r="K8" s="166">
        <f>+'Calculo IP ZDF'!L33</f>
        <v>0</v>
      </c>
      <c r="L8" s="763">
        <f>+'IMPUESTO AL CARBONO GMR'!D9</f>
        <v>11009.89</v>
      </c>
      <c r="M8" s="764" t="e">
        <f>+'IMPUESTO AL CARBONO GMR'!#REF!</f>
        <v>#REF!</v>
      </c>
      <c r="N8" s="765" t="e">
        <f>+'IMPUESTO AL CARBONO GMR'!#REF!</f>
        <v>#REF!</v>
      </c>
      <c r="O8" s="766" t="e">
        <f>+BIODIESEL!#REF!</f>
        <v>#REF!</v>
      </c>
      <c r="P8" s="767">
        <f>+BIODIESEL!F9</f>
        <v>6983.2690000000002</v>
      </c>
      <c r="Q8" s="758" t="e">
        <f>+BIODIESEL!#REF!</f>
        <v>#REF!</v>
      </c>
    </row>
    <row r="9" spans="1:19" ht="18" customHeight="1" x14ac:dyDescent="0.25">
      <c r="A9" s="80" t="s">
        <v>169</v>
      </c>
      <c r="B9" s="86" t="s">
        <v>170</v>
      </c>
      <c r="C9" s="169" t="str">
        <f>+H9</f>
        <v>------------------</v>
      </c>
      <c r="D9" s="128" t="s">
        <v>171</v>
      </c>
      <c r="E9" s="128" t="s">
        <v>171</v>
      </c>
      <c r="F9" s="128" t="s">
        <v>171</v>
      </c>
      <c r="G9" s="366" t="s">
        <v>171</v>
      </c>
      <c r="H9" s="128" t="s">
        <v>171</v>
      </c>
      <c r="I9" s="128" t="s">
        <v>171</v>
      </c>
      <c r="J9" s="666" t="s">
        <v>171</v>
      </c>
      <c r="K9" s="128" t="s">
        <v>171</v>
      </c>
      <c r="L9" s="525">
        <f>+'IMPUESTO AL CARBONO GMR'!D10</f>
        <v>686.15099999999995</v>
      </c>
      <c r="M9" s="526" t="e">
        <f>+'IMPUESTO AL CARBONO GMR'!#REF!</f>
        <v>#REF!</v>
      </c>
      <c r="N9" s="527" t="e">
        <f>+'IMPUESTO AL CARBONO GMR'!#REF!</f>
        <v>#REF!</v>
      </c>
      <c r="O9" s="528" t="e">
        <f>+BIODIESEL!#REF!</f>
        <v>#REF!</v>
      </c>
      <c r="P9" s="529">
        <f>+BIODIESEL!F10</f>
        <v>656.74</v>
      </c>
      <c r="Q9" s="759" t="e">
        <f>+BIODIESEL!#REF!</f>
        <v>#REF!</v>
      </c>
    </row>
    <row r="10" spans="1:19" ht="16.899999999999999" customHeight="1" x14ac:dyDescent="0.25">
      <c r="A10" s="80"/>
      <c r="B10" s="86" t="s">
        <v>129</v>
      </c>
      <c r="C10" s="169" t="str">
        <f>+H10</f>
        <v>------------------</v>
      </c>
      <c r="D10" s="128" t="s">
        <v>171</v>
      </c>
      <c r="E10" s="128" t="s">
        <v>171</v>
      </c>
      <c r="F10" s="128" t="s">
        <v>171</v>
      </c>
      <c r="G10" s="366" t="s">
        <v>171</v>
      </c>
      <c r="H10" s="128" t="s">
        <v>171</v>
      </c>
      <c r="I10" s="128" t="s">
        <v>171</v>
      </c>
      <c r="J10" s="666" t="s">
        <v>171</v>
      </c>
      <c r="K10" s="128" t="s">
        <v>171</v>
      </c>
      <c r="L10" s="525" t="s">
        <v>130</v>
      </c>
      <c r="M10" s="526" t="s">
        <v>130</v>
      </c>
      <c r="N10" s="527" t="s">
        <v>130</v>
      </c>
      <c r="O10" s="528" t="s">
        <v>130</v>
      </c>
      <c r="P10" s="529" t="s">
        <v>130</v>
      </c>
      <c r="Q10" s="759" t="s">
        <v>130</v>
      </c>
    </row>
    <row r="11" spans="1:19" x14ac:dyDescent="0.25">
      <c r="A11" s="80"/>
      <c r="B11" s="86" t="s">
        <v>131</v>
      </c>
      <c r="C11" s="169" t="str">
        <f>+VAUPES!C11</f>
        <v>(4)</v>
      </c>
      <c r="D11" s="128" t="s">
        <v>201</v>
      </c>
      <c r="E11" s="128" t="s">
        <v>201</v>
      </c>
      <c r="F11" s="128" t="str">
        <f>+C11</f>
        <v>(4)</v>
      </c>
      <c r="G11" s="366" t="str">
        <f t="shared" ref="G11:G14" si="0">+F11</f>
        <v>(4)</v>
      </c>
      <c r="H11" s="128" t="str">
        <f>+C11</f>
        <v>(4)</v>
      </c>
      <c r="I11" s="128" t="s">
        <v>201</v>
      </c>
      <c r="J11" s="666" t="s">
        <v>201</v>
      </c>
      <c r="K11" s="128" t="str">
        <f>+C11</f>
        <v>(4)</v>
      </c>
      <c r="L11" s="525" t="s">
        <v>201</v>
      </c>
      <c r="M11" s="530" t="str">
        <f>+C11</f>
        <v>(4)</v>
      </c>
      <c r="N11" s="531" t="str">
        <f>+F11</f>
        <v>(4)</v>
      </c>
      <c r="O11" s="528" t="str">
        <f>+C11</f>
        <v>(4)</v>
      </c>
      <c r="P11" s="529" t="str">
        <f>+D11</f>
        <v>(4)</v>
      </c>
      <c r="Q11" s="759" t="str">
        <f>+F11</f>
        <v>(4)</v>
      </c>
    </row>
    <row r="12" spans="1:19" x14ac:dyDescent="0.25">
      <c r="A12" s="80" t="s">
        <v>172</v>
      </c>
      <c r="B12" s="86" t="s">
        <v>249</v>
      </c>
      <c r="C12" s="727" t="s">
        <v>200</v>
      </c>
      <c r="D12" s="167" t="s">
        <v>200</v>
      </c>
      <c r="E12" s="167" t="s">
        <v>200</v>
      </c>
      <c r="F12" s="167" t="str">
        <f>+C12</f>
        <v>(2)</v>
      </c>
      <c r="G12" s="366" t="str">
        <f t="shared" si="0"/>
        <v>(2)</v>
      </c>
      <c r="H12" s="128" t="str">
        <f>+C12</f>
        <v>(2)</v>
      </c>
      <c r="I12" s="128" t="s">
        <v>200</v>
      </c>
      <c r="J12" s="666" t="s">
        <v>200</v>
      </c>
      <c r="K12" s="128" t="str">
        <f>+C12</f>
        <v>(2)</v>
      </c>
      <c r="L12" s="525" t="s">
        <v>200</v>
      </c>
      <c r="M12" s="532" t="str">
        <f>+C12</f>
        <v>(2)</v>
      </c>
      <c r="N12" s="527" t="str">
        <f>+F12</f>
        <v>(2)</v>
      </c>
      <c r="O12" s="528" t="str">
        <f>+C12</f>
        <v>(2)</v>
      </c>
      <c r="P12" s="529" t="str">
        <f>+D12</f>
        <v>(2)</v>
      </c>
      <c r="Q12" s="759" t="str">
        <f>+F12</f>
        <v>(2)</v>
      </c>
    </row>
    <row r="13" spans="1:19" x14ac:dyDescent="0.25">
      <c r="A13" s="80" t="s">
        <v>174</v>
      </c>
      <c r="B13" s="86" t="s">
        <v>175</v>
      </c>
      <c r="C13" s="724">
        <f>+RUBROS!$AL$13</f>
        <v>30.560765344237307</v>
      </c>
      <c r="D13" s="155">
        <f>+C13</f>
        <v>30.560765344237307</v>
      </c>
      <c r="E13" s="155">
        <f>+C13</f>
        <v>30.560765344237307</v>
      </c>
      <c r="F13" s="155">
        <f>+C13</f>
        <v>30.560765344237307</v>
      </c>
      <c r="G13" s="365">
        <f t="shared" si="0"/>
        <v>30.560765344237307</v>
      </c>
      <c r="H13" s="108">
        <f>+C13</f>
        <v>30.560765344237307</v>
      </c>
      <c r="I13" s="108">
        <f>+C13</f>
        <v>30.560765344237307</v>
      </c>
      <c r="J13" s="83">
        <f>+H13</f>
        <v>30.560765344237307</v>
      </c>
      <c r="K13" s="130">
        <f>+C13</f>
        <v>30.560765344237307</v>
      </c>
      <c r="L13" s="724">
        <f>+RUBROS!$AM$13</f>
        <v>30.560765344237307</v>
      </c>
      <c r="M13" s="530">
        <f>+RUBROS!AG13</f>
        <v>26.583233136281329</v>
      </c>
      <c r="N13" s="533">
        <f>+RUBROS!AD13</f>
        <v>23.500029293035123</v>
      </c>
      <c r="O13" s="523">
        <f>+C13</f>
        <v>30.560765344237307</v>
      </c>
      <c r="P13" s="725">
        <f>+RUBROS!$AM$13</f>
        <v>30.560765344237307</v>
      </c>
      <c r="Q13" s="758">
        <f>+C13</f>
        <v>30.560765344237307</v>
      </c>
      <c r="S13" s="248" t="s">
        <v>383</v>
      </c>
    </row>
    <row r="14" spans="1:19" x14ac:dyDescent="0.25">
      <c r="A14" s="80" t="s">
        <v>178</v>
      </c>
      <c r="B14" s="86" t="s">
        <v>179</v>
      </c>
      <c r="C14" s="724">
        <f>+RUBROS!BJ43</f>
        <v>14.562140320021172</v>
      </c>
      <c r="D14" s="155">
        <f>+C14</f>
        <v>14.562140320021172</v>
      </c>
      <c r="E14" s="155">
        <f>+C14</f>
        <v>14.562140320021172</v>
      </c>
      <c r="F14" s="155">
        <f>+C14</f>
        <v>14.562140320021172</v>
      </c>
      <c r="G14" s="365">
        <f t="shared" si="0"/>
        <v>14.562140320021172</v>
      </c>
      <c r="H14" s="108">
        <f>+C14</f>
        <v>14.562140320021172</v>
      </c>
      <c r="I14" s="108">
        <f>+C14</f>
        <v>14.562140320021172</v>
      </c>
      <c r="J14" s="83">
        <f>+H14</f>
        <v>14.562140320021172</v>
      </c>
      <c r="K14" s="130">
        <f>+C14</f>
        <v>14.562140320021172</v>
      </c>
      <c r="L14" s="522">
        <f>+E14</f>
        <v>14.562140320021172</v>
      </c>
      <c r="M14" s="530">
        <f>+C14</f>
        <v>14.562140320021172</v>
      </c>
      <c r="N14" s="533">
        <f>+M14</f>
        <v>14.562140320021172</v>
      </c>
      <c r="O14" s="523">
        <f>+M14</f>
        <v>14.562140320021172</v>
      </c>
      <c r="P14" s="524">
        <f>+H14</f>
        <v>14.562140320021172</v>
      </c>
      <c r="Q14" s="758">
        <f>+M14</f>
        <v>14.562140320021172</v>
      </c>
      <c r="S14" s="248" t="s">
        <v>383</v>
      </c>
    </row>
    <row r="15" spans="1:19" ht="14.25" hidden="1" customHeight="1" x14ac:dyDescent="0.25">
      <c r="A15" s="80"/>
      <c r="B15" s="86" t="s">
        <v>180</v>
      </c>
      <c r="C15" s="724"/>
      <c r="D15" s="155"/>
      <c r="E15" s="155"/>
      <c r="F15" s="155"/>
      <c r="G15" s="108"/>
      <c r="H15" s="108"/>
      <c r="I15" s="108"/>
      <c r="J15" s="83"/>
      <c r="K15" s="130"/>
      <c r="L15" s="522"/>
      <c r="M15" s="530"/>
      <c r="N15" s="523"/>
      <c r="O15" s="523"/>
      <c r="P15" s="524"/>
      <c r="Q15" s="758"/>
      <c r="S15" t="s">
        <v>385</v>
      </c>
    </row>
    <row r="16" spans="1:19" x14ac:dyDescent="0.25">
      <c r="A16" s="87" t="s">
        <v>181</v>
      </c>
      <c r="B16" s="112" t="s">
        <v>182</v>
      </c>
      <c r="C16" s="726">
        <f>SUM(C8:C15)</f>
        <v>10501.222905664257</v>
      </c>
      <c r="D16" s="156">
        <f>SUM(D8:D15)</f>
        <v>45.122905664258482</v>
      </c>
      <c r="E16" s="156">
        <f>SUM(E8:E15)</f>
        <v>11055.012905664258</v>
      </c>
      <c r="F16" s="156">
        <f t="shared" ref="F16:Q16" si="1">SUM(F8:F15)</f>
        <v>10778.122905664259</v>
      </c>
      <c r="G16" s="156">
        <f t="shared" si="1"/>
        <v>10833.492905664258</v>
      </c>
      <c r="H16" s="156">
        <f t="shared" si="1"/>
        <v>5574.6529056642594</v>
      </c>
      <c r="I16" s="156">
        <f t="shared" si="1"/>
        <v>6507.0613101442596</v>
      </c>
      <c r="J16" s="158">
        <f t="shared" ref="J16" si="2">SUM(J8:J15)</f>
        <v>6817.8654752642597</v>
      </c>
      <c r="K16" s="393">
        <f>SUM(K8:K15)</f>
        <v>45.122905664258482</v>
      </c>
      <c r="L16" s="534">
        <f t="shared" si="1"/>
        <v>11741.163905664256</v>
      </c>
      <c r="M16" s="535" t="e">
        <f t="shared" si="1"/>
        <v>#REF!</v>
      </c>
      <c r="N16" s="535" t="e">
        <f t="shared" si="1"/>
        <v>#REF!</v>
      </c>
      <c r="O16" s="535" t="e">
        <f t="shared" si="1"/>
        <v>#REF!</v>
      </c>
      <c r="P16" s="536">
        <f t="shared" si="1"/>
        <v>7685.1319056642587</v>
      </c>
      <c r="Q16" s="760" t="e">
        <f t="shared" si="1"/>
        <v>#REF!</v>
      </c>
    </row>
    <row r="17" spans="1:17" x14ac:dyDescent="0.25">
      <c r="A17" s="80" t="s">
        <v>183</v>
      </c>
      <c r="B17" s="86" t="s">
        <v>245</v>
      </c>
      <c r="C17" s="727" t="s">
        <v>213</v>
      </c>
      <c r="D17" s="167" t="s">
        <v>213</v>
      </c>
      <c r="E17" s="167" t="s">
        <v>213</v>
      </c>
      <c r="F17" s="167" t="str">
        <f>+C17</f>
        <v>***</v>
      </c>
      <c r="G17" s="108" t="str">
        <f>+F17</f>
        <v>***</v>
      </c>
      <c r="H17" s="108" t="str">
        <f>+C17</f>
        <v>***</v>
      </c>
      <c r="I17" s="108" t="s">
        <v>213</v>
      </c>
      <c r="J17" s="83" t="s">
        <v>213</v>
      </c>
      <c r="K17" s="130" t="str">
        <f>+H17</f>
        <v>***</v>
      </c>
      <c r="L17" s="522" t="s">
        <v>213</v>
      </c>
      <c r="M17" s="532" t="str">
        <f>+F17</f>
        <v>***</v>
      </c>
      <c r="N17" s="523" t="str">
        <f>+M17</f>
        <v>***</v>
      </c>
      <c r="O17" s="523" t="s">
        <v>213</v>
      </c>
      <c r="P17" s="524" t="s">
        <v>213</v>
      </c>
      <c r="Q17" s="758" t="str">
        <f>+O17</f>
        <v>***</v>
      </c>
    </row>
    <row r="18" spans="1:17" x14ac:dyDescent="0.25">
      <c r="A18" s="80" t="s">
        <v>185</v>
      </c>
      <c r="B18" s="86" t="s">
        <v>186</v>
      </c>
      <c r="C18" s="727" t="s">
        <v>211</v>
      </c>
      <c r="D18" s="167" t="s">
        <v>211</v>
      </c>
      <c r="E18" s="167" t="s">
        <v>211</v>
      </c>
      <c r="F18" s="167" t="str">
        <f>+C18</f>
        <v>**</v>
      </c>
      <c r="G18" s="108" t="str">
        <f>+F18</f>
        <v>**</v>
      </c>
      <c r="H18" s="108" t="str">
        <f>+C18</f>
        <v>**</v>
      </c>
      <c r="I18" s="108" t="s">
        <v>211</v>
      </c>
      <c r="J18" s="83" t="s">
        <v>211</v>
      </c>
      <c r="K18" s="130" t="str">
        <f>+C18</f>
        <v>**</v>
      </c>
      <c r="L18" s="522" t="s">
        <v>211</v>
      </c>
      <c r="M18" s="532" t="str">
        <f>+C18</f>
        <v>**</v>
      </c>
      <c r="N18" s="523" t="str">
        <f>+F18</f>
        <v>**</v>
      </c>
      <c r="O18" s="523" t="s">
        <v>211</v>
      </c>
      <c r="P18" s="524" t="s">
        <v>211</v>
      </c>
      <c r="Q18" s="758" t="str">
        <f>+M18</f>
        <v>**</v>
      </c>
    </row>
    <row r="19" spans="1:17" x14ac:dyDescent="0.25">
      <c r="A19" s="80" t="s">
        <v>187</v>
      </c>
      <c r="B19" s="86" t="s">
        <v>134</v>
      </c>
      <c r="C19" s="169" t="str">
        <f>+H19</f>
        <v>****</v>
      </c>
      <c r="D19" s="128" t="str">
        <f>+I19</f>
        <v>****</v>
      </c>
      <c r="E19" s="128" t="str">
        <f>+I19</f>
        <v>****</v>
      </c>
      <c r="F19" s="128" t="str">
        <f t="shared" ref="F19:F21" si="3">+H19</f>
        <v>****</v>
      </c>
      <c r="G19" s="108" t="str">
        <f>+F19</f>
        <v>****</v>
      </c>
      <c r="H19" s="111" t="str">
        <f>+A37</f>
        <v>****</v>
      </c>
      <c r="I19" s="111" t="s">
        <v>215</v>
      </c>
      <c r="J19" s="85" t="s">
        <v>215</v>
      </c>
      <c r="K19" s="127" t="str">
        <f>+H19</f>
        <v>****</v>
      </c>
      <c r="L19" s="537" t="s">
        <v>215</v>
      </c>
      <c r="M19" s="526" t="str">
        <f>C19</f>
        <v>****</v>
      </c>
      <c r="N19" s="523" t="str">
        <f>F19</f>
        <v>****</v>
      </c>
      <c r="O19" s="523" t="s">
        <v>215</v>
      </c>
      <c r="P19" s="524" t="s">
        <v>215</v>
      </c>
      <c r="Q19" s="758" t="str">
        <f>+M19</f>
        <v>****</v>
      </c>
    </row>
    <row r="20" spans="1:17" x14ac:dyDescent="0.25">
      <c r="A20" s="87" t="s">
        <v>189</v>
      </c>
      <c r="B20" s="112" t="s">
        <v>190</v>
      </c>
      <c r="C20" s="728">
        <f t="shared" ref="C20:Q20" si="4">+C16</f>
        <v>10501.222905664257</v>
      </c>
      <c r="D20" s="159">
        <f t="shared" ref="D20" si="5">+D16</f>
        <v>45.122905664258482</v>
      </c>
      <c r="E20" s="159">
        <f t="shared" si="4"/>
        <v>11055.012905664258</v>
      </c>
      <c r="F20" s="159">
        <f t="shared" si="4"/>
        <v>10778.122905664259</v>
      </c>
      <c r="G20" s="113">
        <f t="shared" si="4"/>
        <v>10833.492905664258</v>
      </c>
      <c r="H20" s="113">
        <f t="shared" si="4"/>
        <v>5574.6529056642594</v>
      </c>
      <c r="I20" s="113">
        <f t="shared" si="4"/>
        <v>6507.0613101442596</v>
      </c>
      <c r="J20" s="89">
        <f t="shared" ref="J20" si="6">+J16</f>
        <v>6817.8654752642597</v>
      </c>
      <c r="K20" s="134">
        <f>+K16</f>
        <v>45.122905664258482</v>
      </c>
      <c r="L20" s="534">
        <f t="shared" ref="L20" si="7">+L16</f>
        <v>11741.163905664256</v>
      </c>
      <c r="M20" s="538" t="e">
        <f t="shared" si="4"/>
        <v>#REF!</v>
      </c>
      <c r="N20" s="539" t="e">
        <f t="shared" ref="N20" si="8">+N16</f>
        <v>#REF!</v>
      </c>
      <c r="O20" s="539" t="e">
        <f t="shared" si="4"/>
        <v>#REF!</v>
      </c>
      <c r="P20" s="540">
        <f t="shared" ref="P20" si="9">+P16</f>
        <v>7685.1319056642587</v>
      </c>
      <c r="Q20" s="761" t="e">
        <f t="shared" si="4"/>
        <v>#REF!</v>
      </c>
    </row>
    <row r="21" spans="1:17" x14ac:dyDescent="0.25">
      <c r="A21" s="80" t="s">
        <v>191</v>
      </c>
      <c r="B21" s="86" t="s">
        <v>150</v>
      </c>
      <c r="C21" s="724" t="str">
        <f>+H21</f>
        <v>***</v>
      </c>
      <c r="D21" s="155" t="str">
        <f>+I21</f>
        <v>***</v>
      </c>
      <c r="E21" s="155" t="str">
        <f>+I21</f>
        <v>***</v>
      </c>
      <c r="F21" s="155" t="str">
        <f t="shared" si="3"/>
        <v>***</v>
      </c>
      <c r="G21" s="108" t="str">
        <f>+K21</f>
        <v>***</v>
      </c>
      <c r="H21" s="108" t="str">
        <f t="shared" ref="H21" si="10">+H17</f>
        <v>***</v>
      </c>
      <c r="I21" s="108" t="s">
        <v>213</v>
      </c>
      <c r="J21" s="83" t="s">
        <v>213</v>
      </c>
      <c r="K21" s="130" t="str">
        <f>+H21</f>
        <v>***</v>
      </c>
      <c r="L21" s="522" t="s">
        <v>213</v>
      </c>
      <c r="M21" s="530" t="str">
        <f>+L21</f>
        <v>***</v>
      </c>
      <c r="N21" s="523" t="str">
        <f>+M21</f>
        <v>***</v>
      </c>
      <c r="O21" s="523" t="s">
        <v>213</v>
      </c>
      <c r="P21" s="524" t="s">
        <v>213</v>
      </c>
      <c r="Q21" s="758" t="str">
        <f>+C21</f>
        <v>***</v>
      </c>
    </row>
    <row r="22" spans="1:17" x14ac:dyDescent="0.25">
      <c r="A22" s="80" t="s">
        <v>192</v>
      </c>
      <c r="B22" s="81" t="s">
        <v>193</v>
      </c>
      <c r="C22" s="757" t="s">
        <v>217</v>
      </c>
      <c r="D22" s="160" t="s">
        <v>217</v>
      </c>
      <c r="E22" s="160" t="s">
        <v>217</v>
      </c>
      <c r="F22" s="160" t="str">
        <f>+C22</f>
        <v>*****</v>
      </c>
      <c r="G22" s="108" t="str">
        <f>+F22</f>
        <v>*****</v>
      </c>
      <c r="H22" s="108" t="s">
        <v>194</v>
      </c>
      <c r="I22" s="108" t="s">
        <v>194</v>
      </c>
      <c r="J22" s="83" t="s">
        <v>194</v>
      </c>
      <c r="K22" s="130" t="str">
        <f>+H22</f>
        <v>N.A</v>
      </c>
      <c r="L22" s="522" t="s">
        <v>217</v>
      </c>
      <c r="M22" s="541" t="str">
        <f>+F22</f>
        <v>*****</v>
      </c>
      <c r="N22" s="523" t="str">
        <f>+G22</f>
        <v>*****</v>
      </c>
      <c r="O22" s="523" t="s">
        <v>235</v>
      </c>
      <c r="P22" s="524" t="s">
        <v>235</v>
      </c>
      <c r="Q22" s="758" t="s">
        <v>235</v>
      </c>
    </row>
    <row r="23" spans="1:17" ht="17.45" customHeight="1" x14ac:dyDescent="0.25">
      <c r="A23" s="80" t="s">
        <v>195</v>
      </c>
      <c r="B23" s="81" t="s">
        <v>196</v>
      </c>
      <c r="C23" s="757" t="s">
        <v>218</v>
      </c>
      <c r="D23" s="160" t="s">
        <v>218</v>
      </c>
      <c r="E23" s="160" t="s">
        <v>218</v>
      </c>
      <c r="F23" s="160" t="str">
        <f>+C23</f>
        <v>******</v>
      </c>
      <c r="G23" s="108" t="str">
        <f>+F23</f>
        <v>******</v>
      </c>
      <c r="H23" s="108" t="str">
        <f>+C23</f>
        <v>******</v>
      </c>
      <c r="I23" s="108" t="s">
        <v>218</v>
      </c>
      <c r="J23" s="83" t="s">
        <v>218</v>
      </c>
      <c r="K23" s="130" t="str">
        <f>+C23</f>
        <v>******</v>
      </c>
      <c r="L23" s="522" t="s">
        <v>218</v>
      </c>
      <c r="M23" s="541" t="str">
        <f>+C23</f>
        <v>******</v>
      </c>
      <c r="N23" s="523" t="str">
        <f>+F23</f>
        <v>******</v>
      </c>
      <c r="O23" s="523" t="s">
        <v>218</v>
      </c>
      <c r="P23" s="524" t="s">
        <v>218</v>
      </c>
      <c r="Q23" s="758" t="str">
        <f>+C23</f>
        <v>******</v>
      </c>
    </row>
    <row r="24" spans="1:17" ht="15.75" thickBot="1" x14ac:dyDescent="0.3">
      <c r="A24" s="91" t="s">
        <v>197</v>
      </c>
      <c r="B24" s="92" t="s">
        <v>198</v>
      </c>
      <c r="C24" s="729"/>
      <c r="D24" s="161"/>
      <c r="E24" s="161"/>
      <c r="F24" s="115"/>
      <c r="G24" s="115"/>
      <c r="H24" s="115"/>
      <c r="I24" s="115"/>
      <c r="J24" s="94"/>
      <c r="K24" s="138"/>
      <c r="L24" s="542"/>
      <c r="M24" s="543"/>
      <c r="N24" s="543"/>
      <c r="O24" s="543"/>
      <c r="P24" s="544"/>
      <c r="Q24" s="762"/>
    </row>
    <row r="25" spans="1:17" ht="15.75" thickTop="1" x14ac:dyDescent="0.25">
      <c r="A25" s="96"/>
      <c r="B25" s="97"/>
      <c r="C25" s="97"/>
      <c r="D25" s="97"/>
      <c r="E25" s="97"/>
      <c r="F25" s="98"/>
      <c r="G25" s="98"/>
      <c r="H25" s="98"/>
      <c r="I25" s="98"/>
      <c r="J25" s="98"/>
      <c r="K25" s="98"/>
      <c r="L25" s="98"/>
      <c r="M25" s="98"/>
      <c r="N25" s="98"/>
      <c r="O25" s="98"/>
      <c r="P25" s="98"/>
      <c r="Q25" s="98"/>
    </row>
    <row r="26" spans="1:17" x14ac:dyDescent="0.25">
      <c r="A26" s="96"/>
      <c r="B26" s="97"/>
      <c r="C26" s="97"/>
      <c r="D26" s="97"/>
      <c r="E26" s="97"/>
      <c r="F26" s="98"/>
      <c r="G26" s="98"/>
      <c r="H26" s="98"/>
      <c r="I26" s="98"/>
      <c r="J26" s="98"/>
      <c r="K26" s="98"/>
      <c r="L26" s="98"/>
      <c r="M26" s="98"/>
      <c r="N26" s="98"/>
      <c r="O26" s="98"/>
      <c r="P26" s="98"/>
      <c r="Q26" s="98"/>
    </row>
    <row r="27" spans="1:17" ht="15" customHeight="1" x14ac:dyDescent="0.25">
      <c r="A27" s="96"/>
      <c r="B27" s="116" t="s">
        <v>209</v>
      </c>
      <c r="C27" s="97"/>
      <c r="D27" s="97"/>
      <c r="E27" s="97"/>
      <c r="F27" s="98"/>
      <c r="G27" s="98"/>
      <c r="H27" s="98"/>
      <c r="I27" s="98"/>
      <c r="J27" s="98"/>
      <c r="K27" s="98"/>
      <c r="L27" s="98"/>
      <c r="M27" s="98"/>
      <c r="N27" s="98"/>
      <c r="O27" s="98"/>
      <c r="P27" s="98"/>
      <c r="Q27" s="98"/>
    </row>
    <row r="28" spans="1:17" x14ac:dyDescent="0.25">
      <c r="A28" s="96"/>
      <c r="B28" s="97"/>
      <c r="C28" s="97"/>
      <c r="D28" s="97"/>
      <c r="E28" s="97"/>
      <c r="F28" s="98"/>
      <c r="G28" s="98"/>
      <c r="H28" s="98"/>
      <c r="I28" s="98"/>
      <c r="J28" s="98"/>
      <c r="K28" s="98"/>
      <c r="L28" s="98"/>
      <c r="M28" s="98"/>
      <c r="N28" s="98"/>
      <c r="O28" s="98"/>
      <c r="P28" s="98"/>
      <c r="Q28" s="98"/>
    </row>
    <row r="29" spans="1:17" ht="27.6" customHeight="1" x14ac:dyDescent="0.25">
      <c r="A29" s="99" t="s">
        <v>173</v>
      </c>
      <c r="B29" s="933" t="str">
        <f>+CESAR!B103</f>
        <v>De acuerdo con lo establecido en la Resoluccion 91349 de 2014 del MME para combustible de origen nacional o importado a ser distribuido en zonas de frontera, aplica la tarifa de marcación o remarcación vigente a la fecha según corresponda</v>
      </c>
      <c r="C29" s="933"/>
      <c r="D29" s="933"/>
      <c r="E29" s="933"/>
      <c r="F29" s="933"/>
      <c r="G29" s="933"/>
      <c r="H29" s="933"/>
      <c r="I29" s="933"/>
      <c r="J29" s="933"/>
      <c r="K29" s="933"/>
      <c r="L29" s="933"/>
      <c r="M29" s="933"/>
      <c r="N29" s="142"/>
      <c r="O29" s="142"/>
      <c r="P29" s="142"/>
      <c r="Q29" s="98"/>
    </row>
    <row r="30" spans="1:17" ht="42.6" customHeight="1" x14ac:dyDescent="0.25">
      <c r="A30" s="99" t="s">
        <v>200</v>
      </c>
      <c r="B30" s="915" t="s">
        <v>250</v>
      </c>
      <c r="C30" s="915"/>
      <c r="D30" s="915"/>
      <c r="E30" s="915"/>
      <c r="F30" s="915"/>
      <c r="G30" s="915"/>
      <c r="H30" s="915"/>
      <c r="I30" s="915"/>
      <c r="J30" s="915"/>
      <c r="K30" s="915"/>
      <c r="L30" s="915"/>
      <c r="M30" s="915"/>
      <c r="N30" s="915"/>
      <c r="O30" s="915"/>
      <c r="P30" s="915"/>
      <c r="Q30" s="915"/>
    </row>
    <row r="31" spans="1:17" ht="52.5" customHeight="1" x14ac:dyDescent="0.25">
      <c r="A31" s="99" t="s">
        <v>130</v>
      </c>
      <c r="B31" s="915" t="s">
        <v>306</v>
      </c>
      <c r="C31" s="915"/>
      <c r="D31" s="915"/>
      <c r="E31" s="915"/>
      <c r="F31" s="915"/>
      <c r="G31" s="915"/>
      <c r="H31" s="915"/>
      <c r="I31" s="915"/>
      <c r="J31" s="915"/>
      <c r="K31" s="915"/>
      <c r="L31" s="915"/>
      <c r="M31" s="915"/>
      <c r="N31" s="915"/>
      <c r="O31" s="915"/>
      <c r="P31" s="915"/>
      <c r="Q31" s="915"/>
    </row>
    <row r="32" spans="1:17" ht="52.5" customHeight="1" x14ac:dyDescent="0.25">
      <c r="A32" s="119" t="s">
        <v>201</v>
      </c>
      <c r="B32" s="932" t="s">
        <v>373</v>
      </c>
      <c r="C32" s="932"/>
      <c r="D32" s="932"/>
      <c r="E32" s="932"/>
      <c r="F32" s="932"/>
      <c r="G32" s="932"/>
      <c r="H32" s="932"/>
      <c r="I32" s="932"/>
      <c r="J32" s="932"/>
      <c r="K32" s="932"/>
      <c r="L32" s="932"/>
      <c r="M32" s="932"/>
      <c r="N32" s="932"/>
      <c r="O32" s="932"/>
      <c r="P32" s="932"/>
      <c r="Q32" s="932"/>
    </row>
    <row r="33" spans="1:18" ht="17.45" customHeight="1" x14ac:dyDescent="0.25">
      <c r="A33" s="99"/>
      <c r="B33" s="933"/>
      <c r="C33" s="933"/>
      <c r="D33" s="933"/>
      <c r="E33" s="933"/>
      <c r="F33" s="933"/>
      <c r="G33" s="933"/>
      <c r="H33" s="933"/>
      <c r="I33" s="933"/>
      <c r="J33" s="933"/>
      <c r="K33" s="933"/>
      <c r="L33" s="933"/>
      <c r="M33" s="933"/>
      <c r="N33" s="933"/>
      <c r="O33" s="933"/>
      <c r="P33" s="933"/>
      <c r="Q33" s="933"/>
    </row>
    <row r="34" spans="1:18" x14ac:dyDescent="0.25">
      <c r="A34" s="117" t="s">
        <v>102</v>
      </c>
      <c r="B34" s="914" t="s">
        <v>210</v>
      </c>
      <c r="C34" s="914"/>
      <c r="D34" s="914"/>
      <c r="E34" s="914"/>
      <c r="F34" s="914"/>
      <c r="G34" s="914"/>
      <c r="H34" s="914"/>
      <c r="I34" s="914"/>
      <c r="J34" s="914"/>
      <c r="K34" s="914"/>
      <c r="L34" s="914"/>
      <c r="M34" s="914"/>
      <c r="N34" s="100"/>
      <c r="O34" s="100"/>
      <c r="P34" s="100"/>
      <c r="Q34" s="163"/>
    </row>
    <row r="35" spans="1:18" ht="15" customHeight="1" x14ac:dyDescent="0.25">
      <c r="A35" s="117" t="s">
        <v>211</v>
      </c>
      <c r="B35" s="914" t="s">
        <v>242</v>
      </c>
      <c r="C35" s="914"/>
      <c r="D35" s="914"/>
      <c r="E35" s="914"/>
      <c r="F35" s="914"/>
      <c r="G35" s="914"/>
      <c r="H35" s="914"/>
      <c r="I35" s="914"/>
      <c r="J35" s="914"/>
      <c r="K35" s="914"/>
      <c r="L35" s="914"/>
      <c r="M35" s="914"/>
      <c r="N35" s="914"/>
      <c r="O35" s="914"/>
      <c r="P35" s="914"/>
      <c r="Q35" s="914"/>
    </row>
    <row r="36" spans="1:18" ht="26.45" customHeight="1" x14ac:dyDescent="0.25">
      <c r="A36" s="117" t="s">
        <v>213</v>
      </c>
      <c r="B36" s="915" t="s">
        <v>251</v>
      </c>
      <c r="C36" s="915"/>
      <c r="D36" s="915"/>
      <c r="E36" s="915"/>
      <c r="F36" s="915"/>
      <c r="G36" s="915"/>
      <c r="H36" s="915"/>
      <c r="I36" s="915"/>
      <c r="J36" s="915"/>
      <c r="K36" s="915"/>
      <c r="L36" s="915"/>
      <c r="M36" s="915"/>
      <c r="N36" s="915"/>
      <c r="O36" s="915"/>
      <c r="P36" s="915"/>
      <c r="Q36" s="915"/>
    </row>
    <row r="37" spans="1:18" x14ac:dyDescent="0.25">
      <c r="A37" s="117" t="s">
        <v>215</v>
      </c>
      <c r="B37" s="914" t="s">
        <v>420</v>
      </c>
      <c r="C37" s="914"/>
      <c r="D37" s="914"/>
      <c r="E37" s="914"/>
      <c r="F37" s="914"/>
      <c r="G37" s="914"/>
      <c r="H37" s="914"/>
      <c r="I37" s="914"/>
      <c r="J37" s="914"/>
      <c r="K37" s="914"/>
      <c r="L37" s="914"/>
      <c r="M37" s="914"/>
      <c r="N37" s="914"/>
      <c r="O37" s="914"/>
      <c r="P37" s="914"/>
      <c r="Q37" s="914"/>
    </row>
    <row r="38" spans="1:18" x14ac:dyDescent="0.25">
      <c r="A38" s="117" t="s">
        <v>217</v>
      </c>
      <c r="B38" s="915" t="s">
        <v>219</v>
      </c>
      <c r="C38" s="915"/>
      <c r="D38" s="915"/>
      <c r="E38" s="915"/>
      <c r="F38" s="915"/>
      <c r="G38" s="915"/>
      <c r="H38" s="915"/>
      <c r="I38" s="915"/>
      <c r="J38" s="915"/>
      <c r="K38" s="915"/>
      <c r="L38" s="915"/>
      <c r="M38" s="915"/>
      <c r="N38" s="915"/>
      <c r="O38" s="915"/>
      <c r="P38" s="915"/>
      <c r="Q38" s="915"/>
    </row>
    <row r="39" spans="1:18" x14ac:dyDescent="0.25">
      <c r="A39" s="117" t="s">
        <v>218</v>
      </c>
      <c r="B39" s="914" t="s">
        <v>248</v>
      </c>
      <c r="C39" s="914"/>
      <c r="D39" s="914"/>
      <c r="E39" s="914"/>
      <c r="F39" s="914"/>
      <c r="G39" s="914"/>
      <c r="H39" s="914"/>
      <c r="I39" s="914"/>
      <c r="J39" s="914"/>
      <c r="K39" s="914"/>
      <c r="L39" s="914"/>
      <c r="M39" s="914"/>
      <c r="N39" s="914"/>
      <c r="O39" s="914"/>
      <c r="P39" s="914"/>
      <c r="Q39" s="914"/>
    </row>
    <row r="40" spans="1:18" x14ac:dyDescent="0.25">
      <c r="A40" s="140"/>
      <c r="B40" s="140"/>
      <c r="C40" s="140"/>
      <c r="D40" s="140"/>
      <c r="E40" s="140"/>
      <c r="F40" s="140"/>
      <c r="G40" s="140"/>
      <c r="H40" s="140"/>
      <c r="I40" s="140"/>
      <c r="J40" s="140"/>
      <c r="K40" s="140"/>
      <c r="L40" s="140"/>
      <c r="M40" s="140"/>
      <c r="N40" s="140"/>
      <c r="O40" s="140"/>
      <c r="P40" s="140"/>
      <c r="Q40" s="140"/>
    </row>
    <row r="41" spans="1:18" ht="88.5" customHeight="1" x14ac:dyDescent="0.25">
      <c r="A41" s="917" t="s">
        <v>137</v>
      </c>
      <c r="B41" s="917"/>
      <c r="C41" s="917"/>
      <c r="D41" s="917"/>
      <c r="E41" s="917"/>
      <c r="F41" s="917"/>
      <c r="G41" s="917"/>
      <c r="H41" s="917"/>
      <c r="I41" s="917"/>
      <c r="J41" s="917"/>
      <c r="K41" s="917"/>
      <c r="L41" s="917"/>
      <c r="M41" s="917"/>
      <c r="N41" s="917"/>
      <c r="O41" s="917"/>
      <c r="P41" s="917"/>
      <c r="Q41" s="917"/>
      <c r="R41" s="917"/>
    </row>
  </sheetData>
  <sheetProtection algorithmName="SHA-512" hashValue="4Lnc/pYqmA5E3mJgiKBZzxwl84X/X4UZaG5soa8Psu4OsYDwH8Q2GBvWyfYYuBURXRqdtFmTI9+Qj3DTpxHU5A==" saltValue="SkJ29ttxfFWL3pGRpHkc5g==" spinCount="100000" sheet="1" objects="1" scenarios="1"/>
  <mergeCells count="17">
    <mergeCell ref="B38:Q38"/>
    <mergeCell ref="B32:Q32"/>
    <mergeCell ref="A41:R41"/>
    <mergeCell ref="B36:Q36"/>
    <mergeCell ref="B37:Q37"/>
    <mergeCell ref="B39:Q39"/>
    <mergeCell ref="B34:M34"/>
    <mergeCell ref="B35:Q35"/>
    <mergeCell ref="B33:Q33"/>
    <mergeCell ref="C3:K4"/>
    <mergeCell ref="B31:Q31"/>
    <mergeCell ref="A5:A7"/>
    <mergeCell ref="B5:B7"/>
    <mergeCell ref="C5:C6"/>
    <mergeCell ref="B30:Q30"/>
    <mergeCell ref="B29:M29"/>
    <mergeCell ref="L3:Q4"/>
  </mergeCells>
  <hyperlinks>
    <hyperlink ref="B27" location="CHOCO!A40" display="Ver Nota Informativa" xr:uid="{00000000-0004-0000-0C00-000001000000}"/>
  </hyperlinks>
  <pageMargins left="0.7" right="0.7" top="0.75" bottom="0.75" header="0.3" footer="0.3"/>
  <pageSetup orientation="portrait" r:id="rId1"/>
  <ignoredErrors>
    <ignoredError sqref="Q22 F21:F22 M22 H22 C21:C22" numberStoredAsText="1"/>
    <ignoredError sqref="Q12:Q14 M12 Q16 F16:F19 F12:F14 M16 H16 H12:H14 C12 C16:C19 M14" numberStoredAsText="1" formula="1"/>
    <ignoredError sqref="Q18:Q21 M11 F20 F10 M18:M20 H17:H20 H10 C10 C2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R83"/>
  <sheetViews>
    <sheetView showGridLines="0" zoomScale="80" zoomScaleNormal="80" workbookViewId="0">
      <selection activeCell="H15" sqref="H15"/>
    </sheetView>
  </sheetViews>
  <sheetFormatPr baseColWidth="10" defaultColWidth="45" defaultRowHeight="15" x14ac:dyDescent="0.25"/>
  <cols>
    <col min="1" max="1" width="7" customWidth="1"/>
    <col min="2" max="2" width="47.85546875" customWidth="1"/>
    <col min="3" max="3" width="15.42578125" customWidth="1"/>
    <col min="4" max="4" width="14.42578125" customWidth="1"/>
    <col min="5" max="6" width="14" customWidth="1"/>
    <col min="7" max="7" width="13.85546875" customWidth="1"/>
    <col min="8" max="8" width="14.85546875" customWidth="1"/>
    <col min="9" max="9" width="15.140625" customWidth="1"/>
    <col min="10" max="10" width="20.85546875" customWidth="1"/>
    <col min="11" max="11" width="23.7109375" customWidth="1"/>
  </cols>
  <sheetData>
    <row r="1" spans="1:9" x14ac:dyDescent="0.25">
      <c r="A1" s="140" t="s">
        <v>148</v>
      </c>
      <c r="B1" s="77" t="str">
        <f>+AMAZONAS!C1</f>
        <v>Vigencia: 22 de Marzo de 2025; 00:00 horas</v>
      </c>
      <c r="C1" s="77"/>
      <c r="D1" s="77"/>
      <c r="E1" s="140"/>
      <c r="F1" s="140"/>
      <c r="G1" s="140"/>
      <c r="H1" s="140"/>
      <c r="I1" s="140"/>
    </row>
    <row r="2" spans="1:9" ht="15.75" thickBot="1" x14ac:dyDescent="0.3">
      <c r="A2" s="77" t="s">
        <v>162</v>
      </c>
      <c r="B2" s="102"/>
      <c r="C2" s="102"/>
      <c r="D2" s="594"/>
      <c r="E2" s="102"/>
      <c r="F2" s="102"/>
      <c r="G2" s="102"/>
      <c r="H2" s="594"/>
      <c r="I2" s="151"/>
    </row>
    <row r="3" spans="1:9" ht="15" customHeight="1" thickTop="1" x14ac:dyDescent="0.25">
      <c r="A3" s="125"/>
      <c r="B3" s="104" t="s">
        <v>260</v>
      </c>
      <c r="C3" s="918" t="s">
        <v>163</v>
      </c>
      <c r="D3" s="919"/>
      <c r="E3" s="919"/>
      <c r="F3" s="919"/>
      <c r="G3" s="919"/>
      <c r="H3" s="949" t="s">
        <v>231</v>
      </c>
      <c r="I3" s="950"/>
    </row>
    <row r="4" spans="1:9" ht="34.35" customHeight="1" x14ac:dyDescent="0.25">
      <c r="A4" s="105"/>
      <c r="B4" s="389" t="s">
        <v>459</v>
      </c>
      <c r="C4" s="954"/>
      <c r="D4" s="955"/>
      <c r="E4" s="955"/>
      <c r="F4" s="955"/>
      <c r="G4" s="955"/>
      <c r="H4" s="995"/>
      <c r="I4" s="996"/>
    </row>
    <row r="5" spans="1:9" ht="25.5" customHeight="1" x14ac:dyDescent="0.25">
      <c r="A5" s="924" t="s">
        <v>164</v>
      </c>
      <c r="B5" s="926" t="s">
        <v>165</v>
      </c>
      <c r="C5" s="942" t="s">
        <v>222</v>
      </c>
      <c r="D5" s="106" t="s">
        <v>96</v>
      </c>
      <c r="E5" s="106" t="s">
        <v>155</v>
      </c>
      <c r="F5" s="106" t="s">
        <v>497</v>
      </c>
      <c r="G5" s="982" t="s">
        <v>370</v>
      </c>
      <c r="H5" s="515" t="s">
        <v>96</v>
      </c>
      <c r="I5" s="517" t="s">
        <v>497</v>
      </c>
    </row>
    <row r="6" spans="1:9" ht="20.100000000000001" customHeight="1" x14ac:dyDescent="0.25">
      <c r="A6" s="924"/>
      <c r="B6" s="926"/>
      <c r="C6" s="931"/>
      <c r="D6" s="291" t="s">
        <v>492</v>
      </c>
      <c r="E6" s="121">
        <v>0.02</v>
      </c>
      <c r="F6" s="107">
        <v>0.1</v>
      </c>
      <c r="G6" s="983"/>
      <c r="H6" s="518" t="str">
        <f>+D6</f>
        <v>Oxigena 10%</v>
      </c>
      <c r="I6" s="521">
        <v>0.1</v>
      </c>
    </row>
    <row r="7" spans="1:9" ht="16.149999999999999" customHeight="1" thickBot="1" x14ac:dyDescent="0.3">
      <c r="A7" s="925"/>
      <c r="B7" s="927"/>
      <c r="C7" s="650" t="s">
        <v>166</v>
      </c>
      <c r="D7" s="658" t="s">
        <v>166</v>
      </c>
      <c r="E7" s="658" t="s">
        <v>166</v>
      </c>
      <c r="F7" s="658" t="s">
        <v>166</v>
      </c>
      <c r="G7" s="651" t="s">
        <v>166</v>
      </c>
      <c r="H7" s="696" t="s">
        <v>166</v>
      </c>
      <c r="I7" s="660" t="s">
        <v>166</v>
      </c>
    </row>
    <row r="8" spans="1:9" ht="15.75" thickTop="1" x14ac:dyDescent="0.25">
      <c r="A8" s="80" t="s">
        <v>167</v>
      </c>
      <c r="B8" s="86" t="s">
        <v>168</v>
      </c>
      <c r="C8" s="780">
        <f>+'Calculo IP ZDF'!B36</f>
        <v>10105.820650000001</v>
      </c>
      <c r="D8" s="781">
        <f>+'Calculo IP ZDF'!H36</f>
        <v>10694.638585000001</v>
      </c>
      <c r="E8" s="781">
        <f>+'Calculo IP ZDF'!F36</f>
        <v>5528.9900000000007</v>
      </c>
      <c r="F8" s="781">
        <f>+'Calculo IP ZDF'!M36</f>
        <v>6772.2518319999999</v>
      </c>
      <c r="G8" s="782">
        <f>+'Calculo IP ZDF'!C36</f>
        <v>5218.1764800000001</v>
      </c>
      <c r="H8" s="780">
        <f>+'IMPUESTO AL CARBONO GMR'!D9</f>
        <v>11009.89</v>
      </c>
      <c r="I8" s="809">
        <f>+BIODIESEL!F9</f>
        <v>6983.2690000000002</v>
      </c>
    </row>
    <row r="9" spans="1:9" x14ac:dyDescent="0.25">
      <c r="A9" s="80" t="s">
        <v>169</v>
      </c>
      <c r="B9" s="86" t="s">
        <v>170</v>
      </c>
      <c r="C9" s="783" t="str">
        <f>+E9</f>
        <v>------------------</v>
      </c>
      <c r="D9" s="784" t="s">
        <v>171</v>
      </c>
      <c r="E9" s="784" t="s">
        <v>171</v>
      </c>
      <c r="F9" s="784" t="s">
        <v>171</v>
      </c>
      <c r="G9" s="785" t="s">
        <v>171</v>
      </c>
      <c r="H9" s="783">
        <f>+'IMPUESTO AL CARBONO GMR'!D10</f>
        <v>686.15099999999995</v>
      </c>
      <c r="I9" s="810">
        <f>+BIODIESEL!F10</f>
        <v>656.74</v>
      </c>
    </row>
    <row r="10" spans="1:9" x14ac:dyDescent="0.25">
      <c r="A10" s="80"/>
      <c r="B10" s="86" t="s">
        <v>129</v>
      </c>
      <c r="C10" s="783" t="str">
        <f>+E10</f>
        <v>------------------</v>
      </c>
      <c r="D10" s="784" t="s">
        <v>171</v>
      </c>
      <c r="E10" s="784" t="s">
        <v>171</v>
      </c>
      <c r="F10" s="784" t="s">
        <v>171</v>
      </c>
      <c r="G10" s="785" t="s">
        <v>171</v>
      </c>
      <c r="H10" s="783" t="s">
        <v>130</v>
      </c>
      <c r="I10" s="810" t="s">
        <v>130</v>
      </c>
    </row>
    <row r="11" spans="1:9" x14ac:dyDescent="0.25">
      <c r="A11" s="80"/>
      <c r="B11" s="86" t="s">
        <v>131</v>
      </c>
      <c r="C11" s="786">
        <f>+'IMPUESTO AL CARBONO GMR'!C12</f>
        <v>197.93</v>
      </c>
      <c r="D11" s="787">
        <f>+'IMPUESTO AL CARBONO GMR'!D12</f>
        <v>178.137</v>
      </c>
      <c r="E11" s="787">
        <f>+BIODIESEL!E12</f>
        <v>219.21619999999999</v>
      </c>
      <c r="F11" s="787">
        <f>+BIODIESEL!F12</f>
        <v>201.321</v>
      </c>
      <c r="G11" s="788">
        <f>+BIODIESEL!C12</f>
        <v>223.69</v>
      </c>
      <c r="H11" s="786">
        <f>+D11</f>
        <v>178.137</v>
      </c>
      <c r="I11" s="793">
        <f>+F11</f>
        <v>201.321</v>
      </c>
    </row>
    <row r="12" spans="1:9" ht="16.350000000000001" customHeight="1" x14ac:dyDescent="0.25">
      <c r="A12" s="80" t="s">
        <v>172</v>
      </c>
      <c r="B12" s="86" t="s">
        <v>249</v>
      </c>
      <c r="C12" s="789" t="s">
        <v>200</v>
      </c>
      <c r="D12" s="790" t="s">
        <v>200</v>
      </c>
      <c r="E12" s="784" t="s">
        <v>200</v>
      </c>
      <c r="F12" s="784" t="s">
        <v>200</v>
      </c>
      <c r="G12" s="791" t="s">
        <v>200</v>
      </c>
      <c r="H12" s="789" t="s">
        <v>200</v>
      </c>
      <c r="I12" s="811" t="s">
        <v>200</v>
      </c>
    </row>
    <row r="13" spans="1:9" x14ac:dyDescent="0.25">
      <c r="A13" s="80" t="s">
        <v>174</v>
      </c>
      <c r="B13" s="86" t="s">
        <v>175</v>
      </c>
      <c r="C13" s="786">
        <f>+RUBROS!$AL$18</f>
        <v>20.809966823435939</v>
      </c>
      <c r="D13" s="792">
        <f>+C13</f>
        <v>20.809966823435939</v>
      </c>
      <c r="E13" s="792">
        <f>+C13</f>
        <v>20.809966823435939</v>
      </c>
      <c r="F13" s="792">
        <f>+E13</f>
        <v>20.809966823435939</v>
      </c>
      <c r="G13" s="791">
        <f>+C13</f>
        <v>20.809966823435939</v>
      </c>
      <c r="H13" s="786">
        <f>+RUBROS!$AM$18</f>
        <v>30.560765344237307</v>
      </c>
      <c r="I13" s="791">
        <f>+RUBROS!$AM$18</f>
        <v>30.560765344237307</v>
      </c>
    </row>
    <row r="14" spans="1:9" x14ac:dyDescent="0.25">
      <c r="A14" s="80" t="s">
        <v>176</v>
      </c>
      <c r="B14" s="178" t="s">
        <v>177</v>
      </c>
      <c r="C14" s="786">
        <f>+RUBROS!$AL$54</f>
        <v>146.40959970399982</v>
      </c>
      <c r="D14" s="787">
        <f>+RUBROS!$AL$54</f>
        <v>146.40959970399982</v>
      </c>
      <c r="E14" s="787">
        <f>+RUBROS!$AL$54</f>
        <v>146.40959970399982</v>
      </c>
      <c r="F14" s="787">
        <f>+RUBROS!$AL$54</f>
        <v>146.40959970399982</v>
      </c>
      <c r="G14" s="793">
        <f>+RUBROS!$AL$54</f>
        <v>146.40959970399982</v>
      </c>
      <c r="H14" s="786">
        <f>+RUBROS!$AM$54</f>
        <v>146.40959970399982</v>
      </c>
      <c r="I14" s="793">
        <f>+RUBROS!$AM$54</f>
        <v>146.40959970399982</v>
      </c>
    </row>
    <row r="15" spans="1:9" x14ac:dyDescent="0.25">
      <c r="A15" s="80" t="s">
        <v>178</v>
      </c>
      <c r="B15" s="86" t="s">
        <v>261</v>
      </c>
      <c r="C15" s="786">
        <f>+RUBROS!$BJ$40</f>
        <v>14.562140320021172</v>
      </c>
      <c r="D15" s="792">
        <f>+C15</f>
        <v>14.562140320021172</v>
      </c>
      <c r="E15" s="792">
        <f>+C15</f>
        <v>14.562140320021172</v>
      </c>
      <c r="F15" s="792">
        <f>+E15</f>
        <v>14.562140320021172</v>
      </c>
      <c r="G15" s="791">
        <f>+C15</f>
        <v>14.562140320021172</v>
      </c>
      <c r="H15" s="786">
        <f>+RUBROS!$BJ$40</f>
        <v>14.562140320021172</v>
      </c>
      <c r="I15" s="791">
        <f>+H15</f>
        <v>14.562140320021172</v>
      </c>
    </row>
    <row r="16" spans="1:9" hidden="1" x14ac:dyDescent="0.25">
      <c r="A16" s="80"/>
      <c r="B16" s="86" t="s">
        <v>180</v>
      </c>
      <c r="C16" s="786"/>
      <c r="D16" s="787"/>
      <c r="E16" s="792"/>
      <c r="F16" s="792"/>
      <c r="G16" s="791"/>
      <c r="H16" s="786"/>
      <c r="I16" s="793"/>
    </row>
    <row r="17" spans="1:9" x14ac:dyDescent="0.25">
      <c r="A17" s="87" t="s">
        <v>181</v>
      </c>
      <c r="B17" s="112" t="s">
        <v>182</v>
      </c>
      <c r="C17" s="794">
        <f>SUM(C8:C16)</f>
        <v>10485.53235684746</v>
      </c>
      <c r="D17" s="795">
        <f>SUM(D8:D16)</f>
        <v>11054.557291847457</v>
      </c>
      <c r="E17" s="795">
        <f t="shared" ref="E17:H17" si="0">SUM(E8:E16)</f>
        <v>5929.9879068474575</v>
      </c>
      <c r="F17" s="795">
        <f t="shared" ref="F17" si="1">SUM(F8:F16)</f>
        <v>7155.3545388474568</v>
      </c>
      <c r="G17" s="796">
        <f t="shared" si="0"/>
        <v>5623.6481868474566</v>
      </c>
      <c r="H17" s="794">
        <f t="shared" si="0"/>
        <v>12065.710505368257</v>
      </c>
      <c r="I17" s="796">
        <f t="shared" ref="I17" si="2">SUM(I8:I16)</f>
        <v>8032.8625053682581</v>
      </c>
    </row>
    <row r="18" spans="1:9" x14ac:dyDescent="0.25">
      <c r="A18" s="80" t="s">
        <v>183</v>
      </c>
      <c r="B18" s="86" t="s">
        <v>245</v>
      </c>
      <c r="C18" s="797" t="s">
        <v>213</v>
      </c>
      <c r="D18" s="790" t="s">
        <v>213</v>
      </c>
      <c r="E18" s="792" t="s">
        <v>213</v>
      </c>
      <c r="F18" s="792" t="s">
        <v>213</v>
      </c>
      <c r="G18" s="791" t="s">
        <v>213</v>
      </c>
      <c r="H18" s="797" t="s">
        <v>213</v>
      </c>
      <c r="I18" s="811" t="s">
        <v>213</v>
      </c>
    </row>
    <row r="19" spans="1:9" x14ac:dyDescent="0.25">
      <c r="A19" s="80" t="s">
        <v>185</v>
      </c>
      <c r="B19" s="86" t="s">
        <v>186</v>
      </c>
      <c r="C19" s="797" t="s">
        <v>211</v>
      </c>
      <c r="D19" s="790" t="s">
        <v>211</v>
      </c>
      <c r="E19" s="792" t="s">
        <v>211</v>
      </c>
      <c r="F19" s="792" t="s">
        <v>211</v>
      </c>
      <c r="G19" s="791" t="s">
        <v>211</v>
      </c>
      <c r="H19" s="797" t="s">
        <v>211</v>
      </c>
      <c r="I19" s="811" t="s">
        <v>211</v>
      </c>
    </row>
    <row r="20" spans="1:9" x14ac:dyDescent="0.25">
      <c r="A20" s="80" t="s">
        <v>187</v>
      </c>
      <c r="B20" s="86" t="s">
        <v>134</v>
      </c>
      <c r="C20" s="786" t="s">
        <v>215</v>
      </c>
      <c r="D20" s="784" t="s">
        <v>215</v>
      </c>
      <c r="E20" s="798" t="s">
        <v>215</v>
      </c>
      <c r="F20" s="792" t="s">
        <v>215</v>
      </c>
      <c r="G20" s="788" t="s">
        <v>215</v>
      </c>
      <c r="H20" s="786" t="s">
        <v>215</v>
      </c>
      <c r="I20" s="810" t="s">
        <v>215</v>
      </c>
    </row>
    <row r="21" spans="1:9" x14ac:dyDescent="0.25">
      <c r="A21" s="87" t="s">
        <v>189</v>
      </c>
      <c r="B21" s="112" t="s">
        <v>190</v>
      </c>
      <c r="C21" s="799">
        <f>SUM(C17:C20)</f>
        <v>10485.53235684746</v>
      </c>
      <c r="D21" s="800">
        <f>SUM(D17:D20)</f>
        <v>11054.557291847457</v>
      </c>
      <c r="E21" s="801">
        <f t="shared" ref="E21:H21" si="3">SUM(E17:E20)</f>
        <v>5929.9879068474575</v>
      </c>
      <c r="F21" s="801">
        <f t="shared" si="3"/>
        <v>7155.3545388474568</v>
      </c>
      <c r="G21" s="802">
        <f t="shared" si="3"/>
        <v>5623.6481868474566</v>
      </c>
      <c r="H21" s="799">
        <f t="shared" si="3"/>
        <v>12065.710505368257</v>
      </c>
      <c r="I21" s="812">
        <f t="shared" ref="I21" si="4">SUM(I17:I20)</f>
        <v>8032.8625053682581</v>
      </c>
    </row>
    <row r="22" spans="1:9" x14ac:dyDescent="0.25">
      <c r="A22" s="80" t="s">
        <v>191</v>
      </c>
      <c r="B22" s="86" t="s">
        <v>150</v>
      </c>
      <c r="C22" s="786" t="str">
        <f>+E22</f>
        <v>***</v>
      </c>
      <c r="D22" s="787" t="s">
        <v>213</v>
      </c>
      <c r="E22" s="792" t="str">
        <f t="shared" ref="E22" si="5">+E18</f>
        <v>***</v>
      </c>
      <c r="F22" s="792" t="str">
        <f>+E22</f>
        <v>***</v>
      </c>
      <c r="G22" s="791" t="str">
        <f>+G18</f>
        <v>***</v>
      </c>
      <c r="H22" s="786" t="s">
        <v>213</v>
      </c>
      <c r="I22" s="793" t="s">
        <v>213</v>
      </c>
    </row>
    <row r="23" spans="1:9" x14ac:dyDescent="0.25">
      <c r="A23" s="80" t="s">
        <v>192</v>
      </c>
      <c r="B23" s="81" t="s">
        <v>193</v>
      </c>
      <c r="C23" s="803" t="s">
        <v>217</v>
      </c>
      <c r="D23" s="804" t="s">
        <v>217</v>
      </c>
      <c r="E23" s="792" t="s">
        <v>194</v>
      </c>
      <c r="F23" s="792" t="str">
        <f>+E23</f>
        <v>N.A</v>
      </c>
      <c r="G23" s="791" t="s">
        <v>194</v>
      </c>
      <c r="H23" s="803" t="s">
        <v>217</v>
      </c>
      <c r="I23" s="813" t="s">
        <v>235</v>
      </c>
    </row>
    <row r="24" spans="1:9" x14ac:dyDescent="0.25">
      <c r="A24" s="80" t="s">
        <v>195</v>
      </c>
      <c r="B24" s="81" t="s">
        <v>196</v>
      </c>
      <c r="C24" s="803" t="s">
        <v>218</v>
      </c>
      <c r="D24" s="804" t="s">
        <v>218</v>
      </c>
      <c r="E24" s="792" t="str">
        <f>+C24</f>
        <v>******</v>
      </c>
      <c r="F24" s="792" t="str">
        <f>+E24</f>
        <v>******</v>
      </c>
      <c r="G24" s="791" t="str">
        <f>+C24</f>
        <v>******</v>
      </c>
      <c r="H24" s="803" t="s">
        <v>218</v>
      </c>
      <c r="I24" s="813" t="s">
        <v>218</v>
      </c>
    </row>
    <row r="25" spans="1:9" ht="15.75" thickBot="1" x14ac:dyDescent="0.3">
      <c r="A25" s="91" t="s">
        <v>197</v>
      </c>
      <c r="B25" s="92" t="s">
        <v>198</v>
      </c>
      <c r="C25" s="805"/>
      <c r="D25" s="806"/>
      <c r="E25" s="807"/>
      <c r="F25" s="807"/>
      <c r="G25" s="808"/>
      <c r="H25" s="805"/>
      <c r="I25" s="814"/>
    </row>
    <row r="26" spans="1:9" ht="15.75" thickTop="1" x14ac:dyDescent="0.25">
      <c r="A26" s="96"/>
      <c r="B26" s="97"/>
      <c r="C26" s="97"/>
      <c r="D26" s="97"/>
      <c r="E26" s="98"/>
      <c r="F26" s="98"/>
      <c r="G26" s="98"/>
      <c r="H26" s="98"/>
      <c r="I26" s="98"/>
    </row>
    <row r="27" spans="1:9" x14ac:dyDescent="0.25">
      <c r="A27" s="96"/>
      <c r="B27" s="116" t="s">
        <v>209</v>
      </c>
      <c r="C27" s="97"/>
      <c r="D27" s="97"/>
      <c r="E27" s="98"/>
      <c r="F27" s="98"/>
      <c r="G27" s="98"/>
      <c r="H27" s="98"/>
      <c r="I27" s="98"/>
    </row>
    <row r="28" spans="1:9" x14ac:dyDescent="0.25">
      <c r="A28" s="96"/>
      <c r="B28" s="97"/>
      <c r="C28" s="97"/>
      <c r="D28" s="97"/>
      <c r="E28" s="98"/>
      <c r="F28" s="98"/>
      <c r="G28" s="98"/>
      <c r="H28" s="98"/>
      <c r="I28" s="98"/>
    </row>
    <row r="29" spans="1:9" ht="30.95" customHeight="1" x14ac:dyDescent="0.25">
      <c r="A29" s="99" t="s">
        <v>173</v>
      </c>
      <c r="B29" s="933" t="str">
        <f>+'LA GUAJIRA'!B78:G78</f>
        <v>De acuerdo con lo establecido en la Resoluccion 91349 de 2014 del MME para combustible de origen nacional o importado a ser distribuido en zonas de frontera, aplica la tarifa de marcación o remarcación vigente a la fecha según corresponda</v>
      </c>
      <c r="C29" s="933"/>
      <c r="D29" s="933"/>
      <c r="E29" s="933"/>
      <c r="F29" s="933"/>
      <c r="G29" s="933"/>
      <c r="H29" s="933"/>
      <c r="I29" s="142"/>
    </row>
    <row r="30" spans="1:9" x14ac:dyDescent="0.25">
      <c r="A30" s="99" t="s">
        <v>200</v>
      </c>
      <c r="B30" s="915" t="s">
        <v>250</v>
      </c>
      <c r="C30" s="915"/>
      <c r="D30" s="915"/>
      <c r="E30" s="915"/>
      <c r="F30" s="915"/>
      <c r="G30" s="915"/>
      <c r="H30" s="915"/>
      <c r="I30" s="361"/>
    </row>
    <row r="31" spans="1:9" ht="72.75" customHeight="1" x14ac:dyDescent="0.25">
      <c r="A31" s="99" t="s">
        <v>130</v>
      </c>
      <c r="B31" s="933" t="s">
        <v>306</v>
      </c>
      <c r="C31" s="933"/>
      <c r="D31" s="933"/>
      <c r="E31" s="933"/>
      <c r="F31" s="933"/>
      <c r="G31" s="933"/>
      <c r="H31" s="933"/>
      <c r="I31" s="142"/>
    </row>
    <row r="32" spans="1:9" ht="21.2" customHeight="1" x14ac:dyDescent="0.25">
      <c r="A32" s="99"/>
      <c r="B32" s="986"/>
      <c r="C32" s="986"/>
      <c r="D32" s="986"/>
      <c r="E32" s="986"/>
      <c r="F32" s="986"/>
      <c r="G32" s="986"/>
      <c r="H32" s="431"/>
      <c r="I32" s="142"/>
    </row>
    <row r="33" spans="1:18" x14ac:dyDescent="0.25">
      <c r="A33" s="99"/>
      <c r="B33" s="116"/>
      <c r="C33" s="116"/>
      <c r="D33" s="116"/>
      <c r="E33" s="140"/>
      <c r="F33" s="140"/>
      <c r="G33" s="140"/>
      <c r="H33" s="140"/>
      <c r="I33" s="140"/>
    </row>
    <row r="34" spans="1:18" x14ac:dyDescent="0.25">
      <c r="A34" s="117" t="s">
        <v>102</v>
      </c>
      <c r="B34" s="914" t="s">
        <v>210</v>
      </c>
      <c r="C34" s="914"/>
      <c r="D34" s="914"/>
      <c r="E34" s="914"/>
      <c r="F34" s="914"/>
      <c r="G34" s="914"/>
      <c r="H34" s="914"/>
      <c r="I34" s="100"/>
    </row>
    <row r="35" spans="1:18" ht="23.45" customHeight="1" x14ac:dyDescent="0.25">
      <c r="A35" s="117" t="s">
        <v>211</v>
      </c>
      <c r="B35" s="914" t="s">
        <v>242</v>
      </c>
      <c r="C35" s="914"/>
      <c r="D35" s="914"/>
      <c r="E35" s="914"/>
      <c r="F35" s="914"/>
      <c r="G35" s="914"/>
      <c r="H35" s="914"/>
      <c r="I35" s="914"/>
    </row>
    <row r="36" spans="1:18" ht="22.7" customHeight="1" x14ac:dyDescent="0.25">
      <c r="A36" s="117" t="s">
        <v>213</v>
      </c>
      <c r="B36" s="914" t="s">
        <v>251</v>
      </c>
      <c r="C36" s="914"/>
      <c r="D36" s="914"/>
      <c r="E36" s="914"/>
      <c r="F36" s="914"/>
      <c r="G36" s="914"/>
      <c r="H36" s="914"/>
      <c r="I36" s="914"/>
    </row>
    <row r="37" spans="1:18" x14ac:dyDescent="0.25">
      <c r="A37" s="117" t="s">
        <v>215</v>
      </c>
      <c r="B37" s="914" t="s">
        <v>420</v>
      </c>
      <c r="C37" s="914"/>
      <c r="D37" s="914"/>
      <c r="E37" s="914"/>
      <c r="F37" s="914"/>
      <c r="G37" s="914"/>
      <c r="H37" s="914"/>
      <c r="I37" s="914"/>
    </row>
    <row r="38" spans="1:18" ht="23.45" customHeight="1" x14ac:dyDescent="0.25">
      <c r="A38" s="117" t="s">
        <v>217</v>
      </c>
      <c r="B38" s="914" t="s">
        <v>219</v>
      </c>
      <c r="C38" s="914"/>
      <c r="D38" s="914"/>
      <c r="E38" s="914"/>
      <c r="F38" s="914"/>
      <c r="G38" s="914"/>
      <c r="H38" s="100"/>
      <c r="I38" s="100"/>
    </row>
    <row r="39" spans="1:18" x14ac:dyDescent="0.25">
      <c r="A39" s="117" t="s">
        <v>218</v>
      </c>
      <c r="B39" s="914" t="s">
        <v>248</v>
      </c>
      <c r="C39" s="914"/>
      <c r="D39" s="914"/>
      <c r="E39" s="914"/>
      <c r="F39" s="914"/>
      <c r="G39" s="914"/>
      <c r="H39" s="914"/>
      <c r="I39" s="914"/>
    </row>
    <row r="40" spans="1:18" x14ac:dyDescent="0.25">
      <c r="A40" s="140"/>
      <c r="B40" s="140"/>
      <c r="C40" s="140"/>
      <c r="D40" s="140"/>
      <c r="E40" s="140"/>
      <c r="F40" s="140"/>
      <c r="G40" s="140"/>
      <c r="H40" s="140"/>
      <c r="I40" s="140"/>
    </row>
    <row r="41" spans="1:18" ht="97.5" customHeight="1" x14ac:dyDescent="0.25">
      <c r="A41" s="917" t="s">
        <v>137</v>
      </c>
      <c r="B41" s="917"/>
      <c r="C41" s="917"/>
      <c r="D41" s="917"/>
      <c r="E41" s="917"/>
      <c r="F41" s="917"/>
      <c r="G41" s="917"/>
      <c r="H41" s="917"/>
      <c r="I41" s="173"/>
    </row>
    <row r="42" spans="1:18" x14ac:dyDescent="0.25">
      <c r="A42" s="173"/>
      <c r="B42" s="173"/>
      <c r="C42" s="173"/>
      <c r="D42" s="173"/>
      <c r="E42" s="173"/>
      <c r="F42" s="173"/>
      <c r="G42" s="173"/>
      <c r="H42" s="173"/>
      <c r="I42" s="173"/>
    </row>
    <row r="43" spans="1:18" hidden="1" x14ac:dyDescent="0.25">
      <c r="B43" t="str">
        <f>+AMAZONAS!C1</f>
        <v>Vigencia: 22 de Marzo de 2025; 00:00 horas</v>
      </c>
    </row>
    <row r="44" spans="1:18" hidden="1" x14ac:dyDescent="0.25">
      <c r="A44" s="993" t="s">
        <v>162</v>
      </c>
      <c r="B44" s="993"/>
      <c r="C44" s="994"/>
      <c r="D44" s="994"/>
      <c r="E44" s="994"/>
      <c r="F44" s="994"/>
      <c r="G44" s="994"/>
      <c r="H44" s="994"/>
      <c r="I44" s="994"/>
      <c r="J44" s="994"/>
      <c r="K44" s="994"/>
      <c r="L44" s="994"/>
      <c r="M44" s="994"/>
      <c r="N44" s="101"/>
      <c r="O44" s="101"/>
      <c r="P44" s="101"/>
      <c r="Q44" s="124"/>
      <c r="R44" s="124"/>
    </row>
    <row r="45" spans="1:18" ht="15.75" hidden="1" thickTop="1" x14ac:dyDescent="0.25">
      <c r="A45" s="174"/>
      <c r="B45" s="991" t="s">
        <v>260</v>
      </c>
      <c r="C45" s="944" t="s">
        <v>163</v>
      </c>
      <c r="D45" s="944"/>
      <c r="E45" s="989" t="s">
        <v>231</v>
      </c>
      <c r="F45" s="989"/>
    </row>
    <row r="46" spans="1:18" hidden="1" x14ac:dyDescent="0.25">
      <c r="A46" s="78"/>
      <c r="B46" s="992"/>
      <c r="C46" s="988"/>
      <c r="D46" s="988"/>
      <c r="E46" s="990"/>
      <c r="F46" s="990"/>
    </row>
    <row r="47" spans="1:18" ht="25.5" hidden="1" customHeight="1" x14ac:dyDescent="0.25">
      <c r="A47" s="924" t="s">
        <v>164</v>
      </c>
      <c r="B47" s="984" t="s">
        <v>165</v>
      </c>
      <c r="C47" s="175" t="s">
        <v>96</v>
      </c>
      <c r="D47" s="367"/>
      <c r="E47" s="175" t="s">
        <v>96</v>
      </c>
      <c r="F47" s="367"/>
    </row>
    <row r="48" spans="1:18" ht="25.5" hidden="1" x14ac:dyDescent="0.25">
      <c r="A48" s="924"/>
      <c r="B48" s="984"/>
      <c r="C48" s="176" t="s">
        <v>263</v>
      </c>
      <c r="D48" s="380"/>
      <c r="E48" s="176" t="s">
        <v>263</v>
      </c>
      <c r="F48" s="380"/>
    </row>
    <row r="49" spans="1:6" hidden="1" x14ac:dyDescent="0.25">
      <c r="A49" s="925"/>
      <c r="B49" s="985"/>
      <c r="C49" s="177" t="s">
        <v>166</v>
      </c>
      <c r="D49" s="368"/>
      <c r="E49" s="177" t="s">
        <v>166</v>
      </c>
      <c r="F49" s="368"/>
    </row>
    <row r="50" spans="1:6" hidden="1" x14ac:dyDescent="0.25">
      <c r="A50" s="80" t="s">
        <v>167</v>
      </c>
      <c r="B50" s="178" t="s">
        <v>168</v>
      </c>
      <c r="C50" s="82" t="e">
        <f>+'Calculo IP ZDF'!#REF!</f>
        <v>#REF!</v>
      </c>
      <c r="D50" s="82"/>
      <c r="E50" s="114" t="e">
        <f>+'Calculo IP ZDF'!#REF!</f>
        <v>#REF!</v>
      </c>
      <c r="F50" s="127"/>
    </row>
    <row r="51" spans="1:6" hidden="1" x14ac:dyDescent="0.25">
      <c r="A51" s="80" t="s">
        <v>169</v>
      </c>
      <c r="B51" s="178" t="s">
        <v>170</v>
      </c>
      <c r="C51" s="90" t="s">
        <v>171</v>
      </c>
      <c r="D51" s="381"/>
      <c r="E51" s="114">
        <v>526.26030379999997</v>
      </c>
      <c r="F51" s="127"/>
    </row>
    <row r="52" spans="1:6" hidden="1" x14ac:dyDescent="0.25">
      <c r="A52" s="80"/>
      <c r="B52" s="178" t="s">
        <v>129</v>
      </c>
      <c r="C52" s="90" t="s">
        <v>171</v>
      </c>
      <c r="D52" s="381"/>
      <c r="E52" s="179" t="s">
        <v>200</v>
      </c>
      <c r="F52" s="377"/>
    </row>
    <row r="53" spans="1:6" hidden="1" x14ac:dyDescent="0.25">
      <c r="A53" s="80"/>
      <c r="B53" s="178" t="s">
        <v>131</v>
      </c>
      <c r="C53" s="90">
        <v>148</v>
      </c>
      <c r="D53" s="381"/>
      <c r="E53" s="136">
        <v>148</v>
      </c>
      <c r="F53" s="127"/>
    </row>
    <row r="54" spans="1:6" hidden="1" x14ac:dyDescent="0.25">
      <c r="A54" s="80" t="s">
        <v>174</v>
      </c>
      <c r="B54" s="178" t="s">
        <v>175</v>
      </c>
      <c r="C54" s="90" t="s">
        <v>171</v>
      </c>
      <c r="D54" s="381"/>
      <c r="E54" s="90" t="s">
        <v>171</v>
      </c>
      <c r="F54" s="381"/>
    </row>
    <row r="55" spans="1:6" hidden="1" x14ac:dyDescent="0.25">
      <c r="A55" s="80" t="s">
        <v>176</v>
      </c>
      <c r="B55" s="178" t="s">
        <v>177</v>
      </c>
      <c r="C55" s="90" t="s">
        <v>171</v>
      </c>
      <c r="D55" s="381"/>
      <c r="E55" s="90" t="s">
        <v>171</v>
      </c>
      <c r="F55" s="381"/>
    </row>
    <row r="56" spans="1:6" hidden="1" x14ac:dyDescent="0.25">
      <c r="A56" s="80" t="s">
        <v>178</v>
      </c>
      <c r="B56" s="178" t="s">
        <v>264</v>
      </c>
      <c r="C56" s="90">
        <v>12.2</v>
      </c>
      <c r="D56" s="381"/>
      <c r="E56" s="90" t="e">
        <f>+#REF!</f>
        <v>#REF!</v>
      </c>
      <c r="F56" s="381"/>
    </row>
    <row r="57" spans="1:6" hidden="1" x14ac:dyDescent="0.25">
      <c r="A57" s="80"/>
      <c r="B57" s="178" t="s">
        <v>180</v>
      </c>
      <c r="C57" s="82">
        <v>71.510000000000005</v>
      </c>
      <c r="D57" s="130"/>
      <c r="E57" s="82">
        <f>+C57</f>
        <v>71.510000000000005</v>
      </c>
      <c r="F57" s="130"/>
    </row>
    <row r="58" spans="1:6" hidden="1" x14ac:dyDescent="0.25">
      <c r="A58" s="87" t="s">
        <v>181</v>
      </c>
      <c r="B58" s="180" t="s">
        <v>182</v>
      </c>
      <c r="C58" s="88" t="e">
        <f>SUM(C50:C57)</f>
        <v>#REF!</v>
      </c>
      <c r="D58" s="134"/>
      <c r="E58" s="88" t="e">
        <f t="shared" ref="E58" si="6">SUM(E50:E57)</f>
        <v>#REF!</v>
      </c>
      <c r="F58" s="134"/>
    </row>
    <row r="59" spans="1:6" hidden="1" x14ac:dyDescent="0.25">
      <c r="A59" s="80" t="s">
        <v>183</v>
      </c>
      <c r="B59" s="178" t="s">
        <v>245</v>
      </c>
      <c r="C59" s="82" t="s">
        <v>213</v>
      </c>
      <c r="D59" s="130"/>
      <c r="E59" s="82" t="s">
        <v>213</v>
      </c>
      <c r="F59" s="130"/>
    </row>
    <row r="60" spans="1:6" hidden="1" x14ac:dyDescent="0.25">
      <c r="A60" s="80" t="s">
        <v>187</v>
      </c>
      <c r="B60" s="178" t="s">
        <v>134</v>
      </c>
      <c r="C60" s="82" t="s">
        <v>215</v>
      </c>
      <c r="D60" s="130"/>
      <c r="E60" s="82" t="s">
        <v>215</v>
      </c>
      <c r="F60" s="130"/>
    </row>
    <row r="61" spans="1:6" hidden="1" x14ac:dyDescent="0.25">
      <c r="A61" s="87" t="s">
        <v>189</v>
      </c>
      <c r="B61" s="180" t="s">
        <v>190</v>
      </c>
      <c r="C61" s="88">
        <v>5316.4418400000004</v>
      </c>
      <c r="D61" s="134"/>
      <c r="E61" s="88">
        <v>6314.9703037999998</v>
      </c>
      <c r="F61" s="134"/>
    </row>
    <row r="62" spans="1:6" hidden="1" x14ac:dyDescent="0.25">
      <c r="A62" s="80" t="s">
        <v>191</v>
      </c>
      <c r="B62" s="178" t="s">
        <v>150</v>
      </c>
      <c r="C62" s="82" t="s">
        <v>213</v>
      </c>
      <c r="D62" s="130"/>
      <c r="E62" s="82" t="s">
        <v>213</v>
      </c>
      <c r="F62" s="130"/>
    </row>
    <row r="63" spans="1:6" hidden="1" x14ac:dyDescent="0.25">
      <c r="A63" s="80" t="s">
        <v>192</v>
      </c>
      <c r="B63" s="178" t="s">
        <v>193</v>
      </c>
      <c r="C63" s="114" t="s">
        <v>217</v>
      </c>
      <c r="D63" s="127"/>
      <c r="E63" s="82" t="s">
        <v>217</v>
      </c>
      <c r="F63" s="130"/>
    </row>
    <row r="64" spans="1:6" hidden="1" x14ac:dyDescent="0.25">
      <c r="A64" s="80" t="s">
        <v>195</v>
      </c>
      <c r="B64" s="178" t="s">
        <v>265</v>
      </c>
      <c r="C64" s="114" t="s">
        <v>218</v>
      </c>
      <c r="D64" s="127"/>
      <c r="E64" s="114" t="s">
        <v>218</v>
      </c>
      <c r="F64" s="127"/>
    </row>
    <row r="65" spans="1:18" ht="15.75" hidden="1" thickBot="1" x14ac:dyDescent="0.3">
      <c r="A65" s="91" t="s">
        <v>197</v>
      </c>
      <c r="B65" s="181" t="s">
        <v>198</v>
      </c>
      <c r="C65" s="115"/>
      <c r="D65" s="115"/>
      <c r="E65" s="115"/>
      <c r="F65" s="148"/>
    </row>
    <row r="66" spans="1:18" hidden="1" x14ac:dyDescent="0.25">
      <c r="A66" s="96"/>
      <c r="B66" s="182"/>
      <c r="C66" s="182"/>
      <c r="D66" s="182"/>
      <c r="E66" s="183"/>
      <c r="F66" s="183"/>
      <c r="G66" s="183"/>
      <c r="H66" s="183"/>
      <c r="I66" s="120"/>
      <c r="J66" s="120"/>
      <c r="K66" s="120"/>
      <c r="L66" s="120"/>
      <c r="M66" s="120"/>
      <c r="N66" s="120"/>
      <c r="O66" s="120"/>
      <c r="P66" s="120"/>
      <c r="Q66" s="163"/>
      <c r="R66" s="163"/>
    </row>
    <row r="67" spans="1:18" hidden="1" x14ac:dyDescent="0.25">
      <c r="A67" s="96"/>
      <c r="B67" s="116" t="s">
        <v>209</v>
      </c>
      <c r="C67" s="97"/>
      <c r="D67" s="97"/>
      <c r="E67" s="98"/>
      <c r="F67" s="98"/>
      <c r="G67" s="98"/>
      <c r="H67" s="98"/>
      <c r="I67" s="98"/>
      <c r="J67" s="164"/>
      <c r="K67" s="164"/>
      <c r="L67" s="164"/>
      <c r="M67" s="164"/>
      <c r="N67" s="164"/>
      <c r="O67" s="164"/>
      <c r="P67" s="164"/>
      <c r="Q67" s="163"/>
      <c r="R67" s="163"/>
    </row>
    <row r="68" spans="1:18" hidden="1" x14ac:dyDescent="0.25">
      <c r="A68" s="96"/>
      <c r="B68" s="97"/>
      <c r="C68" s="97"/>
      <c r="D68" s="97"/>
      <c r="E68" s="98"/>
      <c r="F68" s="98"/>
      <c r="G68" s="98"/>
      <c r="H68" s="98"/>
      <c r="I68" s="98"/>
      <c r="J68" s="164"/>
      <c r="K68" s="164"/>
      <c r="L68" s="164"/>
      <c r="M68" s="164"/>
      <c r="N68" s="164"/>
      <c r="O68" s="164"/>
      <c r="P68" s="164"/>
      <c r="Q68" s="163"/>
      <c r="R68" s="163"/>
    </row>
    <row r="69" spans="1:18" hidden="1" x14ac:dyDescent="0.25">
      <c r="A69" s="99" t="s">
        <v>173</v>
      </c>
      <c r="B69" s="987" t="s">
        <v>241</v>
      </c>
      <c r="C69" s="987"/>
      <c r="D69" s="987"/>
      <c r="E69" s="987"/>
      <c r="F69" s="987"/>
      <c r="G69" s="987"/>
      <c r="H69" s="987"/>
      <c r="I69" s="363"/>
      <c r="J69" s="164"/>
      <c r="K69" s="164"/>
      <c r="L69" s="164"/>
      <c r="M69" s="164"/>
      <c r="N69" s="164"/>
      <c r="O69" s="164"/>
      <c r="P69" s="164"/>
      <c r="Q69" s="163"/>
      <c r="R69" s="163"/>
    </row>
    <row r="70" spans="1:18" hidden="1" x14ac:dyDescent="0.25">
      <c r="A70" s="99" t="s">
        <v>130</v>
      </c>
      <c r="B70" s="933" t="s">
        <v>223</v>
      </c>
      <c r="C70" s="933"/>
      <c r="D70" s="933"/>
      <c r="E70" s="933"/>
      <c r="F70" s="933"/>
      <c r="G70" s="933"/>
      <c r="H70" s="933"/>
      <c r="I70" s="142"/>
      <c r="J70" s="164"/>
      <c r="K70" s="164"/>
      <c r="L70" s="164"/>
      <c r="M70" s="164"/>
      <c r="N70" s="164"/>
      <c r="O70" s="164"/>
      <c r="P70" s="164"/>
      <c r="Q70" s="163"/>
      <c r="R70" s="163"/>
    </row>
    <row r="71" spans="1:18" hidden="1" x14ac:dyDescent="0.25">
      <c r="A71" s="99"/>
      <c r="B71" s="142"/>
      <c r="C71" s="142"/>
      <c r="D71" s="142"/>
      <c r="E71" s="142"/>
      <c r="F71" s="142"/>
      <c r="G71" s="142"/>
      <c r="H71" s="142"/>
      <c r="I71" s="142"/>
      <c r="J71" s="164"/>
      <c r="K71" s="164"/>
      <c r="L71" s="164"/>
      <c r="M71" s="164"/>
      <c r="N71" s="164"/>
      <c r="O71" s="164"/>
      <c r="P71" s="164"/>
      <c r="Q71" s="163"/>
      <c r="R71" s="163"/>
    </row>
    <row r="72" spans="1:18" hidden="1" x14ac:dyDescent="0.25">
      <c r="A72" s="99"/>
      <c r="B72" s="116" t="s">
        <v>148</v>
      </c>
      <c r="C72" s="116"/>
      <c r="D72" s="116"/>
      <c r="E72" s="140"/>
      <c r="F72" s="140"/>
      <c r="G72" s="140"/>
      <c r="H72" s="140"/>
      <c r="I72" s="140"/>
      <c r="J72" s="164"/>
      <c r="K72" s="164"/>
      <c r="L72" s="164"/>
      <c r="M72" s="164"/>
      <c r="N72" s="164"/>
      <c r="O72" s="164"/>
      <c r="P72" s="164"/>
      <c r="Q72" s="163"/>
      <c r="R72" s="163"/>
    </row>
    <row r="73" spans="1:18" hidden="1" x14ac:dyDescent="0.25">
      <c r="A73" s="117" t="s">
        <v>102</v>
      </c>
      <c r="B73" s="914" t="s">
        <v>210</v>
      </c>
      <c r="C73" s="914"/>
      <c r="D73" s="914"/>
      <c r="E73" s="914"/>
      <c r="F73" s="914"/>
      <c r="G73" s="914"/>
      <c r="H73" s="914"/>
      <c r="I73" s="100"/>
      <c r="J73" s="164"/>
      <c r="K73" s="164"/>
      <c r="L73" s="164"/>
      <c r="M73" s="164"/>
      <c r="N73" s="164"/>
      <c r="O73" s="164"/>
      <c r="P73" s="164"/>
      <c r="Q73" s="163"/>
      <c r="R73" s="163"/>
    </row>
    <row r="74" spans="1:18" hidden="1" x14ac:dyDescent="0.25">
      <c r="A74" s="117" t="s">
        <v>211</v>
      </c>
      <c r="B74" s="914" t="s">
        <v>242</v>
      </c>
      <c r="C74" s="914"/>
      <c r="D74" s="914"/>
      <c r="E74" s="914"/>
      <c r="F74" s="914"/>
      <c r="G74" s="914"/>
      <c r="H74" s="914"/>
      <c r="I74" s="914"/>
      <c r="J74" s="164"/>
      <c r="K74" s="164"/>
      <c r="L74" s="164"/>
      <c r="M74" s="164"/>
      <c r="N74" s="164"/>
      <c r="O74" s="164"/>
      <c r="P74" s="164"/>
      <c r="Q74" s="163"/>
      <c r="R74" s="163"/>
    </row>
    <row r="75" spans="1:18" hidden="1" x14ac:dyDescent="0.25">
      <c r="A75" s="117" t="s">
        <v>213</v>
      </c>
      <c r="B75" s="914" t="s">
        <v>251</v>
      </c>
      <c r="C75" s="914"/>
      <c r="D75" s="914"/>
      <c r="E75" s="914"/>
      <c r="F75" s="914"/>
      <c r="G75" s="914"/>
      <c r="H75" s="914"/>
      <c r="I75" s="914"/>
      <c r="J75" s="164"/>
      <c r="K75" s="164"/>
      <c r="L75" s="164"/>
      <c r="M75" s="164"/>
      <c r="N75" s="164"/>
      <c r="O75" s="164"/>
      <c r="P75" s="164"/>
      <c r="Q75" s="163"/>
      <c r="R75" s="163"/>
    </row>
    <row r="76" spans="1:18" hidden="1" x14ac:dyDescent="0.25">
      <c r="A76" s="117" t="s">
        <v>215</v>
      </c>
      <c r="B76" s="914" t="s">
        <v>247</v>
      </c>
      <c r="C76" s="914"/>
      <c r="D76" s="914"/>
      <c r="E76" s="914"/>
      <c r="F76" s="914"/>
      <c r="G76" s="914"/>
      <c r="H76" s="914"/>
      <c r="I76" s="914"/>
      <c r="J76" s="164"/>
      <c r="K76" s="164"/>
      <c r="L76" s="164"/>
      <c r="M76" s="164"/>
      <c r="N76" s="164"/>
      <c r="O76" s="164"/>
      <c r="P76" s="164"/>
      <c r="Q76" s="163"/>
      <c r="R76" s="163"/>
    </row>
    <row r="77" spans="1:18" hidden="1" x14ac:dyDescent="0.25">
      <c r="A77" s="117" t="s">
        <v>217</v>
      </c>
      <c r="B77" s="914" t="s">
        <v>219</v>
      </c>
      <c r="C77" s="914"/>
      <c r="D77" s="914"/>
      <c r="E77" s="914"/>
      <c r="F77" s="914"/>
      <c r="G77" s="914"/>
      <c r="H77" s="100"/>
      <c r="I77" s="100"/>
      <c r="J77" s="164"/>
      <c r="K77" s="164"/>
      <c r="L77" s="164"/>
      <c r="M77" s="164"/>
      <c r="N77" s="164"/>
      <c r="O77" s="164"/>
      <c r="P77" s="164"/>
      <c r="Q77" s="163"/>
      <c r="R77" s="163"/>
    </row>
    <row r="78" spans="1:18" hidden="1" x14ac:dyDescent="0.25">
      <c r="A78" s="117" t="s">
        <v>218</v>
      </c>
      <c r="B78" s="914" t="s">
        <v>248</v>
      </c>
      <c r="C78" s="914"/>
      <c r="D78" s="914"/>
      <c r="E78" s="914"/>
      <c r="F78" s="914"/>
      <c r="G78" s="914"/>
      <c r="H78" s="914"/>
      <c r="I78" s="914"/>
      <c r="J78" s="164"/>
      <c r="K78" s="164"/>
      <c r="L78" s="164"/>
      <c r="M78" s="164"/>
      <c r="N78" s="164"/>
      <c r="O78" s="164"/>
      <c r="P78" s="164"/>
      <c r="Q78" s="163"/>
      <c r="R78" s="163"/>
    </row>
    <row r="79" spans="1:18" hidden="1" x14ac:dyDescent="0.25">
      <c r="A79" s="140"/>
      <c r="B79" s="140"/>
      <c r="C79" s="140"/>
      <c r="D79" s="140"/>
      <c r="E79" s="140"/>
      <c r="F79" s="140"/>
      <c r="G79" s="140"/>
      <c r="H79" s="140"/>
      <c r="I79" s="140"/>
      <c r="J79" s="164"/>
      <c r="K79" s="164"/>
      <c r="L79" s="164"/>
      <c r="M79" s="164"/>
      <c r="N79" s="164"/>
      <c r="O79" s="164"/>
      <c r="P79" s="164"/>
      <c r="Q79" s="163"/>
      <c r="R79" s="163"/>
    </row>
    <row r="80" spans="1:18" hidden="1" x14ac:dyDescent="0.25">
      <c r="A80" s="917" t="s">
        <v>137</v>
      </c>
      <c r="B80" s="917"/>
      <c r="C80" s="917"/>
      <c r="D80" s="917"/>
      <c r="E80" s="917"/>
      <c r="F80" s="917"/>
      <c r="G80" s="917"/>
      <c r="H80" s="917"/>
      <c r="I80" s="173"/>
      <c r="J80" s="164"/>
      <c r="K80" s="164"/>
      <c r="L80" s="164"/>
      <c r="M80" s="164"/>
      <c r="N80" s="164"/>
      <c r="O80" s="164"/>
      <c r="P80" s="164"/>
      <c r="Q80" s="163"/>
      <c r="R80" s="163"/>
    </row>
    <row r="81" spans="1:18" hidden="1" x14ac:dyDescent="0.25">
      <c r="A81" s="184"/>
      <c r="B81" s="116"/>
      <c r="C81" s="116"/>
      <c r="D81" s="116"/>
      <c r="E81" s="164"/>
      <c r="F81" s="164"/>
      <c r="G81" s="164"/>
      <c r="H81" s="164"/>
      <c r="I81" s="164"/>
      <c r="J81" s="164"/>
      <c r="K81" s="164"/>
      <c r="L81" s="164"/>
      <c r="M81" s="164"/>
      <c r="N81" s="164"/>
      <c r="O81" s="164"/>
      <c r="P81" s="164"/>
      <c r="Q81" s="163"/>
      <c r="R81" s="163"/>
    </row>
    <row r="82" spans="1:18" hidden="1" x14ac:dyDescent="0.25">
      <c r="A82" s="184"/>
      <c r="B82" s="116"/>
      <c r="C82" s="116"/>
      <c r="D82" s="116"/>
      <c r="E82" s="164"/>
      <c r="F82" s="164"/>
      <c r="G82" s="164"/>
      <c r="H82" s="164"/>
      <c r="I82" s="164"/>
      <c r="J82" s="164"/>
      <c r="K82" s="164"/>
      <c r="L82" s="164"/>
      <c r="M82" s="164"/>
      <c r="N82" s="164"/>
      <c r="O82" s="164"/>
      <c r="P82" s="164"/>
      <c r="Q82" s="163"/>
      <c r="R82" s="163"/>
    </row>
    <row r="83" spans="1:18" hidden="1" x14ac:dyDescent="0.25">
      <c r="A83" s="184"/>
      <c r="B83" s="116"/>
      <c r="C83" s="116"/>
      <c r="D83" s="116"/>
      <c r="E83" s="164"/>
      <c r="F83" s="164"/>
      <c r="G83" s="164"/>
      <c r="H83" s="164"/>
      <c r="I83" s="164"/>
      <c r="J83" s="164"/>
      <c r="K83" s="164"/>
      <c r="L83" s="164"/>
      <c r="M83" s="164"/>
      <c r="N83" s="164"/>
      <c r="O83" s="164"/>
      <c r="P83" s="164"/>
      <c r="Q83" s="163"/>
      <c r="R83" s="163"/>
    </row>
  </sheetData>
  <sheetProtection algorithmName="SHA-512" hashValue="yBvc4OoLMZ2yz64i+X3ZfBNMt8VtI2rcLekqTF9+7a/2WjYTf1JUNszFoocbqh9ky1fd4zBlxUaCaBoksyVhhA==" saltValue="kGetMxNNZ5URpbRtrxxxFQ==" spinCount="100000" sheet="1" objects="1" scenarios="1"/>
  <mergeCells count="32">
    <mergeCell ref="H3:I4"/>
    <mergeCell ref="B36:I36"/>
    <mergeCell ref="B37:I37"/>
    <mergeCell ref="B38:G38"/>
    <mergeCell ref="B39:I39"/>
    <mergeCell ref="C3:G4"/>
    <mergeCell ref="B69:H69"/>
    <mergeCell ref="C45:D46"/>
    <mergeCell ref="E45:F46"/>
    <mergeCell ref="B45:B46"/>
    <mergeCell ref="A44:M44"/>
    <mergeCell ref="B77:G77"/>
    <mergeCell ref="B78:I78"/>
    <mergeCell ref="A80:H80"/>
    <mergeCell ref="B70:H70"/>
    <mergeCell ref="B73:H73"/>
    <mergeCell ref="B74:I74"/>
    <mergeCell ref="B75:I75"/>
    <mergeCell ref="B76:I76"/>
    <mergeCell ref="A5:A7"/>
    <mergeCell ref="B5:B7"/>
    <mergeCell ref="C5:C6"/>
    <mergeCell ref="G5:G6"/>
    <mergeCell ref="A47:A49"/>
    <mergeCell ref="B47:B49"/>
    <mergeCell ref="A41:H41"/>
    <mergeCell ref="B29:H29"/>
    <mergeCell ref="B30:H30"/>
    <mergeCell ref="B31:H31"/>
    <mergeCell ref="B34:H34"/>
    <mergeCell ref="B35:I35"/>
    <mergeCell ref="B32:G32"/>
  </mergeCells>
  <hyperlinks>
    <hyperlink ref="B27" location="NARIÑO!A41" display="Ver Nota Informativa" xr:uid="{00000000-0004-0000-0F00-000001000000}"/>
    <hyperlink ref="B72" location="Nota" display="Ver Nota Informativa" xr:uid="{00000000-0004-0000-0F00-000002000000}"/>
    <hyperlink ref="B67" location="NARIÑO!A79" display="Ver Nota Informativa" xr:uid="{00000000-0004-0000-0F00-000003000000}"/>
  </hyperlinks>
  <pageMargins left="0.7" right="0.7" top="0.75" bottom="0.75" header="0.3" footer="0.3"/>
  <pageSetup orientation="portrait" r:id="rId1"/>
  <ignoredErrors>
    <ignoredError sqref="G17 E17 C17 G21 E21 C2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L42"/>
  <sheetViews>
    <sheetView showGridLines="0" zoomScale="80" zoomScaleNormal="80" workbookViewId="0">
      <selection activeCell="H18" sqref="H18"/>
    </sheetView>
  </sheetViews>
  <sheetFormatPr baseColWidth="10" defaultRowHeight="15" x14ac:dyDescent="0.25"/>
  <cols>
    <col min="1" max="1" width="7.140625" customWidth="1"/>
    <col min="2" max="2" width="44.85546875" customWidth="1"/>
    <col min="3" max="3" width="12.140625" customWidth="1"/>
    <col min="4" max="4" width="14.85546875" customWidth="1"/>
    <col min="5" max="5" width="12.5703125" customWidth="1"/>
    <col min="6" max="6" width="12.42578125" customWidth="1"/>
    <col min="7" max="7" width="18.7109375" customWidth="1"/>
    <col min="8" max="8" width="13.7109375" customWidth="1"/>
  </cols>
  <sheetData>
    <row r="1" spans="1:8" x14ac:dyDescent="0.25">
      <c r="A1" s="77"/>
      <c r="B1" s="77" t="str">
        <f>+AMAZONAS!C1</f>
        <v>Vigencia: 22 de Marzo de 2025; 00:00 horas</v>
      </c>
    </row>
    <row r="2" spans="1:8" ht="15.75" thickBot="1" x14ac:dyDescent="0.3">
      <c r="A2" s="77" t="s">
        <v>162</v>
      </c>
      <c r="B2" s="77"/>
      <c r="D2" s="346"/>
      <c r="G2" s="346"/>
    </row>
    <row r="3" spans="1:8" ht="15.95" customHeight="1" thickTop="1" x14ac:dyDescent="0.25">
      <c r="A3" s="125"/>
      <c r="B3" s="126" t="s">
        <v>254</v>
      </c>
      <c r="C3" s="943" t="s">
        <v>163</v>
      </c>
      <c r="D3" s="944"/>
      <c r="E3" s="944"/>
      <c r="F3" s="944"/>
      <c r="G3" s="997" t="s">
        <v>231</v>
      </c>
      <c r="H3" s="935"/>
    </row>
    <row r="4" spans="1:8" ht="25.5" x14ac:dyDescent="0.25">
      <c r="A4" s="78"/>
      <c r="B4" s="389" t="s">
        <v>459</v>
      </c>
      <c r="C4" s="938"/>
      <c r="D4" s="939"/>
      <c r="E4" s="939"/>
      <c r="F4" s="939"/>
      <c r="G4" s="998"/>
      <c r="H4" s="937"/>
    </row>
    <row r="5" spans="1:8" ht="25.7" customHeight="1" x14ac:dyDescent="0.25">
      <c r="A5" s="924" t="s">
        <v>164</v>
      </c>
      <c r="B5" s="926" t="s">
        <v>165</v>
      </c>
      <c r="C5" s="942" t="s">
        <v>222</v>
      </c>
      <c r="D5" s="106" t="s">
        <v>96</v>
      </c>
      <c r="E5" s="106" t="s">
        <v>367</v>
      </c>
      <c r="F5" s="106" t="s">
        <v>497</v>
      </c>
      <c r="G5" s="515" t="s">
        <v>96</v>
      </c>
      <c r="H5" s="517" t="s">
        <v>497</v>
      </c>
    </row>
    <row r="6" spans="1:8" ht="15.6" customHeight="1" x14ac:dyDescent="0.25">
      <c r="A6" s="924"/>
      <c r="B6" s="926"/>
      <c r="C6" s="931"/>
      <c r="D6" s="291" t="s">
        <v>244</v>
      </c>
      <c r="E6" s="392">
        <v>0.02</v>
      </c>
      <c r="F6" s="392">
        <v>0.1</v>
      </c>
      <c r="G6" s="291" t="s">
        <v>244</v>
      </c>
      <c r="H6" s="521">
        <v>0.1</v>
      </c>
    </row>
    <row r="7" spans="1:8" ht="15.75" thickBot="1" x14ac:dyDescent="0.3">
      <c r="A7" s="925"/>
      <c r="B7" s="927"/>
      <c r="C7" s="650" t="s">
        <v>166</v>
      </c>
      <c r="D7" s="658" t="s">
        <v>166</v>
      </c>
      <c r="E7" s="658" t="s">
        <v>166</v>
      </c>
      <c r="F7" s="658" t="s">
        <v>166</v>
      </c>
      <c r="G7" s="696" t="s">
        <v>166</v>
      </c>
      <c r="H7" s="660" t="s">
        <v>166</v>
      </c>
    </row>
    <row r="8" spans="1:8" ht="15.6" customHeight="1" thickTop="1" x14ac:dyDescent="0.25">
      <c r="A8" s="80" t="s">
        <v>167</v>
      </c>
      <c r="B8" s="86" t="s">
        <v>168</v>
      </c>
      <c r="C8" s="661">
        <f>+'Calculo IP ZDF'!B34</f>
        <v>10456.1</v>
      </c>
      <c r="D8" s="815">
        <f>+'Calculo IP ZDF'!H34</f>
        <v>11009.89</v>
      </c>
      <c r="E8" s="663">
        <f>+'Calculo IP ZDF'!F34</f>
        <v>4730.13</v>
      </c>
      <c r="F8" s="730">
        <f>+'Calculo IP ZDF'!M34</f>
        <v>6038.5991200000008</v>
      </c>
      <c r="G8" s="698">
        <f>+'IMPUESTO AL CARBONO GMR'!D9</f>
        <v>11009.89</v>
      </c>
      <c r="H8" s="664">
        <f>+BIODIESEL!F9</f>
        <v>6983.2690000000002</v>
      </c>
    </row>
    <row r="9" spans="1:8" ht="15.6" customHeight="1" x14ac:dyDescent="0.25">
      <c r="A9" s="80" t="s">
        <v>169</v>
      </c>
      <c r="B9" s="86" t="s">
        <v>170</v>
      </c>
      <c r="C9" s="169" t="s">
        <v>171</v>
      </c>
      <c r="D9" s="128" t="s">
        <v>171</v>
      </c>
      <c r="E9" s="355" t="s">
        <v>171</v>
      </c>
      <c r="F9" s="816" t="s">
        <v>171</v>
      </c>
      <c r="G9" s="525">
        <f>+'IMPUESTO AL CARBONO GMR'!D10</f>
        <v>686.15099999999995</v>
      </c>
      <c r="H9" s="547">
        <f>+BIODIESEL!F10</f>
        <v>656.74</v>
      </c>
    </row>
    <row r="10" spans="1:8" ht="15.6" customHeight="1" x14ac:dyDescent="0.25">
      <c r="A10" s="80"/>
      <c r="B10" s="86" t="s">
        <v>129</v>
      </c>
      <c r="C10" s="169" t="s">
        <v>171</v>
      </c>
      <c r="D10" s="128" t="s">
        <v>171</v>
      </c>
      <c r="E10" s="355" t="s">
        <v>171</v>
      </c>
      <c r="F10" s="816" t="s">
        <v>171</v>
      </c>
      <c r="G10" s="525" t="s">
        <v>130</v>
      </c>
      <c r="H10" s="547" t="s">
        <v>130</v>
      </c>
    </row>
    <row r="11" spans="1:8" ht="15.6" customHeight="1" x14ac:dyDescent="0.25">
      <c r="A11" s="80"/>
      <c r="B11" s="86" t="s">
        <v>131</v>
      </c>
      <c r="C11" s="727" t="s">
        <v>201</v>
      </c>
      <c r="D11" s="167" t="s">
        <v>201</v>
      </c>
      <c r="E11" s="355" t="s">
        <v>201</v>
      </c>
      <c r="F11" s="816" t="s">
        <v>201</v>
      </c>
      <c r="G11" s="525" t="s">
        <v>201</v>
      </c>
      <c r="H11" s="529" t="s">
        <v>201</v>
      </c>
    </row>
    <row r="12" spans="1:8" ht="15.6" customHeight="1" x14ac:dyDescent="0.25">
      <c r="A12" s="80" t="s">
        <v>172</v>
      </c>
      <c r="B12" s="86" t="s">
        <v>249</v>
      </c>
      <c r="C12" s="169" t="str">
        <f>+AMAZONAS!C12</f>
        <v>(2)</v>
      </c>
      <c r="D12" s="128" t="s">
        <v>200</v>
      </c>
      <c r="E12" s="136" t="s">
        <v>200</v>
      </c>
      <c r="F12" s="143" t="s">
        <v>200</v>
      </c>
      <c r="G12" s="525">
        <v>0</v>
      </c>
      <c r="H12" s="529" t="s">
        <v>200</v>
      </c>
    </row>
    <row r="13" spans="1:8" ht="15.6" customHeight="1" x14ac:dyDescent="0.25">
      <c r="A13" s="80" t="s">
        <v>233</v>
      </c>
      <c r="B13" s="86" t="s">
        <v>234</v>
      </c>
      <c r="C13" s="169" t="s">
        <v>235</v>
      </c>
      <c r="D13" s="128" t="s">
        <v>235</v>
      </c>
      <c r="E13" s="136" t="s">
        <v>235</v>
      </c>
      <c r="F13" s="816" t="s">
        <v>201</v>
      </c>
      <c r="G13" s="525" t="s">
        <v>235</v>
      </c>
      <c r="H13" s="529" t="s">
        <v>201</v>
      </c>
    </row>
    <row r="14" spans="1:8" ht="15.6" customHeight="1" x14ac:dyDescent="0.25">
      <c r="A14" s="80" t="s">
        <v>174</v>
      </c>
      <c r="B14" s="86" t="s">
        <v>175</v>
      </c>
      <c r="C14" s="169">
        <f>+RUBROS!$AL$16</f>
        <v>14.131844167840523</v>
      </c>
      <c r="D14" s="128">
        <f>+C14</f>
        <v>14.131844167840523</v>
      </c>
      <c r="E14" s="84">
        <f>+C14</f>
        <v>14.131844167840523</v>
      </c>
      <c r="F14" s="143">
        <f>+E14</f>
        <v>14.131844167840523</v>
      </c>
      <c r="G14" s="525">
        <f>+RUBROS!$AM$16</f>
        <v>30.560765344237307</v>
      </c>
      <c r="H14" s="665">
        <f>+RUBROS!$AM$16</f>
        <v>30.560765344237307</v>
      </c>
    </row>
    <row r="15" spans="1:8" ht="15.6" customHeight="1" x14ac:dyDescent="0.25">
      <c r="A15" s="80" t="s">
        <v>176</v>
      </c>
      <c r="B15" s="86" t="s">
        <v>177</v>
      </c>
      <c r="C15" s="169">
        <f>+RUBROS!AL52</f>
        <v>146.40959970399982</v>
      </c>
      <c r="D15" s="128">
        <f>+C15</f>
        <v>146.40959970399982</v>
      </c>
      <c r="E15" s="84">
        <f>+C15</f>
        <v>146.40959970399982</v>
      </c>
      <c r="F15" s="143">
        <f>+E15</f>
        <v>146.40959970399982</v>
      </c>
      <c r="G15" s="154">
        <f>+F15</f>
        <v>146.40959970399982</v>
      </c>
      <c r="H15" s="143">
        <f>+G15</f>
        <v>146.40959970399982</v>
      </c>
    </row>
    <row r="16" spans="1:8" ht="15.6" customHeight="1" x14ac:dyDescent="0.25">
      <c r="A16" s="80" t="s">
        <v>178</v>
      </c>
      <c r="B16" s="86" t="s">
        <v>179</v>
      </c>
      <c r="C16" s="169">
        <f>+RUBROS!$BJ$30</f>
        <v>14.562140320021172</v>
      </c>
      <c r="D16" s="128">
        <f>+C16</f>
        <v>14.562140320021172</v>
      </c>
      <c r="E16" s="130">
        <f>+C16</f>
        <v>14.562140320021172</v>
      </c>
      <c r="F16" s="143">
        <f>+E16</f>
        <v>14.562140320021172</v>
      </c>
      <c r="G16" s="169">
        <f>+RUBROS!$BJ$30</f>
        <v>14.562140320021172</v>
      </c>
      <c r="H16" s="666">
        <f>+RUBROS!$BJ$30</f>
        <v>14.562140320021172</v>
      </c>
    </row>
    <row r="17" spans="1:12" hidden="1" x14ac:dyDescent="0.25">
      <c r="A17" s="80"/>
      <c r="B17" s="86" t="s">
        <v>180</v>
      </c>
      <c r="C17" s="169"/>
      <c r="D17" s="353"/>
      <c r="E17" s="452"/>
      <c r="F17" s="817"/>
      <c r="G17" s="534"/>
      <c r="H17" s="524"/>
    </row>
    <row r="18" spans="1:12" x14ac:dyDescent="0.25">
      <c r="A18" s="87" t="s">
        <v>181</v>
      </c>
      <c r="B18" s="112" t="s">
        <v>182</v>
      </c>
      <c r="C18" s="667">
        <f t="shared" ref="C18:F18" si="0">SUM(C8:C17)</f>
        <v>10631.203584191862</v>
      </c>
      <c r="D18" s="132">
        <f t="shared" si="0"/>
        <v>11184.993584191863</v>
      </c>
      <c r="E18" s="133">
        <f>SUM(E8:E17)</f>
        <v>4905.2335841918612</v>
      </c>
      <c r="F18" s="818">
        <f t="shared" si="0"/>
        <v>6213.7027041918618</v>
      </c>
      <c r="G18" s="534">
        <f t="shared" ref="G18" si="1">SUM(G8:G17)</f>
        <v>11887.573505368258</v>
      </c>
      <c r="H18" s="540">
        <f t="shared" ref="H18" si="2">SUM(H8:H17)</f>
        <v>7831.5415053682582</v>
      </c>
    </row>
    <row r="19" spans="1:12" x14ac:dyDescent="0.25">
      <c r="A19" s="80" t="s">
        <v>183</v>
      </c>
      <c r="B19" s="86" t="s">
        <v>184</v>
      </c>
      <c r="C19" s="169" t="s">
        <v>213</v>
      </c>
      <c r="D19" s="128" t="s">
        <v>213</v>
      </c>
      <c r="E19" s="135" t="s">
        <v>213</v>
      </c>
      <c r="F19" s="819" t="s">
        <v>213</v>
      </c>
      <c r="G19" s="522" t="s">
        <v>213</v>
      </c>
      <c r="H19" s="524" t="s">
        <v>213</v>
      </c>
    </row>
    <row r="20" spans="1:12" x14ac:dyDescent="0.25">
      <c r="A20" s="80" t="s">
        <v>185</v>
      </c>
      <c r="B20" s="86" t="s">
        <v>186</v>
      </c>
      <c r="C20" s="169" t="s">
        <v>211</v>
      </c>
      <c r="D20" s="128" t="s">
        <v>211</v>
      </c>
      <c r="E20" s="136" t="s">
        <v>211</v>
      </c>
      <c r="F20" s="143" t="s">
        <v>211</v>
      </c>
      <c r="G20" s="522" t="s">
        <v>211</v>
      </c>
      <c r="H20" s="529" t="s">
        <v>211</v>
      </c>
    </row>
    <row r="21" spans="1:12" x14ac:dyDescent="0.25">
      <c r="A21" s="80" t="s">
        <v>187</v>
      </c>
      <c r="B21" s="86" t="s">
        <v>188</v>
      </c>
      <c r="C21" s="169" t="s">
        <v>215</v>
      </c>
      <c r="D21" s="128" t="s">
        <v>215</v>
      </c>
      <c r="E21" s="84" t="s">
        <v>215</v>
      </c>
      <c r="F21" s="145" t="s">
        <v>215</v>
      </c>
      <c r="G21" s="522" t="s">
        <v>215</v>
      </c>
      <c r="H21" s="524" t="s">
        <v>215</v>
      </c>
    </row>
    <row r="22" spans="1:12" x14ac:dyDescent="0.25">
      <c r="A22" s="87" t="s">
        <v>189</v>
      </c>
      <c r="B22" s="112" t="s">
        <v>190</v>
      </c>
      <c r="C22" s="667">
        <f>+C18</f>
        <v>10631.203584191862</v>
      </c>
      <c r="D22" s="132">
        <f>+D18</f>
        <v>11184.993584191863</v>
      </c>
      <c r="E22" s="132">
        <f t="shared" ref="E22" si="3">+E18</f>
        <v>4905.2335841918612</v>
      </c>
      <c r="F22" s="820">
        <f t="shared" ref="F22" si="4">+F18</f>
        <v>6213.7027041918618</v>
      </c>
      <c r="G22" s="548">
        <f t="shared" ref="G22" si="5">+G18</f>
        <v>11887.573505368258</v>
      </c>
      <c r="H22" s="550">
        <f>+H18</f>
        <v>7831.5415053682582</v>
      </c>
    </row>
    <row r="23" spans="1:12" x14ac:dyDescent="0.25">
      <c r="A23" s="80" t="s">
        <v>191</v>
      </c>
      <c r="B23" s="86" t="s">
        <v>150</v>
      </c>
      <c r="C23" s="169" t="s">
        <v>213</v>
      </c>
      <c r="D23" s="128" t="s">
        <v>213</v>
      </c>
      <c r="E23" s="84" t="s">
        <v>213</v>
      </c>
      <c r="F23" s="145" t="s">
        <v>213</v>
      </c>
      <c r="G23" s="522" t="s">
        <v>213</v>
      </c>
      <c r="H23" s="524" t="s">
        <v>213</v>
      </c>
    </row>
    <row r="24" spans="1:12" x14ac:dyDescent="0.25">
      <c r="A24" s="80" t="s">
        <v>192</v>
      </c>
      <c r="B24" s="81" t="s">
        <v>193</v>
      </c>
      <c r="C24" s="169" t="s">
        <v>217</v>
      </c>
      <c r="D24" s="128" t="s">
        <v>235</v>
      </c>
      <c r="E24" s="84" t="s">
        <v>217</v>
      </c>
      <c r="F24" s="145" t="s">
        <v>217</v>
      </c>
      <c r="G24" s="522" t="s">
        <v>217</v>
      </c>
      <c r="H24" s="524" t="s">
        <v>235</v>
      </c>
    </row>
    <row r="25" spans="1:12" x14ac:dyDescent="0.25">
      <c r="A25" s="80" t="s">
        <v>195</v>
      </c>
      <c r="B25" s="86" t="s">
        <v>196</v>
      </c>
      <c r="C25" s="169" t="s">
        <v>218</v>
      </c>
      <c r="D25" s="128" t="s">
        <v>218</v>
      </c>
      <c r="E25" s="136" t="s">
        <v>218</v>
      </c>
      <c r="F25" s="143" t="s">
        <v>218</v>
      </c>
      <c r="G25" s="522" t="s">
        <v>218</v>
      </c>
      <c r="H25" s="529" t="s">
        <v>218</v>
      </c>
    </row>
    <row r="26" spans="1:12" ht="15.75" thickBot="1" x14ac:dyDescent="0.3">
      <c r="A26" s="91" t="s">
        <v>197</v>
      </c>
      <c r="B26" s="92" t="s">
        <v>198</v>
      </c>
      <c r="C26" s="668"/>
      <c r="D26" s="137"/>
      <c r="E26" s="138"/>
      <c r="F26" s="657"/>
      <c r="G26" s="542"/>
      <c r="H26" s="544"/>
    </row>
    <row r="27" spans="1:12" ht="15.75" thickTop="1" x14ac:dyDescent="0.25"/>
    <row r="28" spans="1:12" x14ac:dyDescent="0.25">
      <c r="A28" s="99"/>
      <c r="B28" s="116" t="s">
        <v>209</v>
      </c>
      <c r="C28" s="140"/>
      <c r="D28" s="140"/>
      <c r="E28" s="140"/>
      <c r="F28" s="140"/>
      <c r="G28" s="124"/>
      <c r="H28" s="124"/>
      <c r="I28" s="124"/>
      <c r="J28" s="124"/>
      <c r="K28" s="124"/>
      <c r="L28" s="124"/>
    </row>
    <row r="29" spans="1:12" x14ac:dyDescent="0.25">
      <c r="A29" s="99"/>
      <c r="B29" s="116"/>
      <c r="C29" s="140"/>
      <c r="D29" s="140"/>
      <c r="E29" s="140"/>
      <c r="F29" s="140"/>
      <c r="G29" s="124"/>
      <c r="H29" s="124"/>
      <c r="I29" s="124"/>
      <c r="J29" s="124"/>
      <c r="K29" s="124"/>
      <c r="L29" s="124"/>
    </row>
    <row r="30" spans="1:12" ht="28.5" customHeight="1" x14ac:dyDescent="0.25">
      <c r="A30" s="99" t="s">
        <v>173</v>
      </c>
      <c r="B30" s="933" t="str">
        <f>+CHOCO!B29</f>
        <v>De acuerdo con lo establecido en la Resoluccion 91349 de 2014 del MME para combustible de origen nacional o importado a ser distribuido en zonas de frontera, aplica la tarifa de marcación o remarcación vigente a la fecha según corresponda</v>
      </c>
      <c r="C30" s="933"/>
      <c r="D30" s="933"/>
      <c r="E30" s="933"/>
      <c r="F30" s="933"/>
      <c r="G30" s="933"/>
      <c r="H30" s="141"/>
      <c r="I30" s="141"/>
      <c r="J30" s="141"/>
      <c r="K30" s="141"/>
      <c r="L30" s="141"/>
    </row>
    <row r="31" spans="1:12" ht="27.2" customHeight="1" x14ac:dyDescent="0.25">
      <c r="A31" s="99" t="s">
        <v>200</v>
      </c>
      <c r="B31" s="915" t="s">
        <v>250</v>
      </c>
      <c r="C31" s="915"/>
      <c r="D31" s="915"/>
      <c r="E31" s="915"/>
      <c r="F31" s="915"/>
      <c r="G31" s="915"/>
      <c r="H31" s="124"/>
      <c r="I31" s="124"/>
      <c r="J31" s="124"/>
      <c r="K31" s="124"/>
      <c r="L31" s="124"/>
    </row>
    <row r="32" spans="1:12" ht="53.45" customHeight="1" x14ac:dyDescent="0.25">
      <c r="A32" s="99" t="s">
        <v>130</v>
      </c>
      <c r="B32" s="933" t="s">
        <v>306</v>
      </c>
      <c r="C32" s="933"/>
      <c r="D32" s="933"/>
      <c r="E32" s="933"/>
      <c r="F32" s="933"/>
      <c r="G32" s="933"/>
      <c r="H32" s="124"/>
      <c r="I32" s="124"/>
      <c r="J32" s="124"/>
      <c r="K32" s="124"/>
      <c r="L32" s="124"/>
    </row>
    <row r="33" spans="1:12" ht="53.45" customHeight="1" x14ac:dyDescent="0.25">
      <c r="A33" s="99" t="s">
        <v>201</v>
      </c>
      <c r="B33" s="932" t="s">
        <v>373</v>
      </c>
      <c r="C33" s="932"/>
      <c r="D33" s="932"/>
      <c r="E33" s="932"/>
      <c r="F33" s="932"/>
      <c r="G33" s="932"/>
      <c r="H33" s="124"/>
      <c r="I33" s="124"/>
      <c r="J33" s="124"/>
      <c r="K33" s="124"/>
      <c r="L33" s="124"/>
    </row>
    <row r="34" spans="1:12" ht="26.1" customHeight="1" x14ac:dyDescent="0.25">
      <c r="A34" s="99"/>
      <c r="B34" s="933"/>
      <c r="C34" s="933"/>
      <c r="D34" s="933"/>
      <c r="E34" s="933"/>
      <c r="F34" s="933"/>
      <c r="G34" s="933"/>
      <c r="H34" s="124"/>
      <c r="I34" s="124"/>
      <c r="J34" s="124"/>
      <c r="K34" s="124"/>
      <c r="L34" s="124"/>
    </row>
    <row r="35" spans="1:12" ht="15" customHeight="1" x14ac:dyDescent="0.25">
      <c r="A35" s="117" t="s">
        <v>102</v>
      </c>
      <c r="B35" s="914" t="s">
        <v>210</v>
      </c>
      <c r="C35" s="914"/>
      <c r="D35" s="914"/>
      <c r="E35" s="914"/>
      <c r="F35" s="914"/>
      <c r="G35" s="914"/>
      <c r="H35" s="124"/>
      <c r="I35" s="124"/>
      <c r="J35" s="124"/>
      <c r="K35" s="124"/>
      <c r="L35" s="124"/>
    </row>
    <row r="36" spans="1:12" ht="15" customHeight="1" x14ac:dyDescent="0.25">
      <c r="A36" s="117" t="s">
        <v>211</v>
      </c>
      <c r="B36" s="933" t="s">
        <v>293</v>
      </c>
      <c r="C36" s="933"/>
      <c r="D36" s="933"/>
      <c r="E36" s="933"/>
      <c r="F36" s="933"/>
      <c r="G36" s="933"/>
      <c r="H36" s="124"/>
      <c r="I36" s="124"/>
      <c r="J36" s="124"/>
      <c r="K36" s="124"/>
      <c r="L36" s="124"/>
    </row>
    <row r="37" spans="1:12" ht="15" customHeight="1" x14ac:dyDescent="0.25">
      <c r="A37" s="99" t="s">
        <v>213</v>
      </c>
      <c r="B37" s="933" t="s">
        <v>214</v>
      </c>
      <c r="C37" s="933"/>
      <c r="D37" s="933"/>
      <c r="E37" s="933"/>
      <c r="F37" s="933"/>
      <c r="G37" s="933"/>
      <c r="H37" s="914"/>
      <c r="I37" s="914"/>
      <c r="J37" s="914"/>
      <c r="K37" s="914"/>
      <c r="L37" s="914"/>
    </row>
    <row r="38" spans="1:12" ht="15" customHeight="1" x14ac:dyDescent="0.25">
      <c r="A38" s="99" t="s">
        <v>215</v>
      </c>
      <c r="B38" s="914" t="s">
        <v>420</v>
      </c>
      <c r="C38" s="914"/>
      <c r="D38" s="914"/>
      <c r="E38" s="914"/>
      <c r="F38" s="914"/>
      <c r="G38" s="914"/>
      <c r="H38" s="100"/>
      <c r="I38" s="100"/>
      <c r="J38" s="100"/>
      <c r="K38" s="100"/>
      <c r="L38" s="100"/>
    </row>
    <row r="39" spans="1:12" ht="24" customHeight="1" x14ac:dyDescent="0.25">
      <c r="A39" s="117" t="s">
        <v>217</v>
      </c>
      <c r="B39" s="933" t="s">
        <v>219</v>
      </c>
      <c r="C39" s="933"/>
      <c r="D39" s="933"/>
      <c r="E39" s="933"/>
      <c r="F39" s="933"/>
      <c r="G39" s="933"/>
      <c r="H39" s="124"/>
      <c r="I39" s="124"/>
      <c r="J39" s="124"/>
      <c r="K39" s="124"/>
      <c r="L39" s="124"/>
    </row>
    <row r="40" spans="1:12" x14ac:dyDescent="0.25">
      <c r="A40" s="117" t="s">
        <v>218</v>
      </c>
      <c r="B40" s="933" t="s">
        <v>255</v>
      </c>
      <c r="C40" s="933"/>
      <c r="D40" s="933"/>
      <c r="E40" s="933"/>
      <c r="F40" s="933"/>
      <c r="G40" s="933"/>
      <c r="H40" s="124"/>
      <c r="I40" s="124"/>
      <c r="J40" s="124"/>
      <c r="K40" s="124"/>
      <c r="L40" s="124"/>
    </row>
    <row r="41" spans="1:12" x14ac:dyDescent="0.25">
      <c r="B41" s="914" t="s">
        <v>423</v>
      </c>
      <c r="C41" s="914"/>
      <c r="D41" s="914"/>
      <c r="E41" s="914"/>
      <c r="F41" s="914"/>
      <c r="G41" s="914"/>
    </row>
    <row r="42" spans="1:12" ht="87.95" customHeight="1" x14ac:dyDescent="0.25">
      <c r="B42" s="917" t="s">
        <v>137</v>
      </c>
      <c r="C42" s="917"/>
      <c r="D42" s="917"/>
      <c r="E42" s="917"/>
      <c r="F42" s="917"/>
      <c r="G42" s="917"/>
      <c r="H42" s="917"/>
    </row>
  </sheetData>
  <sheetProtection algorithmName="SHA-512" hashValue="pepuvoQTK5Gj+YccXN0qyABGzNytIKDRW48GRUYJCVhlt9MlI3z04aCikAdzqECwjKlKqXOhpvffFdlin1x6nw==" saltValue="i77KZgsvF9uyUv/dQkUG7Q==" spinCount="100000" sheet="1" objects="1" scenarios="1"/>
  <mergeCells count="19">
    <mergeCell ref="B42:H42"/>
    <mergeCell ref="B31:G31"/>
    <mergeCell ref="B32:G32"/>
    <mergeCell ref="B35:G35"/>
    <mergeCell ref="B36:G36"/>
    <mergeCell ref="B37:G37"/>
    <mergeCell ref="B34:G34"/>
    <mergeCell ref="H37:L37"/>
    <mergeCell ref="B33:G33"/>
    <mergeCell ref="B41:G41"/>
    <mergeCell ref="B38:G38"/>
    <mergeCell ref="B39:G39"/>
    <mergeCell ref="B40:G40"/>
    <mergeCell ref="B30:G30"/>
    <mergeCell ref="C3:F4"/>
    <mergeCell ref="A5:A7"/>
    <mergeCell ref="B5:B7"/>
    <mergeCell ref="C5:C6"/>
    <mergeCell ref="G3:H4"/>
  </mergeCells>
  <hyperlinks>
    <hyperlink ref="B28" location="GUAINIA!A41" display="Ver Nota Informativa" xr:uid="{00000000-0004-0000-0D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I89"/>
  <sheetViews>
    <sheetView showGridLines="0" topLeftCell="B1" zoomScale="80" zoomScaleNormal="80" workbookViewId="0">
      <selection activeCell="F14" sqref="F14"/>
    </sheetView>
  </sheetViews>
  <sheetFormatPr baseColWidth="10" defaultColWidth="45" defaultRowHeight="15" x14ac:dyDescent="0.25"/>
  <cols>
    <col min="1" max="1" width="7" customWidth="1"/>
    <col min="2" max="2" width="45.140625" customWidth="1"/>
    <col min="3" max="3" width="15.140625" bestFit="1" customWidth="1"/>
    <col min="4" max="4" width="13.85546875" customWidth="1"/>
    <col min="5" max="5" width="13.140625" customWidth="1"/>
    <col min="6" max="6" width="14.5703125" customWidth="1"/>
    <col min="7" max="7" width="13.28515625" customWidth="1"/>
    <col min="8" max="8" width="14.7109375" customWidth="1"/>
    <col min="9" max="9" width="14.5703125" customWidth="1"/>
  </cols>
  <sheetData>
    <row r="1" spans="1:8" x14ac:dyDescent="0.25">
      <c r="A1" s="140" t="s">
        <v>148</v>
      </c>
      <c r="B1" s="77" t="str">
        <f>+AMAZONAS!C1</f>
        <v>Vigencia: 22 de Marzo de 2025; 00:00 horas</v>
      </c>
      <c r="C1" s="77"/>
      <c r="D1" s="140"/>
      <c r="E1" s="140"/>
      <c r="F1" s="140"/>
      <c r="G1" s="140"/>
    </row>
    <row r="2" spans="1:8" ht="15.75" thickBot="1" x14ac:dyDescent="0.3">
      <c r="A2" s="77" t="s">
        <v>162</v>
      </c>
      <c r="B2" s="102"/>
      <c r="C2" s="102"/>
      <c r="D2" s="594"/>
      <c r="E2" s="102"/>
      <c r="F2" s="102"/>
      <c r="G2" s="594"/>
    </row>
    <row r="3" spans="1:8" ht="15" customHeight="1" thickTop="1" x14ac:dyDescent="0.25">
      <c r="A3" s="125"/>
      <c r="B3" s="104" t="s">
        <v>256</v>
      </c>
      <c r="C3" s="425" t="s">
        <v>163</v>
      </c>
      <c r="D3" s="426"/>
      <c r="E3" s="426"/>
      <c r="F3" s="426"/>
      <c r="G3" s="959" t="s">
        <v>467</v>
      </c>
      <c r="H3" s="960"/>
    </row>
    <row r="4" spans="1:8" ht="38.1" customHeight="1" x14ac:dyDescent="0.25">
      <c r="A4" s="105"/>
      <c r="B4" s="389" t="s">
        <v>459</v>
      </c>
      <c r="C4" s="427"/>
      <c r="D4" s="428"/>
      <c r="E4" s="428"/>
      <c r="F4" s="428"/>
      <c r="G4" s="961"/>
      <c r="H4" s="962"/>
    </row>
    <row r="5" spans="1:8" ht="22.35" customHeight="1" x14ac:dyDescent="0.25">
      <c r="A5" s="924" t="s">
        <v>164</v>
      </c>
      <c r="B5" s="926" t="s">
        <v>165</v>
      </c>
      <c r="C5" s="942" t="s">
        <v>222</v>
      </c>
      <c r="D5" s="106" t="s">
        <v>96</v>
      </c>
      <c r="E5" s="106" t="s">
        <v>367</v>
      </c>
      <c r="F5" s="106" t="s">
        <v>497</v>
      </c>
      <c r="G5" s="515" t="s">
        <v>96</v>
      </c>
      <c r="H5" s="517" t="str">
        <f>+F5</f>
        <v>Biodiesel</v>
      </c>
    </row>
    <row r="6" spans="1:8" ht="33" customHeight="1" x14ac:dyDescent="0.25">
      <c r="A6" s="924"/>
      <c r="B6" s="926"/>
      <c r="C6" s="931"/>
      <c r="D6" s="556" t="s">
        <v>244</v>
      </c>
      <c r="E6" s="392">
        <v>0.02</v>
      </c>
      <c r="F6" s="394">
        <v>0.1</v>
      </c>
      <c r="G6" s="556" t="s">
        <v>244</v>
      </c>
      <c r="H6" s="521">
        <f>+F6</f>
        <v>0.1</v>
      </c>
    </row>
    <row r="7" spans="1:8" ht="15.75" thickBot="1" x14ac:dyDescent="0.3">
      <c r="A7" s="925"/>
      <c r="B7" s="927"/>
      <c r="C7" s="650" t="s">
        <v>166</v>
      </c>
      <c r="D7" s="658" t="s">
        <v>166</v>
      </c>
      <c r="E7" s="658" t="s">
        <v>166</v>
      </c>
      <c r="F7" s="658" t="s">
        <v>166</v>
      </c>
      <c r="G7" s="696" t="s">
        <v>166</v>
      </c>
      <c r="H7" s="660" t="s">
        <v>166</v>
      </c>
    </row>
    <row r="8" spans="1:8" ht="18" customHeight="1" thickTop="1" x14ac:dyDescent="0.25">
      <c r="A8" s="80" t="s">
        <v>167</v>
      </c>
      <c r="B8" s="86" t="s">
        <v>168</v>
      </c>
      <c r="C8" s="771">
        <f>+'Calculo IP ZDF'!$B$35</f>
        <v>9983.4842800000006</v>
      </c>
      <c r="D8" s="772">
        <f>+'Calculo IP ZDF'!H35</f>
        <v>10584.535852000001</v>
      </c>
      <c r="E8" s="772">
        <f>+'Calculo IP ZDF'!F35</f>
        <v>4563.9400000000005</v>
      </c>
      <c r="F8" s="824">
        <f>+'Calculo IP ZDF'!M35</f>
        <v>5885.9797264000008</v>
      </c>
      <c r="G8" s="832">
        <f>+'IMPUESTO AL CARBONO GMR'!D9</f>
        <v>11009.89</v>
      </c>
      <c r="H8" s="833">
        <f>+BIODIESEL!F9</f>
        <v>6983.2690000000002</v>
      </c>
    </row>
    <row r="9" spans="1:8" ht="18" customHeight="1" x14ac:dyDescent="0.25">
      <c r="A9" s="80" t="s">
        <v>169</v>
      </c>
      <c r="B9" s="86" t="s">
        <v>452</v>
      </c>
      <c r="C9" s="773" t="s">
        <v>171</v>
      </c>
      <c r="D9" s="704" t="s">
        <v>171</v>
      </c>
      <c r="E9" s="704" t="s">
        <v>171</v>
      </c>
      <c r="F9" s="825" t="s">
        <v>171</v>
      </c>
      <c r="G9" s="834">
        <f>+'IMPUESTO AL CARBONO GMR'!D10</f>
        <v>686.15099999999995</v>
      </c>
      <c r="H9" s="835">
        <f>+BIODIESEL!F10</f>
        <v>656.74</v>
      </c>
    </row>
    <row r="10" spans="1:8" ht="18" customHeight="1" x14ac:dyDescent="0.25">
      <c r="A10" s="80"/>
      <c r="B10" s="86" t="s">
        <v>129</v>
      </c>
      <c r="C10" s="773" t="s">
        <v>171</v>
      </c>
      <c r="D10" s="704" t="s">
        <v>171</v>
      </c>
      <c r="E10" s="704" t="s">
        <v>171</v>
      </c>
      <c r="F10" s="825" t="s">
        <v>171</v>
      </c>
      <c r="G10" s="834" t="s">
        <v>130</v>
      </c>
      <c r="H10" s="835" t="s">
        <v>130</v>
      </c>
    </row>
    <row r="11" spans="1:8" ht="18" customHeight="1" x14ac:dyDescent="0.25">
      <c r="A11" s="80"/>
      <c r="B11" s="86" t="s">
        <v>451</v>
      </c>
      <c r="C11" s="774">
        <f>+'IMPUESTO AL CARBONO GMR'!$C$12</f>
        <v>197.93</v>
      </c>
      <c r="D11" s="700">
        <f>+'IMPUESTO AL CARBONO GMR'!D12</f>
        <v>178.137</v>
      </c>
      <c r="E11" s="700">
        <f>+BIODIESEL!E12</f>
        <v>219.21619999999999</v>
      </c>
      <c r="F11" s="779">
        <f>+BIODIESEL!F12</f>
        <v>201.321</v>
      </c>
      <c r="G11" s="834">
        <f>+D11</f>
        <v>178.137</v>
      </c>
      <c r="H11" s="835">
        <f>+F11</f>
        <v>201.321</v>
      </c>
    </row>
    <row r="12" spans="1:8" ht="16.899999999999999" customHeight="1" x14ac:dyDescent="0.25">
      <c r="A12" s="80" t="s">
        <v>172</v>
      </c>
      <c r="B12" s="86" t="s">
        <v>249</v>
      </c>
      <c r="C12" s="775" t="s">
        <v>200</v>
      </c>
      <c r="D12" s="704" t="s">
        <v>200</v>
      </c>
      <c r="E12" s="704" t="s">
        <v>200</v>
      </c>
      <c r="F12" s="825" t="s">
        <v>200</v>
      </c>
      <c r="G12" s="834" t="s">
        <v>200</v>
      </c>
      <c r="H12" s="835" t="s">
        <v>200</v>
      </c>
    </row>
    <row r="13" spans="1:8" x14ac:dyDescent="0.25">
      <c r="A13" s="80" t="s">
        <v>176</v>
      </c>
      <c r="B13" s="86" t="s">
        <v>177</v>
      </c>
      <c r="C13" s="775">
        <f>+RUBROS!$AL$53</f>
        <v>107.72545716003461</v>
      </c>
      <c r="D13" s="704">
        <f>+C13</f>
        <v>107.72545716003461</v>
      </c>
      <c r="E13" s="704">
        <f>+C13</f>
        <v>107.72545716003461</v>
      </c>
      <c r="F13" s="825">
        <f>+E13</f>
        <v>107.72545716003461</v>
      </c>
      <c r="G13" s="775">
        <f>+RUBROS!$AM$53</f>
        <v>107.72545716003461</v>
      </c>
      <c r="H13" s="828">
        <f>+RUBROS!$AM$53</f>
        <v>107.72545716003461</v>
      </c>
    </row>
    <row r="14" spans="1:8" x14ac:dyDescent="0.25">
      <c r="A14" s="80" t="s">
        <v>174</v>
      </c>
      <c r="B14" s="86" t="s">
        <v>175</v>
      </c>
      <c r="C14" s="774">
        <f>+RUBROS!$AL$17</f>
        <v>30.560765344237307</v>
      </c>
      <c r="D14" s="710">
        <f>+C14</f>
        <v>30.560765344237307</v>
      </c>
      <c r="E14" s="704">
        <f>+C14</f>
        <v>30.560765344237307</v>
      </c>
      <c r="F14" s="825">
        <f>+E14</f>
        <v>30.560765344237307</v>
      </c>
      <c r="G14" s="834">
        <f>+C14</f>
        <v>30.560765344237307</v>
      </c>
      <c r="H14" s="835">
        <f>+RUBROS!$AM$17</f>
        <v>30.560765344237307</v>
      </c>
    </row>
    <row r="15" spans="1:8" x14ac:dyDescent="0.25">
      <c r="A15" s="80" t="s">
        <v>178</v>
      </c>
      <c r="B15" s="86" t="s">
        <v>179</v>
      </c>
      <c r="C15" s="774">
        <f>+RUBROS!$BJ$42</f>
        <v>14.562140320021172</v>
      </c>
      <c r="D15" s="710">
        <f>+C15</f>
        <v>14.562140320021172</v>
      </c>
      <c r="E15" s="704">
        <f>+C15</f>
        <v>14.562140320021172</v>
      </c>
      <c r="F15" s="825">
        <f>+E15</f>
        <v>14.562140320021172</v>
      </c>
      <c r="G15" s="834">
        <f>+C15</f>
        <v>14.562140320021172</v>
      </c>
      <c r="H15" s="835">
        <f>+D15</f>
        <v>14.562140320021172</v>
      </c>
    </row>
    <row r="16" spans="1:8" hidden="1" x14ac:dyDescent="0.25">
      <c r="A16" s="80"/>
      <c r="B16" s="86" t="s">
        <v>180</v>
      </c>
      <c r="C16" s="774"/>
      <c r="D16" s="710"/>
      <c r="E16" s="710"/>
      <c r="F16" s="769"/>
      <c r="G16" s="836"/>
      <c r="H16" s="837"/>
    </row>
    <row r="17" spans="1:9" x14ac:dyDescent="0.25">
      <c r="A17" s="87" t="s">
        <v>181</v>
      </c>
      <c r="B17" s="112" t="s">
        <v>182</v>
      </c>
      <c r="C17" s="826">
        <f t="shared" ref="C17:G17" si="0">SUM(C8:C16)</f>
        <v>10334.262642824295</v>
      </c>
      <c r="D17" s="821">
        <f t="shared" ref="D17" si="1">SUM(D8:D16)</f>
        <v>10915.521214824294</v>
      </c>
      <c r="E17" s="821">
        <f>SUM(E8:E16)</f>
        <v>4936.0045628242933</v>
      </c>
      <c r="F17" s="827">
        <f t="shared" si="0"/>
        <v>6240.1490892242937</v>
      </c>
      <c r="G17" s="838">
        <f t="shared" si="0"/>
        <v>12027.026362824294</v>
      </c>
      <c r="H17" s="839">
        <f>SUM(H8:H16)</f>
        <v>7994.1783628242929</v>
      </c>
    </row>
    <row r="18" spans="1:9" x14ac:dyDescent="0.25">
      <c r="A18" s="80" t="s">
        <v>183</v>
      </c>
      <c r="B18" s="86" t="s">
        <v>245</v>
      </c>
      <c r="C18" s="776" t="s">
        <v>213</v>
      </c>
      <c r="D18" s="710" t="str">
        <f t="shared" ref="D18:E20" si="2">+C18</f>
        <v>***</v>
      </c>
      <c r="E18" s="708" t="str">
        <f t="shared" si="2"/>
        <v>***</v>
      </c>
      <c r="F18" s="828" t="s">
        <v>213</v>
      </c>
      <c r="G18" s="836" t="str">
        <f>+C18</f>
        <v>***</v>
      </c>
      <c r="H18" s="837" t="str">
        <f>+D18</f>
        <v>***</v>
      </c>
    </row>
    <row r="19" spans="1:9" x14ac:dyDescent="0.25">
      <c r="A19" s="80" t="s">
        <v>185</v>
      </c>
      <c r="B19" s="86" t="s">
        <v>186</v>
      </c>
      <c r="C19" s="776" t="s">
        <v>211</v>
      </c>
      <c r="D19" s="710" t="str">
        <f t="shared" si="2"/>
        <v>**</v>
      </c>
      <c r="E19" s="708" t="str">
        <f t="shared" si="2"/>
        <v>**</v>
      </c>
      <c r="F19" s="828" t="s">
        <v>211</v>
      </c>
      <c r="G19" s="836" t="str">
        <f>+C19</f>
        <v>**</v>
      </c>
      <c r="H19" s="837" t="str">
        <f>+D19</f>
        <v>**</v>
      </c>
    </row>
    <row r="20" spans="1:9" x14ac:dyDescent="0.25">
      <c r="A20" s="80" t="s">
        <v>187</v>
      </c>
      <c r="B20" s="86" t="s">
        <v>134</v>
      </c>
      <c r="C20" s="776" t="s">
        <v>215</v>
      </c>
      <c r="D20" s="710" t="str">
        <f t="shared" si="2"/>
        <v>****</v>
      </c>
      <c r="E20" s="708" t="str">
        <f t="shared" si="2"/>
        <v>****</v>
      </c>
      <c r="F20" s="828" t="s">
        <v>215</v>
      </c>
      <c r="G20" s="836" t="str">
        <f>C20</f>
        <v>****</v>
      </c>
      <c r="H20" s="837" t="str">
        <f>+D20</f>
        <v>****</v>
      </c>
    </row>
    <row r="21" spans="1:9" x14ac:dyDescent="0.25">
      <c r="A21" s="87" t="s">
        <v>189</v>
      </c>
      <c r="B21" s="112" t="s">
        <v>190</v>
      </c>
      <c r="C21" s="829">
        <f t="shared" ref="C21:G21" si="3">+C17</f>
        <v>10334.262642824295</v>
      </c>
      <c r="D21" s="821">
        <f t="shared" ref="D21" si="4">+D17</f>
        <v>10915.521214824294</v>
      </c>
      <c r="E21" s="822">
        <f t="shared" ref="E21" si="5">+E17</f>
        <v>4936.0045628242933</v>
      </c>
      <c r="F21" s="830">
        <f t="shared" si="3"/>
        <v>6240.1490892242937</v>
      </c>
      <c r="G21" s="838">
        <f t="shared" si="3"/>
        <v>12027.026362824294</v>
      </c>
      <c r="H21" s="839">
        <f t="shared" ref="H21" si="6">+H17</f>
        <v>7994.1783628242929</v>
      </c>
    </row>
    <row r="22" spans="1:9" x14ac:dyDescent="0.25">
      <c r="A22" s="80" t="s">
        <v>191</v>
      </c>
      <c r="B22" s="86" t="s">
        <v>150</v>
      </c>
      <c r="C22" s="774" t="str">
        <f>+C18</f>
        <v>***</v>
      </c>
      <c r="D22" s="700" t="str">
        <f t="shared" ref="D22:E22" si="7">+D18</f>
        <v>***</v>
      </c>
      <c r="E22" s="704" t="str">
        <f t="shared" si="7"/>
        <v>***</v>
      </c>
      <c r="F22" s="825" t="s">
        <v>213</v>
      </c>
      <c r="G22" s="836" t="s">
        <v>213</v>
      </c>
      <c r="H22" s="837" t="str">
        <f t="shared" ref="H22" si="8">+H18</f>
        <v>***</v>
      </c>
    </row>
    <row r="23" spans="1:9" x14ac:dyDescent="0.25">
      <c r="A23" s="80" t="s">
        <v>192</v>
      </c>
      <c r="B23" s="81" t="s">
        <v>193</v>
      </c>
      <c r="C23" s="777" t="s">
        <v>217</v>
      </c>
      <c r="D23" s="710" t="str">
        <f>+C23</f>
        <v>*****</v>
      </c>
      <c r="E23" s="823" t="str">
        <f>+D23</f>
        <v>*****</v>
      </c>
      <c r="F23" s="831" t="s">
        <v>235</v>
      </c>
      <c r="G23" s="836" t="s">
        <v>217</v>
      </c>
      <c r="H23" s="837" t="s">
        <v>235</v>
      </c>
      <c r="I23" s="15"/>
    </row>
    <row r="24" spans="1:9" ht="13.35" customHeight="1" x14ac:dyDescent="0.25">
      <c r="A24" s="80" t="s">
        <v>195</v>
      </c>
      <c r="B24" s="81" t="s">
        <v>196</v>
      </c>
      <c r="C24" s="777" t="s">
        <v>218</v>
      </c>
      <c r="D24" s="710" t="str">
        <f>+C24</f>
        <v>******</v>
      </c>
      <c r="E24" s="823" t="str">
        <f>+D24</f>
        <v>******</v>
      </c>
      <c r="F24" s="831" t="s">
        <v>218</v>
      </c>
      <c r="G24" s="836" t="s">
        <v>218</v>
      </c>
      <c r="H24" s="837" t="str">
        <f>+D24</f>
        <v>******</v>
      </c>
    </row>
    <row r="25" spans="1:9" ht="15.75" thickBot="1" x14ac:dyDescent="0.3">
      <c r="A25" s="91" t="s">
        <v>197</v>
      </c>
      <c r="B25" s="92" t="s">
        <v>198</v>
      </c>
      <c r="C25" s="778"/>
      <c r="D25" s="768"/>
      <c r="E25" s="768"/>
      <c r="F25" s="770"/>
      <c r="G25" s="778"/>
      <c r="H25" s="840"/>
    </row>
    <row r="26" spans="1:9" ht="15.75" thickTop="1" x14ac:dyDescent="0.25">
      <c r="A26" s="96"/>
      <c r="B26" s="97"/>
      <c r="C26" s="97"/>
      <c r="D26" s="98"/>
      <c r="E26" s="98"/>
      <c r="F26" s="98"/>
      <c r="G26" s="98"/>
    </row>
    <row r="27" spans="1:9" ht="15.75" hidden="1" thickTop="1" x14ac:dyDescent="0.25">
      <c r="A27" s="125"/>
      <c r="B27" s="104" t="s">
        <v>418</v>
      </c>
      <c r="C27" s="918" t="s">
        <v>163</v>
      </c>
      <c r="D27" s="919"/>
      <c r="E27" s="919"/>
      <c r="F27" s="390"/>
      <c r="G27" s="959" t="s">
        <v>467</v>
      </c>
      <c r="H27" s="960"/>
    </row>
    <row r="28" spans="1:9" ht="51" hidden="1" x14ac:dyDescent="0.25">
      <c r="A28" s="105"/>
      <c r="B28" s="170" t="s">
        <v>257</v>
      </c>
      <c r="C28" s="954"/>
      <c r="D28" s="955"/>
      <c r="E28" s="955"/>
      <c r="F28" s="391"/>
      <c r="G28" s="961"/>
      <c r="H28" s="962"/>
    </row>
    <row r="29" spans="1:9" ht="25.5" hidden="1" customHeight="1" x14ac:dyDescent="0.25">
      <c r="A29" s="924" t="s">
        <v>164</v>
      </c>
      <c r="B29" s="926" t="s">
        <v>165</v>
      </c>
      <c r="C29" s="650" t="s">
        <v>222</v>
      </c>
      <c r="D29" s="650" t="s">
        <v>96</v>
      </c>
      <c r="E29" s="650" t="s">
        <v>367</v>
      </c>
      <c r="F29" s="650" t="s">
        <v>497</v>
      </c>
      <c r="G29" s="650" t="s">
        <v>96</v>
      </c>
      <c r="H29" s="650" t="s">
        <v>497</v>
      </c>
    </row>
    <row r="30" spans="1:9" ht="33" hidden="1" customHeight="1" x14ac:dyDescent="0.25">
      <c r="A30" s="924"/>
      <c r="B30" s="926"/>
      <c r="C30" s="649"/>
      <c r="D30" s="649" t="s">
        <v>244</v>
      </c>
      <c r="E30" s="841">
        <v>0.02</v>
      </c>
      <c r="F30" s="841">
        <v>0.1</v>
      </c>
      <c r="G30" s="649" t="s">
        <v>244</v>
      </c>
      <c r="H30" s="841">
        <v>0.1</v>
      </c>
    </row>
    <row r="31" spans="1:9" ht="30" hidden="1" customHeight="1" x14ac:dyDescent="0.25">
      <c r="A31" s="925"/>
      <c r="B31" s="927"/>
      <c r="C31" s="650" t="s">
        <v>166</v>
      </c>
      <c r="D31" s="650" t="s">
        <v>166</v>
      </c>
      <c r="E31" s="650" t="s">
        <v>166</v>
      </c>
      <c r="F31" s="650" t="s">
        <v>166</v>
      </c>
      <c r="G31" s="650" t="s">
        <v>166</v>
      </c>
      <c r="H31" s="650" t="s">
        <v>166</v>
      </c>
    </row>
    <row r="32" spans="1:9" hidden="1" x14ac:dyDescent="0.25">
      <c r="A32" s="80" t="s">
        <v>167</v>
      </c>
      <c r="B32" s="86" t="s">
        <v>168</v>
      </c>
      <c r="C32" s="699">
        <f>+'Calculo IP ZDF'!$B$44</f>
        <v>9983.4842800000006</v>
      </c>
      <c r="D32" s="155">
        <f>+'Calculo IP ZDF'!$F$44</f>
        <v>4563.9400000000005</v>
      </c>
      <c r="E32" s="155"/>
      <c r="F32" s="127"/>
      <c r="G32" s="145">
        <f>+BIODIESEL!F32</f>
        <v>0</v>
      </c>
    </row>
    <row r="33" spans="1:7" hidden="1" x14ac:dyDescent="0.25">
      <c r="A33" s="80" t="s">
        <v>169</v>
      </c>
      <c r="B33" s="86" t="s">
        <v>170</v>
      </c>
      <c r="C33" s="128" t="s">
        <v>171</v>
      </c>
      <c r="D33" s="128" t="s">
        <v>171</v>
      </c>
      <c r="E33" s="128"/>
      <c r="F33" s="381"/>
      <c r="G33" s="143">
        <f>+BIODIESEL!F33</f>
        <v>0</v>
      </c>
    </row>
    <row r="34" spans="1:7" hidden="1" x14ac:dyDescent="0.25">
      <c r="A34" s="80"/>
      <c r="B34" s="86" t="s">
        <v>129</v>
      </c>
      <c r="C34" s="128" t="s">
        <v>171</v>
      </c>
      <c r="D34" s="128" t="s">
        <v>171</v>
      </c>
      <c r="E34" s="128"/>
      <c r="F34" s="381"/>
      <c r="G34" s="143" t="e">
        <f>'[5]CORRIENTE OXIGENADA'!C36</f>
        <v>#REF!</v>
      </c>
    </row>
    <row r="35" spans="1:7" hidden="1" x14ac:dyDescent="0.25">
      <c r="A35" s="80"/>
      <c r="B35" s="86" t="s">
        <v>131</v>
      </c>
      <c r="C35" s="155">
        <f>+'IMPUESTO AL CARBONO GMR'!$C$12</f>
        <v>197.93</v>
      </c>
      <c r="D35" s="155">
        <f>+BIODIESEL!$E$12</f>
        <v>219.21619999999999</v>
      </c>
      <c r="E35" s="155"/>
      <c r="F35" s="127"/>
      <c r="G35" s="143">
        <f>+BIODIESEL!F35</f>
        <v>0</v>
      </c>
    </row>
    <row r="36" spans="1:7" ht="25.5" hidden="1" x14ac:dyDescent="0.25">
      <c r="A36" s="80" t="s">
        <v>172</v>
      </c>
      <c r="B36" s="86" t="s">
        <v>249</v>
      </c>
      <c r="C36" s="167" t="s">
        <v>200</v>
      </c>
      <c r="D36" s="128" t="str">
        <f>+C36</f>
        <v>(2)</v>
      </c>
      <c r="E36" s="128"/>
      <c r="F36" s="130"/>
      <c r="G36" s="143" t="e">
        <f>+#REF!</f>
        <v>#REF!</v>
      </c>
    </row>
    <row r="37" spans="1:7" hidden="1" x14ac:dyDescent="0.25">
      <c r="A37" s="80" t="s">
        <v>176</v>
      </c>
      <c r="B37" s="86" t="s">
        <v>177</v>
      </c>
      <c r="C37" s="167">
        <f>+RUBROS!$Z$53</f>
        <v>78.428942648119744</v>
      </c>
      <c r="D37" s="128">
        <f>+C37</f>
        <v>78.428942648119744</v>
      </c>
      <c r="E37" s="128"/>
      <c r="F37" s="130"/>
      <c r="G37" s="143">
        <f>+C37</f>
        <v>78.428942648119744</v>
      </c>
    </row>
    <row r="38" spans="1:7" hidden="1" x14ac:dyDescent="0.25">
      <c r="A38" s="80" t="s">
        <v>174</v>
      </c>
      <c r="B38" s="86" t="s">
        <v>175</v>
      </c>
      <c r="C38" s="155">
        <f>+RUBROS!$Z$17</f>
        <v>22.249601678692599</v>
      </c>
      <c r="D38" s="108">
        <f>+C38</f>
        <v>22.249601678692599</v>
      </c>
      <c r="E38" s="108"/>
      <c r="F38" s="130"/>
      <c r="G38" s="83">
        <f>+C38</f>
        <v>22.249601678692599</v>
      </c>
    </row>
    <row r="39" spans="1:7" hidden="1" x14ac:dyDescent="0.25">
      <c r="A39" s="80" t="s">
        <v>178</v>
      </c>
      <c r="B39" s="86" t="s">
        <v>179</v>
      </c>
      <c r="C39" s="155">
        <f>+RUBROS!$AQ$42</f>
        <v>12.938273064269636</v>
      </c>
      <c r="D39" s="108">
        <f>+C39</f>
        <v>12.938273064269636</v>
      </c>
      <c r="E39" s="108"/>
      <c r="F39" s="130"/>
      <c r="G39" s="83" t="e">
        <f>+#REF!</f>
        <v>#REF!</v>
      </c>
    </row>
    <row r="40" spans="1:7" hidden="1" x14ac:dyDescent="0.25">
      <c r="A40" s="80"/>
      <c r="B40" s="86" t="s">
        <v>180</v>
      </c>
      <c r="C40" s="155"/>
      <c r="D40" s="108"/>
      <c r="E40" s="108"/>
      <c r="F40" s="130"/>
      <c r="G40" s="83"/>
    </row>
    <row r="41" spans="1:7" hidden="1" x14ac:dyDescent="0.25">
      <c r="A41" s="87" t="s">
        <v>181</v>
      </c>
      <c r="B41" s="112" t="s">
        <v>182</v>
      </c>
      <c r="C41" s="156">
        <f t="shared" ref="C41:D41" si="9">SUM(C32:C40)</f>
        <v>10295.031097391082</v>
      </c>
      <c r="D41" s="156">
        <f t="shared" si="9"/>
        <v>4896.7730173910822</v>
      </c>
      <c r="E41" s="156"/>
      <c r="F41" s="393"/>
      <c r="G41" s="158" t="e">
        <f>SUM(G32:G40)</f>
        <v>#REF!</v>
      </c>
    </row>
    <row r="42" spans="1:7" hidden="1" x14ac:dyDescent="0.25">
      <c r="A42" s="80" t="s">
        <v>183</v>
      </c>
      <c r="B42" s="86" t="s">
        <v>245</v>
      </c>
      <c r="C42" s="167" t="s">
        <v>213</v>
      </c>
      <c r="D42" s="108" t="e">
        <f>+#REF!</f>
        <v>#REF!</v>
      </c>
      <c r="E42" s="108"/>
      <c r="F42" s="130"/>
      <c r="G42" s="83" t="str">
        <f>+C42</f>
        <v>***</v>
      </c>
    </row>
    <row r="43" spans="1:7" hidden="1" x14ac:dyDescent="0.25">
      <c r="A43" s="80" t="s">
        <v>185</v>
      </c>
      <c r="B43" s="86" t="s">
        <v>186</v>
      </c>
      <c r="C43" s="167" t="s">
        <v>211</v>
      </c>
      <c r="D43" s="108" t="str">
        <f>+C43</f>
        <v>**</v>
      </c>
      <c r="E43" s="108"/>
      <c r="F43" s="130"/>
      <c r="G43" s="83" t="str">
        <f>+C43</f>
        <v>**</v>
      </c>
    </row>
    <row r="44" spans="1:7" hidden="1" x14ac:dyDescent="0.25">
      <c r="A44" s="80" t="s">
        <v>187</v>
      </c>
      <c r="B44" s="86" t="s">
        <v>134</v>
      </c>
      <c r="C44" s="167" t="s">
        <v>215</v>
      </c>
      <c r="D44" s="111" t="str">
        <f>+C44</f>
        <v>****</v>
      </c>
      <c r="E44" s="111"/>
      <c r="F44" s="127"/>
      <c r="G44" s="83" t="str">
        <f>+C44</f>
        <v>****</v>
      </c>
    </row>
    <row r="45" spans="1:7" hidden="1" x14ac:dyDescent="0.25">
      <c r="A45" s="87" t="s">
        <v>189</v>
      </c>
      <c r="B45" s="112" t="s">
        <v>190</v>
      </c>
      <c r="C45" s="159">
        <f t="shared" ref="C45:G45" si="10">+C41</f>
        <v>10295.031097391082</v>
      </c>
      <c r="D45" s="113">
        <f t="shared" si="10"/>
        <v>4896.7730173910822</v>
      </c>
      <c r="E45" s="113"/>
      <c r="F45" s="134"/>
      <c r="G45" s="89" t="e">
        <f t="shared" si="10"/>
        <v>#REF!</v>
      </c>
    </row>
    <row r="46" spans="1:7" hidden="1" x14ac:dyDescent="0.25">
      <c r="A46" s="80" t="s">
        <v>191</v>
      </c>
      <c r="B46" s="86" t="s">
        <v>150</v>
      </c>
      <c r="C46" s="155" t="str">
        <f>+C42</f>
        <v>***</v>
      </c>
      <c r="D46" s="155" t="e">
        <f t="shared" ref="D46" si="11">+D42</f>
        <v>#REF!</v>
      </c>
      <c r="E46" s="155"/>
      <c r="F46" s="155"/>
      <c r="G46" s="83" t="str">
        <f>+G42</f>
        <v>***</v>
      </c>
    </row>
    <row r="47" spans="1:7" hidden="1" x14ac:dyDescent="0.25">
      <c r="A47" s="80" t="s">
        <v>192</v>
      </c>
      <c r="B47" s="81" t="s">
        <v>193</v>
      </c>
      <c r="C47" s="160" t="s">
        <v>217</v>
      </c>
      <c r="D47" s="108" t="s">
        <v>194</v>
      </c>
      <c r="E47" s="108"/>
      <c r="F47" s="130"/>
      <c r="G47" s="83" t="s">
        <v>235</v>
      </c>
    </row>
    <row r="48" spans="1:7" hidden="1" x14ac:dyDescent="0.25">
      <c r="A48" s="80" t="s">
        <v>195</v>
      </c>
      <c r="B48" s="81" t="s">
        <v>196</v>
      </c>
      <c r="C48" s="160" t="s">
        <v>218</v>
      </c>
      <c r="D48" s="108" t="str">
        <f>+C48</f>
        <v>******</v>
      </c>
      <c r="E48" s="108"/>
      <c r="F48" s="130"/>
      <c r="G48" s="83" t="str">
        <f>+C48</f>
        <v>******</v>
      </c>
    </row>
    <row r="49" spans="1:9" ht="15.75" hidden="1" thickBot="1" x14ac:dyDescent="0.3">
      <c r="A49" s="91" t="s">
        <v>197</v>
      </c>
      <c r="B49" s="92" t="s">
        <v>198</v>
      </c>
      <c r="C49" s="161"/>
      <c r="D49" s="115"/>
      <c r="E49" s="115"/>
      <c r="F49" s="138"/>
      <c r="G49" s="94"/>
    </row>
    <row r="50" spans="1:9" ht="15.75" hidden="1" thickTop="1" x14ac:dyDescent="0.25">
      <c r="A50" s="96"/>
      <c r="B50" s="97"/>
      <c r="C50" s="97"/>
      <c r="D50" s="98"/>
      <c r="E50" s="98"/>
      <c r="F50" s="98"/>
      <c r="G50" s="98"/>
    </row>
    <row r="51" spans="1:9" ht="15.75" hidden="1" thickBot="1" x14ac:dyDescent="0.3">
      <c r="A51" s="96"/>
      <c r="B51" s="97"/>
      <c r="C51" s="97"/>
      <c r="D51" s="98"/>
      <c r="E51" s="98"/>
      <c r="F51" s="98"/>
      <c r="G51" s="98"/>
    </row>
    <row r="52" spans="1:9" ht="22.7" hidden="1" customHeight="1" thickTop="1" x14ac:dyDescent="0.25">
      <c r="A52" s="125"/>
      <c r="B52" s="104" t="s">
        <v>258</v>
      </c>
      <c r="C52" s="425" t="s">
        <v>163</v>
      </c>
      <c r="D52" s="426"/>
      <c r="E52" s="426"/>
      <c r="F52" s="426"/>
      <c r="G52" s="999" t="s">
        <v>231</v>
      </c>
      <c r="H52" s="1000"/>
    </row>
    <row r="53" spans="1:9" ht="46.5" hidden="1" customHeight="1" x14ac:dyDescent="0.25">
      <c r="A53" s="105"/>
      <c r="B53" s="389" t="s">
        <v>459</v>
      </c>
      <c r="C53" s="427"/>
      <c r="D53" s="428"/>
      <c r="E53" s="428"/>
      <c r="F53" s="428"/>
      <c r="G53" s="1001"/>
      <c r="H53" s="1002"/>
    </row>
    <row r="54" spans="1:9" ht="38.25" hidden="1" customHeight="1" x14ac:dyDescent="0.25">
      <c r="A54" s="924" t="s">
        <v>164</v>
      </c>
      <c r="B54" s="926" t="s">
        <v>165</v>
      </c>
      <c r="C54" s="942" t="s">
        <v>222</v>
      </c>
      <c r="D54" s="106" t="s">
        <v>96</v>
      </c>
      <c r="E54" s="106" t="s">
        <v>367</v>
      </c>
      <c r="F54" s="106" t="s">
        <v>497</v>
      </c>
      <c r="G54" s="515" t="s">
        <v>96</v>
      </c>
      <c r="H54" s="517" t="str">
        <f>+F54</f>
        <v>Biodiesel</v>
      </c>
      <c r="I54" s="515" t="e">
        <f>+#REF!</f>
        <v>#REF!</v>
      </c>
    </row>
    <row r="55" spans="1:9" ht="16.899999999999999" hidden="1" customHeight="1" x14ac:dyDescent="0.25">
      <c r="A55" s="924"/>
      <c r="B55" s="926"/>
      <c r="C55" s="931"/>
      <c r="D55" s="556" t="s">
        <v>244</v>
      </c>
      <c r="E55" s="392">
        <v>0.02</v>
      </c>
      <c r="F55" s="394">
        <v>0.08</v>
      </c>
      <c r="G55" s="556" t="s">
        <v>244</v>
      </c>
      <c r="H55" s="521">
        <f>+F55</f>
        <v>0.08</v>
      </c>
      <c r="I55" s="521" t="e">
        <f>+#REF!</f>
        <v>#REF!</v>
      </c>
    </row>
    <row r="56" spans="1:9" hidden="1" x14ac:dyDescent="0.25">
      <c r="A56" s="925"/>
      <c r="B56" s="927"/>
      <c r="C56" s="79" t="s">
        <v>166</v>
      </c>
      <c r="D56" s="106" t="s">
        <v>166</v>
      </c>
      <c r="E56" s="106" t="s">
        <v>166</v>
      </c>
      <c r="F56" s="106" t="s">
        <v>166</v>
      </c>
      <c r="G56" s="515" t="s">
        <v>166</v>
      </c>
      <c r="H56" s="517" t="s">
        <v>166</v>
      </c>
      <c r="I56" s="515" t="s">
        <v>166</v>
      </c>
    </row>
    <row r="57" spans="1:9" ht="15" hidden="1" customHeight="1" x14ac:dyDescent="0.25">
      <c r="A57" s="80" t="s">
        <v>167</v>
      </c>
      <c r="B57" s="86" t="s">
        <v>168</v>
      </c>
      <c r="C57" s="166">
        <f>+'IMPUESTO AL CARBONO GMR'!C6</f>
        <v>10456.1</v>
      </c>
      <c r="D57" s="166">
        <f>+'IMPUESTO AL CARBONO GMR'!D9</f>
        <v>11009.89</v>
      </c>
      <c r="E57" s="166">
        <f>+BIODIESEL!E9</f>
        <v>5758.7686000000003</v>
      </c>
      <c r="F57" s="499" t="e">
        <f>+BIODIESEL!#REF!</f>
        <v>#REF!</v>
      </c>
      <c r="G57" s="525">
        <f>+G8</f>
        <v>11009.89</v>
      </c>
      <c r="H57" s="529">
        <f>+H8</f>
        <v>6983.2690000000002</v>
      </c>
      <c r="I57" s="525" t="e">
        <f>+#REF!</f>
        <v>#REF!</v>
      </c>
    </row>
    <row r="58" spans="1:9" ht="15" hidden="1" customHeight="1" x14ac:dyDescent="0.25">
      <c r="A58" s="80" t="s">
        <v>169</v>
      </c>
      <c r="B58" s="86" t="s">
        <v>170</v>
      </c>
      <c r="C58" s="128" t="s">
        <v>171</v>
      </c>
      <c r="D58" s="128" t="s">
        <v>171</v>
      </c>
      <c r="E58" s="128" t="s">
        <v>171</v>
      </c>
      <c r="F58" s="128" t="s">
        <v>171</v>
      </c>
      <c r="G58" s="525" t="e">
        <f>+'IMPUESTO AL CARBONO GMR'!#REF!</f>
        <v>#REF!</v>
      </c>
      <c r="H58" s="529">
        <f>+H9</f>
        <v>656.74</v>
      </c>
      <c r="I58" s="525" t="e">
        <f>+#REF!</f>
        <v>#REF!</v>
      </c>
    </row>
    <row r="59" spans="1:9" ht="15" hidden="1" customHeight="1" x14ac:dyDescent="0.25">
      <c r="A59" s="80"/>
      <c r="B59" s="86" t="s">
        <v>129</v>
      </c>
      <c r="C59" s="128" t="s">
        <v>171</v>
      </c>
      <c r="D59" s="128" t="s">
        <v>171</v>
      </c>
      <c r="E59" s="128" t="s">
        <v>171</v>
      </c>
      <c r="F59" s="128" t="s">
        <v>171</v>
      </c>
      <c r="G59" s="525" t="str">
        <f>+G10</f>
        <v>(3)</v>
      </c>
      <c r="H59" s="529" t="s">
        <v>130</v>
      </c>
      <c r="I59" s="525" t="str">
        <f>+G59</f>
        <v>(3)</v>
      </c>
    </row>
    <row r="60" spans="1:9" ht="15" hidden="1" customHeight="1" x14ac:dyDescent="0.25">
      <c r="A60" s="80"/>
      <c r="B60" s="86" t="s">
        <v>131</v>
      </c>
      <c r="C60" s="155">
        <f>'IMPUESTO AL CARBONO GMR'!C12</f>
        <v>197.93</v>
      </c>
      <c r="D60" s="155" t="e">
        <f>+'IMPUESTO AL CARBONO GMR'!#REF!</f>
        <v>#REF!</v>
      </c>
      <c r="E60" s="155">
        <f>+BIODIESEL!E12</f>
        <v>219.21619999999999</v>
      </c>
      <c r="F60" s="155" t="e">
        <f>+BIODIESEL!#REF!</f>
        <v>#REF!</v>
      </c>
      <c r="G60" s="525" t="e">
        <f>+D60</f>
        <v>#REF!</v>
      </c>
      <c r="H60" s="529">
        <f>+BIODIESEL!F60</f>
        <v>0</v>
      </c>
      <c r="I60" s="525" t="e">
        <f>+#REF!</f>
        <v>#REF!</v>
      </c>
    </row>
    <row r="61" spans="1:9" ht="15" hidden="1" customHeight="1" x14ac:dyDescent="0.25">
      <c r="A61" s="80" t="s">
        <v>172</v>
      </c>
      <c r="B61" s="86" t="s">
        <v>249</v>
      </c>
      <c r="C61" s="128" t="str">
        <f>+C12</f>
        <v>(2)</v>
      </c>
      <c r="D61" s="128" t="str">
        <f>+C61</f>
        <v>(2)</v>
      </c>
      <c r="E61" s="128" t="e">
        <f>+#REF!</f>
        <v>#REF!</v>
      </c>
      <c r="F61" s="128"/>
      <c r="G61" s="525" t="str">
        <f>+C61</f>
        <v>(2)</v>
      </c>
      <c r="H61" s="529" t="e">
        <f>+#REF!</f>
        <v>#REF!</v>
      </c>
      <c r="I61" s="525" t="e">
        <f>+#REF!</f>
        <v>#REF!</v>
      </c>
    </row>
    <row r="62" spans="1:9" ht="15" hidden="1" customHeight="1" x14ac:dyDescent="0.25">
      <c r="A62" s="80" t="s">
        <v>176</v>
      </c>
      <c r="B62" s="86" t="s">
        <v>177</v>
      </c>
      <c r="C62" s="128">
        <f>+C13</f>
        <v>107.72545716003461</v>
      </c>
      <c r="D62" s="128">
        <f>+C62</f>
        <v>107.72545716003461</v>
      </c>
      <c r="E62" s="128">
        <f>+C62</f>
        <v>107.72545716003461</v>
      </c>
      <c r="F62" s="128">
        <f>+E62</f>
        <v>107.72545716003461</v>
      </c>
      <c r="G62" s="525">
        <f>+C62</f>
        <v>107.72545716003461</v>
      </c>
      <c r="H62" s="529">
        <f>+RUBROS!$AJ$53</f>
        <v>102.40062467683897</v>
      </c>
      <c r="I62" s="525">
        <f>+G62</f>
        <v>107.72545716003461</v>
      </c>
    </row>
    <row r="63" spans="1:9" ht="15" hidden="1" customHeight="1" x14ac:dyDescent="0.25">
      <c r="A63" s="80" t="s">
        <v>174</v>
      </c>
      <c r="B63" s="86" t="s">
        <v>175</v>
      </c>
      <c r="C63" s="155">
        <f>C14</f>
        <v>30.560765344237307</v>
      </c>
      <c r="D63" s="108">
        <f>+C63</f>
        <v>30.560765344237307</v>
      </c>
      <c r="E63" s="128">
        <f>+C63</f>
        <v>30.560765344237307</v>
      </c>
      <c r="F63" s="128">
        <f>+E63</f>
        <v>30.560765344237307</v>
      </c>
      <c r="G63" s="525">
        <f>+C63</f>
        <v>30.560765344237307</v>
      </c>
      <c r="H63" s="529">
        <f>+RUBROS!$AG$17</f>
        <v>26.583233136281329</v>
      </c>
      <c r="I63" s="525">
        <f>+C63</f>
        <v>30.560765344237307</v>
      </c>
    </row>
    <row r="64" spans="1:9" ht="15" hidden="1" customHeight="1" x14ac:dyDescent="0.25">
      <c r="A64" s="80" t="s">
        <v>178</v>
      </c>
      <c r="B64" s="86" t="s">
        <v>179</v>
      </c>
      <c r="C64" s="155">
        <f>+C15</f>
        <v>14.562140320021172</v>
      </c>
      <c r="D64" s="108">
        <f>+C64</f>
        <v>14.562140320021172</v>
      </c>
      <c r="E64" s="128">
        <f>+C64</f>
        <v>14.562140320021172</v>
      </c>
      <c r="F64" s="128">
        <f>+E64</f>
        <v>14.562140320021172</v>
      </c>
      <c r="G64" s="525">
        <f>+C64</f>
        <v>14.562140320021172</v>
      </c>
      <c r="H64" s="529">
        <f>+D64</f>
        <v>14.562140320021172</v>
      </c>
      <c r="I64" s="525">
        <f>+G64</f>
        <v>14.562140320021172</v>
      </c>
    </row>
    <row r="65" spans="1:9" hidden="1" x14ac:dyDescent="0.25">
      <c r="A65" s="80"/>
      <c r="B65" s="86" t="s">
        <v>180</v>
      </c>
      <c r="C65" s="155"/>
      <c r="F65" s="108"/>
      <c r="G65" s="522"/>
      <c r="H65" s="524"/>
      <c r="I65" s="522"/>
    </row>
    <row r="66" spans="1:9" hidden="1" x14ac:dyDescent="0.25">
      <c r="A66" s="87" t="s">
        <v>181</v>
      </c>
      <c r="B66" s="112" t="s">
        <v>182</v>
      </c>
      <c r="C66" s="156">
        <f t="shared" ref="C66:G66" si="12">SUM(C57:C65)</f>
        <v>10806.878362824293</v>
      </c>
      <c r="D66" s="156" t="e">
        <f>SUM(D57:D65)</f>
        <v>#REF!</v>
      </c>
      <c r="E66" s="156" t="e">
        <f>SUM(E57:E65)</f>
        <v>#REF!</v>
      </c>
      <c r="F66" s="156" t="e">
        <f t="shared" si="12"/>
        <v>#REF!</v>
      </c>
      <c r="G66" s="557" t="e">
        <f t="shared" si="12"/>
        <v>#REF!</v>
      </c>
      <c r="H66" s="559" t="e">
        <f>SUM(H57:H65)</f>
        <v>#REF!</v>
      </c>
      <c r="I66" s="557" t="e">
        <f>SUM(I57:I65)</f>
        <v>#REF!</v>
      </c>
    </row>
    <row r="67" spans="1:9" hidden="1" x14ac:dyDescent="0.25">
      <c r="A67" s="80" t="s">
        <v>183</v>
      </c>
      <c r="B67" s="86" t="s">
        <v>245</v>
      </c>
      <c r="C67" s="454" t="s">
        <v>213</v>
      </c>
      <c r="D67" s="454" t="str">
        <f t="shared" ref="D67:E69" si="13">+C67</f>
        <v>***</v>
      </c>
      <c r="E67" s="454" t="str">
        <f t="shared" si="13"/>
        <v>***</v>
      </c>
      <c r="F67" s="108" t="e">
        <f>+#REF!</f>
        <v>#REF!</v>
      </c>
      <c r="G67" s="522" t="str">
        <f>+C67</f>
        <v>***</v>
      </c>
      <c r="H67" s="524" t="str">
        <f>+D67</f>
        <v>***</v>
      </c>
      <c r="I67" s="522" t="str">
        <f>+G67</f>
        <v>***</v>
      </c>
    </row>
    <row r="68" spans="1:9" hidden="1" x14ac:dyDescent="0.25">
      <c r="A68" s="80" t="s">
        <v>185</v>
      </c>
      <c r="B68" s="86" t="s">
        <v>186</v>
      </c>
      <c r="C68" s="454" t="s">
        <v>211</v>
      </c>
      <c r="D68" s="454" t="str">
        <f t="shared" si="13"/>
        <v>**</v>
      </c>
      <c r="E68" s="454" t="str">
        <f t="shared" si="13"/>
        <v>**</v>
      </c>
      <c r="F68" s="108" t="str">
        <f>+D68</f>
        <v>**</v>
      </c>
      <c r="G68" s="522" t="str">
        <f>+C68</f>
        <v>**</v>
      </c>
      <c r="H68" s="524" t="str">
        <f>+D68</f>
        <v>**</v>
      </c>
      <c r="I68" s="522" t="str">
        <f>+G68</f>
        <v>**</v>
      </c>
    </row>
    <row r="69" spans="1:9" hidden="1" x14ac:dyDescent="0.25">
      <c r="A69" s="80" t="s">
        <v>187</v>
      </c>
      <c r="B69" s="86" t="s">
        <v>134</v>
      </c>
      <c r="C69" s="455" t="str">
        <f>+C20</f>
        <v>****</v>
      </c>
      <c r="D69" s="455" t="str">
        <f t="shared" si="13"/>
        <v>****</v>
      </c>
      <c r="E69" s="455" t="str">
        <f t="shared" si="13"/>
        <v>****</v>
      </c>
      <c r="F69" s="111" t="str">
        <f>+D69</f>
        <v>****</v>
      </c>
      <c r="G69" s="522" t="str">
        <f>C69</f>
        <v>****</v>
      </c>
      <c r="H69" s="524" t="str">
        <f>+D69</f>
        <v>****</v>
      </c>
      <c r="I69" s="522" t="str">
        <f>+C69</f>
        <v>****</v>
      </c>
    </row>
    <row r="70" spans="1:9" hidden="1" x14ac:dyDescent="0.25">
      <c r="A70" s="87" t="s">
        <v>189</v>
      </c>
      <c r="B70" s="112" t="s">
        <v>190</v>
      </c>
      <c r="C70" s="113">
        <f t="shared" ref="C70:E70" si="14">SUM(C66:C69)</f>
        <v>10806.878362824293</v>
      </c>
      <c r="D70" s="113" t="e">
        <f t="shared" si="14"/>
        <v>#REF!</v>
      </c>
      <c r="E70" s="113" t="e">
        <f t="shared" si="14"/>
        <v>#REF!</v>
      </c>
      <c r="F70" s="113" t="e">
        <f t="shared" ref="F70" si="15">SUM(F66:F69)</f>
        <v>#REF!</v>
      </c>
      <c r="G70" s="557" t="e">
        <f t="shared" ref="G70" si="16">SUM(G66:G69)</f>
        <v>#REF!</v>
      </c>
      <c r="H70" s="559" t="e">
        <f t="shared" ref="H70" si="17">+H66</f>
        <v>#REF!</v>
      </c>
      <c r="I70" s="557" t="e">
        <f>SUM(I66:I69)</f>
        <v>#REF!</v>
      </c>
    </row>
    <row r="71" spans="1:9" hidden="1" x14ac:dyDescent="0.25">
      <c r="A71" s="80" t="s">
        <v>191</v>
      </c>
      <c r="B71" s="86" t="s">
        <v>150</v>
      </c>
      <c r="C71" s="454" t="str">
        <f>+C67</f>
        <v>***</v>
      </c>
      <c r="D71" s="454" t="str">
        <f>+C71</f>
        <v>***</v>
      </c>
      <c r="E71" s="454" t="str">
        <f>+D71</f>
        <v>***</v>
      </c>
      <c r="F71" s="108" t="str">
        <f>+D71</f>
        <v>***</v>
      </c>
      <c r="G71" s="522" t="str">
        <f>+C71</f>
        <v>***</v>
      </c>
      <c r="H71" s="524" t="str">
        <f>+H67</f>
        <v>***</v>
      </c>
      <c r="I71" s="522" t="str">
        <f>+C71</f>
        <v>***</v>
      </c>
    </row>
    <row r="72" spans="1:9" hidden="1" x14ac:dyDescent="0.25">
      <c r="A72" s="80" t="s">
        <v>192</v>
      </c>
      <c r="B72" s="81" t="s">
        <v>193</v>
      </c>
      <c r="C72" s="160" t="str">
        <f>+C23</f>
        <v>*****</v>
      </c>
      <c r="D72" s="160" t="str">
        <f>+C72</f>
        <v>*****</v>
      </c>
      <c r="E72" s="160" t="str">
        <f>+E23</f>
        <v>*****</v>
      </c>
      <c r="F72" s="130" t="str">
        <f t="shared" ref="F72" si="18">+F23</f>
        <v>N.A.</v>
      </c>
      <c r="G72" s="522" t="str">
        <f t="shared" ref="G72:G73" si="19">+G23</f>
        <v>*****</v>
      </c>
      <c r="H72" s="524" t="s">
        <v>235</v>
      </c>
      <c r="I72" s="522" t="e">
        <f>+#REF!</f>
        <v>#REF!</v>
      </c>
    </row>
    <row r="73" spans="1:9" hidden="1" x14ac:dyDescent="0.25">
      <c r="A73" s="80" t="s">
        <v>195</v>
      </c>
      <c r="B73" s="81" t="s">
        <v>196</v>
      </c>
      <c r="C73" s="160" t="str">
        <f>+C24</f>
        <v>******</v>
      </c>
      <c r="D73" s="160" t="str">
        <f>+C73</f>
        <v>******</v>
      </c>
      <c r="E73" s="160" t="str">
        <f>+E24</f>
        <v>******</v>
      </c>
      <c r="F73" s="130" t="str">
        <f t="shared" ref="F73" si="20">+F24</f>
        <v>******</v>
      </c>
      <c r="G73" s="522" t="str">
        <f t="shared" si="19"/>
        <v>******</v>
      </c>
      <c r="H73" s="524" t="str">
        <f>+D73</f>
        <v>******</v>
      </c>
      <c r="I73" s="522" t="e">
        <f>+#REF!</f>
        <v>#REF!</v>
      </c>
    </row>
    <row r="74" spans="1:9" ht="15.75" hidden="1" thickBot="1" x14ac:dyDescent="0.3">
      <c r="A74" s="91" t="s">
        <v>197</v>
      </c>
      <c r="B74" s="92" t="s">
        <v>198</v>
      </c>
      <c r="C74" s="161"/>
      <c r="D74" s="115"/>
      <c r="E74" s="115"/>
      <c r="F74" s="115"/>
      <c r="G74" s="560"/>
      <c r="H74" s="544"/>
      <c r="I74" s="560"/>
    </row>
    <row r="75" spans="1:9" x14ac:dyDescent="0.25">
      <c r="A75" s="96"/>
      <c r="B75" s="97"/>
      <c r="C75" s="97"/>
      <c r="D75" s="98"/>
      <c r="E75" s="98"/>
      <c r="F75" s="98"/>
      <c r="G75" s="98"/>
    </row>
    <row r="76" spans="1:9" ht="15" customHeight="1" x14ac:dyDescent="0.25">
      <c r="A76" s="96"/>
      <c r="B76" s="116" t="s">
        <v>209</v>
      </c>
      <c r="C76" s="97"/>
      <c r="D76" s="98"/>
      <c r="E76" s="98"/>
      <c r="F76" s="98"/>
      <c r="G76" s="98"/>
    </row>
    <row r="77" spans="1:9" x14ac:dyDescent="0.25">
      <c r="A77" s="96"/>
      <c r="B77" s="97"/>
      <c r="C77" s="97"/>
      <c r="D77" s="98"/>
      <c r="E77" s="98"/>
      <c r="F77" s="98"/>
      <c r="G77" s="98"/>
    </row>
    <row r="78" spans="1:9" ht="19.7" customHeight="1" x14ac:dyDescent="0.25">
      <c r="A78" s="99" t="s">
        <v>173</v>
      </c>
      <c r="B78" s="933" t="str">
        <f>+GUAINIA!B30</f>
        <v>De acuerdo con lo establecido en la Resoluccion 91349 de 2014 del MME para combustible de origen nacional o importado a ser distribuido en zonas de frontera, aplica la tarifa de marcación o remarcación vigente a la fecha según corresponda</v>
      </c>
      <c r="C78" s="933"/>
      <c r="D78" s="933"/>
      <c r="E78" s="933"/>
      <c r="F78" s="933"/>
      <c r="G78" s="933"/>
    </row>
    <row r="79" spans="1:9" ht="27.95" customHeight="1" x14ac:dyDescent="0.25">
      <c r="A79" s="99" t="s">
        <v>200</v>
      </c>
      <c r="B79" s="915" t="s">
        <v>250</v>
      </c>
      <c r="C79" s="915"/>
      <c r="D79" s="915"/>
      <c r="E79" s="915"/>
      <c r="F79" s="915"/>
      <c r="G79" s="915"/>
    </row>
    <row r="80" spans="1:9" ht="25.35" customHeight="1" x14ac:dyDescent="0.25">
      <c r="A80" s="99" t="s">
        <v>130</v>
      </c>
      <c r="B80" s="915" t="s">
        <v>223</v>
      </c>
      <c r="C80" s="915"/>
      <c r="D80" s="915"/>
      <c r="E80" s="915"/>
      <c r="F80" s="915"/>
      <c r="G80" s="915"/>
    </row>
    <row r="81" spans="1:7" x14ac:dyDescent="0.25">
      <c r="A81" s="99"/>
      <c r="B81" s="116" t="s">
        <v>148</v>
      </c>
      <c r="C81" s="116"/>
      <c r="D81" s="140"/>
      <c r="E81" s="140"/>
      <c r="F81" s="140"/>
      <c r="G81" s="140"/>
    </row>
    <row r="82" spans="1:7" ht="15" customHeight="1" x14ac:dyDescent="0.25">
      <c r="A82" s="117" t="s">
        <v>102</v>
      </c>
      <c r="B82" s="915" t="s">
        <v>210</v>
      </c>
      <c r="C82" s="915"/>
      <c r="D82" s="915"/>
      <c r="E82" s="915"/>
      <c r="F82" s="915"/>
      <c r="G82" s="915"/>
    </row>
    <row r="83" spans="1:7" ht="20.25" customHeight="1" x14ac:dyDescent="0.25">
      <c r="A83" s="117" t="s">
        <v>211</v>
      </c>
      <c r="B83" s="914" t="s">
        <v>259</v>
      </c>
      <c r="C83" s="914"/>
      <c r="D83" s="914"/>
      <c r="E83" s="914"/>
      <c r="F83" s="914"/>
      <c r="G83" s="914"/>
    </row>
    <row r="84" spans="1:7" ht="25.5" customHeight="1" x14ac:dyDescent="0.25">
      <c r="A84" s="117" t="s">
        <v>213</v>
      </c>
      <c r="B84" s="914" t="s">
        <v>251</v>
      </c>
      <c r="C84" s="914"/>
      <c r="D84" s="914"/>
      <c r="E84" s="914"/>
      <c r="F84" s="914"/>
      <c r="G84" s="914"/>
    </row>
    <row r="85" spans="1:7" x14ac:dyDescent="0.25">
      <c r="A85" s="117" t="s">
        <v>215</v>
      </c>
      <c r="B85" s="914" t="s">
        <v>420</v>
      </c>
      <c r="C85" s="914"/>
      <c r="D85" s="914"/>
      <c r="E85" s="914"/>
      <c r="F85" s="914"/>
      <c r="G85" s="914"/>
    </row>
    <row r="86" spans="1:7" ht="23.45" customHeight="1" x14ac:dyDescent="0.25">
      <c r="A86" s="117" t="s">
        <v>217</v>
      </c>
      <c r="B86" s="914" t="s">
        <v>219</v>
      </c>
      <c r="C86" s="914"/>
      <c r="D86" s="914"/>
      <c r="E86" s="914"/>
      <c r="F86" s="914"/>
      <c r="G86" s="914"/>
    </row>
    <row r="87" spans="1:7" ht="15" customHeight="1" x14ac:dyDescent="0.25">
      <c r="A87" s="117" t="s">
        <v>218</v>
      </c>
      <c r="B87" s="914" t="s">
        <v>248</v>
      </c>
      <c r="C87" s="914"/>
      <c r="D87" s="914"/>
      <c r="E87" s="914"/>
      <c r="F87" s="914"/>
      <c r="G87" s="914"/>
    </row>
    <row r="88" spans="1:7" x14ac:dyDescent="0.25">
      <c r="A88" s="140"/>
      <c r="B88" s="1004" t="s">
        <v>410</v>
      </c>
      <c r="C88" s="1004"/>
      <c r="D88" s="1004"/>
      <c r="E88" s="1004"/>
      <c r="F88" s="1004"/>
      <c r="G88" s="1004"/>
    </row>
    <row r="89" spans="1:7" ht="87.95" customHeight="1" x14ac:dyDescent="0.25">
      <c r="A89" s="1003" t="s">
        <v>137</v>
      </c>
      <c r="B89" s="1003"/>
      <c r="C89" s="1003"/>
      <c r="D89" s="1003"/>
      <c r="E89" s="1003"/>
      <c r="F89" s="1003"/>
      <c r="G89" s="1003"/>
    </row>
  </sheetData>
  <sheetProtection algorithmName="SHA-512" hashValue="L0tPG/iqrOzo5I+U+CXbTuX30qfd/pe+R4n+HWBIDjRlZqJtxtiCagnwxWr940Ts74uLOZ7c+1NhpSb9YVL8gA==" saltValue="ZNnVQOUKWZoJGBXvfJOgdQ==" spinCount="100000" sheet="1" objects="1" scenarios="1"/>
  <mergeCells count="23">
    <mergeCell ref="A54:A56"/>
    <mergeCell ref="B54:B56"/>
    <mergeCell ref="C54:C55"/>
    <mergeCell ref="A89:G89"/>
    <mergeCell ref="B84:G84"/>
    <mergeCell ref="B85:G85"/>
    <mergeCell ref="B87:G87"/>
    <mergeCell ref="B78:G78"/>
    <mergeCell ref="B79:G79"/>
    <mergeCell ref="B80:G80"/>
    <mergeCell ref="B82:G82"/>
    <mergeCell ref="B86:G86"/>
    <mergeCell ref="B83:G83"/>
    <mergeCell ref="B88:G88"/>
    <mergeCell ref="G3:H4"/>
    <mergeCell ref="G52:H53"/>
    <mergeCell ref="A29:A31"/>
    <mergeCell ref="B29:B31"/>
    <mergeCell ref="A5:A7"/>
    <mergeCell ref="B5:B7"/>
    <mergeCell ref="C5:C6"/>
    <mergeCell ref="C27:E28"/>
    <mergeCell ref="G27:H28"/>
  </mergeCells>
  <hyperlinks>
    <hyperlink ref="B81" location="Nota" display="Ver Nota Informativa" xr:uid="{00000000-0004-0000-0E00-000000000000}"/>
    <hyperlink ref="B76" location="'LA GUAJIRA'!A66" display="Ver Nota Informativa" xr:uid="{00000000-0004-0000-0E00-000001000000}"/>
  </hyperlinks>
  <pageMargins left="0.7" right="0.7" top="0.75" bottom="0.75" header="0.3" footer="0.3"/>
  <pageSetup orientation="portrait" r:id="rId1"/>
  <ignoredErrors>
    <ignoredError sqref="G66 G17 G15 G68:G72 C17" formula="1"/>
    <ignoredError sqref="C1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dimension ref="A1:N40"/>
  <sheetViews>
    <sheetView showGridLines="0" zoomScale="80" zoomScaleNormal="80" workbookViewId="0">
      <selection activeCell="E12" sqref="E12"/>
    </sheetView>
  </sheetViews>
  <sheetFormatPr baseColWidth="10" defaultRowHeight="15" x14ac:dyDescent="0.25"/>
  <cols>
    <col min="1" max="1" width="5" customWidth="1"/>
    <col min="2" max="2" width="47.42578125" customWidth="1"/>
    <col min="3" max="3" width="12.140625" customWidth="1"/>
    <col min="4" max="4" width="13.7109375" customWidth="1"/>
    <col min="5" max="6" width="13.85546875" customWidth="1"/>
    <col min="7" max="7" width="15.140625" customWidth="1"/>
    <col min="8" max="8" width="14" customWidth="1"/>
  </cols>
  <sheetData>
    <row r="1" spans="1:8" x14ac:dyDescent="0.25">
      <c r="A1" s="77"/>
      <c r="B1" s="77" t="str">
        <f>+AMAZONAS!C1</f>
        <v>Vigencia: 22 de Marzo de 2025; 00:00 horas</v>
      </c>
      <c r="D1" s="272"/>
    </row>
    <row r="2" spans="1:8" ht="15.75" thickBot="1" x14ac:dyDescent="0.3">
      <c r="A2" s="77" t="s">
        <v>162</v>
      </c>
      <c r="B2" s="77"/>
      <c r="D2" s="346"/>
      <c r="G2" s="346"/>
    </row>
    <row r="3" spans="1:8" ht="15.95" customHeight="1" thickTop="1" x14ac:dyDescent="0.25">
      <c r="A3" s="125"/>
      <c r="B3" s="126" t="s">
        <v>266</v>
      </c>
      <c r="C3" s="943" t="s">
        <v>163</v>
      </c>
      <c r="D3" s="944"/>
      <c r="E3" s="944"/>
      <c r="F3" s="362"/>
      <c r="G3" s="934"/>
      <c r="H3" s="935"/>
    </row>
    <row r="4" spans="1:8" ht="30.6" customHeight="1" x14ac:dyDescent="0.25">
      <c r="A4" s="78"/>
      <c r="B4" s="389" t="s">
        <v>459</v>
      </c>
      <c r="C4" s="940"/>
      <c r="D4" s="941"/>
      <c r="E4" s="941"/>
      <c r="F4" s="652"/>
      <c r="G4" s="936"/>
      <c r="H4" s="937"/>
    </row>
    <row r="5" spans="1:8" ht="33.6" customHeight="1" x14ac:dyDescent="0.25">
      <c r="A5" s="924" t="s">
        <v>164</v>
      </c>
      <c r="B5" s="926" t="s">
        <v>165</v>
      </c>
      <c r="C5" s="942" t="s">
        <v>222</v>
      </c>
      <c r="D5" s="106" t="s">
        <v>96</v>
      </c>
      <c r="E5" s="106" t="s">
        <v>367</v>
      </c>
      <c r="F5" s="152" t="s">
        <v>497</v>
      </c>
      <c r="G5" s="516" t="s">
        <v>96</v>
      </c>
      <c r="H5" s="517" t="s">
        <v>497</v>
      </c>
    </row>
    <row r="6" spans="1:8" x14ac:dyDescent="0.25">
      <c r="A6" s="924"/>
      <c r="B6" s="926"/>
      <c r="C6" s="931"/>
      <c r="D6" s="556" t="s">
        <v>244</v>
      </c>
      <c r="E6" s="121">
        <v>0.02</v>
      </c>
      <c r="F6" s="394">
        <v>0.1</v>
      </c>
      <c r="G6" s="520" t="str">
        <f>+D6</f>
        <v>Oxigenada 10%</v>
      </c>
      <c r="H6" s="521">
        <v>0.1</v>
      </c>
    </row>
    <row r="7" spans="1:8" ht="15.75" thickBot="1" x14ac:dyDescent="0.3">
      <c r="A7" s="925"/>
      <c r="B7" s="927"/>
      <c r="C7" s="79" t="s">
        <v>166</v>
      </c>
      <c r="D7" s="106" t="s">
        <v>166</v>
      </c>
      <c r="E7" s="106" t="s">
        <v>166</v>
      </c>
      <c r="F7" s="497"/>
      <c r="G7" s="659" t="s">
        <v>166</v>
      </c>
      <c r="H7" s="660" t="s">
        <v>166</v>
      </c>
    </row>
    <row r="8" spans="1:8" ht="16.7" customHeight="1" thickTop="1" x14ac:dyDescent="0.25">
      <c r="A8" s="80" t="s">
        <v>167</v>
      </c>
      <c r="B8" s="86" t="s">
        <v>168</v>
      </c>
      <c r="C8" s="842">
        <f>+'Calculo IP ZDF'!B37</f>
        <v>10442.507070000001</v>
      </c>
      <c r="D8" s="127">
        <f>+'Calculo IP ZDF'!H37</f>
        <v>10997.656363000002</v>
      </c>
      <c r="E8" s="144">
        <f>+'Calculo IP ZDF'!F37</f>
        <v>4245.46</v>
      </c>
      <c r="F8" s="551">
        <f>+'Calculo IP ZDF'!M37</f>
        <v>5593.5001167999999</v>
      </c>
      <c r="G8" s="698">
        <f>+'IMPUESTO AL CARBONO GMR'!D9</f>
        <v>11009.89</v>
      </c>
      <c r="H8" s="664">
        <f>+BIODIESEL!F9</f>
        <v>6983.2690000000002</v>
      </c>
    </row>
    <row r="9" spans="1:8" ht="16.7" customHeight="1" x14ac:dyDescent="0.25">
      <c r="A9" s="80" t="s">
        <v>169</v>
      </c>
      <c r="B9" s="86" t="s">
        <v>170</v>
      </c>
      <c r="C9" s="169" t="s">
        <v>171</v>
      </c>
      <c r="D9" s="355" t="s">
        <v>171</v>
      </c>
      <c r="E9" s="129" t="s">
        <v>171</v>
      </c>
      <c r="F9" s="381" t="s">
        <v>171</v>
      </c>
      <c r="G9" s="525">
        <f>+'IMPUESTO AL CARBONO GMR'!D10</f>
        <v>686.15099999999995</v>
      </c>
      <c r="H9" s="547">
        <f>+BIODIESEL!F10</f>
        <v>656.74</v>
      </c>
    </row>
    <row r="10" spans="1:8" ht="16.7" customHeight="1" x14ac:dyDescent="0.25">
      <c r="A10" s="80"/>
      <c r="B10" s="86" t="s">
        <v>129</v>
      </c>
      <c r="C10" s="169" t="s">
        <v>171</v>
      </c>
      <c r="D10" s="355" t="s">
        <v>171</v>
      </c>
      <c r="E10" s="129" t="s">
        <v>171</v>
      </c>
      <c r="F10" s="381" t="s">
        <v>171</v>
      </c>
      <c r="G10" s="525" t="s">
        <v>130</v>
      </c>
      <c r="H10" s="547" t="s">
        <v>130</v>
      </c>
    </row>
    <row r="11" spans="1:8" ht="16.7" customHeight="1" x14ac:dyDescent="0.25">
      <c r="A11" s="80"/>
      <c r="B11" s="86" t="s">
        <v>131</v>
      </c>
      <c r="C11" s="169">
        <f>+'IMPUESTO AL CARBONO GMR'!C12</f>
        <v>197.93</v>
      </c>
      <c r="D11" s="355">
        <f>+'IMPUESTO AL CARBONO GMR'!D12</f>
        <v>178.137</v>
      </c>
      <c r="E11" s="129">
        <f>+BIODIESEL!E12</f>
        <v>219.21619999999999</v>
      </c>
      <c r="F11" s="381">
        <f>+BIODIESEL!F12</f>
        <v>201.321</v>
      </c>
      <c r="G11" s="525">
        <f>+'IMPUESTO AL CARBONO GMR'!D12</f>
        <v>178.137</v>
      </c>
      <c r="H11" s="529">
        <f>+F11</f>
        <v>201.321</v>
      </c>
    </row>
    <row r="12" spans="1:8" ht="16.7" customHeight="1" x14ac:dyDescent="0.25">
      <c r="A12" s="80" t="s">
        <v>172</v>
      </c>
      <c r="B12" s="86" t="s">
        <v>267</v>
      </c>
      <c r="C12" s="114" t="s">
        <v>200</v>
      </c>
      <c r="D12" s="136" t="s">
        <v>200</v>
      </c>
      <c r="E12" s="84" t="s">
        <v>200</v>
      </c>
      <c r="F12" s="130" t="s">
        <v>200</v>
      </c>
      <c r="G12" s="525" t="s">
        <v>200</v>
      </c>
      <c r="H12" s="529" t="s">
        <v>200</v>
      </c>
    </row>
    <row r="13" spans="1:8" ht="16.7" customHeight="1" x14ac:dyDescent="0.25">
      <c r="A13" s="80" t="s">
        <v>174</v>
      </c>
      <c r="B13" s="86" t="s">
        <v>175</v>
      </c>
      <c r="C13" s="169">
        <f>+RUBROS!$AL$21</f>
        <v>30.560765344237307</v>
      </c>
      <c r="D13" s="128">
        <f>+RUBROS!$AL$21</f>
        <v>30.560765344237307</v>
      </c>
      <c r="E13" s="128">
        <f>+RUBROS!$AL$21</f>
        <v>30.560765344237307</v>
      </c>
      <c r="F13" s="128">
        <f>+RUBROS!$AL$21</f>
        <v>30.560765344237307</v>
      </c>
      <c r="G13" s="169">
        <f>+RUBROS!$AM$21</f>
        <v>30.560765344237307</v>
      </c>
      <c r="H13" s="529">
        <f>+G13</f>
        <v>30.560765344237307</v>
      </c>
    </row>
    <row r="14" spans="1:8" ht="16.7" customHeight="1" x14ac:dyDescent="0.25">
      <c r="A14" s="80" t="s">
        <v>176</v>
      </c>
      <c r="B14" s="86" t="s">
        <v>177</v>
      </c>
      <c r="C14" s="169">
        <f>+RUBROS!$AL$57</f>
        <v>146.4033016520689</v>
      </c>
      <c r="D14" s="128">
        <f>+RUBROS!$AL$57</f>
        <v>146.4033016520689</v>
      </c>
      <c r="E14" s="128">
        <f>+RUBROS!$AL$57</f>
        <v>146.4033016520689</v>
      </c>
      <c r="F14" s="128">
        <f>+RUBROS!$AL$57</f>
        <v>146.4033016520689</v>
      </c>
      <c r="G14" s="169">
        <f>+RUBROS!$AM$57</f>
        <v>146.4033016520689</v>
      </c>
      <c r="H14" s="666">
        <f>+RUBROS!$AM$57</f>
        <v>146.4033016520689</v>
      </c>
    </row>
    <row r="15" spans="1:8" ht="16.7" customHeight="1" x14ac:dyDescent="0.25">
      <c r="A15" s="80" t="s">
        <v>178</v>
      </c>
      <c r="B15" s="86" t="s">
        <v>179</v>
      </c>
      <c r="C15" s="169">
        <f>+RUBROS!$BJ$32</f>
        <v>14.562140320021172</v>
      </c>
      <c r="D15" s="128">
        <f>+RUBROS!$BJ$32</f>
        <v>14.562140320021172</v>
      </c>
      <c r="E15" s="128">
        <f>+RUBROS!$BJ$32</f>
        <v>14.562140320021172</v>
      </c>
      <c r="F15" s="128">
        <f>+RUBROS!$BJ$32</f>
        <v>14.562140320021172</v>
      </c>
      <c r="G15" s="169">
        <f>+RUBROS!$BJ$32</f>
        <v>14.562140320021172</v>
      </c>
      <c r="H15" s="666">
        <f>+RUBROS!$BJ$32</f>
        <v>14.562140320021172</v>
      </c>
    </row>
    <row r="16" spans="1:8" hidden="1" x14ac:dyDescent="0.25">
      <c r="A16" s="80"/>
      <c r="B16" s="86" t="s">
        <v>180</v>
      </c>
      <c r="C16" s="169"/>
      <c r="D16" s="131"/>
      <c r="E16" s="131"/>
      <c r="F16" s="130"/>
      <c r="G16" s="525"/>
      <c r="H16" s="524"/>
    </row>
    <row r="17" spans="1:14" x14ac:dyDescent="0.25">
      <c r="A17" s="87" t="s">
        <v>181</v>
      </c>
      <c r="B17" s="112" t="s">
        <v>182</v>
      </c>
      <c r="C17" s="667">
        <f>SUM(C8:C16)</f>
        <v>10831.963277316328</v>
      </c>
      <c r="D17" s="133">
        <f t="shared" ref="D17:G17" si="0">SUM(D8:D16)</f>
        <v>11367.319570316329</v>
      </c>
      <c r="E17" s="133">
        <f t="shared" si="0"/>
        <v>4656.2024073163275</v>
      </c>
      <c r="F17" s="133">
        <f t="shared" ref="F17" si="1">SUM(F8:F16)</f>
        <v>5986.3473241163274</v>
      </c>
      <c r="G17" s="534">
        <f t="shared" si="0"/>
        <v>12065.704207316328</v>
      </c>
      <c r="H17" s="540">
        <f t="shared" ref="H17" si="2">SUM(H8:H16)</f>
        <v>8032.8562073163275</v>
      </c>
    </row>
    <row r="18" spans="1:14" x14ac:dyDescent="0.25">
      <c r="A18" s="80" t="s">
        <v>183</v>
      </c>
      <c r="B18" s="86" t="s">
        <v>184</v>
      </c>
      <c r="C18" s="169" t="s">
        <v>213</v>
      </c>
      <c r="D18" s="135" t="s">
        <v>213</v>
      </c>
      <c r="E18" s="135" t="s">
        <v>213</v>
      </c>
      <c r="F18" s="354" t="s">
        <v>213</v>
      </c>
      <c r="G18" s="522" t="s">
        <v>213</v>
      </c>
      <c r="H18" s="524" t="s">
        <v>213</v>
      </c>
    </row>
    <row r="19" spans="1:14" x14ac:dyDescent="0.25">
      <c r="A19" s="80" t="s">
        <v>185</v>
      </c>
      <c r="B19" s="86" t="s">
        <v>186</v>
      </c>
      <c r="C19" s="169" t="s">
        <v>211</v>
      </c>
      <c r="D19" s="136" t="s">
        <v>211</v>
      </c>
      <c r="E19" s="136" t="s">
        <v>211</v>
      </c>
      <c r="F19" s="127" t="s">
        <v>211</v>
      </c>
      <c r="G19" s="522" t="s">
        <v>211</v>
      </c>
      <c r="H19" s="529" t="s">
        <v>211</v>
      </c>
    </row>
    <row r="20" spans="1:14" x14ac:dyDescent="0.25">
      <c r="A20" s="80" t="s">
        <v>187</v>
      </c>
      <c r="B20" s="86" t="s">
        <v>188</v>
      </c>
      <c r="C20" s="169" t="s">
        <v>215</v>
      </c>
      <c r="D20" s="84" t="s">
        <v>215</v>
      </c>
      <c r="E20" s="84" t="s">
        <v>215</v>
      </c>
      <c r="F20" s="130" t="s">
        <v>215</v>
      </c>
      <c r="G20" s="522" t="s">
        <v>215</v>
      </c>
      <c r="H20" s="524" t="s">
        <v>215</v>
      </c>
    </row>
    <row r="21" spans="1:14" x14ac:dyDescent="0.25">
      <c r="A21" s="87" t="s">
        <v>189</v>
      </c>
      <c r="B21" s="112" t="s">
        <v>190</v>
      </c>
      <c r="C21" s="667">
        <f t="shared" ref="C21:E21" si="3">+C17</f>
        <v>10831.963277316328</v>
      </c>
      <c r="D21" s="132">
        <f t="shared" ref="D21" si="4">+D17</f>
        <v>11367.319570316329</v>
      </c>
      <c r="E21" s="132">
        <f t="shared" si="3"/>
        <v>4656.2024073163275</v>
      </c>
      <c r="F21" s="132">
        <f t="shared" ref="F21" si="5">+F17</f>
        <v>5986.3473241163274</v>
      </c>
      <c r="G21" s="548">
        <f t="shared" ref="G21" si="6">+G17</f>
        <v>12065.704207316328</v>
      </c>
      <c r="H21" s="550">
        <f t="shared" ref="H21" si="7">+H17</f>
        <v>8032.8562073163275</v>
      </c>
    </row>
    <row r="22" spans="1:14" ht="25.5" x14ac:dyDescent="0.25">
      <c r="A22" s="80" t="s">
        <v>191</v>
      </c>
      <c r="B22" s="86" t="s">
        <v>150</v>
      </c>
      <c r="C22" s="169" t="s">
        <v>213</v>
      </c>
      <c r="D22" s="84" t="s">
        <v>213</v>
      </c>
      <c r="E22" s="84" t="s">
        <v>213</v>
      </c>
      <c r="F22" s="130" t="s">
        <v>213</v>
      </c>
      <c r="G22" s="82" t="s">
        <v>213</v>
      </c>
      <c r="H22" s="524" t="s">
        <v>213</v>
      </c>
    </row>
    <row r="23" spans="1:14" x14ac:dyDescent="0.25">
      <c r="A23" s="80" t="s">
        <v>192</v>
      </c>
      <c r="B23" s="81" t="s">
        <v>193</v>
      </c>
      <c r="C23" s="169" t="s">
        <v>217</v>
      </c>
      <c r="D23" s="84" t="s">
        <v>217</v>
      </c>
      <c r="E23" s="84" t="s">
        <v>235</v>
      </c>
      <c r="F23" s="130" t="s">
        <v>194</v>
      </c>
      <c r="G23" s="522" t="str">
        <f>+D23</f>
        <v>*****</v>
      </c>
      <c r="H23" s="524" t="s">
        <v>236</v>
      </c>
      <c r="I23" s="15"/>
    </row>
    <row r="24" spans="1:14" x14ac:dyDescent="0.25">
      <c r="A24" s="80" t="s">
        <v>195</v>
      </c>
      <c r="B24" s="86" t="s">
        <v>196</v>
      </c>
      <c r="C24" s="114" t="s">
        <v>218</v>
      </c>
      <c r="D24" s="136" t="s">
        <v>218</v>
      </c>
      <c r="E24" s="136" t="s">
        <v>218</v>
      </c>
      <c r="F24" s="127" t="s">
        <v>218</v>
      </c>
      <c r="G24" s="114" t="s">
        <v>218</v>
      </c>
      <c r="H24" s="143" t="s">
        <v>218</v>
      </c>
    </row>
    <row r="25" spans="1:14" ht="15.75" thickBot="1" x14ac:dyDescent="0.3">
      <c r="A25" s="91" t="s">
        <v>197</v>
      </c>
      <c r="B25" s="92" t="s">
        <v>198</v>
      </c>
      <c r="C25" s="668"/>
      <c r="D25" s="138"/>
      <c r="E25" s="138"/>
      <c r="F25" s="148"/>
      <c r="G25" s="542"/>
      <c r="H25" s="544"/>
    </row>
    <row r="26" spans="1:14" ht="15.75" thickTop="1" x14ac:dyDescent="0.25"/>
    <row r="27" spans="1:14" x14ac:dyDescent="0.25">
      <c r="A27" s="99"/>
      <c r="B27" s="116" t="s">
        <v>209</v>
      </c>
      <c r="C27" s="140"/>
      <c r="D27" s="140"/>
      <c r="E27" s="140"/>
      <c r="F27" s="140"/>
      <c r="G27" s="124"/>
      <c r="H27" s="124"/>
      <c r="I27" s="124"/>
      <c r="J27" s="124"/>
      <c r="K27" s="124"/>
      <c r="L27" s="124"/>
      <c r="M27" s="124"/>
      <c r="N27" s="124"/>
    </row>
    <row r="28" spans="1:14" x14ac:dyDescent="0.25">
      <c r="A28" s="99"/>
      <c r="B28" s="116"/>
      <c r="C28" s="140"/>
      <c r="D28" s="140"/>
      <c r="E28" s="140"/>
      <c r="F28" s="140"/>
      <c r="G28" s="124"/>
      <c r="H28" s="124"/>
      <c r="I28" s="124"/>
      <c r="J28" s="124"/>
      <c r="K28" s="124"/>
      <c r="L28" s="124"/>
      <c r="M28" s="124"/>
      <c r="N28" s="124"/>
    </row>
    <row r="29" spans="1:14" ht="28.35" customHeight="1" x14ac:dyDescent="0.25">
      <c r="A29" s="99" t="s">
        <v>173</v>
      </c>
      <c r="B29" s="933" t="str">
        <f>+NARIÑO!B29</f>
        <v>De acuerdo con lo establecido en la Resoluccion 91349 de 2014 del MME para combustible de origen nacional o importado a ser distribuido en zonas de frontera, aplica la tarifa de marcación o remarcación vigente a la fecha según corresponda</v>
      </c>
      <c r="C29" s="933"/>
      <c r="D29" s="933"/>
      <c r="E29" s="933"/>
      <c r="F29" s="933"/>
      <c r="G29" s="933"/>
      <c r="H29" s="933"/>
      <c r="I29" s="141"/>
      <c r="J29" s="141"/>
      <c r="K29" s="141"/>
      <c r="L29" s="141"/>
      <c r="M29" s="141"/>
      <c r="N29" s="141"/>
    </row>
    <row r="30" spans="1:14" ht="26.45" customHeight="1" x14ac:dyDescent="0.25">
      <c r="A30" s="99" t="s">
        <v>200</v>
      </c>
      <c r="B30" s="915" t="s">
        <v>250</v>
      </c>
      <c r="C30" s="915"/>
      <c r="D30" s="915"/>
      <c r="E30" s="915"/>
      <c r="F30" s="915"/>
      <c r="G30" s="915"/>
      <c r="H30" s="915"/>
      <c r="I30" s="124"/>
      <c r="J30" s="124"/>
      <c r="K30" s="124"/>
      <c r="L30" s="124"/>
      <c r="M30" s="124"/>
      <c r="N30" s="124"/>
    </row>
    <row r="31" spans="1:14" ht="60" customHeight="1" x14ac:dyDescent="0.25">
      <c r="A31" s="99" t="s">
        <v>130</v>
      </c>
      <c r="B31" s="933" t="s">
        <v>306</v>
      </c>
      <c r="C31" s="933"/>
      <c r="D31" s="933"/>
      <c r="E31" s="933"/>
      <c r="F31" s="933"/>
      <c r="G31" s="933"/>
      <c r="H31" s="933"/>
      <c r="I31" s="124"/>
      <c r="J31" s="124"/>
      <c r="K31" s="124"/>
      <c r="L31" s="124"/>
      <c r="M31" s="124"/>
      <c r="N31" s="124"/>
    </row>
    <row r="32" spans="1:14" ht="51" customHeight="1" x14ac:dyDescent="0.25">
      <c r="A32" s="99"/>
      <c r="B32" s="933" t="s">
        <v>450</v>
      </c>
      <c r="C32" s="933"/>
      <c r="D32" s="933"/>
      <c r="E32" s="933"/>
      <c r="F32" s="933"/>
      <c r="G32" s="933"/>
      <c r="H32" s="933"/>
      <c r="I32" s="124"/>
      <c r="J32" s="124"/>
      <c r="K32" s="124"/>
      <c r="L32" s="124"/>
      <c r="M32" s="124"/>
      <c r="N32" s="124"/>
    </row>
    <row r="33" spans="1:14" ht="15" customHeight="1" x14ac:dyDescent="0.25">
      <c r="A33" s="117" t="s">
        <v>102</v>
      </c>
      <c r="B33" s="914" t="s">
        <v>210</v>
      </c>
      <c r="C33" s="914"/>
      <c r="D33" s="914"/>
      <c r="E33" s="914"/>
      <c r="F33" s="914"/>
      <c r="G33" s="914"/>
      <c r="H33" s="914"/>
      <c r="I33" s="124"/>
      <c r="J33" s="124"/>
      <c r="K33" s="124"/>
      <c r="L33" s="124"/>
      <c r="M33" s="124"/>
      <c r="N33" s="124"/>
    </row>
    <row r="34" spans="1:14" ht="15" customHeight="1" x14ac:dyDescent="0.25">
      <c r="A34" s="117" t="s">
        <v>211</v>
      </c>
      <c r="B34" s="933" t="s">
        <v>239</v>
      </c>
      <c r="C34" s="933"/>
      <c r="D34" s="933"/>
      <c r="E34" s="933"/>
      <c r="F34" s="933"/>
      <c r="G34" s="933"/>
      <c r="H34" s="933"/>
      <c r="I34" s="124"/>
      <c r="J34" s="124"/>
      <c r="K34" s="124"/>
      <c r="L34" s="124"/>
      <c r="M34" s="124"/>
      <c r="N34" s="124"/>
    </row>
    <row r="35" spans="1:14" ht="15" customHeight="1" x14ac:dyDescent="0.25">
      <c r="A35" s="99" t="s">
        <v>213</v>
      </c>
      <c r="B35" s="933" t="s">
        <v>214</v>
      </c>
      <c r="C35" s="933"/>
      <c r="D35" s="933"/>
      <c r="E35" s="933"/>
      <c r="F35" s="933"/>
      <c r="G35" s="933"/>
      <c r="H35" s="914"/>
      <c r="I35" s="914"/>
      <c r="J35" s="914"/>
      <c r="K35" s="914"/>
      <c r="L35" s="914"/>
      <c r="M35" s="914"/>
      <c r="N35" s="914"/>
    </row>
    <row r="36" spans="1:14" ht="36.75" customHeight="1" x14ac:dyDescent="0.25">
      <c r="A36" s="99" t="s">
        <v>215</v>
      </c>
      <c r="B36" s="914" t="s">
        <v>420</v>
      </c>
      <c r="C36" s="914"/>
      <c r="D36" s="914"/>
      <c r="E36" s="914"/>
      <c r="F36" s="914"/>
      <c r="G36" s="914"/>
      <c r="H36" s="100"/>
      <c r="I36" s="100"/>
      <c r="J36" s="100"/>
      <c r="K36" s="100"/>
      <c r="L36" s="100"/>
      <c r="M36" s="100"/>
      <c r="N36" s="100"/>
    </row>
    <row r="37" spans="1:14" ht="23.45" customHeight="1" x14ac:dyDescent="0.25">
      <c r="A37" s="117" t="s">
        <v>217</v>
      </c>
      <c r="B37" s="933" t="s">
        <v>219</v>
      </c>
      <c r="C37" s="933"/>
      <c r="D37" s="933"/>
      <c r="E37" s="933"/>
      <c r="F37" s="933"/>
      <c r="G37" s="933"/>
      <c r="H37" s="933"/>
      <c r="I37" s="124"/>
      <c r="J37" s="124"/>
      <c r="K37" s="124"/>
      <c r="L37" s="124"/>
      <c r="M37" s="124"/>
      <c r="N37" s="124"/>
    </row>
    <row r="38" spans="1:14" ht="25.5" x14ac:dyDescent="0.25">
      <c r="A38" s="117" t="s">
        <v>218</v>
      </c>
      <c r="B38" s="933" t="s">
        <v>268</v>
      </c>
      <c r="C38" s="933"/>
      <c r="D38" s="933"/>
      <c r="E38" s="933"/>
      <c r="F38" s="933"/>
      <c r="G38" s="933"/>
      <c r="H38" s="933"/>
      <c r="I38" s="124"/>
      <c r="J38" s="124"/>
      <c r="K38" s="124"/>
      <c r="L38" s="124"/>
      <c r="M38" s="124"/>
      <c r="N38" s="124"/>
    </row>
    <row r="39" spans="1:14" x14ac:dyDescent="0.25">
      <c r="B39" s="1004" t="s">
        <v>410</v>
      </c>
      <c r="C39" s="1004"/>
      <c r="D39" s="1004"/>
      <c r="E39" s="1004"/>
      <c r="F39" s="1004"/>
      <c r="G39" s="1004"/>
    </row>
    <row r="40" spans="1:14" ht="87.95" customHeight="1" x14ac:dyDescent="0.25">
      <c r="B40" s="917" t="s">
        <v>137</v>
      </c>
      <c r="C40" s="917"/>
      <c r="D40" s="917"/>
      <c r="E40" s="917"/>
      <c r="F40" s="917"/>
      <c r="G40" s="917"/>
      <c r="H40" s="917"/>
      <c r="I40" s="917"/>
    </row>
  </sheetData>
  <sheetProtection algorithmName="SHA-512" hashValue="KehmrOA/wP9eYRzC/TwOGunyyLiuNZdYVKViLyvyVXCkXjCRhpGIbvFJqAYGWOrFXdrIxQgO/DoeeT0sfsRUwA==" saltValue="WyOEkGGwAaMUxO+w626Aug==" spinCount="100000" sheet="1" objects="1" scenarios="1"/>
  <mergeCells count="18">
    <mergeCell ref="B29:H29"/>
    <mergeCell ref="A5:A7"/>
    <mergeCell ref="B5:B7"/>
    <mergeCell ref="C5:C6"/>
    <mergeCell ref="C3:E4"/>
    <mergeCell ref="G3:H4"/>
    <mergeCell ref="B36:G36"/>
    <mergeCell ref="B37:H37"/>
    <mergeCell ref="B38:H38"/>
    <mergeCell ref="B40:I40"/>
    <mergeCell ref="B30:H30"/>
    <mergeCell ref="B31:H31"/>
    <mergeCell ref="B33:H33"/>
    <mergeCell ref="B34:H34"/>
    <mergeCell ref="B35:G35"/>
    <mergeCell ref="H35:N35"/>
    <mergeCell ref="B39:G39"/>
    <mergeCell ref="B32:H32"/>
  </mergeCells>
  <hyperlinks>
    <hyperlink ref="B27" location="'NORTE SANTANDER'!A40" display="Ver Nota Informativa" xr:uid="{00000000-0004-0000-1200-000000000000}"/>
  </hyperlinks>
  <pageMargins left="0.7" right="0.7" top="0.75" bottom="0.75" header="0.3" footer="0.3"/>
  <pageSetup orientation="portrait" r:id="rId1"/>
  <ignoredErrors>
    <ignoredError sqref="C11 E21 E11 E17" formula="1"/>
    <ignoredError sqref="E12" numberStoredAsText="1" formula="1"/>
    <ignoredError sqref="G10 G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41"/>
  <sheetViews>
    <sheetView showGridLines="0" zoomScale="80" zoomScaleNormal="80" workbookViewId="0">
      <selection activeCell="I8" sqref="G8:I25"/>
    </sheetView>
  </sheetViews>
  <sheetFormatPr baseColWidth="10" defaultRowHeight="15" x14ac:dyDescent="0.25"/>
  <cols>
    <col min="1" max="1" width="6.5703125" customWidth="1"/>
    <col min="2" max="2" width="45.85546875" customWidth="1"/>
    <col min="3" max="3" width="15.140625" customWidth="1"/>
    <col min="4" max="4" width="13.28515625" customWidth="1"/>
    <col min="5" max="5" width="14.140625" customWidth="1"/>
    <col min="6" max="6" width="12.140625" customWidth="1"/>
    <col min="7" max="7" width="16.85546875" customWidth="1"/>
    <col min="8" max="8" width="12.42578125" customWidth="1"/>
    <col min="9" max="9" width="14.28515625" customWidth="1"/>
    <col min="10" max="10" width="14.85546875" customWidth="1"/>
  </cols>
  <sheetData>
    <row r="1" spans="1:9" x14ac:dyDescent="0.25">
      <c r="A1" s="77"/>
      <c r="B1" s="77" t="str">
        <f>+AMAZONAS!C1</f>
        <v>Vigencia: 22 de Marzo de 2025; 00:00 horas</v>
      </c>
    </row>
    <row r="2" spans="1:9" ht="15.75" thickBot="1" x14ac:dyDescent="0.3">
      <c r="A2" s="77" t="s">
        <v>162</v>
      </c>
      <c r="B2" s="77"/>
      <c r="D2" s="346"/>
      <c r="G2" s="346"/>
    </row>
    <row r="3" spans="1:9" ht="15.95" customHeight="1" thickTop="1" x14ac:dyDescent="0.25">
      <c r="A3" s="125"/>
      <c r="B3" s="126" t="s">
        <v>295</v>
      </c>
      <c r="C3" s="943" t="s">
        <v>163</v>
      </c>
      <c r="D3" s="944"/>
      <c r="E3" s="944"/>
      <c r="F3" s="1009"/>
      <c r="G3" s="1013" t="s">
        <v>231</v>
      </c>
      <c r="H3" s="989"/>
      <c r="I3" s="1014"/>
    </row>
    <row r="4" spans="1:9" ht="24.6" customHeight="1" x14ac:dyDescent="0.25">
      <c r="A4" s="78"/>
      <c r="B4" s="389" t="s">
        <v>459</v>
      </c>
      <c r="C4" s="1010"/>
      <c r="D4" s="1011"/>
      <c r="E4" s="1011"/>
      <c r="F4" s="1012"/>
      <c r="G4" s="1001"/>
      <c r="H4" s="1002"/>
      <c r="I4" s="1015"/>
    </row>
    <row r="5" spans="1:9" ht="38.25" customHeight="1" x14ac:dyDescent="0.25">
      <c r="A5" s="924" t="s">
        <v>164</v>
      </c>
      <c r="B5" s="926" t="s">
        <v>165</v>
      </c>
      <c r="C5" s="1008" t="s">
        <v>222</v>
      </c>
      <c r="D5" s="516" t="s">
        <v>96</v>
      </c>
      <c r="E5" s="516" t="s">
        <v>367</v>
      </c>
      <c r="F5" s="517" t="s">
        <v>497</v>
      </c>
      <c r="G5" s="515" t="s">
        <v>96</v>
      </c>
      <c r="H5" s="516" t="str">
        <f>+E5</f>
        <v>Biodiesel B2</v>
      </c>
      <c r="I5" s="517" t="str">
        <f>+F5</f>
        <v>Biodiesel</v>
      </c>
    </row>
    <row r="6" spans="1:9" x14ac:dyDescent="0.25">
      <c r="A6" s="924"/>
      <c r="B6" s="926"/>
      <c r="C6" s="1008"/>
      <c r="D6" s="556" t="s">
        <v>244</v>
      </c>
      <c r="E6" s="561">
        <v>0.02</v>
      </c>
      <c r="F6" s="521">
        <v>0.1</v>
      </c>
      <c r="G6" s="518" t="str">
        <f>+D6</f>
        <v>Oxigenada 10%</v>
      </c>
      <c r="H6" s="520">
        <f>+E6</f>
        <v>0.02</v>
      </c>
      <c r="I6" s="521">
        <v>0.1</v>
      </c>
    </row>
    <row r="7" spans="1:9" ht="15.75" thickBot="1" x14ac:dyDescent="0.3">
      <c r="A7" s="925"/>
      <c r="B7" s="927"/>
      <c r="C7" s="696" t="s">
        <v>166</v>
      </c>
      <c r="D7" s="659" t="s">
        <v>166</v>
      </c>
      <c r="E7" s="659" t="s">
        <v>166</v>
      </c>
      <c r="F7" s="660" t="s">
        <v>166</v>
      </c>
      <c r="G7" s="696" t="s">
        <v>166</v>
      </c>
      <c r="H7" s="659" t="s">
        <v>166</v>
      </c>
      <c r="I7" s="660" t="s">
        <v>166</v>
      </c>
    </row>
    <row r="8" spans="1:9" ht="14.45" customHeight="1" thickTop="1" x14ac:dyDescent="0.25">
      <c r="A8" s="80" t="s">
        <v>167</v>
      </c>
      <c r="B8" s="86" t="s">
        <v>168</v>
      </c>
      <c r="C8" s="845">
        <f>+'Calculo IP ZDF'!B38</f>
        <v>10456.1</v>
      </c>
      <c r="D8" s="846">
        <f>+'Calculo IP ZDF'!H38</f>
        <v>11009.89</v>
      </c>
      <c r="E8" s="846">
        <f>+'Calculo IP ZDF'!F38</f>
        <v>5572.2800000000007</v>
      </c>
      <c r="F8" s="664">
        <f>+'Calculo IP ZDF'!M38</f>
        <v>6812.0015776</v>
      </c>
      <c r="G8" s="698">
        <f>+'IMPUESTO AL CARBONO GMR'!D9</f>
        <v>11009.89</v>
      </c>
      <c r="H8" s="766">
        <f>+BIODIESEL!E9</f>
        <v>5758.7686000000003</v>
      </c>
      <c r="I8" s="767">
        <f>+BIODIESEL!F9</f>
        <v>6983.2690000000002</v>
      </c>
    </row>
    <row r="9" spans="1:9" ht="14.45" customHeight="1" x14ac:dyDescent="0.25">
      <c r="A9" s="80" t="s">
        <v>169</v>
      </c>
      <c r="B9" s="86" t="s">
        <v>170</v>
      </c>
      <c r="C9" s="537" t="s">
        <v>171</v>
      </c>
      <c r="D9" s="526" t="s">
        <v>171</v>
      </c>
      <c r="E9" s="554" t="s">
        <v>171</v>
      </c>
      <c r="F9" s="524" t="s">
        <v>171</v>
      </c>
      <c r="G9" s="525">
        <f>+'IMPUESTO AL CARBONO GMR'!D10</f>
        <v>686.15099999999995</v>
      </c>
      <c r="H9" s="554">
        <f>+BIODIESEL!E10</f>
        <v>715.12</v>
      </c>
      <c r="I9" s="573">
        <f>+BIODIESEL!F10</f>
        <v>656.74</v>
      </c>
    </row>
    <row r="10" spans="1:9" ht="14.45" customHeight="1" x14ac:dyDescent="0.25">
      <c r="A10" s="80"/>
      <c r="B10" s="86" t="s">
        <v>129</v>
      </c>
      <c r="C10" s="537" t="s">
        <v>171</v>
      </c>
      <c r="D10" s="526" t="s">
        <v>171</v>
      </c>
      <c r="E10" s="554" t="s">
        <v>171</v>
      </c>
      <c r="F10" s="524" t="s">
        <v>171</v>
      </c>
      <c r="G10" s="522" t="s">
        <v>130</v>
      </c>
      <c r="H10" s="554" t="s">
        <v>678</v>
      </c>
      <c r="I10" s="573" t="s">
        <v>130</v>
      </c>
    </row>
    <row r="11" spans="1:9" ht="14.45" customHeight="1" x14ac:dyDescent="0.25">
      <c r="A11" s="80"/>
      <c r="B11" s="86" t="s">
        <v>131</v>
      </c>
      <c r="C11" s="537" t="str">
        <f>+GUAINIA!C11</f>
        <v>(4)</v>
      </c>
      <c r="D11" s="526" t="s">
        <v>201</v>
      </c>
      <c r="E11" s="554" t="str">
        <f>+C11</f>
        <v>(4)</v>
      </c>
      <c r="F11" s="524" t="s">
        <v>201</v>
      </c>
      <c r="G11" s="522" t="s">
        <v>201</v>
      </c>
      <c r="H11" s="528" t="str">
        <f>+E11</f>
        <v>(4)</v>
      </c>
      <c r="I11" s="529" t="s">
        <v>201</v>
      </c>
    </row>
    <row r="12" spans="1:9" ht="14.45" customHeight="1" x14ac:dyDescent="0.25">
      <c r="A12" s="80" t="s">
        <v>172</v>
      </c>
      <c r="B12" s="86" t="s">
        <v>249</v>
      </c>
      <c r="C12" s="537" t="s">
        <v>200</v>
      </c>
      <c r="D12" s="526" t="s">
        <v>200</v>
      </c>
      <c r="E12" s="523" t="s">
        <v>200</v>
      </c>
      <c r="F12" s="524" t="s">
        <v>200</v>
      </c>
      <c r="G12" s="522" t="s">
        <v>200</v>
      </c>
      <c r="H12" s="523" t="s">
        <v>200</v>
      </c>
      <c r="I12" s="524" t="s">
        <v>200</v>
      </c>
    </row>
    <row r="13" spans="1:9" ht="14.45" customHeight="1" x14ac:dyDescent="0.25">
      <c r="A13" s="80" t="s">
        <v>233</v>
      </c>
      <c r="B13" s="86" t="s">
        <v>387</v>
      </c>
      <c r="C13" s="537" t="s">
        <v>235</v>
      </c>
      <c r="D13" s="526" t="s">
        <v>235</v>
      </c>
      <c r="E13" s="554" t="s">
        <v>201</v>
      </c>
      <c r="F13" s="529" t="s">
        <v>201</v>
      </c>
      <c r="G13" s="525" t="s">
        <v>235</v>
      </c>
      <c r="H13" s="528" t="str">
        <f>+E13</f>
        <v>(4)</v>
      </c>
      <c r="I13" s="529" t="s">
        <v>201</v>
      </c>
    </row>
    <row r="14" spans="1:9" ht="14.45" customHeight="1" x14ac:dyDescent="0.25">
      <c r="A14" s="80" t="s">
        <v>174</v>
      </c>
      <c r="B14" s="86" t="s">
        <v>175</v>
      </c>
      <c r="C14" s="537">
        <f>+RUBROS!$AL$19</f>
        <v>30.560765344237307</v>
      </c>
      <c r="D14" s="526">
        <f>+C14</f>
        <v>30.560765344237307</v>
      </c>
      <c r="E14" s="523">
        <f>+C14</f>
        <v>30.560765344237307</v>
      </c>
      <c r="F14" s="524">
        <f>+E14</f>
        <v>30.560765344237307</v>
      </c>
      <c r="G14" s="522">
        <f>+RUBROS!$AM$19</f>
        <v>30.560765344237307</v>
      </c>
      <c r="H14" s="522">
        <f>+RUBROS!$AM$19</f>
        <v>30.560765344237307</v>
      </c>
      <c r="I14" s="843">
        <f>+RUBROS!$AM$19</f>
        <v>30.560765344237307</v>
      </c>
    </row>
    <row r="15" spans="1:9" ht="14.45" customHeight="1" x14ac:dyDescent="0.25">
      <c r="A15" s="80" t="s">
        <v>178</v>
      </c>
      <c r="B15" s="86" t="s">
        <v>179</v>
      </c>
      <c r="C15" s="537">
        <f>+RUBROS!$BJ$41</f>
        <v>14.562140320021172</v>
      </c>
      <c r="D15" s="526">
        <f>+C15</f>
        <v>14.562140320021172</v>
      </c>
      <c r="E15" s="523">
        <f>+C15</f>
        <v>14.562140320021172</v>
      </c>
      <c r="F15" s="524">
        <f>+E15</f>
        <v>14.562140320021172</v>
      </c>
      <c r="G15" s="537">
        <f>+RUBROS!$BJ$41</f>
        <v>14.562140320021172</v>
      </c>
      <c r="H15" s="537">
        <f>+RUBROS!$BJ$41</f>
        <v>14.562140320021172</v>
      </c>
      <c r="I15" s="844">
        <f>+RUBROS!$BJ$41</f>
        <v>14.562140320021172</v>
      </c>
    </row>
    <row r="16" spans="1:9" hidden="1" x14ac:dyDescent="0.25">
      <c r="A16" s="80"/>
      <c r="B16" s="86" t="s">
        <v>180</v>
      </c>
      <c r="C16" s="537"/>
      <c r="D16" s="526"/>
      <c r="E16" s="523"/>
      <c r="F16" s="524"/>
      <c r="G16" s="522"/>
      <c r="H16" s="523"/>
      <c r="I16" s="524"/>
    </row>
    <row r="17" spans="1:16" x14ac:dyDescent="0.25">
      <c r="A17" s="87" t="s">
        <v>181</v>
      </c>
      <c r="B17" s="112" t="s">
        <v>182</v>
      </c>
      <c r="C17" s="548">
        <f>SUM(C8:C16)</f>
        <v>10501.222905664257</v>
      </c>
      <c r="D17" s="549">
        <f>SUM(D8:D16)</f>
        <v>11055.012905664258</v>
      </c>
      <c r="E17" s="539">
        <f t="shared" ref="E17:G17" si="0">SUM(E8:E16)</f>
        <v>5617.4029056642594</v>
      </c>
      <c r="F17" s="540">
        <f>SUM(F8:F16)</f>
        <v>6857.1244832642587</v>
      </c>
      <c r="G17" s="534">
        <f t="shared" si="0"/>
        <v>11741.163905664256</v>
      </c>
      <c r="H17" s="539">
        <f t="shared" ref="H17:I17" si="1">SUM(H8:H16)</f>
        <v>6519.0115056642589</v>
      </c>
      <c r="I17" s="540">
        <f t="shared" si="1"/>
        <v>7685.1319056642587</v>
      </c>
    </row>
    <row r="18" spans="1:16" x14ac:dyDescent="0.25">
      <c r="A18" s="80" t="s">
        <v>183</v>
      </c>
      <c r="B18" s="86" t="s">
        <v>184</v>
      </c>
      <c r="C18" s="564" t="s">
        <v>213</v>
      </c>
      <c r="D18" s="541" t="s">
        <v>213</v>
      </c>
      <c r="E18" s="541" t="str">
        <f>+C18</f>
        <v>***</v>
      </c>
      <c r="F18" s="565" t="s">
        <v>213</v>
      </c>
      <c r="G18" s="522" t="s">
        <v>213</v>
      </c>
      <c r="H18" s="523" t="s">
        <v>213</v>
      </c>
      <c r="I18" s="524" t="s">
        <v>213</v>
      </c>
    </row>
    <row r="19" spans="1:16" x14ac:dyDescent="0.25">
      <c r="A19" s="80" t="s">
        <v>185</v>
      </c>
      <c r="B19" s="86" t="s">
        <v>186</v>
      </c>
      <c r="C19" s="564" t="s">
        <v>211</v>
      </c>
      <c r="D19" s="566" t="s">
        <v>211</v>
      </c>
      <c r="E19" s="566" t="s">
        <v>211</v>
      </c>
      <c r="F19" s="565" t="s">
        <v>211</v>
      </c>
      <c r="G19" s="522" t="s">
        <v>211</v>
      </c>
      <c r="H19" s="528" t="s">
        <v>211</v>
      </c>
      <c r="I19" s="529" t="s">
        <v>211</v>
      </c>
    </row>
    <row r="20" spans="1:16" x14ac:dyDescent="0.25">
      <c r="A20" s="80" t="s">
        <v>187</v>
      </c>
      <c r="B20" s="86" t="s">
        <v>188</v>
      </c>
      <c r="C20" s="564" t="s">
        <v>215</v>
      </c>
      <c r="D20" s="541" t="s">
        <v>215</v>
      </c>
      <c r="E20" s="541" t="s">
        <v>215</v>
      </c>
      <c r="F20" s="565" t="s">
        <v>215</v>
      </c>
      <c r="G20" s="522" t="s">
        <v>215</v>
      </c>
      <c r="H20" s="523" t="str">
        <f>+E20</f>
        <v>****</v>
      </c>
      <c r="I20" s="524" t="s">
        <v>215</v>
      </c>
    </row>
    <row r="21" spans="1:16" x14ac:dyDescent="0.25">
      <c r="A21" s="87" t="s">
        <v>189</v>
      </c>
      <c r="B21" s="112" t="s">
        <v>190</v>
      </c>
      <c r="C21" s="567">
        <f t="shared" ref="C21:G21" si="2">+C17</f>
        <v>10501.222905664257</v>
      </c>
      <c r="D21" s="568">
        <f t="shared" si="2"/>
        <v>11055.012905664258</v>
      </c>
      <c r="E21" s="568">
        <f t="shared" si="2"/>
        <v>5617.4029056642594</v>
      </c>
      <c r="F21" s="569">
        <f>+F17</f>
        <v>6857.1244832642587</v>
      </c>
      <c r="G21" s="548">
        <f t="shared" si="2"/>
        <v>11741.163905664256</v>
      </c>
      <c r="H21" s="549">
        <f t="shared" ref="H21" si="3">+H17</f>
        <v>6519.0115056642589</v>
      </c>
      <c r="I21" s="550">
        <f t="shared" ref="I21" si="4">+I17</f>
        <v>7685.1319056642587</v>
      </c>
    </row>
    <row r="22" spans="1:16" x14ac:dyDescent="0.25">
      <c r="A22" s="80" t="s">
        <v>191</v>
      </c>
      <c r="B22" s="86" t="s">
        <v>150</v>
      </c>
      <c r="C22" s="564" t="s">
        <v>213</v>
      </c>
      <c r="D22" s="530" t="s">
        <v>213</v>
      </c>
      <c r="E22" s="541" t="s">
        <v>213</v>
      </c>
      <c r="F22" s="565" t="s">
        <v>213</v>
      </c>
      <c r="G22" s="522" t="s">
        <v>213</v>
      </c>
      <c r="H22" s="523" t="s">
        <v>213</v>
      </c>
      <c r="I22" s="524" t="s">
        <v>213</v>
      </c>
    </row>
    <row r="23" spans="1:16" x14ac:dyDescent="0.25">
      <c r="A23" s="80" t="s">
        <v>192</v>
      </c>
      <c r="B23" s="81" t="s">
        <v>193</v>
      </c>
      <c r="C23" s="564" t="s">
        <v>217</v>
      </c>
      <c r="D23" s="530" t="s">
        <v>217</v>
      </c>
      <c r="E23" s="541" t="s">
        <v>235</v>
      </c>
      <c r="F23" s="565" t="s">
        <v>194</v>
      </c>
      <c r="G23" s="522" t="s">
        <v>217</v>
      </c>
      <c r="H23" s="523" t="s">
        <v>236</v>
      </c>
      <c r="I23" s="524" t="s">
        <v>236</v>
      </c>
    </row>
    <row r="24" spans="1:16" x14ac:dyDescent="0.25">
      <c r="A24" s="80" t="s">
        <v>195</v>
      </c>
      <c r="B24" s="86" t="s">
        <v>196</v>
      </c>
      <c r="C24" s="564" t="s">
        <v>218</v>
      </c>
      <c r="D24" s="530" t="s">
        <v>218</v>
      </c>
      <c r="E24" s="566" t="s">
        <v>218</v>
      </c>
      <c r="F24" s="570" t="s">
        <v>218</v>
      </c>
      <c r="G24" s="525" t="s">
        <v>218</v>
      </c>
      <c r="H24" s="528" t="str">
        <f>+G24</f>
        <v>******</v>
      </c>
      <c r="I24" s="529" t="s">
        <v>218</v>
      </c>
    </row>
    <row r="25" spans="1:16" ht="15.75" thickBot="1" x14ac:dyDescent="0.3">
      <c r="A25" s="91" t="s">
        <v>197</v>
      </c>
      <c r="B25" s="92" t="s">
        <v>198</v>
      </c>
      <c r="C25" s="571"/>
      <c r="D25" s="572"/>
      <c r="E25" s="543"/>
      <c r="F25" s="544"/>
      <c r="G25" s="542"/>
      <c r="H25" s="543"/>
      <c r="I25" s="544"/>
    </row>
    <row r="26" spans="1:16" ht="15.75" thickTop="1" x14ac:dyDescent="0.25"/>
    <row r="27" spans="1:16" x14ac:dyDescent="0.25">
      <c r="A27" s="99"/>
      <c r="B27" s="116" t="s">
        <v>209</v>
      </c>
      <c r="C27" s="140"/>
      <c r="D27" s="140"/>
      <c r="E27" s="140"/>
      <c r="F27" s="140"/>
      <c r="G27" s="140"/>
      <c r="H27" s="124"/>
      <c r="I27" s="124"/>
      <c r="J27" s="124"/>
      <c r="K27" s="124"/>
      <c r="L27" s="124"/>
      <c r="M27" s="124"/>
      <c r="N27" s="124"/>
      <c r="O27" s="124"/>
      <c r="P27" s="124"/>
    </row>
    <row r="28" spans="1:16" x14ac:dyDescent="0.25">
      <c r="A28" s="99"/>
      <c r="B28" s="116"/>
      <c r="C28" s="140"/>
      <c r="D28" s="140"/>
      <c r="E28" s="140"/>
      <c r="F28" s="140"/>
      <c r="G28" s="140"/>
      <c r="H28" s="124"/>
      <c r="I28" s="124"/>
      <c r="J28" s="124"/>
      <c r="K28" s="124"/>
      <c r="L28" s="124"/>
      <c r="M28" s="124"/>
      <c r="N28" s="124"/>
      <c r="O28" s="124"/>
      <c r="P28" s="124"/>
    </row>
    <row r="29" spans="1:16" ht="30.95" customHeight="1" x14ac:dyDescent="0.25">
      <c r="A29" s="99" t="s">
        <v>173</v>
      </c>
      <c r="B29" s="914" t="str">
        <f>+'NORTE SANTANDER'!B29:H29</f>
        <v>De acuerdo con lo establecido en la Resoluccion 91349 de 2014 del MME para combustible de origen nacional o importado a ser distribuido en zonas de frontera, aplica la tarifa de marcación o remarcación vigente a la fecha según corresponda</v>
      </c>
      <c r="C29" s="914"/>
      <c r="D29" s="914"/>
      <c r="E29" s="914"/>
      <c r="F29" s="914"/>
      <c r="G29" s="914"/>
      <c r="H29" s="914"/>
      <c r="I29" s="914"/>
      <c r="J29" s="164"/>
      <c r="K29" s="141"/>
      <c r="L29" s="141"/>
      <c r="M29" s="141"/>
      <c r="N29" s="141"/>
      <c r="O29" s="141"/>
      <c r="P29" s="141"/>
    </row>
    <row r="30" spans="1:16" ht="27.2" customHeight="1" x14ac:dyDescent="0.25">
      <c r="A30" s="99" t="s">
        <v>200</v>
      </c>
      <c r="B30" s="1007" t="s">
        <v>250</v>
      </c>
      <c r="C30" s="1007"/>
      <c r="D30" s="1007"/>
      <c r="E30" s="1007"/>
      <c r="F30" s="1007"/>
      <c r="G30" s="1007"/>
      <c r="H30" s="1007"/>
      <c r="I30" s="1007"/>
      <c r="J30" s="1007"/>
      <c r="K30" s="124"/>
      <c r="L30" s="124"/>
      <c r="M30" s="124"/>
      <c r="N30" s="124"/>
      <c r="O30" s="124"/>
      <c r="P30" s="124"/>
    </row>
    <row r="31" spans="1:16" ht="65.25" customHeight="1" x14ac:dyDescent="0.25">
      <c r="A31" s="99" t="s">
        <v>130</v>
      </c>
      <c r="B31" s="914" t="s">
        <v>306</v>
      </c>
      <c r="C31" s="914"/>
      <c r="D31" s="914"/>
      <c r="E31" s="914"/>
      <c r="F31" s="914"/>
      <c r="G31" s="914"/>
      <c r="H31" s="914"/>
      <c r="I31" s="914"/>
      <c r="J31" s="164"/>
      <c r="K31" s="124"/>
      <c r="L31" s="124"/>
      <c r="M31" s="124"/>
      <c r="N31" s="124"/>
      <c r="O31" s="124"/>
      <c r="P31" s="124"/>
    </row>
    <row r="32" spans="1:16" ht="65.25" customHeight="1" x14ac:dyDescent="0.25">
      <c r="A32" s="99" t="s">
        <v>201</v>
      </c>
      <c r="B32" s="1006" t="s">
        <v>373</v>
      </c>
      <c r="C32" s="1006"/>
      <c r="D32" s="1006"/>
      <c r="E32" s="1006"/>
      <c r="F32" s="1006"/>
      <c r="G32" s="1006"/>
      <c r="H32" s="1006"/>
      <c r="I32" s="1006"/>
      <c r="J32" s="376"/>
      <c r="K32" s="124"/>
      <c r="L32" s="124"/>
      <c r="M32" s="124"/>
      <c r="N32" s="124"/>
      <c r="O32" s="124"/>
      <c r="P32" s="124"/>
    </row>
    <row r="33" spans="1:16" ht="17.45" customHeight="1" x14ac:dyDescent="0.25">
      <c r="A33" s="99"/>
      <c r="B33" s="574"/>
      <c r="C33" s="574"/>
      <c r="D33" s="574"/>
      <c r="E33" s="574"/>
      <c r="F33" s="574"/>
      <c r="G33" s="574"/>
      <c r="H33" s="574"/>
      <c r="I33" s="574"/>
      <c r="J33" s="124"/>
      <c r="K33" s="124"/>
      <c r="L33" s="124"/>
      <c r="M33" s="124"/>
      <c r="N33" s="124"/>
      <c r="O33" s="124"/>
      <c r="P33" s="124"/>
    </row>
    <row r="34" spans="1:16" ht="15" customHeight="1" x14ac:dyDescent="0.25">
      <c r="A34" s="117" t="s">
        <v>102</v>
      </c>
      <c r="B34" s="120" t="s">
        <v>210</v>
      </c>
      <c r="C34" s="120"/>
      <c r="D34" s="120"/>
      <c r="E34" s="120"/>
      <c r="F34" s="120"/>
      <c r="G34" s="120"/>
      <c r="H34" s="120"/>
      <c r="I34" s="120"/>
      <c r="J34" s="164"/>
      <c r="K34" s="124"/>
      <c r="L34" s="124"/>
      <c r="M34" s="124"/>
      <c r="N34" s="124"/>
      <c r="O34" s="124"/>
      <c r="P34" s="124"/>
    </row>
    <row r="35" spans="1:16" ht="15" customHeight="1" x14ac:dyDescent="0.25">
      <c r="A35" s="117" t="s">
        <v>211</v>
      </c>
      <c r="B35" s="120" t="s">
        <v>296</v>
      </c>
      <c r="C35" s="120"/>
      <c r="D35" s="120"/>
      <c r="E35" s="120"/>
      <c r="F35" s="120"/>
      <c r="G35" s="120"/>
      <c r="H35" s="120"/>
      <c r="I35" s="120"/>
      <c r="J35" s="164"/>
      <c r="K35" s="124"/>
      <c r="L35" s="124"/>
      <c r="M35" s="124"/>
      <c r="N35" s="124"/>
      <c r="O35" s="124"/>
      <c r="P35" s="124"/>
    </row>
    <row r="36" spans="1:16" ht="15" customHeight="1" x14ac:dyDescent="0.25">
      <c r="A36" s="99" t="s">
        <v>213</v>
      </c>
      <c r="B36" s="120" t="s">
        <v>214</v>
      </c>
      <c r="C36" s="120"/>
      <c r="D36" s="120"/>
      <c r="E36" s="120"/>
      <c r="F36" s="120"/>
      <c r="G36" s="120"/>
      <c r="H36" s="120"/>
      <c r="I36" s="184"/>
      <c r="J36" s="914"/>
      <c r="K36" s="914"/>
      <c r="L36" s="914"/>
      <c r="M36" s="914"/>
      <c r="N36" s="914"/>
      <c r="O36" s="914"/>
      <c r="P36" s="914"/>
    </row>
    <row r="37" spans="1:16" ht="15" customHeight="1" x14ac:dyDescent="0.25">
      <c r="A37" s="99" t="s">
        <v>215</v>
      </c>
      <c r="B37" s="120" t="s">
        <v>420</v>
      </c>
      <c r="C37" s="120"/>
      <c r="D37" s="120"/>
      <c r="E37" s="120"/>
      <c r="F37" s="120"/>
      <c r="G37" s="120"/>
      <c r="H37" s="120"/>
      <c r="I37" s="184"/>
      <c r="J37" s="100"/>
      <c r="K37" s="100"/>
      <c r="L37" s="100"/>
      <c r="M37" s="100"/>
      <c r="N37" s="100"/>
      <c r="O37" s="100"/>
      <c r="P37" s="100"/>
    </row>
    <row r="38" spans="1:16" ht="24" customHeight="1" x14ac:dyDescent="0.25">
      <c r="A38" s="117" t="s">
        <v>217</v>
      </c>
      <c r="B38" s="120" t="s">
        <v>219</v>
      </c>
      <c r="C38" s="120"/>
      <c r="D38" s="120"/>
      <c r="E38" s="120"/>
      <c r="F38" s="120"/>
      <c r="G38" s="120"/>
      <c r="H38" s="120"/>
      <c r="I38" s="120"/>
      <c r="J38" s="164"/>
      <c r="K38" s="124"/>
      <c r="L38" s="124"/>
      <c r="M38" s="124"/>
      <c r="N38" s="124"/>
      <c r="O38" s="124"/>
      <c r="P38" s="124"/>
    </row>
    <row r="39" spans="1:16" ht="14.45" customHeight="1" x14ac:dyDescent="0.25">
      <c r="A39" s="117" t="s">
        <v>218</v>
      </c>
      <c r="B39" s="120" t="s">
        <v>255</v>
      </c>
      <c r="C39" s="120"/>
      <c r="D39" s="120"/>
      <c r="E39" s="120"/>
      <c r="F39" s="120"/>
      <c r="G39" s="120"/>
      <c r="H39" s="120"/>
      <c r="I39" s="120"/>
      <c r="J39" s="164"/>
      <c r="K39" s="124"/>
      <c r="L39" s="124"/>
      <c r="M39" s="124"/>
      <c r="N39" s="124"/>
      <c r="O39" s="124"/>
      <c r="P39" s="124"/>
    </row>
    <row r="41" spans="1:16" ht="87.95" customHeight="1" x14ac:dyDescent="0.25">
      <c r="A41" s="1005" t="s">
        <v>137</v>
      </c>
      <c r="B41" s="1005"/>
      <c r="C41" s="1005"/>
      <c r="D41" s="1005"/>
      <c r="E41" s="1005"/>
      <c r="F41" s="1005"/>
      <c r="G41" s="1005"/>
      <c r="H41" s="1005"/>
      <c r="I41" s="1005"/>
      <c r="J41" s="151"/>
    </row>
  </sheetData>
  <sheetProtection algorithmName="SHA-512" hashValue="mXEaBCF1VjCl5AkuJ8x23S4ggkPbH1z92JLlwxhXUKjc2bWuTNkNyoGmBf0tqmsLiVpay74+O4jJbIfi1XdPxQ==" saltValue="UNVRDZhpNIbINPoOCUv5QA==" spinCount="100000" sheet="1" objects="1" scenarios="1"/>
  <mergeCells count="11">
    <mergeCell ref="B29:I29"/>
    <mergeCell ref="A5:A7"/>
    <mergeCell ref="B5:B7"/>
    <mergeCell ref="C5:C6"/>
    <mergeCell ref="C3:F4"/>
    <mergeCell ref="G3:I4"/>
    <mergeCell ref="A41:I41"/>
    <mergeCell ref="B31:I31"/>
    <mergeCell ref="B32:I32"/>
    <mergeCell ref="J36:P36"/>
    <mergeCell ref="B30:J30"/>
  </mergeCells>
  <hyperlinks>
    <hyperlink ref="B27" location="PUTUMAYO!A40" display="Ver Nota Informativa" xr:uid="{00000000-0004-0000-13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dimension ref="A1:N39"/>
  <sheetViews>
    <sheetView showGridLines="0" zoomScale="85" zoomScaleNormal="85" workbookViewId="0">
      <selection activeCell="H23" sqref="H23"/>
    </sheetView>
  </sheetViews>
  <sheetFormatPr baseColWidth="10" defaultRowHeight="15" x14ac:dyDescent="0.25"/>
  <cols>
    <col min="1" max="1" width="6" customWidth="1"/>
    <col min="2" max="2" width="47.140625" customWidth="1"/>
    <col min="3" max="3" width="15.140625" customWidth="1"/>
    <col min="4" max="4" width="12.28515625" customWidth="1"/>
    <col min="5" max="5" width="12.5703125" customWidth="1"/>
    <col min="6" max="6" width="11.5703125" customWidth="1"/>
    <col min="7" max="7" width="12.7109375" customWidth="1"/>
    <col min="8" max="8" width="13" customWidth="1"/>
  </cols>
  <sheetData>
    <row r="1" spans="1:8" x14ac:dyDescent="0.25">
      <c r="A1" s="77"/>
      <c r="B1" s="77" t="str">
        <f>+AMAZONAS!C1</f>
        <v>Vigencia: 22 de Marzo de 2025; 00:00 horas</v>
      </c>
    </row>
    <row r="2" spans="1:8" ht="15.75" thickBot="1" x14ac:dyDescent="0.3">
      <c r="A2" s="77" t="s">
        <v>162</v>
      </c>
      <c r="B2" s="77"/>
      <c r="D2" s="346"/>
      <c r="E2" s="272"/>
      <c r="G2" s="346"/>
    </row>
    <row r="3" spans="1:8" ht="15.95" customHeight="1" thickTop="1" x14ac:dyDescent="0.25">
      <c r="A3" s="125"/>
      <c r="B3" s="126" t="s">
        <v>269</v>
      </c>
      <c r="C3" s="943" t="s">
        <v>163</v>
      </c>
      <c r="D3" s="944"/>
      <c r="E3" s="944"/>
      <c r="F3" s="1009"/>
      <c r="G3" s="997" t="s">
        <v>231</v>
      </c>
      <c r="H3" s="935"/>
    </row>
    <row r="4" spans="1:8" ht="27.2" customHeight="1" x14ac:dyDescent="0.25">
      <c r="A4" s="78"/>
      <c r="B4" s="389" t="s">
        <v>459</v>
      </c>
      <c r="C4" s="1010"/>
      <c r="D4" s="1011"/>
      <c r="E4" s="1011"/>
      <c r="F4" s="1012"/>
      <c r="G4" s="998"/>
      <c r="H4" s="937"/>
    </row>
    <row r="5" spans="1:8" ht="25.9" customHeight="1" x14ac:dyDescent="0.25">
      <c r="A5" s="924" t="s">
        <v>164</v>
      </c>
      <c r="B5" s="926" t="s">
        <v>165</v>
      </c>
      <c r="C5" s="1008" t="s">
        <v>222</v>
      </c>
      <c r="D5" s="516" t="s">
        <v>96</v>
      </c>
      <c r="E5" s="516" t="s">
        <v>367</v>
      </c>
      <c r="F5" s="517" t="s">
        <v>497</v>
      </c>
      <c r="G5" s="515" t="s">
        <v>96</v>
      </c>
      <c r="H5" s="517" t="str">
        <f>+F5</f>
        <v>Biodiesel</v>
      </c>
    </row>
    <row r="6" spans="1:8" ht="22.9" customHeight="1" x14ac:dyDescent="0.25">
      <c r="A6" s="924"/>
      <c r="B6" s="926"/>
      <c r="C6" s="1008"/>
      <c r="D6" s="556" t="s">
        <v>244</v>
      </c>
      <c r="E6" s="552">
        <v>0.02</v>
      </c>
      <c r="F6" s="553">
        <v>0.1</v>
      </c>
      <c r="G6" s="556" t="s">
        <v>244</v>
      </c>
      <c r="H6" s="521">
        <f>+F6</f>
        <v>0.1</v>
      </c>
    </row>
    <row r="7" spans="1:8" x14ac:dyDescent="0.25">
      <c r="A7" s="925"/>
      <c r="B7" s="927"/>
      <c r="C7" s="515" t="s">
        <v>166</v>
      </c>
      <c r="D7" s="516" t="s">
        <v>166</v>
      </c>
      <c r="E7" s="516" t="s">
        <v>166</v>
      </c>
      <c r="F7" s="517" t="s">
        <v>166</v>
      </c>
      <c r="G7" s="515" t="s">
        <v>166</v>
      </c>
      <c r="H7" s="517" t="s">
        <v>166</v>
      </c>
    </row>
    <row r="8" spans="1:8" x14ac:dyDescent="0.25">
      <c r="A8" s="80" t="s">
        <v>167</v>
      </c>
      <c r="B8" s="86" t="s">
        <v>168</v>
      </c>
      <c r="C8" s="562">
        <f>+'Calculo IP ZDF'!B39</f>
        <v>10456.1</v>
      </c>
      <c r="D8" s="563">
        <f>+'Calculo IP ZDF'!H39</f>
        <v>11009.89</v>
      </c>
      <c r="E8" s="563">
        <f>+'Calculo IP ZDF'!F39</f>
        <v>4640.8900000000003</v>
      </c>
      <c r="F8" s="529">
        <f>+'Calculo IP ZDF'!M39</f>
        <v>5956.6459408000001</v>
      </c>
      <c r="G8" s="525">
        <f>+'IMPUESTO AL CARBONO GMR'!D9</f>
        <v>11009.89</v>
      </c>
      <c r="H8" s="529">
        <f>+BIODIESEL!F9</f>
        <v>6983.2690000000002</v>
      </c>
    </row>
    <row r="9" spans="1:8" x14ac:dyDescent="0.25">
      <c r="A9" s="80" t="s">
        <v>169</v>
      </c>
      <c r="B9" s="86" t="s">
        <v>170</v>
      </c>
      <c r="C9" s="554" t="s">
        <v>171</v>
      </c>
      <c r="D9" s="554" t="s">
        <v>171</v>
      </c>
      <c r="E9" s="554" t="s">
        <v>171</v>
      </c>
      <c r="F9" s="547" t="s">
        <v>171</v>
      </c>
      <c r="G9" s="525">
        <f>+'IMPUESTO AL CARBONO GMR'!D10</f>
        <v>686.15099999999995</v>
      </c>
      <c r="H9" s="547">
        <f>+BIODIESEL!F10</f>
        <v>656.74</v>
      </c>
    </row>
    <row r="10" spans="1:8" x14ac:dyDescent="0.25">
      <c r="A10" s="80"/>
      <c r="B10" s="86" t="s">
        <v>129</v>
      </c>
      <c r="C10" s="554" t="s">
        <v>171</v>
      </c>
      <c r="D10" s="554" t="s">
        <v>171</v>
      </c>
      <c r="E10" s="554" t="s">
        <v>171</v>
      </c>
      <c r="F10" s="547" t="s">
        <v>171</v>
      </c>
      <c r="G10" s="525" t="s">
        <v>130</v>
      </c>
      <c r="H10" s="547" t="s">
        <v>130</v>
      </c>
    </row>
    <row r="11" spans="1:8" x14ac:dyDescent="0.25">
      <c r="A11" s="80"/>
      <c r="B11" s="86" t="s">
        <v>131</v>
      </c>
      <c r="C11" s="537" t="s">
        <v>201</v>
      </c>
      <c r="D11" s="526" t="s">
        <v>201</v>
      </c>
      <c r="E11" s="554" t="s">
        <v>201</v>
      </c>
      <c r="F11" s="547" t="s">
        <v>201</v>
      </c>
      <c r="G11" s="525" t="s">
        <v>201</v>
      </c>
      <c r="H11" s="529" t="s">
        <v>201</v>
      </c>
    </row>
    <row r="12" spans="1:8" x14ac:dyDescent="0.25">
      <c r="A12" s="80" t="s">
        <v>172</v>
      </c>
      <c r="B12" s="86" t="s">
        <v>267</v>
      </c>
      <c r="C12" s="537" t="s">
        <v>200</v>
      </c>
      <c r="D12" s="526" t="s">
        <v>200</v>
      </c>
      <c r="E12" s="523" t="s">
        <v>200</v>
      </c>
      <c r="F12" s="529" t="s">
        <v>200</v>
      </c>
      <c r="G12" s="525" t="s">
        <v>200</v>
      </c>
      <c r="H12" s="529" t="s">
        <v>200</v>
      </c>
    </row>
    <row r="13" spans="1:8" x14ac:dyDescent="0.25">
      <c r="A13" s="80" t="s">
        <v>174</v>
      </c>
      <c r="B13" s="86" t="s">
        <v>175</v>
      </c>
      <c r="C13" s="537">
        <f>+RUBROS!$AL$19</f>
        <v>30.560765344237307</v>
      </c>
      <c r="D13" s="526">
        <f>+C13</f>
        <v>30.560765344237307</v>
      </c>
      <c r="E13" s="523">
        <f>+C13</f>
        <v>30.560765344237307</v>
      </c>
      <c r="F13" s="529">
        <f>+E13</f>
        <v>30.560765344237307</v>
      </c>
      <c r="G13" s="525">
        <f>+RUBROS!$AM$19</f>
        <v>30.560765344237307</v>
      </c>
      <c r="H13" s="529">
        <f>+G13</f>
        <v>30.560765344237307</v>
      </c>
    </row>
    <row r="14" spans="1:8" x14ac:dyDescent="0.25">
      <c r="A14" s="80" t="s">
        <v>178</v>
      </c>
      <c r="B14" s="86" t="s">
        <v>179</v>
      </c>
      <c r="C14" s="537">
        <f>+RUBROS!$BJ$41</f>
        <v>14.562140320021172</v>
      </c>
      <c r="D14" s="526">
        <f>+C14</f>
        <v>14.562140320021172</v>
      </c>
      <c r="E14" s="523">
        <f>+C14</f>
        <v>14.562140320021172</v>
      </c>
      <c r="F14" s="529">
        <f>+E14</f>
        <v>14.562140320021172</v>
      </c>
      <c r="G14" s="537">
        <f>+RUBROS!$BJ$41</f>
        <v>14.562140320021172</v>
      </c>
      <c r="H14" s="529">
        <f>+G14</f>
        <v>14.562140320021172</v>
      </c>
    </row>
    <row r="15" spans="1:8" hidden="1" x14ac:dyDescent="0.25">
      <c r="A15" s="80"/>
      <c r="B15" s="86" t="s">
        <v>180</v>
      </c>
      <c r="C15" s="537"/>
      <c r="D15" s="526"/>
      <c r="E15" s="526"/>
      <c r="F15" s="555"/>
      <c r="G15" s="557"/>
      <c r="H15" s="524"/>
    </row>
    <row r="16" spans="1:8" x14ac:dyDescent="0.25">
      <c r="A16" s="87" t="s">
        <v>181</v>
      </c>
      <c r="B16" s="112" t="s">
        <v>182</v>
      </c>
      <c r="C16" s="548">
        <f>SUM(C8:C15)</f>
        <v>10501.222905664257</v>
      </c>
      <c r="D16" s="549">
        <f>SUM(D8:D15)</f>
        <v>11055.012905664258</v>
      </c>
      <c r="E16" s="539">
        <f t="shared" ref="E16:G16" si="0">SUM(E8:E15)</f>
        <v>4686.0129056642591</v>
      </c>
      <c r="F16" s="540">
        <f t="shared" ref="F16" si="1">SUM(F8:F15)</f>
        <v>6001.7688464642588</v>
      </c>
      <c r="G16" s="575">
        <f t="shared" si="0"/>
        <v>11741.163905664256</v>
      </c>
      <c r="H16" s="540">
        <f t="shared" ref="H16" si="2">SUM(H8:H15)</f>
        <v>7685.1319056642587</v>
      </c>
    </row>
    <row r="17" spans="1:14" x14ac:dyDescent="0.25">
      <c r="A17" s="80" t="s">
        <v>183</v>
      </c>
      <c r="B17" s="86" t="s">
        <v>184</v>
      </c>
      <c r="C17" s="537" t="s">
        <v>213</v>
      </c>
      <c r="D17" s="526" t="s">
        <v>213</v>
      </c>
      <c r="E17" s="526" t="str">
        <f>+D17</f>
        <v>***</v>
      </c>
      <c r="F17" s="524" t="s">
        <v>213</v>
      </c>
      <c r="G17" s="522" t="s">
        <v>213</v>
      </c>
      <c r="H17" s="524" t="s">
        <v>213</v>
      </c>
    </row>
    <row r="18" spans="1:14" x14ac:dyDescent="0.25">
      <c r="A18" s="80" t="s">
        <v>185</v>
      </c>
      <c r="B18" s="86" t="s">
        <v>186</v>
      </c>
      <c r="C18" s="537" t="s">
        <v>211</v>
      </c>
      <c r="D18" s="526" t="s">
        <v>211</v>
      </c>
      <c r="E18" s="526" t="s">
        <v>211</v>
      </c>
      <c r="F18" s="529" t="s">
        <v>211</v>
      </c>
      <c r="G18" s="522" t="s">
        <v>211</v>
      </c>
      <c r="H18" s="529" t="s">
        <v>211</v>
      </c>
      <c r="J18" s="15"/>
    </row>
    <row r="19" spans="1:14" x14ac:dyDescent="0.25">
      <c r="A19" s="80" t="s">
        <v>187</v>
      </c>
      <c r="B19" s="86" t="s">
        <v>188</v>
      </c>
      <c r="C19" s="537" t="s">
        <v>215</v>
      </c>
      <c r="D19" s="526" t="s">
        <v>215</v>
      </c>
      <c r="E19" s="526" t="s">
        <v>215</v>
      </c>
      <c r="F19" s="524" t="s">
        <v>215</v>
      </c>
      <c r="G19" s="522" t="s">
        <v>215</v>
      </c>
      <c r="H19" s="524" t="s">
        <v>215</v>
      </c>
    </row>
    <row r="20" spans="1:14" x14ac:dyDescent="0.25">
      <c r="A20" s="87" t="s">
        <v>189</v>
      </c>
      <c r="B20" s="112" t="s">
        <v>190</v>
      </c>
      <c r="C20" s="548">
        <f t="shared" ref="C20:G20" si="3">+C16</f>
        <v>10501.222905664257</v>
      </c>
      <c r="D20" s="549">
        <f t="shared" ref="D20" si="4">+D16</f>
        <v>11055.012905664258</v>
      </c>
      <c r="E20" s="549">
        <f t="shared" ref="E20" si="5">+E16</f>
        <v>4686.0129056642591</v>
      </c>
      <c r="F20" s="550">
        <f t="shared" ref="F20" si="6">+F16</f>
        <v>6001.7688464642588</v>
      </c>
      <c r="G20" s="548">
        <f t="shared" si="3"/>
        <v>11741.163905664256</v>
      </c>
      <c r="H20" s="550">
        <f t="shared" ref="H20" si="7">+H16</f>
        <v>7685.1319056642587</v>
      </c>
      <c r="K20" s="15"/>
    </row>
    <row r="21" spans="1:14" x14ac:dyDescent="0.25">
      <c r="A21" s="80" t="s">
        <v>191</v>
      </c>
      <c r="B21" s="86" t="s">
        <v>150</v>
      </c>
      <c r="C21" s="537" t="s">
        <v>213</v>
      </c>
      <c r="D21" s="526" t="s">
        <v>213</v>
      </c>
      <c r="E21" s="526" t="str">
        <f>+D21</f>
        <v>***</v>
      </c>
      <c r="F21" s="524" t="s">
        <v>213</v>
      </c>
      <c r="G21" s="522" t="str">
        <f>+C21</f>
        <v>***</v>
      </c>
      <c r="H21" s="524" t="s">
        <v>213</v>
      </c>
    </row>
    <row r="22" spans="1:14" x14ac:dyDescent="0.25">
      <c r="A22" s="80" t="s">
        <v>192</v>
      </c>
      <c r="B22" s="81" t="s">
        <v>193</v>
      </c>
      <c r="C22" s="537" t="s">
        <v>217</v>
      </c>
      <c r="D22" s="524" t="s">
        <v>235</v>
      </c>
      <c r="E22" s="526" t="s">
        <v>217</v>
      </c>
      <c r="F22" s="524" t="s">
        <v>235</v>
      </c>
      <c r="G22" s="522" t="str">
        <f>+C22</f>
        <v>*****</v>
      </c>
      <c r="H22" s="524" t="s">
        <v>236</v>
      </c>
    </row>
    <row r="23" spans="1:14" x14ac:dyDescent="0.25">
      <c r="A23" s="80" t="s">
        <v>195</v>
      </c>
      <c r="B23" s="86" t="s">
        <v>271</v>
      </c>
      <c r="C23" s="537" t="s">
        <v>218</v>
      </c>
      <c r="D23" s="537" t="s">
        <v>218</v>
      </c>
      <c r="E23" s="526" t="s">
        <v>218</v>
      </c>
      <c r="F23" s="529" t="s">
        <v>218</v>
      </c>
      <c r="G23" s="522" t="s">
        <v>218</v>
      </c>
      <c r="H23" s="529" t="s">
        <v>218</v>
      </c>
    </row>
    <row r="24" spans="1:14" ht="15.75" thickBot="1" x14ac:dyDescent="0.3">
      <c r="A24" s="91" t="s">
        <v>197</v>
      </c>
      <c r="B24" s="92" t="s">
        <v>198</v>
      </c>
      <c r="C24" s="571"/>
      <c r="D24" s="572"/>
      <c r="E24" s="572"/>
      <c r="F24" s="544"/>
      <c r="G24" s="542"/>
      <c r="H24" s="544"/>
    </row>
    <row r="25" spans="1:14" ht="15.75" thickTop="1" x14ac:dyDescent="0.25"/>
    <row r="26" spans="1:14" x14ac:dyDescent="0.25">
      <c r="A26" s="99"/>
      <c r="B26" s="116" t="s">
        <v>209</v>
      </c>
      <c r="C26" s="140"/>
      <c r="D26" s="140"/>
      <c r="E26" s="140"/>
      <c r="F26" s="140"/>
      <c r="G26" s="124"/>
      <c r="H26" s="124"/>
      <c r="I26" s="124"/>
      <c r="J26" s="124"/>
      <c r="L26" s="124"/>
      <c r="M26" s="124"/>
      <c r="N26" s="124"/>
    </row>
    <row r="27" spans="1:14" x14ac:dyDescent="0.25">
      <c r="A27" s="99"/>
      <c r="B27" s="116"/>
      <c r="C27" s="140"/>
      <c r="D27" s="140"/>
      <c r="E27" s="140"/>
      <c r="F27" s="140"/>
      <c r="G27" s="124"/>
      <c r="H27" s="124"/>
      <c r="I27" s="124"/>
      <c r="J27" s="124"/>
      <c r="K27" s="124"/>
      <c r="L27" s="124"/>
      <c r="M27" s="124"/>
      <c r="N27" s="124"/>
    </row>
    <row r="28" spans="1:14" ht="55.5" customHeight="1" x14ac:dyDescent="0.25">
      <c r="A28" s="99" t="s">
        <v>173</v>
      </c>
      <c r="B28" s="933" t="str">
        <f>+AMAZONAS!B28</f>
        <v>De acuerdo con lo establecido en la Resoluccion 91349 de 2014 del MME para combustible de origen nacional o importado a ser distribuido en zonas de frontera, aplica la tarifa de marcación o remarcación vigente a la fecha según corresponda</v>
      </c>
      <c r="C28" s="933"/>
      <c r="D28" s="933"/>
      <c r="E28" s="933"/>
      <c r="F28" s="933"/>
      <c r="G28" s="933"/>
      <c r="H28" s="933"/>
      <c r="I28" s="141"/>
      <c r="J28" s="141"/>
      <c r="K28" s="141"/>
      <c r="L28" s="141"/>
      <c r="M28" s="141"/>
      <c r="N28" s="141"/>
    </row>
    <row r="29" spans="1:14" ht="26.45" customHeight="1" x14ac:dyDescent="0.25">
      <c r="A29" s="99" t="s">
        <v>200</v>
      </c>
      <c r="B29" s="915" t="s">
        <v>250</v>
      </c>
      <c r="C29" s="915"/>
      <c r="D29" s="915"/>
      <c r="E29" s="915"/>
      <c r="F29" s="915"/>
      <c r="G29" s="915"/>
      <c r="H29" s="915"/>
      <c r="I29" s="124"/>
      <c r="J29" s="124"/>
      <c r="K29" s="124"/>
      <c r="L29" s="124"/>
      <c r="M29" s="124"/>
      <c r="N29" s="124"/>
    </row>
    <row r="30" spans="1:14" ht="54.75" customHeight="1" x14ac:dyDescent="0.25">
      <c r="A30" s="99" t="s">
        <v>130</v>
      </c>
      <c r="B30" s="933" t="s">
        <v>306</v>
      </c>
      <c r="C30" s="933"/>
      <c r="D30" s="933"/>
      <c r="E30" s="933"/>
      <c r="F30" s="933"/>
      <c r="G30" s="933"/>
      <c r="H30" s="933"/>
      <c r="I30" s="124"/>
      <c r="J30" s="124"/>
      <c r="K30" s="124"/>
      <c r="L30" s="124"/>
      <c r="M30" s="124"/>
      <c r="N30" s="124"/>
    </row>
    <row r="31" spans="1:14" ht="54.75" customHeight="1" x14ac:dyDescent="0.25">
      <c r="A31" s="99" t="s">
        <v>201</v>
      </c>
      <c r="B31" s="932" t="s">
        <v>373</v>
      </c>
      <c r="C31" s="932"/>
      <c r="D31" s="932"/>
      <c r="E31" s="932"/>
      <c r="F31" s="932"/>
      <c r="G31" s="932"/>
      <c r="H31" s="932"/>
      <c r="I31" s="124"/>
      <c r="J31" s="124"/>
      <c r="K31" s="124"/>
      <c r="L31" s="124"/>
      <c r="M31" s="124"/>
      <c r="N31" s="124"/>
    </row>
    <row r="32" spans="1:14" ht="15" customHeight="1" x14ac:dyDescent="0.25">
      <c r="A32" s="117" t="s">
        <v>102</v>
      </c>
      <c r="B32" s="914" t="s">
        <v>210</v>
      </c>
      <c r="C32" s="914"/>
      <c r="D32" s="914"/>
      <c r="E32" s="914"/>
      <c r="F32" s="914"/>
      <c r="G32" s="914"/>
      <c r="H32" s="914"/>
      <c r="I32" s="124"/>
      <c r="J32" s="124"/>
      <c r="K32" s="124"/>
      <c r="L32" s="124"/>
      <c r="M32" s="124"/>
      <c r="N32" s="124"/>
    </row>
    <row r="33" spans="1:14" ht="15" customHeight="1" x14ac:dyDescent="0.25">
      <c r="A33" s="117" t="s">
        <v>211</v>
      </c>
      <c r="B33" s="933" t="s">
        <v>270</v>
      </c>
      <c r="C33" s="933"/>
      <c r="D33" s="933"/>
      <c r="E33" s="933"/>
      <c r="F33" s="933"/>
      <c r="G33" s="933"/>
      <c r="H33" s="933"/>
      <c r="I33" s="124"/>
      <c r="J33" s="124"/>
      <c r="K33" s="124"/>
      <c r="L33" s="124"/>
      <c r="M33" s="124"/>
      <c r="N33" s="124"/>
    </row>
    <row r="34" spans="1:14" ht="15" customHeight="1" x14ac:dyDescent="0.25">
      <c r="A34" s="99" t="s">
        <v>213</v>
      </c>
      <c r="B34" s="933" t="s">
        <v>214</v>
      </c>
      <c r="C34" s="933"/>
      <c r="D34" s="933"/>
      <c r="E34" s="933"/>
      <c r="F34" s="933"/>
      <c r="G34" s="933"/>
      <c r="H34" s="914"/>
      <c r="I34" s="914"/>
      <c r="J34" s="914"/>
      <c r="K34" s="914"/>
      <c r="L34" s="914"/>
      <c r="M34" s="914"/>
      <c r="N34" s="914"/>
    </row>
    <row r="35" spans="1:14" ht="15" customHeight="1" x14ac:dyDescent="0.25">
      <c r="A35" s="99" t="s">
        <v>215</v>
      </c>
      <c r="B35" s="914" t="s">
        <v>420</v>
      </c>
      <c r="C35" s="914"/>
      <c r="D35" s="914"/>
      <c r="E35" s="914"/>
      <c r="F35" s="914"/>
      <c r="G35" s="914"/>
      <c r="H35" s="100"/>
      <c r="I35" s="100"/>
      <c r="J35" s="100"/>
      <c r="K35" s="100"/>
      <c r="L35" s="100"/>
      <c r="M35" s="100"/>
      <c r="N35" s="100"/>
    </row>
    <row r="36" spans="1:14" ht="26.45" customHeight="1" x14ac:dyDescent="0.25">
      <c r="A36" s="117" t="s">
        <v>217</v>
      </c>
      <c r="B36" s="933" t="s">
        <v>219</v>
      </c>
      <c r="C36" s="933"/>
      <c r="D36" s="933"/>
      <c r="E36" s="933"/>
      <c r="F36" s="933"/>
      <c r="G36" s="933"/>
      <c r="H36" s="933"/>
      <c r="I36" s="124"/>
      <c r="J36" s="124"/>
      <c r="K36" s="124"/>
      <c r="L36" s="124"/>
      <c r="M36" s="124"/>
      <c r="N36" s="124"/>
    </row>
    <row r="37" spans="1:14" ht="25.5" x14ac:dyDescent="0.25">
      <c r="A37" s="117" t="s">
        <v>218</v>
      </c>
      <c r="B37" s="933" t="s">
        <v>272</v>
      </c>
      <c r="C37" s="933"/>
      <c r="D37" s="933"/>
      <c r="E37" s="933"/>
      <c r="F37" s="933"/>
      <c r="G37" s="933"/>
      <c r="H37" s="933"/>
      <c r="I37" s="124"/>
      <c r="J37" s="124"/>
      <c r="K37" s="124"/>
      <c r="L37" s="124"/>
      <c r="M37" s="124"/>
      <c r="N37" s="124"/>
    </row>
    <row r="38" spans="1:14" x14ac:dyDescent="0.25">
      <c r="B38" s="1004" t="s">
        <v>410</v>
      </c>
      <c r="C38" s="1004"/>
      <c r="D38" s="1004"/>
      <c r="E38" s="1004"/>
      <c r="F38" s="1004"/>
      <c r="G38" s="1004"/>
    </row>
    <row r="39" spans="1:14" ht="87.95" customHeight="1" x14ac:dyDescent="0.25">
      <c r="B39" s="917" t="s">
        <v>137</v>
      </c>
      <c r="C39" s="917"/>
      <c r="D39" s="917"/>
      <c r="E39" s="917"/>
      <c r="F39" s="917"/>
      <c r="G39" s="917"/>
      <c r="H39" s="917"/>
      <c r="I39" s="917"/>
    </row>
  </sheetData>
  <sheetProtection algorithmName="SHA-512" hashValue="/ohAXpGNiPuKvGChdx4ppBjyhSSrCxO53MQ0ZwH1si43YukPziZv5grRpPZ+XckVklfqdvR3CUb3WhRrmqHPAw==" saltValue="MfAL+f36OyP2t+KkUngGxQ==" spinCount="100000" sheet="1" objects="1" scenarios="1"/>
  <mergeCells count="18">
    <mergeCell ref="B28:H28"/>
    <mergeCell ref="A5:A7"/>
    <mergeCell ref="B5:B7"/>
    <mergeCell ref="C5:C6"/>
    <mergeCell ref="G3:H4"/>
    <mergeCell ref="C3:F4"/>
    <mergeCell ref="B35:G35"/>
    <mergeCell ref="B36:H36"/>
    <mergeCell ref="B37:H37"/>
    <mergeCell ref="B39:I39"/>
    <mergeCell ref="B29:H29"/>
    <mergeCell ref="B30:H30"/>
    <mergeCell ref="B32:H32"/>
    <mergeCell ref="B33:H33"/>
    <mergeCell ref="B34:G34"/>
    <mergeCell ref="H34:N34"/>
    <mergeCell ref="B31:H31"/>
    <mergeCell ref="B38:G38"/>
  </mergeCells>
  <hyperlinks>
    <hyperlink ref="B26" location="VAUPES!A40" display="Ver Nota Informativa" xr:uid="{00000000-0004-0000-1400-000000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65"/>
  <sheetViews>
    <sheetView showGridLines="0" zoomScale="80" zoomScaleNormal="80" workbookViewId="0">
      <selection activeCell="B55" sqref="B55:H55"/>
    </sheetView>
  </sheetViews>
  <sheetFormatPr baseColWidth="10" defaultRowHeight="15" x14ac:dyDescent="0.25"/>
  <cols>
    <col min="1" max="1" width="7.5703125" customWidth="1"/>
    <col min="2" max="2" width="47.140625" customWidth="1"/>
    <col min="3" max="3" width="13.28515625" customWidth="1"/>
    <col min="4" max="4" width="14.5703125" customWidth="1"/>
    <col min="5" max="5" width="13.85546875" customWidth="1"/>
    <col min="6" max="6" width="14" customWidth="1"/>
    <col min="7" max="7" width="13.28515625" customWidth="1"/>
    <col min="8" max="8" width="15.140625" customWidth="1"/>
  </cols>
  <sheetData>
    <row r="1" spans="1:8" x14ac:dyDescent="0.25">
      <c r="A1" s="77"/>
      <c r="B1" s="77" t="str">
        <f>+AMAZONAS!C1</f>
        <v>Vigencia: 22 de Marzo de 2025; 00:00 horas</v>
      </c>
    </row>
    <row r="2" spans="1:8" ht="15.75" thickBot="1" x14ac:dyDescent="0.3">
      <c r="A2" s="77" t="s">
        <v>162</v>
      </c>
      <c r="B2" s="77"/>
      <c r="D2" s="346"/>
      <c r="G2" s="346"/>
    </row>
    <row r="3" spans="1:8" ht="15.95" customHeight="1" thickTop="1" x14ac:dyDescent="0.25">
      <c r="A3" s="125"/>
      <c r="B3" s="126" t="s">
        <v>457</v>
      </c>
      <c r="C3" s="943" t="s">
        <v>163</v>
      </c>
      <c r="D3" s="944"/>
      <c r="E3" s="944"/>
      <c r="F3" s="1009"/>
      <c r="G3" s="934" t="s">
        <v>679</v>
      </c>
      <c r="H3" s="935"/>
    </row>
    <row r="4" spans="1:8" ht="24.6" customHeight="1" x14ac:dyDescent="0.25">
      <c r="A4" s="78"/>
      <c r="B4" s="389" t="s">
        <v>459</v>
      </c>
      <c r="C4" s="1010"/>
      <c r="D4" s="1011"/>
      <c r="E4" s="1011"/>
      <c r="F4" s="1012"/>
      <c r="G4" s="936"/>
      <c r="H4" s="937"/>
    </row>
    <row r="5" spans="1:8" ht="22.7" customHeight="1" x14ac:dyDescent="0.25">
      <c r="A5" s="924" t="s">
        <v>164</v>
      </c>
      <c r="B5" s="926" t="s">
        <v>165</v>
      </c>
      <c r="C5" s="1008" t="s">
        <v>222</v>
      </c>
      <c r="D5" s="516" t="s">
        <v>96</v>
      </c>
      <c r="E5" s="516" t="s">
        <v>367</v>
      </c>
      <c r="F5" s="517" t="s">
        <v>497</v>
      </c>
      <c r="G5" s="516" t="s">
        <v>96</v>
      </c>
      <c r="H5" s="517" t="s">
        <v>497</v>
      </c>
    </row>
    <row r="6" spans="1:8" ht="20.45" customHeight="1" x14ac:dyDescent="0.25">
      <c r="A6" s="924"/>
      <c r="B6" s="926"/>
      <c r="C6" s="1008"/>
      <c r="D6" s="556" t="s">
        <v>244</v>
      </c>
      <c r="E6" s="552">
        <v>0.02</v>
      </c>
      <c r="F6" s="553">
        <v>0.1</v>
      </c>
      <c r="G6" s="556" t="s">
        <v>244</v>
      </c>
      <c r="H6" s="553">
        <v>0.1</v>
      </c>
    </row>
    <row r="7" spans="1:8" ht="19.149999999999999" customHeight="1" x14ac:dyDescent="0.25">
      <c r="A7" s="925"/>
      <c r="B7" s="927"/>
      <c r="C7" s="515" t="s">
        <v>166</v>
      </c>
      <c r="D7" s="516" t="s">
        <v>166</v>
      </c>
      <c r="E7" s="516" t="s">
        <v>166</v>
      </c>
      <c r="F7" s="517" t="s">
        <v>166</v>
      </c>
      <c r="G7" s="516" t="s">
        <v>166</v>
      </c>
      <c r="H7" s="517" t="s">
        <v>166</v>
      </c>
    </row>
    <row r="8" spans="1:8" ht="23.45" customHeight="1" x14ac:dyDescent="0.25">
      <c r="A8" s="80" t="s">
        <v>167</v>
      </c>
      <c r="B8" s="86" t="s">
        <v>168</v>
      </c>
      <c r="C8" s="562">
        <f>+'Calculo IP ZDF'!B40</f>
        <v>10456.1</v>
      </c>
      <c r="D8" s="563">
        <f>+'Calculo IP ZDF'!H40</f>
        <v>11009.89</v>
      </c>
      <c r="E8" s="563">
        <f>+'Calculo IP ZDF'!F40</f>
        <v>4387.6000000000004</v>
      </c>
      <c r="F8" s="529">
        <f>+'Calculo IP ZDF'!M40</f>
        <v>5724.0363183999998</v>
      </c>
      <c r="G8" s="528">
        <f>+'IMPUESTO AL CARBONO GMR'!D9</f>
        <v>11009.89</v>
      </c>
      <c r="H8" s="529">
        <f>+BIODIESEL!F9</f>
        <v>6983.2690000000002</v>
      </c>
    </row>
    <row r="9" spans="1:8" ht="15.6" customHeight="1" x14ac:dyDescent="0.25">
      <c r="A9" s="80" t="s">
        <v>169</v>
      </c>
      <c r="B9" s="86" t="s">
        <v>170</v>
      </c>
      <c r="C9" s="546" t="s">
        <v>171</v>
      </c>
      <c r="D9" s="546" t="s">
        <v>171</v>
      </c>
      <c r="E9" s="554" t="s">
        <v>171</v>
      </c>
      <c r="F9" s="529" t="s">
        <v>171</v>
      </c>
      <c r="G9" s="528">
        <f>+'IMPUESTO AL CARBONO GMR'!D10</f>
        <v>686.15099999999995</v>
      </c>
      <c r="H9" s="547">
        <f>+BIODIESEL!F10</f>
        <v>656.74</v>
      </c>
    </row>
    <row r="10" spans="1:8" ht="18" customHeight="1" x14ac:dyDescent="0.25">
      <c r="A10" s="80"/>
      <c r="B10" s="86" t="s">
        <v>129</v>
      </c>
      <c r="C10" s="546" t="s">
        <v>171</v>
      </c>
      <c r="D10" s="546" t="s">
        <v>171</v>
      </c>
      <c r="E10" s="554" t="s">
        <v>171</v>
      </c>
      <c r="F10" s="529" t="s">
        <v>171</v>
      </c>
      <c r="G10" s="566" t="s">
        <v>130</v>
      </c>
      <c r="H10" s="582" t="s">
        <v>130</v>
      </c>
    </row>
    <row r="11" spans="1:8" x14ac:dyDescent="0.25">
      <c r="A11" s="80"/>
      <c r="B11" s="86" t="s">
        <v>131</v>
      </c>
      <c r="C11" s="537" t="s">
        <v>201</v>
      </c>
      <c r="D11" s="526" t="s">
        <v>201</v>
      </c>
      <c r="E11" s="554" t="s">
        <v>201</v>
      </c>
      <c r="F11" s="529" t="s">
        <v>201</v>
      </c>
      <c r="G11" s="566" t="s">
        <v>201</v>
      </c>
      <c r="H11" s="570" t="s">
        <v>201</v>
      </c>
    </row>
    <row r="12" spans="1:8" x14ac:dyDescent="0.25">
      <c r="A12" s="80" t="s">
        <v>172</v>
      </c>
      <c r="B12" s="86" t="s">
        <v>267</v>
      </c>
      <c r="C12" s="537" t="s">
        <v>200</v>
      </c>
      <c r="D12" s="526" t="s">
        <v>200</v>
      </c>
      <c r="E12" s="523" t="s">
        <v>200</v>
      </c>
      <c r="F12" s="529" t="s">
        <v>200</v>
      </c>
      <c r="G12" s="566" t="s">
        <v>200</v>
      </c>
      <c r="H12" s="570" t="s">
        <v>200</v>
      </c>
    </row>
    <row r="13" spans="1:8" x14ac:dyDescent="0.25">
      <c r="A13" s="80" t="s">
        <v>174</v>
      </c>
      <c r="B13" s="86" t="s">
        <v>175</v>
      </c>
      <c r="C13" s="537">
        <f>+RUBROS!$AL$20</f>
        <v>14.131844167840523</v>
      </c>
      <c r="D13" s="537">
        <f>+RUBROS!$AL$20</f>
        <v>14.131844167840523</v>
      </c>
      <c r="E13" s="537">
        <f>+RUBROS!$AL$20</f>
        <v>14.131844167840523</v>
      </c>
      <c r="F13" s="537">
        <f>+RUBROS!$AL$20</f>
        <v>14.131844167840523</v>
      </c>
      <c r="G13" s="528">
        <f>+RUBROS!$AM$20</f>
        <v>30.560765344237307</v>
      </c>
      <c r="H13" s="528">
        <f>+RUBROS!$AM$20</f>
        <v>30.560765344237307</v>
      </c>
    </row>
    <row r="14" spans="1:8" x14ac:dyDescent="0.25">
      <c r="A14" s="80" t="s">
        <v>178</v>
      </c>
      <c r="B14" s="86" t="s">
        <v>179</v>
      </c>
      <c r="C14" s="537">
        <f>+RUBROS!$BJ$31</f>
        <v>14.562140320021172</v>
      </c>
      <c r="D14" s="537">
        <f>+RUBROS!$BJ$31</f>
        <v>14.562140320021172</v>
      </c>
      <c r="E14" s="537">
        <f>+RUBROS!$BJ$31</f>
        <v>14.562140320021172</v>
      </c>
      <c r="F14" s="537">
        <f>+RUBROS!$BJ$31</f>
        <v>14.562140320021172</v>
      </c>
      <c r="G14" s="537">
        <f>+RUBROS!$BJ$31</f>
        <v>14.562140320021172</v>
      </c>
      <c r="H14" s="537">
        <f>+RUBROS!$BJ$31</f>
        <v>14.562140320021172</v>
      </c>
    </row>
    <row r="15" spans="1:8" hidden="1" x14ac:dyDescent="0.25">
      <c r="A15" s="80"/>
      <c r="B15" s="86" t="s">
        <v>180</v>
      </c>
      <c r="C15" s="537"/>
      <c r="D15" s="526"/>
      <c r="E15" s="526"/>
      <c r="F15" s="524"/>
      <c r="G15" s="583"/>
      <c r="H15" s="524"/>
    </row>
    <row r="16" spans="1:8" x14ac:dyDescent="0.25">
      <c r="A16" s="87" t="s">
        <v>181</v>
      </c>
      <c r="B16" s="112" t="s">
        <v>182</v>
      </c>
      <c r="C16" s="576">
        <f>SUM(C8:C15)</f>
        <v>10484.793984487864</v>
      </c>
      <c r="D16" s="577">
        <f>SUM(D8:D15)</f>
        <v>11038.583984487861</v>
      </c>
      <c r="E16" s="577">
        <f t="shared" ref="E16:G16" si="0">SUM(E8:E15)</f>
        <v>4416.293984487862</v>
      </c>
      <c r="F16" s="559">
        <f t="shared" ref="F16" si="1">SUM(F8:F15)</f>
        <v>5752.7303028878614</v>
      </c>
      <c r="G16" s="558">
        <f t="shared" si="0"/>
        <v>11741.163905664256</v>
      </c>
      <c r="H16" s="559">
        <f t="shared" ref="H16" si="2">SUM(H8:H15)</f>
        <v>7685.1319056642587</v>
      </c>
    </row>
    <row r="17" spans="1:9" x14ac:dyDescent="0.25">
      <c r="A17" s="80" t="s">
        <v>183</v>
      </c>
      <c r="B17" s="86" t="s">
        <v>184</v>
      </c>
      <c r="C17" s="537" t="s">
        <v>213</v>
      </c>
      <c r="D17" s="526" t="s">
        <v>213</v>
      </c>
      <c r="E17" s="526" t="s">
        <v>213</v>
      </c>
      <c r="F17" s="524" t="s">
        <v>213</v>
      </c>
      <c r="G17" s="523" t="s">
        <v>213</v>
      </c>
      <c r="H17" s="524" t="s">
        <v>213</v>
      </c>
    </row>
    <row r="18" spans="1:9" x14ac:dyDescent="0.25">
      <c r="A18" s="80" t="s">
        <v>185</v>
      </c>
      <c r="B18" s="86" t="s">
        <v>186</v>
      </c>
      <c r="C18" s="537" t="s">
        <v>211</v>
      </c>
      <c r="D18" s="526" t="s">
        <v>211</v>
      </c>
      <c r="E18" s="526" t="s">
        <v>211</v>
      </c>
      <c r="F18" s="524" t="s">
        <v>211</v>
      </c>
      <c r="G18" s="523" t="s">
        <v>211</v>
      </c>
      <c r="H18" s="529" t="s">
        <v>211</v>
      </c>
    </row>
    <row r="19" spans="1:9" x14ac:dyDescent="0.25">
      <c r="A19" s="80" t="s">
        <v>187</v>
      </c>
      <c r="B19" s="86" t="s">
        <v>188</v>
      </c>
      <c r="C19" s="537" t="s">
        <v>215</v>
      </c>
      <c r="D19" s="526" t="s">
        <v>215</v>
      </c>
      <c r="E19" s="526" t="s">
        <v>215</v>
      </c>
      <c r="F19" s="524" t="s">
        <v>215</v>
      </c>
      <c r="G19" s="523" t="s">
        <v>215</v>
      </c>
      <c r="H19" s="524" t="s">
        <v>215</v>
      </c>
    </row>
    <row r="20" spans="1:9" x14ac:dyDescent="0.25">
      <c r="A20" s="87" t="s">
        <v>189</v>
      </c>
      <c r="B20" s="112" t="s">
        <v>190</v>
      </c>
      <c r="C20" s="576">
        <f t="shared" ref="C20" si="3">+C16</f>
        <v>10484.793984487864</v>
      </c>
      <c r="D20" s="577">
        <f t="shared" ref="D20" si="4">+D16</f>
        <v>11038.583984487861</v>
      </c>
      <c r="E20" s="577">
        <f t="shared" ref="E20" si="5">+E16</f>
        <v>4416.293984487862</v>
      </c>
      <c r="F20" s="578">
        <f t="shared" ref="F20" si="6">+F16</f>
        <v>5752.7303028878614</v>
      </c>
      <c r="G20" s="577">
        <f t="shared" ref="G20" si="7">+G16</f>
        <v>11741.163905664256</v>
      </c>
      <c r="H20" s="578">
        <f t="shared" ref="H20" si="8">+H16</f>
        <v>7685.1319056642587</v>
      </c>
      <c r="I20" s="15"/>
    </row>
    <row r="21" spans="1:9" x14ac:dyDescent="0.25">
      <c r="A21" s="80" t="s">
        <v>191</v>
      </c>
      <c r="B21" s="86" t="s">
        <v>150</v>
      </c>
      <c r="C21" s="537" t="s">
        <v>213</v>
      </c>
      <c r="D21" s="526" t="s">
        <v>213</v>
      </c>
      <c r="E21" s="526" t="str">
        <f>+D21</f>
        <v>***</v>
      </c>
      <c r="F21" s="524" t="s">
        <v>213</v>
      </c>
      <c r="G21" s="523" t="s">
        <v>213</v>
      </c>
      <c r="H21" s="524" t="s">
        <v>213</v>
      </c>
    </row>
    <row r="22" spans="1:9" x14ac:dyDescent="0.25">
      <c r="A22" s="80" t="s">
        <v>192</v>
      </c>
      <c r="B22" s="81" t="s">
        <v>193</v>
      </c>
      <c r="C22" s="537" t="s">
        <v>217</v>
      </c>
      <c r="D22" s="524" t="s">
        <v>194</v>
      </c>
      <c r="E22" s="526" t="s">
        <v>217</v>
      </c>
      <c r="F22" s="524" t="s">
        <v>194</v>
      </c>
      <c r="G22" s="523" t="str">
        <f>+D22</f>
        <v>N.A</v>
      </c>
      <c r="H22" s="524" t="s">
        <v>236</v>
      </c>
    </row>
    <row r="23" spans="1:9" x14ac:dyDescent="0.25">
      <c r="A23" s="80" t="s">
        <v>195</v>
      </c>
      <c r="B23" s="86" t="s">
        <v>271</v>
      </c>
      <c r="C23" s="537" t="s">
        <v>218</v>
      </c>
      <c r="D23" s="526" t="s">
        <v>218</v>
      </c>
      <c r="E23" s="526" t="s">
        <v>218</v>
      </c>
      <c r="F23" s="529" t="s">
        <v>218</v>
      </c>
      <c r="G23" s="523" t="s">
        <v>218</v>
      </c>
      <c r="H23" s="529" t="s">
        <v>218</v>
      </c>
    </row>
    <row r="24" spans="1:9" ht="15.75" thickBot="1" x14ac:dyDescent="0.3">
      <c r="A24" s="91" t="s">
        <v>197</v>
      </c>
      <c r="B24" s="92" t="s">
        <v>198</v>
      </c>
      <c r="C24" s="571"/>
      <c r="D24" s="572"/>
      <c r="E24" s="579"/>
      <c r="F24" s="544"/>
      <c r="G24" s="543"/>
      <c r="H24" s="544"/>
    </row>
    <row r="25" spans="1:9" ht="15.75" thickTop="1" x14ac:dyDescent="0.25"/>
    <row r="26" spans="1:9" ht="15.75" thickBot="1" x14ac:dyDescent="0.3"/>
    <row r="27" spans="1:9" ht="18.600000000000001" customHeight="1" thickTop="1" x14ac:dyDescent="0.25">
      <c r="A27" s="125"/>
      <c r="B27" s="126" t="s">
        <v>442</v>
      </c>
      <c r="C27" s="943" t="s">
        <v>163</v>
      </c>
      <c r="D27" s="944"/>
      <c r="E27" s="944"/>
      <c r="F27" s="1009"/>
      <c r="G27" s="934" t="s">
        <v>679</v>
      </c>
      <c r="H27" s="935"/>
    </row>
    <row r="28" spans="1:9" ht="25.5" x14ac:dyDescent="0.25">
      <c r="A28" s="78"/>
      <c r="B28" s="389" t="s">
        <v>459</v>
      </c>
      <c r="C28" s="1010"/>
      <c r="D28" s="1011"/>
      <c r="E28" s="1011"/>
      <c r="F28" s="1012"/>
      <c r="G28" s="936"/>
      <c r="H28" s="937"/>
    </row>
    <row r="29" spans="1:9" ht="29.45" customHeight="1" x14ac:dyDescent="0.25">
      <c r="A29" s="924" t="s">
        <v>164</v>
      </c>
      <c r="B29" s="926" t="s">
        <v>165</v>
      </c>
      <c r="C29" s="1008" t="s">
        <v>222</v>
      </c>
      <c r="D29" s="516" t="s">
        <v>96</v>
      </c>
      <c r="E29" s="516" t="s">
        <v>367</v>
      </c>
      <c r="F29" s="517" t="s">
        <v>372</v>
      </c>
      <c r="G29" s="516" t="s">
        <v>96</v>
      </c>
      <c r="H29" s="517" t="s">
        <v>372</v>
      </c>
    </row>
    <row r="30" spans="1:9" ht="18" customHeight="1" x14ac:dyDescent="0.25">
      <c r="A30" s="924"/>
      <c r="B30" s="926"/>
      <c r="C30" s="1008"/>
      <c r="D30" s="556" t="s">
        <v>244</v>
      </c>
      <c r="E30" s="552">
        <v>0.02</v>
      </c>
      <c r="F30" s="553">
        <v>0.1</v>
      </c>
      <c r="G30" s="556" t="s">
        <v>244</v>
      </c>
      <c r="H30" s="553">
        <v>0.1</v>
      </c>
    </row>
    <row r="31" spans="1:9" ht="22.15" customHeight="1" x14ac:dyDescent="0.25">
      <c r="A31" s="925"/>
      <c r="B31" s="927"/>
      <c r="C31" s="515" t="s">
        <v>166</v>
      </c>
      <c r="D31" s="516" t="s">
        <v>166</v>
      </c>
      <c r="E31" s="516" t="s">
        <v>166</v>
      </c>
      <c r="F31" s="517" t="s">
        <v>166</v>
      </c>
      <c r="G31" s="516" t="s">
        <v>166</v>
      </c>
      <c r="H31" s="517" t="s">
        <v>166</v>
      </c>
    </row>
    <row r="32" spans="1:9" ht="18" customHeight="1" x14ac:dyDescent="0.25">
      <c r="A32" s="80" t="s">
        <v>167</v>
      </c>
      <c r="B32" s="86" t="s">
        <v>168</v>
      </c>
      <c r="C32" s="562">
        <f>+'Calculo IP ZDF'!B41</f>
        <v>10456.1</v>
      </c>
      <c r="D32" s="563">
        <f>+'Calculo IP ZDF'!H41</f>
        <v>11009.89</v>
      </c>
      <c r="E32" s="563">
        <f>+'Calculo IP ZDF'!F41</f>
        <v>4556.9900000000007</v>
      </c>
      <c r="F32" s="529">
        <f>+'Calculo IP ZDF'!M41</f>
        <v>5879.6001376000004</v>
      </c>
      <c r="G32" s="528">
        <f>+'IMPUESTO AL CARBONO GMR'!D9</f>
        <v>11009.89</v>
      </c>
      <c r="H32" s="529">
        <f>+H8</f>
        <v>6983.2690000000002</v>
      </c>
    </row>
    <row r="33" spans="1:8" ht="18" customHeight="1" x14ac:dyDescent="0.25">
      <c r="A33" s="80" t="s">
        <v>169</v>
      </c>
      <c r="B33" s="86" t="s">
        <v>170</v>
      </c>
      <c r="C33" s="562" t="str">
        <f t="shared" ref="C33:G39" si="9">+C9</f>
        <v>------------------</v>
      </c>
      <c r="D33" s="563" t="s">
        <v>171</v>
      </c>
      <c r="E33" s="563" t="s">
        <v>171</v>
      </c>
      <c r="F33" s="529" t="s">
        <v>171</v>
      </c>
      <c r="G33" s="528">
        <f>+'IMPUESTO AL CARBONO GMR'!D10</f>
        <v>686.15099999999995</v>
      </c>
      <c r="H33" s="529">
        <f t="shared" ref="H33" si="10">+H9</f>
        <v>656.74</v>
      </c>
    </row>
    <row r="34" spans="1:8" ht="18" customHeight="1" x14ac:dyDescent="0.25">
      <c r="A34" s="80"/>
      <c r="B34" s="86" t="s">
        <v>129</v>
      </c>
      <c r="C34" s="562" t="str">
        <f t="shared" si="9"/>
        <v>------------------</v>
      </c>
      <c r="D34" s="563" t="s">
        <v>171</v>
      </c>
      <c r="E34" s="563" t="s">
        <v>171</v>
      </c>
      <c r="F34" s="529" t="s">
        <v>171</v>
      </c>
      <c r="G34" s="566" t="str">
        <f t="shared" si="9"/>
        <v>(3)</v>
      </c>
      <c r="H34" s="582" t="str">
        <f t="shared" ref="H34" si="11">+H10</f>
        <v>(3)</v>
      </c>
    </row>
    <row r="35" spans="1:8" ht="18" customHeight="1" x14ac:dyDescent="0.25">
      <c r="A35" s="80"/>
      <c r="B35" s="86" t="s">
        <v>131</v>
      </c>
      <c r="C35" s="580" t="str">
        <f t="shared" si="9"/>
        <v>(4)</v>
      </c>
      <c r="D35" s="581" t="s">
        <v>201</v>
      </c>
      <c r="E35" s="581" t="s">
        <v>201</v>
      </c>
      <c r="F35" s="529" t="str">
        <f t="shared" ref="F35" si="12">+F11</f>
        <v>(4)</v>
      </c>
      <c r="G35" s="566" t="str">
        <f t="shared" si="9"/>
        <v>(4)</v>
      </c>
      <c r="H35" s="570" t="str">
        <f t="shared" ref="H35" si="13">+H11</f>
        <v>(4)</v>
      </c>
    </row>
    <row r="36" spans="1:8" ht="18" customHeight="1" x14ac:dyDescent="0.25">
      <c r="A36" s="80" t="s">
        <v>172</v>
      </c>
      <c r="B36" s="86" t="s">
        <v>267</v>
      </c>
      <c r="C36" s="580" t="str">
        <f t="shared" si="9"/>
        <v>(2)</v>
      </c>
      <c r="D36" s="581" t="s">
        <v>200</v>
      </c>
      <c r="E36" s="581" t="s">
        <v>200</v>
      </c>
      <c r="F36" s="529" t="str">
        <f t="shared" ref="F36" si="14">+F12</f>
        <v>(2)</v>
      </c>
      <c r="G36" s="566" t="str">
        <f t="shared" si="9"/>
        <v>(2)</v>
      </c>
      <c r="H36" s="570" t="str">
        <f t="shared" ref="H36" si="15">+H12</f>
        <v>(2)</v>
      </c>
    </row>
    <row r="37" spans="1:8" ht="18" customHeight="1" x14ac:dyDescent="0.25">
      <c r="A37" s="80" t="s">
        <v>174</v>
      </c>
      <c r="B37" s="86" t="s">
        <v>175</v>
      </c>
      <c r="C37" s="562">
        <f t="shared" si="9"/>
        <v>14.131844167840523</v>
      </c>
      <c r="D37" s="563">
        <f t="shared" ref="D37" si="16">+D13</f>
        <v>14.131844167840523</v>
      </c>
      <c r="E37" s="563">
        <f>+C37</f>
        <v>14.131844167840523</v>
      </c>
      <c r="F37" s="529">
        <f t="shared" ref="F37" si="17">+F13</f>
        <v>14.131844167840523</v>
      </c>
      <c r="G37" s="528">
        <f t="shared" si="9"/>
        <v>30.560765344237307</v>
      </c>
      <c r="H37" s="529">
        <f t="shared" ref="H37" si="18">+H13</f>
        <v>30.560765344237307</v>
      </c>
    </row>
    <row r="38" spans="1:8" ht="18" customHeight="1" x14ac:dyDescent="0.25">
      <c r="A38" s="80" t="s">
        <v>178</v>
      </c>
      <c r="B38" s="86" t="s">
        <v>179</v>
      </c>
      <c r="C38" s="562">
        <f t="shared" si="9"/>
        <v>14.562140320021172</v>
      </c>
      <c r="D38" s="563">
        <f t="shared" ref="D38" si="19">+D14</f>
        <v>14.562140320021172</v>
      </c>
      <c r="E38" s="563">
        <f>+C38</f>
        <v>14.562140320021172</v>
      </c>
      <c r="F38" s="529">
        <f t="shared" ref="F38" si="20">+F14</f>
        <v>14.562140320021172</v>
      </c>
      <c r="G38" s="528">
        <f t="shared" si="9"/>
        <v>14.562140320021172</v>
      </c>
      <c r="H38" s="529">
        <f t="shared" ref="H38" si="21">+H14</f>
        <v>14.562140320021172</v>
      </c>
    </row>
    <row r="39" spans="1:8" hidden="1" x14ac:dyDescent="0.25">
      <c r="A39" s="80"/>
      <c r="B39" s="86" t="s">
        <v>180</v>
      </c>
      <c r="C39" s="562">
        <f t="shared" si="9"/>
        <v>0</v>
      </c>
      <c r="D39" s="563"/>
      <c r="E39" s="563"/>
      <c r="F39" s="529">
        <f t="shared" ref="F39" si="22">+F15</f>
        <v>0</v>
      </c>
      <c r="G39" s="583"/>
      <c r="H39" s="524">
        <f t="shared" ref="H39" si="23">+H15</f>
        <v>0</v>
      </c>
    </row>
    <row r="40" spans="1:8" x14ac:dyDescent="0.25">
      <c r="A40" s="87" t="s">
        <v>181</v>
      </c>
      <c r="B40" s="112" t="s">
        <v>182</v>
      </c>
      <c r="C40" s="576">
        <f>SUM(C32:C39)</f>
        <v>10484.793984487864</v>
      </c>
      <c r="D40" s="577">
        <f>SUM(D32:D39)</f>
        <v>11038.583984487861</v>
      </c>
      <c r="E40" s="558">
        <f t="shared" ref="E40" si="24">SUM(E32:E39)</f>
        <v>4585.6839844878623</v>
      </c>
      <c r="F40" s="559">
        <f t="shared" ref="F40" si="25">SUM(F32:F39)</f>
        <v>5908.294122087862</v>
      </c>
      <c r="G40" s="558">
        <f t="shared" ref="G40" si="26">SUM(G32:G39)</f>
        <v>11741.163905664256</v>
      </c>
      <c r="H40" s="559">
        <f t="shared" ref="H40" si="27">SUM(H32:H39)</f>
        <v>7685.1319056642587</v>
      </c>
    </row>
    <row r="41" spans="1:8" ht="16.899999999999999" customHeight="1" x14ac:dyDescent="0.25">
      <c r="A41" s="80" t="s">
        <v>183</v>
      </c>
      <c r="B41" s="86" t="s">
        <v>184</v>
      </c>
      <c r="C41" s="537" t="s">
        <v>213</v>
      </c>
      <c r="D41" s="526" t="s">
        <v>213</v>
      </c>
      <c r="E41" s="526" t="s">
        <v>213</v>
      </c>
      <c r="F41" s="524" t="s">
        <v>213</v>
      </c>
      <c r="G41" s="523" t="s">
        <v>213</v>
      </c>
      <c r="H41" s="524" t="s">
        <v>213</v>
      </c>
    </row>
    <row r="42" spans="1:8" ht="16.899999999999999" customHeight="1" x14ac:dyDescent="0.25">
      <c r="A42" s="80" t="s">
        <v>185</v>
      </c>
      <c r="B42" s="86" t="s">
        <v>186</v>
      </c>
      <c r="C42" s="537" t="s">
        <v>211</v>
      </c>
      <c r="D42" s="526" t="s">
        <v>211</v>
      </c>
      <c r="E42" s="526" t="s">
        <v>211</v>
      </c>
      <c r="F42" s="524" t="s">
        <v>211</v>
      </c>
      <c r="G42" s="523" t="s">
        <v>211</v>
      </c>
      <c r="H42" s="529" t="s">
        <v>211</v>
      </c>
    </row>
    <row r="43" spans="1:8" ht="16.899999999999999" customHeight="1" x14ac:dyDescent="0.25">
      <c r="A43" s="80" t="s">
        <v>187</v>
      </c>
      <c r="B43" s="86" t="s">
        <v>188</v>
      </c>
      <c r="C43" s="537" t="s">
        <v>215</v>
      </c>
      <c r="D43" s="526" t="s">
        <v>215</v>
      </c>
      <c r="E43" s="526" t="s">
        <v>215</v>
      </c>
      <c r="F43" s="524" t="s">
        <v>215</v>
      </c>
      <c r="G43" s="523" t="s">
        <v>215</v>
      </c>
      <c r="H43" s="524" t="s">
        <v>215</v>
      </c>
    </row>
    <row r="44" spans="1:8" ht="16.899999999999999" customHeight="1" x14ac:dyDescent="0.25">
      <c r="A44" s="87" t="s">
        <v>189</v>
      </c>
      <c r="B44" s="112" t="s">
        <v>190</v>
      </c>
      <c r="C44" s="576">
        <f t="shared" ref="C44" si="28">+C40</f>
        <v>10484.793984487864</v>
      </c>
      <c r="D44" s="577">
        <f t="shared" ref="D44" si="29">+D40</f>
        <v>11038.583984487861</v>
      </c>
      <c r="E44" s="577">
        <f t="shared" ref="E44" si="30">+E40</f>
        <v>4585.6839844878623</v>
      </c>
      <c r="F44" s="578">
        <f t="shared" ref="F44" si="31">+F40</f>
        <v>5908.294122087862</v>
      </c>
      <c r="G44" s="577">
        <f t="shared" ref="G44" si="32">+G40</f>
        <v>11741.163905664256</v>
      </c>
      <c r="H44" s="578">
        <f t="shared" ref="H44" si="33">+H40</f>
        <v>7685.1319056642587</v>
      </c>
    </row>
    <row r="45" spans="1:8" ht="16.899999999999999" customHeight="1" x14ac:dyDescent="0.25">
      <c r="A45" s="80" t="s">
        <v>191</v>
      </c>
      <c r="B45" s="86" t="s">
        <v>150</v>
      </c>
      <c r="C45" s="537" t="s">
        <v>213</v>
      </c>
      <c r="D45" s="526" t="s">
        <v>213</v>
      </c>
      <c r="E45" s="526" t="s">
        <v>213</v>
      </c>
      <c r="F45" s="524" t="s">
        <v>213</v>
      </c>
      <c r="G45" s="523" t="s">
        <v>213</v>
      </c>
      <c r="H45" s="524" t="s">
        <v>213</v>
      </c>
    </row>
    <row r="46" spans="1:8" ht="16.899999999999999" customHeight="1" x14ac:dyDescent="0.25">
      <c r="A46" s="80" t="s">
        <v>192</v>
      </c>
      <c r="B46" s="81" t="s">
        <v>193</v>
      </c>
      <c r="C46" s="537" t="s">
        <v>211</v>
      </c>
      <c r="D46" s="526" t="s">
        <v>194</v>
      </c>
      <c r="E46" s="526" t="s">
        <v>211</v>
      </c>
      <c r="F46" s="524" t="s">
        <v>194</v>
      </c>
      <c r="G46" s="523" t="s">
        <v>194</v>
      </c>
      <c r="H46" s="524" t="s">
        <v>194</v>
      </c>
    </row>
    <row r="47" spans="1:8" ht="16.899999999999999" customHeight="1" x14ac:dyDescent="0.25">
      <c r="A47" s="80" t="s">
        <v>195</v>
      </c>
      <c r="B47" s="86" t="s">
        <v>271</v>
      </c>
      <c r="C47" s="537" t="s">
        <v>215</v>
      </c>
      <c r="D47" s="526" t="s">
        <v>215</v>
      </c>
      <c r="E47" s="526" t="s">
        <v>215</v>
      </c>
      <c r="F47" s="529" t="s">
        <v>215</v>
      </c>
      <c r="G47" s="523" t="s">
        <v>215</v>
      </c>
      <c r="H47" s="529" t="s">
        <v>215</v>
      </c>
    </row>
    <row r="48" spans="1:8" ht="16.899999999999999" customHeight="1" thickBot="1" x14ac:dyDescent="0.3">
      <c r="A48" s="91" t="s">
        <v>197</v>
      </c>
      <c r="B48" s="92" t="s">
        <v>198</v>
      </c>
      <c r="C48" s="571"/>
      <c r="D48" s="572"/>
      <c r="E48" s="543"/>
      <c r="F48" s="544"/>
      <c r="G48" s="543"/>
      <c r="H48" s="544"/>
    </row>
    <row r="49" spans="1:14" ht="15.75" thickTop="1" x14ac:dyDescent="0.25"/>
    <row r="51" spans="1:14" x14ac:dyDescent="0.25">
      <c r="A51" s="99"/>
      <c r="B51" s="116" t="s">
        <v>209</v>
      </c>
      <c r="C51" s="140"/>
      <c r="D51" s="140"/>
      <c r="E51" s="140"/>
      <c r="F51" s="140"/>
      <c r="G51" s="124"/>
      <c r="H51" s="124"/>
      <c r="I51" s="124"/>
      <c r="J51" s="124"/>
      <c r="K51" s="124"/>
      <c r="L51" s="124"/>
      <c r="M51" s="124"/>
      <c r="N51" s="124"/>
    </row>
    <row r="52" spans="1:14" x14ac:dyDescent="0.25">
      <c r="A52" s="99"/>
      <c r="B52" s="116"/>
      <c r="C52" s="140"/>
      <c r="D52" s="140"/>
      <c r="E52" s="140"/>
      <c r="F52" s="140"/>
      <c r="G52" s="124"/>
      <c r="H52" s="124"/>
      <c r="I52" s="124"/>
      <c r="J52" s="124"/>
      <c r="K52" s="124"/>
      <c r="L52" s="124"/>
      <c r="M52" s="124"/>
      <c r="N52" s="124"/>
    </row>
    <row r="53" spans="1:14" ht="15" customHeight="1" x14ac:dyDescent="0.25">
      <c r="A53" s="99" t="s">
        <v>173</v>
      </c>
      <c r="B53" s="933" t="str">
        <f>+VAUPES!B28</f>
        <v>De acuerdo con lo establecido en la Resoluccion 91349 de 2014 del MME para combustible de origen nacional o importado a ser distribuido en zonas de frontera, aplica la tarifa de marcación o remarcación vigente a la fecha según corresponda</v>
      </c>
      <c r="C53" s="933"/>
      <c r="D53" s="933"/>
      <c r="E53" s="933"/>
      <c r="F53" s="933"/>
      <c r="G53" s="933"/>
      <c r="H53" s="933"/>
      <c r="I53" s="141"/>
      <c r="J53" s="141"/>
      <c r="K53" s="141"/>
      <c r="L53" s="141"/>
      <c r="M53" s="141"/>
      <c r="N53" s="141"/>
    </row>
    <row r="54" spans="1:14" ht="26.45" customHeight="1" x14ac:dyDescent="0.25">
      <c r="A54" s="99" t="s">
        <v>200</v>
      </c>
      <c r="B54" s="915" t="s">
        <v>250</v>
      </c>
      <c r="C54" s="915"/>
      <c r="D54" s="915"/>
      <c r="E54" s="915"/>
      <c r="F54" s="915"/>
      <c r="G54" s="915"/>
      <c r="H54" s="915"/>
      <c r="I54" s="124"/>
      <c r="J54" s="124"/>
      <c r="K54" s="124"/>
      <c r="L54" s="124"/>
      <c r="M54" s="124"/>
      <c r="N54" s="124"/>
    </row>
    <row r="55" spans="1:14" ht="54.75" customHeight="1" x14ac:dyDescent="0.25">
      <c r="A55" s="99" t="s">
        <v>130</v>
      </c>
      <c r="B55" s="933" t="s">
        <v>306</v>
      </c>
      <c r="C55" s="933"/>
      <c r="D55" s="933"/>
      <c r="E55" s="933"/>
      <c r="F55" s="933"/>
      <c r="G55" s="933"/>
      <c r="H55" s="933"/>
      <c r="I55" s="124"/>
      <c r="J55" s="124"/>
      <c r="K55" s="124"/>
      <c r="L55" s="124"/>
      <c r="M55" s="124"/>
      <c r="N55" s="124"/>
    </row>
    <row r="56" spans="1:14" ht="43.7" customHeight="1" x14ac:dyDescent="0.25">
      <c r="A56" s="99" t="s">
        <v>201</v>
      </c>
      <c r="B56" s="932" t="s">
        <v>373</v>
      </c>
      <c r="C56" s="932"/>
      <c r="D56" s="932"/>
      <c r="E56" s="932"/>
      <c r="F56" s="932"/>
      <c r="G56" s="932"/>
      <c r="H56" s="932"/>
      <c r="I56" s="124"/>
      <c r="J56" s="124"/>
      <c r="K56" s="124"/>
      <c r="L56" s="124"/>
      <c r="M56" s="124"/>
      <c r="N56" s="124"/>
    </row>
    <row r="57" spans="1:14" ht="12" customHeight="1" x14ac:dyDescent="0.25">
      <c r="A57" s="99"/>
      <c r="B57" s="1016"/>
      <c r="C57" s="1016"/>
      <c r="D57" s="1016"/>
      <c r="E57" s="1016"/>
      <c r="F57" s="1016"/>
      <c r="G57" s="1016"/>
      <c r="H57" s="1016"/>
      <c r="I57" s="124"/>
      <c r="J57" s="124"/>
      <c r="K57" s="124"/>
      <c r="L57" s="124"/>
      <c r="M57" s="124"/>
      <c r="N57" s="124"/>
    </row>
    <row r="58" spans="1:14" ht="15" customHeight="1" x14ac:dyDescent="0.25">
      <c r="A58" s="117" t="s">
        <v>102</v>
      </c>
      <c r="B58" s="914" t="s">
        <v>210</v>
      </c>
      <c r="C58" s="914"/>
      <c r="D58" s="914"/>
      <c r="E58" s="914"/>
      <c r="F58" s="914"/>
      <c r="G58" s="914"/>
      <c r="H58" s="914"/>
      <c r="I58" s="124"/>
      <c r="J58" s="124"/>
      <c r="K58" s="124"/>
      <c r="L58" s="124"/>
      <c r="M58" s="124"/>
      <c r="N58" s="124"/>
    </row>
    <row r="59" spans="1:14" ht="15" customHeight="1" x14ac:dyDescent="0.25">
      <c r="A59" s="117" t="s">
        <v>211</v>
      </c>
      <c r="B59" s="933" t="s">
        <v>270</v>
      </c>
      <c r="C59" s="933"/>
      <c r="D59" s="933"/>
      <c r="E59" s="933"/>
      <c r="F59" s="933"/>
      <c r="G59" s="933"/>
      <c r="H59" s="933"/>
      <c r="I59" s="124"/>
      <c r="J59" s="124"/>
      <c r="K59" s="124"/>
      <c r="L59" s="124"/>
      <c r="M59" s="124"/>
      <c r="N59" s="124"/>
    </row>
    <row r="60" spans="1:14" ht="15" customHeight="1" x14ac:dyDescent="0.25">
      <c r="A60" s="99" t="s">
        <v>213</v>
      </c>
      <c r="B60" s="933" t="s">
        <v>214</v>
      </c>
      <c r="C60" s="933"/>
      <c r="D60" s="933"/>
      <c r="E60" s="933"/>
      <c r="F60" s="933"/>
      <c r="G60" s="933"/>
      <c r="H60" s="914"/>
      <c r="I60" s="914"/>
      <c r="J60" s="914"/>
      <c r="K60" s="914"/>
      <c r="L60" s="914"/>
      <c r="M60" s="914"/>
      <c r="N60" s="914"/>
    </row>
    <row r="61" spans="1:14" ht="15" customHeight="1" x14ac:dyDescent="0.25">
      <c r="A61" s="99" t="s">
        <v>215</v>
      </c>
      <c r="B61" s="914" t="s">
        <v>420</v>
      </c>
      <c r="C61" s="914"/>
      <c r="D61" s="914"/>
      <c r="E61" s="914"/>
      <c r="F61" s="914"/>
      <c r="G61" s="914"/>
      <c r="H61" s="100"/>
      <c r="I61" s="100"/>
      <c r="J61" s="100"/>
      <c r="K61" s="100"/>
      <c r="L61" s="100"/>
      <c r="M61" s="100"/>
      <c r="N61" s="100"/>
    </row>
    <row r="62" spans="1:14" x14ac:dyDescent="0.25">
      <c r="A62" s="117" t="s">
        <v>217</v>
      </c>
      <c r="B62" s="933" t="s">
        <v>219</v>
      </c>
      <c r="C62" s="933"/>
      <c r="D62" s="933"/>
      <c r="E62" s="933"/>
      <c r="F62" s="933"/>
      <c r="G62" s="933"/>
      <c r="H62" s="933"/>
      <c r="I62" s="124"/>
      <c r="J62" s="124"/>
      <c r="K62" s="124"/>
      <c r="L62" s="124"/>
      <c r="M62" s="124"/>
      <c r="N62" s="124"/>
    </row>
    <row r="63" spans="1:14" x14ac:dyDescent="0.25">
      <c r="A63" s="117" t="s">
        <v>218</v>
      </c>
      <c r="B63" s="933" t="s">
        <v>272</v>
      </c>
      <c r="C63" s="933"/>
      <c r="D63" s="933"/>
      <c r="E63" s="933"/>
      <c r="F63" s="933"/>
      <c r="G63" s="933"/>
      <c r="H63" s="933"/>
      <c r="I63" s="124"/>
      <c r="J63" s="124"/>
      <c r="K63" s="124"/>
      <c r="L63" s="124"/>
      <c r="M63" s="124"/>
      <c r="N63" s="124"/>
    </row>
    <row r="65" spans="2:9" ht="87.95" customHeight="1" x14ac:dyDescent="0.25">
      <c r="B65" s="917" t="s">
        <v>137</v>
      </c>
      <c r="C65" s="917"/>
      <c r="D65" s="917"/>
      <c r="E65" s="917"/>
      <c r="F65" s="917"/>
      <c r="G65" s="917"/>
      <c r="H65" s="917"/>
      <c r="I65" s="917"/>
    </row>
  </sheetData>
  <sheetProtection algorithmName="SHA-512" hashValue="Rf8KiVTvcYQwuXmV1uFM1fKFfyDHrCDZHFiUmJLUxvdr7jAN5XxmTMxKiii34ExRNTyLFnKZ7GCk4e89XkCzuw==" saltValue="kc5nxopvOeJZzoK5wwcpAg==" spinCount="100000" sheet="1" objects="1" scenarios="1"/>
  <mergeCells count="23">
    <mergeCell ref="A5:A7"/>
    <mergeCell ref="B5:B7"/>
    <mergeCell ref="C5:C6"/>
    <mergeCell ref="A29:A31"/>
    <mergeCell ref="B29:B31"/>
    <mergeCell ref="C29:C30"/>
    <mergeCell ref="C3:F4"/>
    <mergeCell ref="C27:F28"/>
    <mergeCell ref="G3:H4"/>
    <mergeCell ref="G27:H28"/>
    <mergeCell ref="B61:G61"/>
    <mergeCell ref="B53:H53"/>
    <mergeCell ref="B62:H62"/>
    <mergeCell ref="B63:H63"/>
    <mergeCell ref="B65:I65"/>
    <mergeCell ref="B54:H54"/>
    <mergeCell ref="B55:H55"/>
    <mergeCell ref="B58:H58"/>
    <mergeCell ref="B59:H59"/>
    <mergeCell ref="B60:G60"/>
    <mergeCell ref="H60:N60"/>
    <mergeCell ref="B56:H56"/>
    <mergeCell ref="B57:H57"/>
  </mergeCells>
  <hyperlinks>
    <hyperlink ref="B51" location="VAUPES!A40" display="Ver Nota Informativa" xr:uid="{00000000-0004-0000-15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92D050"/>
  </sheetPr>
  <dimension ref="B2:L49"/>
  <sheetViews>
    <sheetView showGridLines="0" topLeftCell="C22" zoomScale="85" zoomScaleNormal="85" workbookViewId="0">
      <selection activeCell="AP29" sqref="AP29"/>
    </sheetView>
  </sheetViews>
  <sheetFormatPr baseColWidth="10" defaultColWidth="11.140625" defaultRowHeight="15" x14ac:dyDescent="0.25"/>
  <cols>
    <col min="1" max="1" width="0" hidden="1" customWidth="1"/>
    <col min="3" max="3" width="3.85546875" customWidth="1"/>
    <col min="4" max="4" width="81.140625" customWidth="1"/>
    <col min="5" max="5" width="15.85546875" style="2" customWidth="1"/>
    <col min="6" max="6" width="21.140625" customWidth="1"/>
    <col min="11" max="11" width="12.85546875" customWidth="1"/>
  </cols>
  <sheetData>
    <row r="2" spans="2:12" ht="36" x14ac:dyDescent="0.55000000000000004">
      <c r="B2" s="1">
        <v>3</v>
      </c>
      <c r="D2" t="s">
        <v>13</v>
      </c>
    </row>
    <row r="4" spans="2:12" ht="21" x14ac:dyDescent="0.35">
      <c r="D4" s="3" t="s">
        <v>0</v>
      </c>
      <c r="E4" s="4" t="s">
        <v>1</v>
      </c>
      <c r="F4" s="5" t="s">
        <v>2</v>
      </c>
    </row>
    <row r="5" spans="2:12" ht="21" x14ac:dyDescent="0.35">
      <c r="D5" s="3"/>
      <c r="E5" s="4"/>
      <c r="F5" s="5" t="s">
        <v>14</v>
      </c>
    </row>
    <row r="6" spans="2:12" x14ac:dyDescent="0.25">
      <c r="D6" s="9" t="s">
        <v>15</v>
      </c>
      <c r="E6" s="6" t="s">
        <v>16</v>
      </c>
      <c r="F6" s="851" t="s">
        <v>17</v>
      </c>
      <c r="G6" s="851"/>
      <c r="H6" s="851"/>
      <c r="I6" s="851"/>
      <c r="J6" s="851"/>
      <c r="K6" s="7">
        <v>4169.6138703799988</v>
      </c>
      <c r="L6" s="11"/>
    </row>
    <row r="7" spans="2:12" x14ac:dyDescent="0.25">
      <c r="D7" s="9" t="s">
        <v>18</v>
      </c>
      <c r="E7" s="6" t="s">
        <v>19</v>
      </c>
      <c r="F7" s="851" t="s">
        <v>17</v>
      </c>
      <c r="G7" s="851"/>
      <c r="H7" s="851"/>
      <c r="I7" s="851"/>
      <c r="J7" s="851"/>
      <c r="K7" s="7">
        <v>4923.01</v>
      </c>
      <c r="L7" s="11"/>
    </row>
    <row r="10" spans="2:12" ht="21" x14ac:dyDescent="0.35">
      <c r="D10" s="3" t="s">
        <v>20</v>
      </c>
    </row>
    <row r="11" spans="2:12" x14ac:dyDescent="0.25">
      <c r="D11" s="8" t="s">
        <v>21</v>
      </c>
    </row>
    <row r="12" spans="2:12" x14ac:dyDescent="0.25">
      <c r="D12" s="8" t="s">
        <v>5</v>
      </c>
    </row>
    <row r="13" spans="2:12" x14ac:dyDescent="0.25">
      <c r="D13" t="s">
        <v>6</v>
      </c>
    </row>
    <row r="14" spans="2:12" x14ac:dyDescent="0.25">
      <c r="D14" t="s">
        <v>7</v>
      </c>
    </row>
    <row r="15" spans="2:12" x14ac:dyDescent="0.25">
      <c r="D15" t="s">
        <v>22</v>
      </c>
    </row>
    <row r="16" spans="2:12" x14ac:dyDescent="0.25">
      <c r="D16" t="s">
        <v>8</v>
      </c>
    </row>
    <row r="19" spans="4:12" ht="21" x14ac:dyDescent="0.35">
      <c r="D19" s="852" t="s">
        <v>9</v>
      </c>
      <c r="E19" s="853" t="s">
        <v>1</v>
      </c>
      <c r="F19" s="854" t="s">
        <v>2</v>
      </c>
      <c r="G19" s="855"/>
      <c r="H19" s="855"/>
      <c r="I19" s="855"/>
      <c r="J19" s="856"/>
    </row>
    <row r="20" spans="4:12" ht="21" x14ac:dyDescent="0.35">
      <c r="D20" s="852"/>
      <c r="E20" s="853"/>
      <c r="F20" s="857" t="s">
        <v>23</v>
      </c>
      <c r="G20" s="858"/>
      <c r="H20" s="858"/>
      <c r="I20" s="858"/>
      <c r="J20" s="859"/>
    </row>
    <row r="21" spans="4:12" x14ac:dyDescent="0.25">
      <c r="D21" s="10" t="s">
        <v>24</v>
      </c>
      <c r="E21" s="12" t="s">
        <v>10</v>
      </c>
      <c r="F21" s="851" t="s">
        <v>25</v>
      </c>
      <c r="G21" s="851"/>
      <c r="H21" s="851"/>
      <c r="I21" s="851"/>
      <c r="J21" s="851"/>
      <c r="K21" s="13">
        <v>4915.26</v>
      </c>
      <c r="L21" t="s">
        <v>297</v>
      </c>
    </row>
    <row r="22" spans="4:12" x14ac:dyDescent="0.25">
      <c r="D22" s="10" t="s">
        <v>26</v>
      </c>
      <c r="E22" s="12" t="s">
        <v>11</v>
      </c>
      <c r="F22" s="851" t="s">
        <v>27</v>
      </c>
      <c r="G22" s="851"/>
      <c r="H22" s="851"/>
      <c r="I22" s="851"/>
      <c r="J22" s="851"/>
      <c r="K22" s="13">
        <v>203.74</v>
      </c>
      <c r="L22" t="s">
        <v>297</v>
      </c>
    </row>
    <row r="23" spans="4:12" x14ac:dyDescent="0.25">
      <c r="D23" s="10" t="s">
        <v>28</v>
      </c>
      <c r="E23" s="12" t="s">
        <v>4</v>
      </c>
      <c r="F23" s="851" t="s">
        <v>29</v>
      </c>
      <c r="G23" s="851"/>
      <c r="H23" s="851"/>
      <c r="I23" s="851"/>
      <c r="J23" s="851"/>
      <c r="K23" s="13">
        <v>4923.01</v>
      </c>
      <c r="L23" t="s">
        <v>297</v>
      </c>
    </row>
    <row r="24" spans="4:12" x14ac:dyDescent="0.25">
      <c r="D24" s="10" t="s">
        <v>30</v>
      </c>
      <c r="E24" s="12" t="s">
        <v>3</v>
      </c>
      <c r="F24" s="851" t="s">
        <v>29</v>
      </c>
      <c r="G24" s="851"/>
      <c r="H24" s="851"/>
      <c r="I24" s="851"/>
      <c r="J24" s="851"/>
      <c r="K24" s="13">
        <v>5015.57</v>
      </c>
      <c r="L24" t="s">
        <v>299</v>
      </c>
    </row>
    <row r="25" spans="4:12" x14ac:dyDescent="0.25">
      <c r="D25" s="10" t="s">
        <v>31</v>
      </c>
      <c r="E25" s="12" t="s">
        <v>12</v>
      </c>
      <c r="F25" s="851" t="s">
        <v>32</v>
      </c>
      <c r="G25" s="851"/>
      <c r="H25" s="851"/>
      <c r="I25" s="851"/>
      <c r="J25" s="851"/>
      <c r="K25" s="13">
        <v>4254.7080309999992</v>
      </c>
      <c r="L25" t="s">
        <v>297</v>
      </c>
    </row>
    <row r="26" spans="4:12" x14ac:dyDescent="0.25">
      <c r="D26" s="10" t="s">
        <v>33</v>
      </c>
      <c r="E26" s="12" t="s">
        <v>34</v>
      </c>
      <c r="F26" s="851" t="s">
        <v>32</v>
      </c>
      <c r="G26" s="851"/>
      <c r="H26" s="851"/>
      <c r="I26" s="851"/>
      <c r="J26" s="851"/>
      <c r="K26" s="13">
        <v>4391.8172209999993</v>
      </c>
      <c r="L26" t="s">
        <v>297</v>
      </c>
    </row>
    <row r="27" spans="4:12" ht="15" customHeight="1" x14ac:dyDescent="0.25">
      <c r="D27" s="10" t="s">
        <v>35</v>
      </c>
      <c r="E27" s="12" t="s">
        <v>36</v>
      </c>
      <c r="F27" s="851" t="s">
        <v>32</v>
      </c>
      <c r="G27" s="851"/>
      <c r="H27" s="851"/>
      <c r="I27" s="851"/>
      <c r="J27" s="851"/>
      <c r="K27" s="13">
        <v>4384.4327060000005</v>
      </c>
      <c r="L27" t="s">
        <v>297</v>
      </c>
    </row>
    <row r="28" spans="4:12" ht="15" customHeight="1" x14ac:dyDescent="0.25">
      <c r="D28" s="10" t="s">
        <v>37</v>
      </c>
      <c r="E28" s="12" t="s">
        <v>38</v>
      </c>
      <c r="F28" s="851" t="s">
        <v>32</v>
      </c>
      <c r="G28" s="851"/>
      <c r="H28" s="851"/>
      <c r="I28" s="851"/>
      <c r="J28" s="851"/>
      <c r="K28" s="13">
        <v>4505.5387520000004</v>
      </c>
      <c r="L28" t="s">
        <v>297</v>
      </c>
    </row>
    <row r="29" spans="4:12" ht="15" customHeight="1" x14ac:dyDescent="0.25">
      <c r="D29" s="10" t="s">
        <v>39</v>
      </c>
      <c r="E29" s="12" t="s">
        <v>40</v>
      </c>
      <c r="F29" s="851" t="s">
        <v>32</v>
      </c>
      <c r="G29" s="851"/>
      <c r="H29" s="851"/>
      <c r="I29" s="851"/>
      <c r="J29" s="851"/>
      <c r="K29" s="13">
        <v>4234.7732020000003</v>
      </c>
      <c r="L29" t="s">
        <v>297</v>
      </c>
    </row>
    <row r="30" spans="4:12" x14ac:dyDescent="0.25">
      <c r="D30" s="10" t="s">
        <v>41</v>
      </c>
      <c r="E30" s="12" t="s">
        <v>42</v>
      </c>
      <c r="F30" s="851" t="s">
        <v>32</v>
      </c>
      <c r="G30" s="851"/>
      <c r="H30" s="851"/>
      <c r="I30" s="851"/>
      <c r="J30" s="851"/>
      <c r="K30" s="13">
        <v>4923.01</v>
      </c>
      <c r="L30" t="s">
        <v>297</v>
      </c>
    </row>
    <row r="31" spans="4:12" x14ac:dyDescent="0.25">
      <c r="D31" s="10" t="s">
        <v>43</v>
      </c>
      <c r="E31" s="12" t="s">
        <v>4</v>
      </c>
      <c r="F31" s="851" t="s">
        <v>29</v>
      </c>
      <c r="G31" s="851"/>
      <c r="H31" s="851"/>
      <c r="I31" s="851"/>
      <c r="J31" s="851"/>
      <c r="K31" s="13">
        <v>4923.01</v>
      </c>
      <c r="L31" t="s">
        <v>297</v>
      </c>
    </row>
    <row r="32" spans="4:12" x14ac:dyDescent="0.25">
      <c r="D32" s="10" t="s">
        <v>44</v>
      </c>
      <c r="E32" s="12" t="s">
        <v>40</v>
      </c>
      <c r="F32" s="851" t="s">
        <v>45</v>
      </c>
      <c r="G32" s="851"/>
      <c r="H32" s="851"/>
      <c r="I32" s="851"/>
      <c r="J32" s="851"/>
      <c r="K32" s="13">
        <v>4923.01</v>
      </c>
      <c r="L32" t="s">
        <v>297</v>
      </c>
    </row>
    <row r="33" spans="4:12" x14ac:dyDescent="0.25">
      <c r="D33" s="10" t="s">
        <v>46</v>
      </c>
      <c r="E33" s="12" t="s">
        <v>47</v>
      </c>
      <c r="F33" s="851" t="s">
        <v>32</v>
      </c>
      <c r="G33" s="851"/>
      <c r="H33" s="851"/>
      <c r="I33" s="851"/>
      <c r="J33" s="851"/>
      <c r="K33" s="13">
        <v>4056.8112165399998</v>
      </c>
      <c r="L33" t="s">
        <v>299</v>
      </c>
    </row>
    <row r="34" spans="4:12" x14ac:dyDescent="0.25">
      <c r="D34" s="10" t="s">
        <v>48</v>
      </c>
      <c r="E34" s="12">
        <v>0</v>
      </c>
      <c r="F34" s="851"/>
      <c r="G34" s="851"/>
      <c r="H34" s="851"/>
      <c r="I34" s="851"/>
      <c r="J34" s="851"/>
      <c r="K34" s="13"/>
      <c r="L34" t="s">
        <v>297</v>
      </c>
    </row>
    <row r="35" spans="4:12" x14ac:dyDescent="0.25">
      <c r="D35" s="10" t="s">
        <v>49</v>
      </c>
      <c r="E35" s="12" t="s">
        <v>50</v>
      </c>
      <c r="F35" s="851" t="s">
        <v>32</v>
      </c>
      <c r="G35" s="851"/>
      <c r="H35" s="851"/>
      <c r="I35" s="851"/>
      <c r="J35" s="851"/>
      <c r="K35" s="13">
        <v>3853.07121654</v>
      </c>
      <c r="L35" t="s">
        <v>297</v>
      </c>
    </row>
    <row r="36" spans="4:12" x14ac:dyDescent="0.25">
      <c r="D36" s="10" t="s">
        <v>51</v>
      </c>
      <c r="E36" s="12" t="s">
        <v>52</v>
      </c>
      <c r="F36" s="851" t="s">
        <v>32</v>
      </c>
      <c r="G36" s="851"/>
      <c r="H36" s="851"/>
      <c r="I36" s="851"/>
      <c r="J36" s="851"/>
      <c r="K36" s="13">
        <v>203.74</v>
      </c>
      <c r="L36" t="s">
        <v>297</v>
      </c>
    </row>
    <row r="37" spans="4:12" x14ac:dyDescent="0.25">
      <c r="D37" s="10" t="s">
        <v>53</v>
      </c>
      <c r="E37" s="12" t="s">
        <v>54</v>
      </c>
      <c r="F37" s="851" t="s">
        <v>55</v>
      </c>
      <c r="G37" s="851"/>
      <c r="H37" s="851"/>
      <c r="I37" s="851"/>
      <c r="J37" s="851"/>
      <c r="K37" s="13">
        <v>4345.8234222199999</v>
      </c>
      <c r="L37" s="14" t="s">
        <v>298</v>
      </c>
    </row>
    <row r="38" spans="4:12" x14ac:dyDescent="0.25">
      <c r="D38" s="10" t="s">
        <v>56</v>
      </c>
      <c r="E38" s="12" t="s">
        <v>57</v>
      </c>
      <c r="F38" s="851" t="s">
        <v>55</v>
      </c>
      <c r="G38" s="851"/>
      <c r="H38" s="851"/>
      <c r="I38" s="851"/>
      <c r="J38" s="851"/>
      <c r="K38" s="13">
        <v>4142.0884222200002</v>
      </c>
      <c r="L38" t="s">
        <v>297</v>
      </c>
    </row>
    <row r="39" spans="4:12" x14ac:dyDescent="0.25">
      <c r="D39" s="10" t="s">
        <v>58</v>
      </c>
      <c r="E39" s="12" t="s">
        <v>59</v>
      </c>
      <c r="F39" s="851" t="s">
        <v>55</v>
      </c>
      <c r="G39" s="851"/>
      <c r="H39" s="851"/>
      <c r="I39" s="851"/>
      <c r="J39" s="851"/>
      <c r="K39" s="13">
        <v>203.73500000000001</v>
      </c>
      <c r="L39" t="s">
        <v>297</v>
      </c>
    </row>
    <row r="40" spans="4:12" x14ac:dyDescent="0.25">
      <c r="D40" s="10" t="s">
        <v>60</v>
      </c>
      <c r="E40" s="12" t="s">
        <v>61</v>
      </c>
      <c r="F40" s="851" t="s">
        <v>62</v>
      </c>
      <c r="G40" s="851"/>
      <c r="H40" s="851"/>
      <c r="I40" s="851"/>
      <c r="J40" s="851"/>
      <c r="K40" s="13">
        <v>4180.670733259999</v>
      </c>
      <c r="L40" s="14" t="s">
        <v>298</v>
      </c>
    </row>
    <row r="41" spans="4:12" x14ac:dyDescent="0.25">
      <c r="D41" s="10" t="s">
        <v>63</v>
      </c>
      <c r="E41" s="12" t="s">
        <v>64</v>
      </c>
      <c r="F41" s="851" t="s">
        <v>62</v>
      </c>
      <c r="G41" s="851"/>
      <c r="H41" s="851"/>
      <c r="I41" s="851"/>
      <c r="J41" s="851"/>
      <c r="K41" s="13">
        <v>3976.9357332599993</v>
      </c>
      <c r="L41" t="s">
        <v>297</v>
      </c>
    </row>
    <row r="42" spans="4:12" x14ac:dyDescent="0.25">
      <c r="D42" s="10" t="s">
        <v>65</v>
      </c>
      <c r="E42" s="12" t="s">
        <v>66</v>
      </c>
      <c r="F42" s="851" t="s">
        <v>62</v>
      </c>
      <c r="G42" s="851"/>
      <c r="H42" s="851"/>
      <c r="I42" s="851"/>
      <c r="J42" s="851"/>
      <c r="K42" s="13">
        <v>203.73500000000001</v>
      </c>
      <c r="L42" t="s">
        <v>297</v>
      </c>
    </row>
    <row r="43" spans="4:12" x14ac:dyDescent="0.25">
      <c r="D43" s="10" t="s">
        <v>67</v>
      </c>
      <c r="E43" s="12" t="s">
        <v>68</v>
      </c>
      <c r="F43" s="851" t="s">
        <v>69</v>
      </c>
      <c r="G43" s="851"/>
      <c r="H43" s="851"/>
      <c r="I43" s="851"/>
      <c r="J43" s="851"/>
      <c r="K43" s="13">
        <v>4373.3488703799985</v>
      </c>
      <c r="L43" s="14" t="s">
        <v>297</v>
      </c>
    </row>
    <row r="44" spans="4:12" x14ac:dyDescent="0.25">
      <c r="D44" s="10" t="s">
        <v>70</v>
      </c>
      <c r="E44" s="12" t="s">
        <v>16</v>
      </c>
      <c r="F44" s="851" t="s">
        <v>69</v>
      </c>
      <c r="G44" s="851"/>
      <c r="H44" s="851"/>
      <c r="I44" s="851"/>
      <c r="J44" s="851"/>
      <c r="K44" s="13">
        <v>4169.6138703799988</v>
      </c>
      <c r="L44" t="s">
        <v>297</v>
      </c>
    </row>
    <row r="45" spans="4:12" x14ac:dyDescent="0.25">
      <c r="D45" s="10" t="s">
        <v>71</v>
      </c>
      <c r="E45" s="12" t="s">
        <v>72</v>
      </c>
      <c r="F45" s="851" t="s">
        <v>69</v>
      </c>
      <c r="G45" s="851"/>
      <c r="H45" s="851"/>
      <c r="I45" s="851"/>
      <c r="J45" s="851"/>
      <c r="K45" s="13">
        <v>203.73500000000001</v>
      </c>
      <c r="L45" t="s">
        <v>297</v>
      </c>
    </row>
    <row r="46" spans="4:12" x14ac:dyDescent="0.25">
      <c r="D46" s="10" t="s">
        <v>73</v>
      </c>
      <c r="E46" s="6">
        <v>0</v>
      </c>
      <c r="F46" s="851"/>
      <c r="G46" s="851"/>
      <c r="H46" s="851"/>
      <c r="I46" s="851"/>
      <c r="J46" s="851"/>
      <c r="K46" s="13"/>
      <c r="L46" t="s">
        <v>299</v>
      </c>
    </row>
    <row r="47" spans="4:12" x14ac:dyDescent="0.25">
      <c r="D47" s="211" t="s">
        <v>300</v>
      </c>
      <c r="F47" t="s">
        <v>301</v>
      </c>
      <c r="K47">
        <f>+'Calculo IP ZDF'!C36</f>
        <v>5218.1764800000001</v>
      </c>
      <c r="L47" t="s">
        <v>297</v>
      </c>
    </row>
    <row r="48" spans="4:12" x14ac:dyDescent="0.25">
      <c r="D48" s="211" t="s">
        <v>302</v>
      </c>
      <c r="F48" t="s">
        <v>303</v>
      </c>
      <c r="K48">
        <f>+'Calculo IP ZDF'!C32</f>
        <v>4004.9640800000006</v>
      </c>
      <c r="L48" t="s">
        <v>297</v>
      </c>
    </row>
    <row r="49" spans="4:12" x14ac:dyDescent="0.25">
      <c r="D49" s="210" t="s">
        <v>304</v>
      </c>
      <c r="K49">
        <f>+'Calculo IP ZDF'!C35</f>
        <v>4233.4296960000001</v>
      </c>
      <c r="L49" t="s">
        <v>297</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A64"/>
  <sheetViews>
    <sheetView topLeftCell="D1" zoomScale="70" zoomScaleNormal="70" workbookViewId="0">
      <selection activeCell="U19" sqref="U19"/>
    </sheetView>
  </sheetViews>
  <sheetFormatPr baseColWidth="10" defaultColWidth="11.140625" defaultRowHeight="18.75" x14ac:dyDescent="0.3"/>
  <cols>
    <col min="1" max="1" width="8.85546875" style="613" customWidth="1"/>
    <col min="2" max="2" width="9.85546875" style="613" customWidth="1"/>
    <col min="3" max="3" width="8.140625" style="613" customWidth="1"/>
    <col min="4" max="4" width="4.85546875" style="613" customWidth="1"/>
    <col min="5" max="5" width="8.140625" style="613" customWidth="1"/>
    <col min="6" max="6" width="10.140625" style="613" customWidth="1"/>
    <col min="7" max="8" width="4.85546875" style="613" customWidth="1"/>
    <col min="9" max="9" width="18.7109375" style="613" bestFit="1" customWidth="1"/>
    <col min="10" max="12" width="4.85546875" style="613" customWidth="1"/>
    <col min="13" max="13" width="15.140625" style="613" bestFit="1" customWidth="1"/>
    <col min="14" max="14" width="9" style="613" customWidth="1"/>
    <col min="15" max="15" width="19.140625" style="613" bestFit="1" customWidth="1"/>
    <col min="16" max="16" width="15.140625" style="614" customWidth="1"/>
    <col min="17" max="17" width="9.85546875" style="613" customWidth="1"/>
    <col min="18" max="18" width="13.140625" style="613" bestFit="1" customWidth="1"/>
    <col min="19" max="19" width="17.140625" style="613" bestFit="1" customWidth="1"/>
    <col min="20" max="20" width="20.5703125" style="613" bestFit="1" customWidth="1"/>
    <col min="21" max="21" width="15.28515625" style="615" bestFit="1" customWidth="1"/>
    <col min="22" max="22" width="16" style="615" bestFit="1" customWidth="1"/>
    <col min="23" max="16384" width="11.140625" style="613"/>
  </cols>
  <sheetData>
    <row r="1" spans="1:26" x14ac:dyDescent="0.3">
      <c r="A1" s="613" t="s">
        <v>320</v>
      </c>
      <c r="B1" s="613" t="s">
        <v>321</v>
      </c>
      <c r="C1" s="613" t="s">
        <v>322</v>
      </c>
      <c r="D1" s="613" t="s">
        <v>323</v>
      </c>
      <c r="E1" s="613" t="s">
        <v>324</v>
      </c>
      <c r="F1" s="613" t="s">
        <v>325</v>
      </c>
      <c r="G1" s="613" t="s">
        <v>326</v>
      </c>
      <c r="H1" s="613" t="s">
        <v>327</v>
      </c>
      <c r="I1" s="613" t="s">
        <v>328</v>
      </c>
      <c r="J1" s="613" t="s">
        <v>329</v>
      </c>
      <c r="K1" s="613" t="s">
        <v>330</v>
      </c>
      <c r="L1" s="613" t="s">
        <v>331</v>
      </c>
      <c r="M1" s="613" t="s">
        <v>332</v>
      </c>
      <c r="N1" s="613" t="s">
        <v>333</v>
      </c>
      <c r="O1" s="613" t="s">
        <v>334</v>
      </c>
      <c r="P1" s="614" t="s">
        <v>335</v>
      </c>
      <c r="Q1" s="613" t="s">
        <v>336</v>
      </c>
      <c r="R1" s="613" t="s">
        <v>337</v>
      </c>
      <c r="S1" s="613" t="s">
        <v>338</v>
      </c>
      <c r="T1" s="613" t="s">
        <v>339</v>
      </c>
      <c r="U1" s="615" t="s">
        <v>340</v>
      </c>
      <c r="V1" s="615" t="s">
        <v>341</v>
      </c>
    </row>
    <row r="2" spans="1:26" x14ac:dyDescent="0.3">
      <c r="A2" s="616" t="s">
        <v>342</v>
      </c>
      <c r="B2" s="616">
        <v>567</v>
      </c>
      <c r="C2" s="616" t="s">
        <v>343</v>
      </c>
      <c r="D2" s="616"/>
      <c r="E2" s="616"/>
      <c r="F2" s="616" t="s">
        <v>148</v>
      </c>
      <c r="G2" s="616"/>
      <c r="H2" s="616"/>
      <c r="I2" s="616"/>
      <c r="J2" s="616"/>
      <c r="K2" s="616"/>
      <c r="L2" s="616"/>
      <c r="M2" s="617" t="str">
        <f>+'Calculo IP ZDF'!O28</f>
        <v>Z61</v>
      </c>
      <c r="N2" s="616"/>
      <c r="O2" s="618">
        <f>+'Calculo IP ZDF'!B49</f>
        <v>30000002129</v>
      </c>
      <c r="P2" s="619">
        <f>ROUND('Calculo IP ZDF'!D28,2)</f>
        <v>5163.51</v>
      </c>
      <c r="Q2" s="616" t="s">
        <v>344</v>
      </c>
      <c r="R2" s="616">
        <v>1</v>
      </c>
      <c r="S2" s="616" t="s">
        <v>345</v>
      </c>
      <c r="T2" s="616" t="s">
        <v>346</v>
      </c>
      <c r="U2" s="620" t="str">
        <f>+'Calculo IP ZDF'!$B$46</f>
        <v>01.02.2025</v>
      </c>
      <c r="V2" s="620" t="str">
        <f>+'Calculo IP ZDF'!$C$46</f>
        <v>28.02.2025</v>
      </c>
      <c r="X2" s="613">
        <v>4242.59</v>
      </c>
      <c r="Y2" s="613">
        <f>+P2-X2</f>
        <v>920.92000000000007</v>
      </c>
      <c r="Z2" s="621" t="s">
        <v>378</v>
      </c>
    </row>
    <row r="3" spans="1:26" x14ac:dyDescent="0.3">
      <c r="A3" s="613" t="s">
        <v>342</v>
      </c>
      <c r="B3" s="616">
        <v>567</v>
      </c>
      <c r="C3" s="613" t="s">
        <v>343</v>
      </c>
      <c r="F3" s="613" t="s">
        <v>148</v>
      </c>
      <c r="M3" s="622" t="str">
        <f>+'Calculo IP ZDF'!O29</f>
        <v>Z68</v>
      </c>
      <c r="O3" s="618">
        <f>+O2</f>
        <v>30000002129</v>
      </c>
      <c r="P3" s="613">
        <f>ROUND('Calculo IP ZDF'!D29,2)</f>
        <v>4047.77</v>
      </c>
      <c r="Q3" s="613" t="s">
        <v>344</v>
      </c>
      <c r="R3" s="613">
        <v>1</v>
      </c>
      <c r="S3" s="613" t="s">
        <v>345</v>
      </c>
      <c r="T3" s="613" t="s">
        <v>346</v>
      </c>
      <c r="U3" s="620" t="str">
        <f>+'Calculo IP ZDF'!$B$46</f>
        <v>01.02.2025</v>
      </c>
      <c r="V3" s="620" t="str">
        <f>+'Calculo IP ZDF'!$C$46</f>
        <v>28.02.2025</v>
      </c>
      <c r="X3" s="613">
        <v>4026.31</v>
      </c>
      <c r="Y3" s="613">
        <f t="shared" ref="Y3:Y40" si="0">+P3-X3</f>
        <v>21.460000000000036</v>
      </c>
      <c r="Z3" s="621" t="s">
        <v>378</v>
      </c>
    </row>
    <row r="4" spans="1:26" x14ac:dyDescent="0.3">
      <c r="A4" s="613" t="s">
        <v>342</v>
      </c>
      <c r="B4" s="616">
        <v>567</v>
      </c>
      <c r="C4" s="613" t="s">
        <v>343</v>
      </c>
      <c r="M4" s="622" t="str">
        <f>+'Calculo IP ZDF'!O30</f>
        <v>Z67</v>
      </c>
      <c r="O4" s="618">
        <f t="shared" ref="O4:O25" si="1">+O3</f>
        <v>30000002129</v>
      </c>
      <c r="P4" s="613">
        <f>ROUND('Calculo IP ZDF'!D30,2)</f>
        <v>5180.6099999999997</v>
      </c>
      <c r="Q4" s="613" t="s">
        <v>344</v>
      </c>
      <c r="R4" s="613">
        <v>1</v>
      </c>
      <c r="S4" s="613" t="s">
        <v>345</v>
      </c>
      <c r="T4" s="613" t="s">
        <v>346</v>
      </c>
      <c r="U4" s="620" t="str">
        <f>+'Calculo IP ZDF'!$B$46</f>
        <v>01.02.2025</v>
      </c>
      <c r="V4" s="620" t="str">
        <f>+'Calculo IP ZDF'!$C$46</f>
        <v>28.02.2025</v>
      </c>
      <c r="X4" s="613">
        <v>4147.91</v>
      </c>
      <c r="Y4" s="613">
        <f t="shared" si="0"/>
        <v>1032.6999999999998</v>
      </c>
      <c r="Z4" s="621" t="s">
        <v>378</v>
      </c>
    </row>
    <row r="5" spans="1:26" x14ac:dyDescent="0.3">
      <c r="A5" s="623" t="s">
        <v>342</v>
      </c>
      <c r="B5" s="616">
        <v>567</v>
      </c>
      <c r="C5" s="623" t="s">
        <v>343</v>
      </c>
      <c r="D5" s="623"/>
      <c r="E5" s="623"/>
      <c r="F5" s="623"/>
      <c r="G5" s="623"/>
      <c r="H5" s="623"/>
      <c r="I5" s="623"/>
      <c r="J5" s="623"/>
      <c r="K5" s="623"/>
      <c r="L5" s="623"/>
      <c r="M5" s="624" t="str">
        <f>+'Calculo IP ZDF'!O31</f>
        <v xml:space="preserve">Z64  </v>
      </c>
      <c r="N5" s="623"/>
      <c r="O5" s="625">
        <f t="shared" si="1"/>
        <v>30000002129</v>
      </c>
      <c r="P5" s="623">
        <f>ROUND('Calculo IP ZDF'!D31,2)</f>
        <v>5211.07</v>
      </c>
      <c r="Q5" s="623" t="s">
        <v>344</v>
      </c>
      <c r="R5" s="623">
        <v>1</v>
      </c>
      <c r="S5" s="623" t="s">
        <v>345</v>
      </c>
      <c r="T5" s="623" t="s">
        <v>346</v>
      </c>
      <c r="U5" s="620" t="str">
        <f>+'Calculo IP ZDF'!$B$46</f>
        <v>01.02.2025</v>
      </c>
      <c r="V5" s="620" t="str">
        <f>+'Calculo IP ZDF'!$C$46</f>
        <v>28.02.2025</v>
      </c>
      <c r="X5" s="613">
        <v>4618.07</v>
      </c>
      <c r="Y5" s="613">
        <f t="shared" si="0"/>
        <v>593</v>
      </c>
      <c r="Z5" s="621" t="s">
        <v>378</v>
      </c>
    </row>
    <row r="6" spans="1:26" x14ac:dyDescent="0.3">
      <c r="A6" s="613" t="s">
        <v>342</v>
      </c>
      <c r="B6" s="616">
        <v>567</v>
      </c>
      <c r="C6" s="613" t="s">
        <v>343</v>
      </c>
      <c r="M6" s="622" t="s">
        <v>375</v>
      </c>
      <c r="O6" s="618">
        <f t="shared" si="1"/>
        <v>30000002129</v>
      </c>
      <c r="P6" s="613">
        <f>ROUND('Calculo IP ZDF'!D32,2)</f>
        <v>3924.86</v>
      </c>
      <c r="Q6" s="613" t="s">
        <v>344</v>
      </c>
      <c r="R6" s="613">
        <v>1</v>
      </c>
      <c r="S6" s="613" t="s">
        <v>345</v>
      </c>
      <c r="T6" s="613" t="s">
        <v>346</v>
      </c>
      <c r="U6" s="620" t="str">
        <f>+'Calculo IP ZDF'!$B$46</f>
        <v>01.02.2025</v>
      </c>
      <c r="V6" s="620" t="str">
        <f>+'Calculo IP ZDF'!$C$46</f>
        <v>28.02.2025</v>
      </c>
      <c r="X6" s="613">
        <v>4029.1</v>
      </c>
      <c r="Y6" s="613">
        <f t="shared" si="0"/>
        <v>-104.23999999999978</v>
      </c>
      <c r="Z6" s="621" t="s">
        <v>378</v>
      </c>
    </row>
    <row r="7" spans="1:26" x14ac:dyDescent="0.3">
      <c r="A7" s="613" t="s">
        <v>342</v>
      </c>
      <c r="B7" s="616">
        <v>567</v>
      </c>
      <c r="C7" s="613" t="s">
        <v>343</v>
      </c>
      <c r="M7" s="622" t="str">
        <f>+'Calculo IP ZDF'!O33</f>
        <v>Z65</v>
      </c>
      <c r="O7" s="618">
        <f t="shared" si="1"/>
        <v>30000002129</v>
      </c>
      <c r="P7" s="613">
        <f>ROUND('Calculo IP ZDF'!D33,2)</f>
        <v>5114.3500000000004</v>
      </c>
      <c r="Q7" s="613" t="s">
        <v>344</v>
      </c>
      <c r="R7" s="613">
        <v>1</v>
      </c>
      <c r="S7" s="613" t="s">
        <v>345</v>
      </c>
      <c r="T7" s="613" t="s">
        <v>346</v>
      </c>
      <c r="U7" s="620" t="str">
        <f>+'Calculo IP ZDF'!$B$46</f>
        <v>01.02.2025</v>
      </c>
      <c r="V7" s="620" t="str">
        <f>+'Calculo IP ZDF'!$C$46</f>
        <v>28.02.2025</v>
      </c>
      <c r="X7" s="613">
        <v>4618.07</v>
      </c>
      <c r="Y7" s="613">
        <f t="shared" si="0"/>
        <v>496.28000000000065</v>
      </c>
      <c r="Z7" s="621" t="s">
        <v>378</v>
      </c>
    </row>
    <row r="8" spans="1:26" x14ac:dyDescent="0.3">
      <c r="A8" s="613" t="s">
        <v>342</v>
      </c>
      <c r="B8" s="616">
        <v>567</v>
      </c>
      <c r="C8" s="613" t="s">
        <v>343</v>
      </c>
      <c r="M8" s="622" t="str">
        <f>+'Calculo IP ZDF'!O34</f>
        <v>Z69</v>
      </c>
      <c r="O8" s="618">
        <f t="shared" si="1"/>
        <v>30000002129</v>
      </c>
      <c r="P8" s="613">
        <f>ROUND('Calculo IP ZDF'!D34,2)</f>
        <v>4314.95</v>
      </c>
      <c r="Q8" s="613" t="s">
        <v>344</v>
      </c>
      <c r="R8" s="613">
        <v>1</v>
      </c>
      <c r="S8" s="613" t="s">
        <v>345</v>
      </c>
      <c r="T8" s="613" t="s">
        <v>346</v>
      </c>
      <c r="U8" s="620" t="str">
        <f>+'Calculo IP ZDF'!$B$46</f>
        <v>01.02.2025</v>
      </c>
      <c r="V8" s="620" t="str">
        <f>+'Calculo IP ZDF'!$C$46</f>
        <v>28.02.2025</v>
      </c>
      <c r="X8" s="613">
        <v>4413.8599999999997</v>
      </c>
      <c r="Y8" s="613">
        <f t="shared" si="0"/>
        <v>-98.909999999999854</v>
      </c>
      <c r="Z8" s="621" t="s">
        <v>378</v>
      </c>
    </row>
    <row r="9" spans="1:26" x14ac:dyDescent="0.3">
      <c r="A9" s="613" t="s">
        <v>342</v>
      </c>
      <c r="B9" s="616">
        <v>567</v>
      </c>
      <c r="C9" s="613" t="s">
        <v>343</v>
      </c>
      <c r="M9" s="622" t="str">
        <f>+'Calculo IP ZDF'!O36</f>
        <v>Z62</v>
      </c>
      <c r="O9" s="618">
        <f>+O8</f>
        <v>30000002129</v>
      </c>
      <c r="P9" s="613">
        <f>ROUND('Calculo IP ZDF'!D36,2)</f>
        <v>5113.8100000000004</v>
      </c>
      <c r="Q9" s="613" t="s">
        <v>344</v>
      </c>
      <c r="R9" s="613">
        <v>1</v>
      </c>
      <c r="S9" s="613" t="s">
        <v>345</v>
      </c>
      <c r="T9" s="613" t="s">
        <v>346</v>
      </c>
      <c r="U9" s="620" t="str">
        <f>+'Calculo IP ZDF'!$B$46</f>
        <v>01.02.2025</v>
      </c>
      <c r="V9" s="620" t="str">
        <f>+'Calculo IP ZDF'!$C$46</f>
        <v>28.02.2025</v>
      </c>
      <c r="X9" s="613">
        <v>4406.43</v>
      </c>
      <c r="Y9" s="613">
        <f t="shared" si="0"/>
        <v>707.38000000000011</v>
      </c>
      <c r="Z9" s="621" t="s">
        <v>378</v>
      </c>
    </row>
    <row r="10" spans="1:26" x14ac:dyDescent="0.3">
      <c r="A10" s="613" t="s">
        <v>342</v>
      </c>
      <c r="B10" s="616">
        <v>567</v>
      </c>
      <c r="C10" s="613" t="s">
        <v>343</v>
      </c>
      <c r="M10" s="622" t="str">
        <f>+'Calculo IP ZDF'!O37</f>
        <v>Z60</v>
      </c>
      <c r="O10" s="618">
        <f>+O2</f>
        <v>30000002129</v>
      </c>
      <c r="P10" s="613">
        <f>ROUND('Calculo IP ZDF'!D37,2)</f>
        <v>3830.28</v>
      </c>
      <c r="Q10" s="613" t="s">
        <v>344</v>
      </c>
      <c r="R10" s="613">
        <v>1</v>
      </c>
      <c r="S10" s="613" t="s">
        <v>345</v>
      </c>
      <c r="T10" s="613" t="s">
        <v>346</v>
      </c>
      <c r="U10" s="620" t="str">
        <f>+'Calculo IP ZDF'!$B$46</f>
        <v>01.02.2025</v>
      </c>
      <c r="V10" s="620" t="str">
        <f>+'Calculo IP ZDF'!$C$46</f>
        <v>28.02.2025</v>
      </c>
      <c r="X10" s="613">
        <v>4334.03</v>
      </c>
      <c r="Y10" s="613">
        <f t="shared" si="0"/>
        <v>-503.74999999999955</v>
      </c>
      <c r="Z10" s="621" t="s">
        <v>378</v>
      </c>
    </row>
    <row r="11" spans="1:26" x14ac:dyDescent="0.3">
      <c r="A11" s="616" t="s">
        <v>342</v>
      </c>
      <c r="B11" s="616">
        <v>567</v>
      </c>
      <c r="C11" s="616" t="s">
        <v>343</v>
      </c>
      <c r="D11" s="616"/>
      <c r="E11" s="616"/>
      <c r="F11" s="616"/>
      <c r="G11" s="616"/>
      <c r="H11" s="616"/>
      <c r="I11" s="616"/>
      <c r="J11" s="616"/>
      <c r="K11" s="616"/>
      <c r="L11" s="616"/>
      <c r="M11" s="617" t="str">
        <f>+'Calculo IP ZDF'!O38</f>
        <v>Z63</v>
      </c>
      <c r="N11" s="616"/>
      <c r="O11" s="618">
        <f t="shared" si="1"/>
        <v>30000002129</v>
      </c>
      <c r="P11" s="616">
        <f>ROUND('Calculo IP ZDF'!D38,2)</f>
        <v>5157.1000000000004</v>
      </c>
      <c r="Q11" s="616" t="s">
        <v>344</v>
      </c>
      <c r="R11" s="616">
        <v>1</v>
      </c>
      <c r="S11" s="616" t="s">
        <v>345</v>
      </c>
      <c r="T11" s="616" t="s">
        <v>346</v>
      </c>
      <c r="U11" s="620" t="str">
        <f>+'Calculo IP ZDF'!$B$46</f>
        <v>01.02.2025</v>
      </c>
      <c r="V11" s="620" t="str">
        <f>+'Calculo IP ZDF'!$C$46</f>
        <v>28.02.2025</v>
      </c>
      <c r="X11" s="613">
        <v>4399.01</v>
      </c>
      <c r="Y11" s="613">
        <f t="shared" si="0"/>
        <v>758.09000000000015</v>
      </c>
      <c r="Z11" s="621" t="s">
        <v>378</v>
      </c>
    </row>
    <row r="12" spans="1:26" x14ac:dyDescent="0.3">
      <c r="A12" s="613" t="s">
        <v>342</v>
      </c>
      <c r="B12" s="616">
        <v>567</v>
      </c>
      <c r="C12" s="613" t="s">
        <v>343</v>
      </c>
      <c r="M12" s="622" t="str">
        <f>+'Calculo IP ZDF'!O39</f>
        <v>Z70</v>
      </c>
      <c r="O12" s="618">
        <f t="shared" si="1"/>
        <v>30000002129</v>
      </c>
      <c r="P12" s="613">
        <f>ROUND('Calculo IP ZDF'!D39,2)</f>
        <v>4225.71</v>
      </c>
      <c r="Q12" s="613" t="s">
        <v>344</v>
      </c>
      <c r="R12" s="613">
        <v>1</v>
      </c>
      <c r="S12" s="613" t="s">
        <v>345</v>
      </c>
      <c r="T12" s="613" t="s">
        <v>346</v>
      </c>
      <c r="U12" s="620" t="str">
        <f>+'Calculo IP ZDF'!$B$46</f>
        <v>01.02.2025</v>
      </c>
      <c r="V12" s="620" t="str">
        <f>+'Calculo IP ZDF'!$C$46</f>
        <v>28.02.2025</v>
      </c>
      <c r="X12" s="613">
        <v>4618.07</v>
      </c>
      <c r="Y12" s="613">
        <f t="shared" si="0"/>
        <v>-392.35999999999967</v>
      </c>
      <c r="Z12" s="621" t="s">
        <v>378</v>
      </c>
    </row>
    <row r="13" spans="1:26" x14ac:dyDescent="0.3">
      <c r="A13" s="613" t="s">
        <v>342</v>
      </c>
      <c r="B13" s="616">
        <v>567</v>
      </c>
      <c r="C13" s="613" t="s">
        <v>343</v>
      </c>
      <c r="M13" s="622" t="str">
        <f>+'Calculo IP ZDF'!O40</f>
        <v>Z75</v>
      </c>
      <c r="O13" s="618">
        <f t="shared" si="1"/>
        <v>30000002129</v>
      </c>
      <c r="P13" s="613">
        <f>ROUND('Calculo IP ZDF'!D40,2)</f>
        <v>3972.42</v>
      </c>
      <c r="Q13" s="613" t="s">
        <v>344</v>
      </c>
      <c r="R13" s="613">
        <v>1</v>
      </c>
      <c r="S13" s="613" t="s">
        <v>345</v>
      </c>
      <c r="T13" s="613" t="s">
        <v>346</v>
      </c>
      <c r="U13" s="620" t="str">
        <f>+'Calculo IP ZDF'!$B$46</f>
        <v>01.02.2025</v>
      </c>
      <c r="V13" s="620" t="str">
        <f>+'Calculo IP ZDF'!$C$46</f>
        <v>28.02.2025</v>
      </c>
      <c r="X13" s="613">
        <v>4017.03</v>
      </c>
      <c r="Y13" s="613">
        <f t="shared" si="0"/>
        <v>-44.610000000000127</v>
      </c>
      <c r="Z13" s="621" t="s">
        <v>378</v>
      </c>
    </row>
    <row r="14" spans="1:26" x14ac:dyDescent="0.3">
      <c r="A14" s="616" t="s">
        <v>347</v>
      </c>
      <c r="B14" s="616">
        <v>567</v>
      </c>
      <c r="C14" s="616" t="s">
        <v>343</v>
      </c>
      <c r="D14" s="616"/>
      <c r="E14" s="616"/>
      <c r="F14" s="616"/>
      <c r="G14" s="616"/>
      <c r="H14" s="616"/>
      <c r="I14" s="616"/>
      <c r="J14" s="616"/>
      <c r="K14" s="616"/>
      <c r="L14" s="616"/>
      <c r="M14" s="617" t="str">
        <f>+'Calculo IP ZDF'!O28</f>
        <v>Z61</v>
      </c>
      <c r="N14" s="616"/>
      <c r="O14" s="618">
        <f t="shared" si="1"/>
        <v>30000002129</v>
      </c>
      <c r="P14" s="629">
        <f>ROUND('Calculo IP ZDF'!E28,2)</f>
        <v>415.18</v>
      </c>
      <c r="Q14" s="616" t="s">
        <v>344</v>
      </c>
      <c r="R14" s="616">
        <v>1</v>
      </c>
      <c r="S14" s="616" t="s">
        <v>345</v>
      </c>
      <c r="T14" s="616" t="s">
        <v>346</v>
      </c>
      <c r="U14" s="620" t="str">
        <f>+'Calculo IP ZDF'!$B$46</f>
        <v>01.02.2025</v>
      </c>
      <c r="V14" s="620" t="str">
        <f>+'Calculo IP ZDF'!$C$46</f>
        <v>28.02.2025</v>
      </c>
      <c r="X14" s="613">
        <v>230.3</v>
      </c>
      <c r="Y14" s="613">
        <f t="shared" si="0"/>
        <v>184.88</v>
      </c>
      <c r="Z14" s="621" t="s">
        <v>378</v>
      </c>
    </row>
    <row r="15" spans="1:26" x14ac:dyDescent="0.3">
      <c r="A15" s="613" t="s">
        <v>347</v>
      </c>
      <c r="B15" s="616">
        <v>567</v>
      </c>
      <c r="C15" s="613" t="s">
        <v>343</v>
      </c>
      <c r="M15" s="622" t="str">
        <f>+'Calculo IP ZDF'!O29</f>
        <v>Z68</v>
      </c>
      <c r="O15" s="618">
        <f t="shared" si="1"/>
        <v>30000002129</v>
      </c>
      <c r="P15" s="614">
        <f>ROUND('Calculo IP ZDF'!E29,2)</f>
        <v>415.18</v>
      </c>
      <c r="Q15" s="613" t="s">
        <v>344</v>
      </c>
      <c r="R15" s="613">
        <v>1</v>
      </c>
      <c r="S15" s="613" t="s">
        <v>345</v>
      </c>
      <c r="T15" s="613" t="s">
        <v>346</v>
      </c>
      <c r="U15" s="620" t="str">
        <f>+'Calculo IP ZDF'!$B$46</f>
        <v>01.02.2025</v>
      </c>
      <c r="V15" s="620" t="str">
        <f>+'Calculo IP ZDF'!$C$46</f>
        <v>28.02.2025</v>
      </c>
      <c r="X15" s="613">
        <v>230.3</v>
      </c>
      <c r="Y15" s="613">
        <f t="shared" si="0"/>
        <v>184.88</v>
      </c>
      <c r="Z15" s="621" t="s">
        <v>378</v>
      </c>
    </row>
    <row r="16" spans="1:26" x14ac:dyDescent="0.3">
      <c r="A16" s="613" t="s">
        <v>347</v>
      </c>
      <c r="B16" s="616">
        <v>567</v>
      </c>
      <c r="C16" s="613" t="s">
        <v>343</v>
      </c>
      <c r="M16" s="622" t="str">
        <f>+'Calculo IP ZDF'!O30</f>
        <v>Z67</v>
      </c>
      <c r="O16" s="618">
        <f t="shared" si="1"/>
        <v>30000002129</v>
      </c>
      <c r="P16" s="614">
        <f>ROUND('Calculo IP ZDF'!E30,2)</f>
        <v>415.18</v>
      </c>
      <c r="Q16" s="613" t="s">
        <v>344</v>
      </c>
      <c r="R16" s="613">
        <v>1</v>
      </c>
      <c r="S16" s="613" t="s">
        <v>345</v>
      </c>
      <c r="T16" s="613" t="s">
        <v>346</v>
      </c>
      <c r="U16" s="620" t="str">
        <f>+'Calculo IP ZDF'!$B$46</f>
        <v>01.02.2025</v>
      </c>
      <c r="V16" s="620" t="str">
        <f>+'Calculo IP ZDF'!$C$46</f>
        <v>28.02.2025</v>
      </c>
      <c r="X16" s="613">
        <v>230.3</v>
      </c>
      <c r="Y16" s="613">
        <f t="shared" si="0"/>
        <v>184.88</v>
      </c>
      <c r="Z16" s="621" t="s">
        <v>378</v>
      </c>
    </row>
    <row r="17" spans="1:26" x14ac:dyDescent="0.3">
      <c r="A17" s="623" t="s">
        <v>347</v>
      </c>
      <c r="B17" s="616">
        <v>567</v>
      </c>
      <c r="C17" s="623" t="s">
        <v>343</v>
      </c>
      <c r="D17" s="623"/>
      <c r="E17" s="623"/>
      <c r="F17" s="623"/>
      <c r="G17" s="623"/>
      <c r="H17" s="623"/>
      <c r="I17" s="623"/>
      <c r="J17" s="623"/>
      <c r="K17" s="623"/>
      <c r="L17" s="623"/>
      <c r="M17" s="624" t="str">
        <f>+M5</f>
        <v xml:space="preserve">Z64  </v>
      </c>
      <c r="N17" s="623"/>
      <c r="O17" s="625">
        <f t="shared" si="1"/>
        <v>30000002129</v>
      </c>
      <c r="P17" s="630">
        <f>ROUND('Calculo IP ZDF'!E31,2)</f>
        <v>415.18</v>
      </c>
      <c r="Q17" s="623" t="s">
        <v>344</v>
      </c>
      <c r="R17" s="623">
        <v>1</v>
      </c>
      <c r="S17" s="623" t="s">
        <v>345</v>
      </c>
      <c r="T17" s="623" t="s">
        <v>346</v>
      </c>
      <c r="U17" s="620" t="str">
        <f>+'Calculo IP ZDF'!$B$46</f>
        <v>01.02.2025</v>
      </c>
      <c r="V17" s="620" t="str">
        <f>+'Calculo IP ZDF'!$C$46</f>
        <v>28.02.2025</v>
      </c>
      <c r="X17" s="613">
        <v>230.3</v>
      </c>
      <c r="Y17" s="613">
        <f t="shared" si="0"/>
        <v>184.88</v>
      </c>
      <c r="Z17" s="621" t="s">
        <v>378</v>
      </c>
    </row>
    <row r="18" spans="1:26" x14ac:dyDescent="0.3">
      <c r="A18" s="613" t="s">
        <v>347</v>
      </c>
      <c r="B18" s="616">
        <v>567</v>
      </c>
      <c r="C18" s="613" t="s">
        <v>343</v>
      </c>
      <c r="M18" s="622" t="str">
        <f>+M6</f>
        <v>Z74</v>
      </c>
      <c r="O18" s="618">
        <f t="shared" si="1"/>
        <v>30000002129</v>
      </c>
      <c r="P18" s="614">
        <f>ROUND('Calculo IP ZDF'!E32,2)</f>
        <v>415.18</v>
      </c>
      <c r="Q18" s="613" t="s">
        <v>344</v>
      </c>
      <c r="R18" s="613">
        <v>1</v>
      </c>
      <c r="S18" s="613" t="s">
        <v>345</v>
      </c>
      <c r="T18" s="613" t="s">
        <v>346</v>
      </c>
      <c r="U18" s="620" t="str">
        <f>+'Calculo IP ZDF'!$B$46</f>
        <v>01.02.2025</v>
      </c>
      <c r="V18" s="620" t="str">
        <f>+'Calculo IP ZDF'!$C$46</f>
        <v>28.02.2025</v>
      </c>
      <c r="X18" s="613">
        <v>230.3</v>
      </c>
      <c r="Y18" s="613">
        <f t="shared" si="0"/>
        <v>184.88</v>
      </c>
      <c r="Z18" s="621" t="s">
        <v>378</v>
      </c>
    </row>
    <row r="19" spans="1:26" x14ac:dyDescent="0.3">
      <c r="A19" s="613" t="s">
        <v>347</v>
      </c>
      <c r="B19" s="616">
        <v>567</v>
      </c>
      <c r="C19" s="613" t="s">
        <v>343</v>
      </c>
      <c r="M19" s="622" t="str">
        <f>+'Calculo IP ZDF'!O33</f>
        <v>Z65</v>
      </c>
      <c r="O19" s="618">
        <f t="shared" si="1"/>
        <v>30000002129</v>
      </c>
      <c r="P19" s="614">
        <f>ROUND('Calculo IP ZDF'!E33,2)</f>
        <v>415.18</v>
      </c>
      <c r="Q19" s="613" t="s">
        <v>344</v>
      </c>
      <c r="R19" s="613">
        <v>1</v>
      </c>
      <c r="S19" s="613" t="s">
        <v>345</v>
      </c>
      <c r="T19" s="613" t="s">
        <v>346</v>
      </c>
      <c r="U19" s="620" t="str">
        <f>+'Calculo IP ZDF'!$B$46</f>
        <v>01.02.2025</v>
      </c>
      <c r="V19" s="620" t="str">
        <f>+'Calculo IP ZDF'!$C$46</f>
        <v>28.02.2025</v>
      </c>
      <c r="X19" s="613">
        <v>230.3</v>
      </c>
      <c r="Y19" s="613">
        <f t="shared" si="0"/>
        <v>184.88</v>
      </c>
      <c r="Z19" s="621" t="s">
        <v>378</v>
      </c>
    </row>
    <row r="20" spans="1:26" x14ac:dyDescent="0.3">
      <c r="A20" s="613" t="s">
        <v>347</v>
      </c>
      <c r="B20" s="616">
        <v>567</v>
      </c>
      <c r="C20" s="613" t="s">
        <v>343</v>
      </c>
      <c r="M20" s="622" t="str">
        <f>+'Calculo IP ZDF'!O34</f>
        <v>Z69</v>
      </c>
      <c r="O20" s="618">
        <f t="shared" si="1"/>
        <v>30000002129</v>
      </c>
      <c r="P20" s="614">
        <f>ROUND('Calculo IP ZDF'!E34,2)</f>
        <v>415.18</v>
      </c>
      <c r="Q20" s="613" t="s">
        <v>344</v>
      </c>
      <c r="R20" s="613">
        <v>1</v>
      </c>
      <c r="S20" s="613" t="s">
        <v>345</v>
      </c>
      <c r="T20" s="613" t="s">
        <v>346</v>
      </c>
      <c r="U20" s="620" t="str">
        <f>+'Calculo IP ZDF'!$B$46</f>
        <v>01.02.2025</v>
      </c>
      <c r="V20" s="620" t="str">
        <f>+'Calculo IP ZDF'!$C$46</f>
        <v>28.02.2025</v>
      </c>
      <c r="X20" s="613">
        <v>230.3</v>
      </c>
      <c r="Y20" s="613">
        <f t="shared" si="0"/>
        <v>184.88</v>
      </c>
      <c r="Z20" s="621" t="s">
        <v>378</v>
      </c>
    </row>
    <row r="21" spans="1:26" x14ac:dyDescent="0.3">
      <c r="A21" s="613" t="s">
        <v>347</v>
      </c>
      <c r="B21" s="616">
        <v>567</v>
      </c>
      <c r="C21" s="613" t="s">
        <v>343</v>
      </c>
      <c r="M21" s="622" t="str">
        <f>+'Calculo IP ZDF'!O36</f>
        <v>Z62</v>
      </c>
      <c r="O21" s="618">
        <f t="shared" si="1"/>
        <v>30000002129</v>
      </c>
      <c r="P21" s="614">
        <f>ROUND('Calculo IP ZDF'!E36,2)</f>
        <v>415.18</v>
      </c>
      <c r="Q21" s="613" t="s">
        <v>344</v>
      </c>
      <c r="R21" s="613">
        <v>1</v>
      </c>
      <c r="S21" s="613" t="s">
        <v>345</v>
      </c>
      <c r="T21" s="613" t="s">
        <v>346</v>
      </c>
      <c r="U21" s="620" t="str">
        <f>+'Calculo IP ZDF'!$B$46</f>
        <v>01.02.2025</v>
      </c>
      <c r="V21" s="620" t="str">
        <f>+'Calculo IP ZDF'!$C$46</f>
        <v>28.02.2025</v>
      </c>
      <c r="X21" s="613">
        <v>230.3</v>
      </c>
      <c r="Y21" s="613">
        <f t="shared" si="0"/>
        <v>184.88</v>
      </c>
      <c r="Z21" s="621" t="s">
        <v>378</v>
      </c>
    </row>
    <row r="22" spans="1:26" x14ac:dyDescent="0.3">
      <c r="A22" s="613" t="s">
        <v>347</v>
      </c>
      <c r="B22" s="616">
        <v>567</v>
      </c>
      <c r="C22" s="613" t="s">
        <v>343</v>
      </c>
      <c r="M22" s="622" t="str">
        <f>+'Calculo IP ZDF'!O37</f>
        <v>Z60</v>
      </c>
      <c r="O22" s="618">
        <f>+O21</f>
        <v>30000002129</v>
      </c>
      <c r="P22" s="614">
        <f>ROUND('Calculo IP ZDF'!E37,2)</f>
        <v>415.18</v>
      </c>
      <c r="Q22" s="613" t="s">
        <v>344</v>
      </c>
      <c r="R22" s="613">
        <v>1</v>
      </c>
      <c r="S22" s="613" t="s">
        <v>345</v>
      </c>
      <c r="T22" s="613" t="s">
        <v>346</v>
      </c>
      <c r="U22" s="620" t="str">
        <f>+'Calculo IP ZDF'!$B$46</f>
        <v>01.02.2025</v>
      </c>
      <c r="V22" s="620" t="str">
        <f>+'Calculo IP ZDF'!$C$46</f>
        <v>28.02.2025</v>
      </c>
      <c r="X22" s="613">
        <v>230.3</v>
      </c>
      <c r="Y22" s="613">
        <f t="shared" si="0"/>
        <v>184.88</v>
      </c>
      <c r="Z22" s="621" t="s">
        <v>378</v>
      </c>
    </row>
    <row r="23" spans="1:26" x14ac:dyDescent="0.3">
      <c r="A23" s="616" t="s">
        <v>347</v>
      </c>
      <c r="B23" s="616">
        <v>567</v>
      </c>
      <c r="C23" s="616" t="s">
        <v>343</v>
      </c>
      <c r="D23" s="616"/>
      <c r="E23" s="616"/>
      <c r="F23" s="616"/>
      <c r="G23" s="616"/>
      <c r="H23" s="616"/>
      <c r="I23" s="616"/>
      <c r="J23" s="616"/>
      <c r="K23" s="616"/>
      <c r="L23" s="616"/>
      <c r="M23" s="617" t="str">
        <f>+'Calculo IP ZDF'!O38</f>
        <v>Z63</v>
      </c>
      <c r="N23" s="616"/>
      <c r="O23" s="618">
        <f t="shared" si="1"/>
        <v>30000002129</v>
      </c>
      <c r="P23" s="629">
        <f>ROUND('Calculo IP ZDF'!E38,2)</f>
        <v>415.18</v>
      </c>
      <c r="Q23" s="616" t="s">
        <v>344</v>
      </c>
      <c r="R23" s="616">
        <v>1</v>
      </c>
      <c r="S23" s="616" t="s">
        <v>345</v>
      </c>
      <c r="T23" s="616" t="s">
        <v>346</v>
      </c>
      <c r="U23" s="620" t="str">
        <f>+'Calculo IP ZDF'!$B$46</f>
        <v>01.02.2025</v>
      </c>
      <c r="V23" s="620" t="str">
        <f>+'Calculo IP ZDF'!$C$46</f>
        <v>28.02.2025</v>
      </c>
      <c r="X23" s="613">
        <v>230.3</v>
      </c>
      <c r="Y23" s="613">
        <f t="shared" si="0"/>
        <v>184.88</v>
      </c>
      <c r="Z23" s="621" t="s">
        <v>378</v>
      </c>
    </row>
    <row r="24" spans="1:26" x14ac:dyDescent="0.3">
      <c r="A24" s="613" t="s">
        <v>347</v>
      </c>
      <c r="B24" s="616">
        <v>567</v>
      </c>
      <c r="C24" s="613" t="s">
        <v>343</v>
      </c>
      <c r="M24" s="622" t="str">
        <f>+'Calculo IP ZDF'!O39</f>
        <v>Z70</v>
      </c>
      <c r="O24" s="618">
        <f t="shared" si="1"/>
        <v>30000002129</v>
      </c>
      <c r="P24" s="614">
        <f>ROUND('Calculo IP ZDF'!E39,2)</f>
        <v>415.18</v>
      </c>
      <c r="Q24" s="613" t="s">
        <v>344</v>
      </c>
      <c r="R24" s="613">
        <v>1</v>
      </c>
      <c r="S24" s="613" t="s">
        <v>345</v>
      </c>
      <c r="T24" s="613" t="s">
        <v>346</v>
      </c>
      <c r="U24" s="620" t="str">
        <f>+'Calculo IP ZDF'!$B$46</f>
        <v>01.02.2025</v>
      </c>
      <c r="V24" s="620" t="str">
        <f>+'Calculo IP ZDF'!$C$46</f>
        <v>28.02.2025</v>
      </c>
      <c r="X24" s="613">
        <v>230.3</v>
      </c>
      <c r="Y24" s="613">
        <f t="shared" si="0"/>
        <v>184.88</v>
      </c>
      <c r="Z24" s="621" t="s">
        <v>378</v>
      </c>
    </row>
    <row r="25" spans="1:26" x14ac:dyDescent="0.3">
      <c r="A25" s="613" t="s">
        <v>347</v>
      </c>
      <c r="B25" s="616">
        <v>567</v>
      </c>
      <c r="C25" s="613" t="s">
        <v>343</v>
      </c>
      <c r="M25" s="622" t="str">
        <f>+'Calculo IP ZDF'!O40</f>
        <v>Z75</v>
      </c>
      <c r="O25" s="618">
        <f t="shared" si="1"/>
        <v>30000002129</v>
      </c>
      <c r="P25" s="614">
        <f>ROUND('Calculo IP ZDF'!E40,2)</f>
        <v>415.18</v>
      </c>
      <c r="Q25" s="613" t="s">
        <v>344</v>
      </c>
      <c r="R25" s="613">
        <v>1</v>
      </c>
      <c r="S25" s="613" t="s">
        <v>345</v>
      </c>
      <c r="T25" s="613" t="s">
        <v>346</v>
      </c>
      <c r="U25" s="620" t="str">
        <f>+'Calculo IP ZDF'!$B$46</f>
        <v>01.02.2025</v>
      </c>
      <c r="V25" s="620" t="str">
        <f>+'Calculo IP ZDF'!$C$46</f>
        <v>28.02.2025</v>
      </c>
      <c r="X25" s="613">
        <v>230.3</v>
      </c>
      <c r="Y25" s="613">
        <f t="shared" si="0"/>
        <v>184.88</v>
      </c>
      <c r="Z25" s="621" t="s">
        <v>378</v>
      </c>
    </row>
    <row r="26" spans="1:26" x14ac:dyDescent="0.3">
      <c r="A26" s="616" t="s">
        <v>348</v>
      </c>
      <c r="B26" s="616">
        <v>567</v>
      </c>
      <c r="C26" s="616" t="s">
        <v>343</v>
      </c>
      <c r="D26" s="616"/>
      <c r="E26" s="616"/>
      <c r="F26" s="616"/>
      <c r="G26" s="616"/>
      <c r="H26" s="616"/>
      <c r="I26" s="616"/>
      <c r="J26" s="616"/>
      <c r="K26" s="616"/>
      <c r="L26" s="616"/>
      <c r="M26" s="617" t="str">
        <f>+'Calculo IP ZDF'!O28</f>
        <v>Z61</v>
      </c>
      <c r="N26" s="616"/>
      <c r="O26" s="616">
        <f>+'Calculo IP ZDF'!B50</f>
        <v>30000000070</v>
      </c>
      <c r="P26" s="629">
        <f>ROUND('Calculo IP ZDF'!B28,2)</f>
        <v>10456.1</v>
      </c>
      <c r="Q26" s="616" t="s">
        <v>344</v>
      </c>
      <c r="R26" s="616">
        <v>1</v>
      </c>
      <c r="S26" s="616" t="s">
        <v>345</v>
      </c>
      <c r="T26" s="616" t="s">
        <v>346</v>
      </c>
      <c r="U26" s="620" t="str">
        <f>+'Calculo IP ZDF'!$B$46</f>
        <v>01.02.2025</v>
      </c>
      <c r="V26" s="620" t="str">
        <f>+'Calculo IP ZDF'!$C$46</f>
        <v>28.02.2025</v>
      </c>
      <c r="X26" s="613">
        <v>3980</v>
      </c>
      <c r="Y26" s="613">
        <f t="shared" si="0"/>
        <v>6476.1</v>
      </c>
      <c r="Z26" s="633" t="s">
        <v>380</v>
      </c>
    </row>
    <row r="27" spans="1:26" x14ac:dyDescent="0.3">
      <c r="A27" s="613" t="s">
        <v>348</v>
      </c>
      <c r="B27" s="616">
        <v>567</v>
      </c>
      <c r="C27" s="613" t="s">
        <v>343</v>
      </c>
      <c r="M27" s="622" t="str">
        <f>+'Calculo IP ZDF'!O29</f>
        <v>Z68</v>
      </c>
      <c r="O27" s="613">
        <f>+O26</f>
        <v>30000000070</v>
      </c>
      <c r="P27" s="614">
        <f>ROUND('Calculo IP ZDF'!B29,2)</f>
        <v>10456.1</v>
      </c>
      <c r="Q27" s="613" t="s">
        <v>344</v>
      </c>
      <c r="R27" s="613">
        <v>1</v>
      </c>
      <c r="S27" s="613" t="s">
        <v>345</v>
      </c>
      <c r="T27" s="613" t="s">
        <v>346</v>
      </c>
      <c r="U27" s="620" t="str">
        <f>+'Calculo IP ZDF'!$B$46</f>
        <v>01.02.2025</v>
      </c>
      <c r="V27" s="620" t="str">
        <f>+'Calculo IP ZDF'!$C$46</f>
        <v>28.02.2025</v>
      </c>
      <c r="X27" s="613">
        <v>3980</v>
      </c>
      <c r="Y27" s="613">
        <f t="shared" si="0"/>
        <v>6476.1</v>
      </c>
      <c r="Z27" s="633" t="s">
        <v>380</v>
      </c>
    </row>
    <row r="28" spans="1:26" x14ac:dyDescent="0.3">
      <c r="A28" s="613" t="s">
        <v>348</v>
      </c>
      <c r="B28" s="616">
        <v>567</v>
      </c>
      <c r="C28" s="613" t="s">
        <v>343</v>
      </c>
      <c r="M28" s="622" t="str">
        <f>+'Calculo IP ZDF'!O30</f>
        <v>Z67</v>
      </c>
      <c r="O28" s="613">
        <f t="shared" ref="O28:O37" si="2">+O27</f>
        <v>30000000070</v>
      </c>
      <c r="P28" s="614">
        <f>ROUND('Calculo IP ZDF'!B30,2)</f>
        <v>10456.1</v>
      </c>
      <c r="Q28" s="613" t="s">
        <v>344</v>
      </c>
      <c r="R28" s="613">
        <v>1</v>
      </c>
      <c r="S28" s="613" t="s">
        <v>345</v>
      </c>
      <c r="T28" s="613" t="s">
        <v>346</v>
      </c>
      <c r="U28" s="620" t="str">
        <f>+'Calculo IP ZDF'!$B$46</f>
        <v>01.02.2025</v>
      </c>
      <c r="V28" s="620" t="str">
        <f>+'Calculo IP ZDF'!$C$46</f>
        <v>28.02.2025</v>
      </c>
      <c r="X28" s="613">
        <v>3980</v>
      </c>
      <c r="Y28" s="613">
        <f t="shared" si="0"/>
        <v>6476.1</v>
      </c>
      <c r="Z28" s="633" t="s">
        <v>380</v>
      </c>
    </row>
    <row r="29" spans="1:26" x14ac:dyDescent="0.3">
      <c r="A29" s="623" t="s">
        <v>348</v>
      </c>
      <c r="B29" s="616">
        <v>567</v>
      </c>
      <c r="C29" s="623" t="s">
        <v>343</v>
      </c>
      <c r="D29" s="623"/>
      <c r="E29" s="623"/>
      <c r="F29" s="623"/>
      <c r="G29" s="623"/>
      <c r="H29" s="623"/>
      <c r="I29" s="623"/>
      <c r="J29" s="623"/>
      <c r="K29" s="623"/>
      <c r="L29" s="623"/>
      <c r="M29" s="624" t="str">
        <f>+M17</f>
        <v xml:space="preserve">Z64  </v>
      </c>
      <c r="N29" s="623"/>
      <c r="O29" s="623">
        <f t="shared" si="2"/>
        <v>30000000070</v>
      </c>
      <c r="P29" s="630">
        <f>ROUND('Calculo IP ZDF'!B31,2)</f>
        <v>10456.1</v>
      </c>
      <c r="Q29" s="623" t="s">
        <v>344</v>
      </c>
      <c r="R29" s="623">
        <v>1</v>
      </c>
      <c r="S29" s="623" t="s">
        <v>345</v>
      </c>
      <c r="T29" s="623" t="s">
        <v>346</v>
      </c>
      <c r="U29" s="620" t="str">
        <f>+'Calculo IP ZDF'!$B$46</f>
        <v>01.02.2025</v>
      </c>
      <c r="V29" s="620" t="str">
        <f>+'Calculo IP ZDF'!$C$46</f>
        <v>28.02.2025</v>
      </c>
      <c r="X29" s="613">
        <v>3980</v>
      </c>
      <c r="Y29" s="613">
        <f t="shared" si="0"/>
        <v>6476.1</v>
      </c>
      <c r="Z29" s="633" t="s">
        <v>380</v>
      </c>
    </row>
    <row r="30" spans="1:26" x14ac:dyDescent="0.3">
      <c r="A30" s="613" t="s">
        <v>348</v>
      </c>
      <c r="B30" s="616">
        <v>567</v>
      </c>
      <c r="C30" s="613" t="s">
        <v>343</v>
      </c>
      <c r="M30" s="622" t="str">
        <f>+M18</f>
        <v>Z74</v>
      </c>
      <c r="O30" s="613">
        <f t="shared" si="2"/>
        <v>30000000070</v>
      </c>
      <c r="P30" s="634">
        <f>ROUND('Calculo IP ZDF'!B32,2)</f>
        <v>10456.1</v>
      </c>
      <c r="Q30" s="613" t="s">
        <v>344</v>
      </c>
      <c r="R30" s="613">
        <v>1</v>
      </c>
      <c r="S30" s="613" t="s">
        <v>345</v>
      </c>
      <c r="T30" s="613" t="s">
        <v>346</v>
      </c>
      <c r="U30" s="620" t="str">
        <f>+'Calculo IP ZDF'!$B$46</f>
        <v>01.02.2025</v>
      </c>
      <c r="V30" s="620" t="str">
        <f>+'Calculo IP ZDF'!$C$46</f>
        <v>28.02.2025</v>
      </c>
      <c r="X30" s="613">
        <v>3980</v>
      </c>
      <c r="Y30" s="613">
        <f t="shared" si="0"/>
        <v>6476.1</v>
      </c>
      <c r="Z30" s="633" t="s">
        <v>380</v>
      </c>
    </row>
    <row r="31" spans="1:26" x14ac:dyDescent="0.3">
      <c r="A31" s="613" t="s">
        <v>348</v>
      </c>
      <c r="B31" s="616">
        <v>567</v>
      </c>
      <c r="C31" s="613" t="s">
        <v>343</v>
      </c>
      <c r="M31" s="622" t="str">
        <f>+'Calculo IP ZDF'!O33</f>
        <v>Z65</v>
      </c>
      <c r="O31" s="613">
        <f t="shared" si="2"/>
        <v>30000000070</v>
      </c>
      <c r="P31" s="614">
        <f>ROUND('Calculo IP ZDF'!B33,2)</f>
        <v>10456.1</v>
      </c>
      <c r="Q31" s="613" t="s">
        <v>344</v>
      </c>
      <c r="R31" s="613">
        <v>1</v>
      </c>
      <c r="S31" s="613" t="s">
        <v>345</v>
      </c>
      <c r="T31" s="613" t="s">
        <v>346</v>
      </c>
      <c r="U31" s="620" t="str">
        <f>+'Calculo IP ZDF'!$B$46</f>
        <v>01.02.2025</v>
      </c>
      <c r="V31" s="620" t="str">
        <f>+'Calculo IP ZDF'!$C$46</f>
        <v>28.02.2025</v>
      </c>
      <c r="X31" s="613">
        <v>3980</v>
      </c>
      <c r="Y31" s="613">
        <f t="shared" si="0"/>
        <v>6476.1</v>
      </c>
      <c r="Z31" s="633" t="s">
        <v>380</v>
      </c>
    </row>
    <row r="32" spans="1:26" x14ac:dyDescent="0.3">
      <c r="A32" s="613" t="s">
        <v>348</v>
      </c>
      <c r="B32" s="616">
        <v>567</v>
      </c>
      <c r="C32" s="613" t="s">
        <v>343</v>
      </c>
      <c r="M32" s="622" t="str">
        <f>+'Calculo IP ZDF'!O34</f>
        <v>Z69</v>
      </c>
      <c r="O32" s="613">
        <f t="shared" si="2"/>
        <v>30000000070</v>
      </c>
      <c r="P32" s="614">
        <f>ROUND('Calculo IP ZDF'!B34,2)</f>
        <v>10456.1</v>
      </c>
      <c r="Q32" s="613" t="s">
        <v>344</v>
      </c>
      <c r="R32" s="613">
        <v>1</v>
      </c>
      <c r="S32" s="613" t="s">
        <v>345</v>
      </c>
      <c r="T32" s="613" t="s">
        <v>346</v>
      </c>
      <c r="U32" s="620" t="str">
        <f>+'Calculo IP ZDF'!$B$46</f>
        <v>01.02.2025</v>
      </c>
      <c r="V32" s="620" t="str">
        <f>+'Calculo IP ZDF'!$C$46</f>
        <v>28.02.2025</v>
      </c>
      <c r="X32" s="613">
        <v>3980</v>
      </c>
      <c r="Y32" s="613">
        <f t="shared" si="0"/>
        <v>6476.1</v>
      </c>
      <c r="Z32" s="633" t="s">
        <v>380</v>
      </c>
    </row>
    <row r="33" spans="1:27" x14ac:dyDescent="0.3">
      <c r="A33" s="613" t="s">
        <v>348</v>
      </c>
      <c r="B33" s="616">
        <v>567</v>
      </c>
      <c r="C33" s="613" t="s">
        <v>343</v>
      </c>
      <c r="M33" s="622" t="str">
        <f>+'Calculo IP ZDF'!O36</f>
        <v>Z62</v>
      </c>
      <c r="O33" s="613">
        <f t="shared" si="2"/>
        <v>30000000070</v>
      </c>
      <c r="P33" s="614">
        <f>ROUND('Calculo IP ZDF'!B36,2)</f>
        <v>10105.82</v>
      </c>
      <c r="Q33" s="613" t="s">
        <v>344</v>
      </c>
      <c r="R33" s="613">
        <v>1</v>
      </c>
      <c r="S33" s="613" t="s">
        <v>345</v>
      </c>
      <c r="T33" s="613" t="s">
        <v>346</v>
      </c>
      <c r="U33" s="620" t="str">
        <f>+'Calculo IP ZDF'!$B$46</f>
        <v>01.02.2025</v>
      </c>
      <c r="V33" s="620" t="str">
        <f>+'Calculo IP ZDF'!$C$46</f>
        <v>28.02.2025</v>
      </c>
      <c r="X33" s="613">
        <v>3980</v>
      </c>
      <c r="Y33" s="613">
        <f t="shared" si="0"/>
        <v>6125.82</v>
      </c>
      <c r="Z33" s="633" t="s">
        <v>380</v>
      </c>
    </row>
    <row r="34" spans="1:27" x14ac:dyDescent="0.3">
      <c r="A34" s="613" t="s">
        <v>348</v>
      </c>
      <c r="B34" s="616">
        <v>567</v>
      </c>
      <c r="C34" s="613" t="s">
        <v>343</v>
      </c>
      <c r="M34" s="622" t="str">
        <f>+'Calculo IP ZDF'!O37</f>
        <v>Z60</v>
      </c>
      <c r="O34" s="613">
        <f t="shared" si="2"/>
        <v>30000000070</v>
      </c>
      <c r="P34" s="634">
        <f>ROUND('Calculo IP ZDF'!B37,2)</f>
        <v>10442.51</v>
      </c>
      <c r="Q34" s="613" t="s">
        <v>344</v>
      </c>
      <c r="R34" s="613">
        <v>1</v>
      </c>
      <c r="S34" s="613" t="s">
        <v>345</v>
      </c>
      <c r="T34" s="613" t="s">
        <v>346</v>
      </c>
      <c r="U34" s="620" t="str">
        <f>+'Calculo IP ZDF'!$B$46</f>
        <v>01.02.2025</v>
      </c>
      <c r="V34" s="620" t="str">
        <f>+'Calculo IP ZDF'!$C$46</f>
        <v>28.02.2025</v>
      </c>
      <c r="X34" s="613">
        <v>3980</v>
      </c>
      <c r="Y34" s="613">
        <f t="shared" si="0"/>
        <v>6462.51</v>
      </c>
      <c r="Z34" s="633" t="s">
        <v>380</v>
      </c>
    </row>
    <row r="35" spans="1:27" x14ac:dyDescent="0.3">
      <c r="A35" s="616" t="s">
        <v>348</v>
      </c>
      <c r="B35" s="616">
        <v>567</v>
      </c>
      <c r="C35" s="616" t="s">
        <v>343</v>
      </c>
      <c r="D35" s="616"/>
      <c r="E35" s="616"/>
      <c r="F35" s="616"/>
      <c r="G35" s="616"/>
      <c r="H35" s="616"/>
      <c r="I35" s="616"/>
      <c r="J35" s="616"/>
      <c r="K35" s="616"/>
      <c r="L35" s="616"/>
      <c r="M35" s="617" t="str">
        <f>+'Calculo IP ZDF'!O38</f>
        <v>Z63</v>
      </c>
      <c r="N35" s="616"/>
      <c r="O35" s="616">
        <f t="shared" si="2"/>
        <v>30000000070</v>
      </c>
      <c r="P35" s="629">
        <f>ROUND('Calculo IP ZDF'!B38,2)</f>
        <v>10456.1</v>
      </c>
      <c r="Q35" s="616" t="s">
        <v>344</v>
      </c>
      <c r="R35" s="616">
        <v>1</v>
      </c>
      <c r="S35" s="616" t="s">
        <v>345</v>
      </c>
      <c r="T35" s="616" t="s">
        <v>346</v>
      </c>
      <c r="U35" s="620" t="str">
        <f>+'Calculo IP ZDF'!$B$46</f>
        <v>01.02.2025</v>
      </c>
      <c r="V35" s="620" t="str">
        <f>+'Calculo IP ZDF'!$C$46</f>
        <v>28.02.2025</v>
      </c>
      <c r="X35" s="613">
        <v>3980</v>
      </c>
      <c r="Y35" s="613">
        <f t="shared" si="0"/>
        <v>6476.1</v>
      </c>
      <c r="Z35" s="633" t="s">
        <v>380</v>
      </c>
    </row>
    <row r="36" spans="1:27" x14ac:dyDescent="0.3">
      <c r="A36" s="613" t="s">
        <v>348</v>
      </c>
      <c r="B36" s="616">
        <v>567</v>
      </c>
      <c r="C36" s="613" t="s">
        <v>343</v>
      </c>
      <c r="M36" s="622" t="str">
        <f>+'Calculo IP ZDF'!O39</f>
        <v>Z70</v>
      </c>
      <c r="O36" s="613">
        <f t="shared" si="2"/>
        <v>30000000070</v>
      </c>
      <c r="P36" s="614">
        <f>ROUND('Calculo IP ZDF'!B39,2)</f>
        <v>10456.1</v>
      </c>
      <c r="Q36" s="613" t="s">
        <v>344</v>
      </c>
      <c r="R36" s="613">
        <v>1</v>
      </c>
      <c r="S36" s="613" t="s">
        <v>345</v>
      </c>
      <c r="T36" s="613" t="s">
        <v>346</v>
      </c>
      <c r="U36" s="620" t="str">
        <f>+'Calculo IP ZDF'!$B$46</f>
        <v>01.02.2025</v>
      </c>
      <c r="V36" s="620" t="str">
        <f>+'Calculo IP ZDF'!$C$46</f>
        <v>28.02.2025</v>
      </c>
      <c r="X36" s="613">
        <v>3980</v>
      </c>
      <c r="Y36" s="613">
        <f t="shared" si="0"/>
        <v>6476.1</v>
      </c>
      <c r="Z36" s="633" t="s">
        <v>380</v>
      </c>
    </row>
    <row r="37" spans="1:27" x14ac:dyDescent="0.3">
      <c r="A37" s="613" t="s">
        <v>348</v>
      </c>
      <c r="B37" s="616">
        <v>567</v>
      </c>
      <c r="C37" s="613" t="s">
        <v>343</v>
      </c>
      <c r="M37" s="622" t="str">
        <f>+'Calculo IP ZDF'!O40</f>
        <v>Z75</v>
      </c>
      <c r="O37" s="613">
        <f t="shared" si="2"/>
        <v>30000000070</v>
      </c>
      <c r="P37" s="614">
        <f>ROUND('Calculo IP ZDF'!B40,2)</f>
        <v>10456.1</v>
      </c>
      <c r="Q37" s="613" t="s">
        <v>344</v>
      </c>
      <c r="R37" s="613">
        <v>1</v>
      </c>
      <c r="S37" s="613" t="s">
        <v>345</v>
      </c>
      <c r="T37" s="613" t="s">
        <v>346</v>
      </c>
      <c r="U37" s="620" t="str">
        <f>+'Calculo IP ZDF'!$B$46</f>
        <v>01.02.2025</v>
      </c>
      <c r="V37" s="620" t="str">
        <f>+'Calculo IP ZDF'!$C$46</f>
        <v>28.02.2025</v>
      </c>
      <c r="X37" s="613">
        <v>3980</v>
      </c>
      <c r="Y37" s="613">
        <f t="shared" si="0"/>
        <v>6476.1</v>
      </c>
      <c r="Z37" s="633" t="s">
        <v>380</v>
      </c>
    </row>
    <row r="38" spans="1:27" x14ac:dyDescent="0.3">
      <c r="A38" s="613" t="s">
        <v>342</v>
      </c>
      <c r="B38" s="616">
        <v>567</v>
      </c>
      <c r="C38" s="613" t="s">
        <v>343</v>
      </c>
      <c r="M38" s="624" t="str">
        <f>+'Calculo IP ZDF'!O41</f>
        <v>Z66</v>
      </c>
      <c r="O38" s="613">
        <v>30000002129</v>
      </c>
      <c r="P38" s="614">
        <f>ROUND(+'Calculo IP ZDF'!D41,2)</f>
        <v>4141.8100000000004</v>
      </c>
      <c r="Q38" s="613" t="s">
        <v>344</v>
      </c>
      <c r="R38" s="613">
        <v>1</v>
      </c>
      <c r="S38" s="613" t="s">
        <v>345</v>
      </c>
      <c r="T38" s="613" t="s">
        <v>346</v>
      </c>
      <c r="U38" s="620" t="str">
        <f>+'Calculo IP ZDF'!$B$46</f>
        <v>01.02.2025</v>
      </c>
      <c r="V38" s="620" t="str">
        <f>+'Calculo IP ZDF'!$C$46</f>
        <v>28.02.2025</v>
      </c>
      <c r="X38" s="613">
        <v>4618.07</v>
      </c>
      <c r="Y38" s="613">
        <f t="shared" si="0"/>
        <v>-476.25999999999931</v>
      </c>
      <c r="Z38" s="621" t="s">
        <v>378</v>
      </c>
    </row>
    <row r="39" spans="1:27" x14ac:dyDescent="0.3">
      <c r="A39" s="613" t="s">
        <v>347</v>
      </c>
      <c r="B39" s="616">
        <v>567</v>
      </c>
      <c r="C39" s="613" t="s">
        <v>343</v>
      </c>
      <c r="M39" s="624" t="str">
        <f>+M38</f>
        <v>Z66</v>
      </c>
      <c r="O39" s="613">
        <v>30000002129</v>
      </c>
      <c r="P39" s="614">
        <f>ROUND(+'Calculo IP ZDF'!E41,2)</f>
        <v>415.18</v>
      </c>
      <c r="Q39" s="613" t="s">
        <v>344</v>
      </c>
      <c r="R39" s="613">
        <v>1</v>
      </c>
      <c r="S39" s="613" t="s">
        <v>345</v>
      </c>
      <c r="T39" s="613" t="s">
        <v>346</v>
      </c>
      <c r="U39" s="620" t="str">
        <f>+'Calculo IP ZDF'!$B$46</f>
        <v>01.02.2025</v>
      </c>
      <c r="V39" s="620" t="str">
        <f>+'Calculo IP ZDF'!$C$46</f>
        <v>28.02.2025</v>
      </c>
      <c r="X39" s="613">
        <v>230.3</v>
      </c>
      <c r="Y39" s="613">
        <f t="shared" si="0"/>
        <v>184.88</v>
      </c>
      <c r="Z39" s="621" t="s">
        <v>378</v>
      </c>
    </row>
    <row r="40" spans="1:27" x14ac:dyDescent="0.3">
      <c r="A40" s="613" t="s">
        <v>348</v>
      </c>
      <c r="B40" s="616">
        <v>567</v>
      </c>
      <c r="C40" s="613" t="s">
        <v>343</v>
      </c>
      <c r="M40" s="622" t="str">
        <f>+M39</f>
        <v>Z66</v>
      </c>
      <c r="O40" s="613">
        <f>+'Calculo IP ZDF'!B50</f>
        <v>30000000070</v>
      </c>
      <c r="P40" s="614">
        <f>ROUND(+'Calculo IP ZDF'!B41,2)</f>
        <v>10456.1</v>
      </c>
      <c r="Q40" s="613" t="s">
        <v>344</v>
      </c>
      <c r="R40" s="613">
        <v>1</v>
      </c>
      <c r="S40" s="613" t="s">
        <v>345</v>
      </c>
      <c r="T40" s="613" t="s">
        <v>346</v>
      </c>
      <c r="U40" s="620" t="str">
        <f>+'Calculo IP ZDF'!$B$46</f>
        <v>01.02.2025</v>
      </c>
      <c r="V40" s="620" t="str">
        <f>+'Calculo IP ZDF'!$C$46</f>
        <v>28.02.2025</v>
      </c>
      <c r="X40" s="613">
        <v>3980</v>
      </c>
      <c r="Y40" s="613">
        <f t="shared" si="0"/>
        <v>6476.1</v>
      </c>
      <c r="Z40" s="633" t="s">
        <v>380</v>
      </c>
    </row>
    <row r="41" spans="1:27" x14ac:dyDescent="0.3">
      <c r="M41" s="622"/>
      <c r="U41" s="620"/>
      <c r="V41" s="620"/>
      <c r="Z41" s="633"/>
    </row>
    <row r="42" spans="1:27" x14ac:dyDescent="0.3">
      <c r="M42" s="622"/>
      <c r="U42" s="620"/>
      <c r="V42" s="620"/>
      <c r="Z42" s="633"/>
    </row>
    <row r="44" spans="1:27" x14ac:dyDescent="0.3">
      <c r="A44" s="613" t="s">
        <v>348</v>
      </c>
      <c r="B44" s="616">
        <v>587</v>
      </c>
      <c r="C44" s="613" t="s">
        <v>343</v>
      </c>
      <c r="F44" s="613">
        <v>3003</v>
      </c>
      <c r="M44" s="622" t="s">
        <v>315</v>
      </c>
      <c r="O44" s="613">
        <v>30000009113</v>
      </c>
      <c r="P44" s="614">
        <f>ROUND(+'Calculo IP ZDF'!B36,2)</f>
        <v>10105.82</v>
      </c>
      <c r="Q44" s="613" t="s">
        <v>344</v>
      </c>
      <c r="R44" s="613">
        <v>1</v>
      </c>
      <c r="S44" s="613" t="s">
        <v>345</v>
      </c>
      <c r="T44" s="613" t="s">
        <v>346</v>
      </c>
      <c r="U44" s="620" t="str">
        <f>+'Calculo IP ZDF'!$B$46</f>
        <v>01.02.2025</v>
      </c>
      <c r="V44" s="620" t="str">
        <f>+'Calculo IP ZDF'!$C$46</f>
        <v>28.02.2025</v>
      </c>
      <c r="X44" s="613">
        <v>3980</v>
      </c>
      <c r="Y44" s="613">
        <f t="shared" ref="Y44:Y47" si="3">+P44-X44</f>
        <v>6125.82</v>
      </c>
      <c r="Z44" s="613" t="s">
        <v>379</v>
      </c>
    </row>
    <row r="45" spans="1:27" x14ac:dyDescent="0.3">
      <c r="A45" s="613" t="s">
        <v>348</v>
      </c>
      <c r="B45" s="616">
        <v>587</v>
      </c>
      <c r="C45" s="613" t="s">
        <v>343</v>
      </c>
      <c r="F45" s="613">
        <v>3003</v>
      </c>
      <c r="M45" s="622" t="s">
        <v>315</v>
      </c>
      <c r="O45" s="613">
        <v>30000000003</v>
      </c>
      <c r="P45" s="614">
        <f>ROUND(+'Calculo IP ZDF'!C36,2)</f>
        <v>5218.18</v>
      </c>
      <c r="Q45" s="613" t="s">
        <v>344</v>
      </c>
      <c r="R45" s="613">
        <v>1</v>
      </c>
      <c r="S45" s="613" t="s">
        <v>345</v>
      </c>
      <c r="T45" s="613" t="s">
        <v>346</v>
      </c>
      <c r="U45" s="620" t="str">
        <f>+'Calculo IP ZDF'!$B$46</f>
        <v>01.02.2025</v>
      </c>
      <c r="V45" s="620" t="str">
        <f>+'Calculo IP ZDF'!$C$46</f>
        <v>28.02.2025</v>
      </c>
      <c r="X45" s="613">
        <v>4496.3599999999997</v>
      </c>
      <c r="Y45" s="613">
        <f t="shared" si="3"/>
        <v>721.82000000000062</v>
      </c>
      <c r="Z45" s="613" t="s">
        <v>106</v>
      </c>
      <c r="AA45" s="613" t="s">
        <v>495</v>
      </c>
    </row>
    <row r="46" spans="1:27" s="626" customFormat="1" x14ac:dyDescent="0.3">
      <c r="A46" s="626" t="s">
        <v>347</v>
      </c>
      <c r="B46" s="626">
        <v>543</v>
      </c>
      <c r="C46" s="626" t="s">
        <v>343</v>
      </c>
      <c r="M46" s="627" t="str">
        <f>+M21</f>
        <v>Z62</v>
      </c>
      <c r="O46" s="631">
        <f>+O47</f>
        <v>30000009250</v>
      </c>
      <c r="P46" s="632">
        <f>ROUND('Calculo IP ZDF'!E37,2)</f>
        <v>415.18</v>
      </c>
      <c r="Q46" s="626" t="s">
        <v>344</v>
      </c>
      <c r="R46" s="626">
        <v>1</v>
      </c>
      <c r="S46" s="626" t="s">
        <v>345</v>
      </c>
      <c r="T46" s="626" t="s">
        <v>346</v>
      </c>
      <c r="U46" s="620" t="str">
        <f>+'Calculo IP ZDF'!$B$46</f>
        <v>01.02.2025</v>
      </c>
      <c r="V46" s="620" t="str">
        <f>+'Calculo IP ZDF'!$C$46</f>
        <v>28.02.2025</v>
      </c>
      <c r="X46" s="626">
        <v>230.3</v>
      </c>
      <c r="Y46" s="613">
        <f t="shared" si="3"/>
        <v>184.88</v>
      </c>
      <c r="Z46" s="626" t="s">
        <v>378</v>
      </c>
    </row>
    <row r="47" spans="1:27" s="626" customFormat="1" x14ac:dyDescent="0.3">
      <c r="A47" s="626" t="s">
        <v>342</v>
      </c>
      <c r="B47" s="626">
        <v>543</v>
      </c>
      <c r="C47" s="626" t="s">
        <v>343</v>
      </c>
      <c r="M47" s="627" t="str">
        <f>+M9</f>
        <v>Z62</v>
      </c>
      <c r="O47" s="628">
        <f>+'Calculo IP ZDF'!B51</f>
        <v>30000009250</v>
      </c>
      <c r="P47" s="626">
        <f>+P9</f>
        <v>5113.8100000000004</v>
      </c>
      <c r="Q47" s="626" t="s">
        <v>344</v>
      </c>
      <c r="R47" s="626">
        <v>1</v>
      </c>
      <c r="S47" s="626" t="s">
        <v>345</v>
      </c>
      <c r="T47" s="626" t="s">
        <v>346</v>
      </c>
      <c r="U47" s="620" t="str">
        <f>+'Calculo IP ZDF'!$B$46</f>
        <v>01.02.2025</v>
      </c>
      <c r="V47" s="620" t="str">
        <f>+'Calculo IP ZDF'!$C$46</f>
        <v>28.02.2025</v>
      </c>
      <c r="X47" s="626">
        <v>4406.43</v>
      </c>
      <c r="Y47" s="613">
        <f t="shared" si="3"/>
        <v>707.38000000000011</v>
      </c>
      <c r="Z47" s="626" t="s">
        <v>378</v>
      </c>
    </row>
    <row r="64" spans="9:9" x14ac:dyDescent="0.3">
      <c r="I64"/>
    </row>
  </sheetData>
  <autoFilter ref="A1:V41" xr:uid="{00000000-0009-0000-0000-000017000000}"/>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26"/>
  <sheetViews>
    <sheetView topLeftCell="E10" zoomScale="85" zoomScaleNormal="85" workbookViewId="0">
      <selection activeCell="S41" sqref="S41"/>
    </sheetView>
  </sheetViews>
  <sheetFormatPr baseColWidth="10" defaultColWidth="11.140625" defaultRowHeight="15" x14ac:dyDescent="0.25"/>
  <cols>
    <col min="1" max="1" width="7.140625" style="219" customWidth="1"/>
    <col min="2" max="2" width="9.140625" style="219" customWidth="1"/>
    <col min="3" max="3" width="7.85546875" style="219" customWidth="1"/>
    <col min="4" max="8" width="4.42578125" style="219" customWidth="1"/>
    <col min="9" max="9" width="19" style="219" customWidth="1"/>
    <col min="10" max="12" width="4.42578125" style="219" customWidth="1"/>
    <col min="13" max="13" width="6.85546875" style="219" customWidth="1"/>
    <col min="14" max="14" width="11.140625" style="219" customWidth="1"/>
    <col min="15" max="15" width="18.140625" style="219" customWidth="1"/>
    <col min="16" max="16" width="11.85546875" style="220" bestFit="1" customWidth="1"/>
    <col min="17" max="17" width="7.85546875" style="219" customWidth="1"/>
    <col min="18" max="18" width="8.85546875" style="219" customWidth="1"/>
    <col min="19" max="19" width="9.85546875" style="219" customWidth="1"/>
    <col min="20" max="20" width="5.85546875" style="219" customWidth="1"/>
    <col min="21" max="22" width="14.140625" style="221" bestFit="1" customWidth="1"/>
    <col min="23" max="16384" width="11.140625" style="219"/>
  </cols>
  <sheetData>
    <row r="1" spans="1:24" x14ac:dyDescent="0.25">
      <c r="A1" s="219" t="s">
        <v>320</v>
      </c>
      <c r="B1" s="219" t="s">
        <v>321</v>
      </c>
      <c r="C1" s="219" t="s">
        <v>322</v>
      </c>
      <c r="D1" s="219" t="s">
        <v>323</v>
      </c>
      <c r="E1" s="219" t="s">
        <v>324</v>
      </c>
      <c r="F1" s="219" t="s">
        <v>325</v>
      </c>
      <c r="G1" s="219" t="s">
        <v>326</v>
      </c>
      <c r="H1" s="219" t="s">
        <v>327</v>
      </c>
      <c r="I1" s="219" t="s">
        <v>328</v>
      </c>
      <c r="J1" s="219" t="s">
        <v>329</v>
      </c>
      <c r="K1" s="219" t="s">
        <v>330</v>
      </c>
      <c r="L1" s="219" t="s">
        <v>331</v>
      </c>
      <c r="M1" s="219" t="s">
        <v>332</v>
      </c>
      <c r="N1" s="219" t="s">
        <v>333</v>
      </c>
      <c r="O1" s="219" t="s">
        <v>334</v>
      </c>
      <c r="P1" s="220" t="s">
        <v>335</v>
      </c>
      <c r="Q1" s="219" t="s">
        <v>336</v>
      </c>
      <c r="R1" s="219" t="s">
        <v>337</v>
      </c>
      <c r="S1" s="219" t="s">
        <v>338</v>
      </c>
      <c r="T1" s="219" t="s">
        <v>339</v>
      </c>
      <c r="U1" s="221" t="s">
        <v>340</v>
      </c>
      <c r="V1" s="221" t="s">
        <v>341</v>
      </c>
    </row>
    <row r="2" spans="1:24" ht="18.75" x14ac:dyDescent="0.3">
      <c r="A2" s="219" t="s">
        <v>348</v>
      </c>
      <c r="B2" s="219">
        <v>567</v>
      </c>
      <c r="C2" s="219" t="s">
        <v>361</v>
      </c>
      <c r="M2" s="241" t="str">
        <f>+M20</f>
        <v xml:space="preserve">Z64  </v>
      </c>
      <c r="O2" s="222">
        <v>30000000070</v>
      </c>
      <c r="P2" s="382">
        <f>ROUND('Calculo IP ZDF'!B31,2)</f>
        <v>10456.1</v>
      </c>
      <c r="Q2" s="219" t="s">
        <v>344</v>
      </c>
      <c r="R2" s="219">
        <v>1</v>
      </c>
      <c r="S2" s="219" t="s">
        <v>345</v>
      </c>
      <c r="T2" s="219" t="s">
        <v>346</v>
      </c>
      <c r="U2" s="620" t="str">
        <f>+'Calculo IP ZDF'!$B$46</f>
        <v>01.02.2025</v>
      </c>
      <c r="V2" s="620" t="str">
        <f>+'Calculo IP ZDF'!$C$46</f>
        <v>28.02.2025</v>
      </c>
      <c r="X2" s="231" t="s">
        <v>108</v>
      </c>
    </row>
    <row r="3" spans="1:24" ht="18.75" x14ac:dyDescent="0.3">
      <c r="A3" s="219" t="s">
        <v>348</v>
      </c>
      <c r="B3" s="219">
        <v>567</v>
      </c>
      <c r="C3" s="219" t="s">
        <v>361</v>
      </c>
      <c r="M3" s="300" t="str">
        <f>+M21</f>
        <v>Z51</v>
      </c>
      <c r="O3" s="222">
        <v>30000000070</v>
      </c>
      <c r="P3" s="439">
        <f>ROUND('Calculo IP ZDF'!B32,2)</f>
        <v>10456.1</v>
      </c>
      <c r="Q3" s="219" t="s">
        <v>344</v>
      </c>
      <c r="R3" s="219">
        <v>1</v>
      </c>
      <c r="S3" s="219" t="s">
        <v>345</v>
      </c>
      <c r="T3" s="219" t="s">
        <v>346</v>
      </c>
      <c r="U3" s="620" t="str">
        <f>+'Calculo IP ZDF'!$B$46</f>
        <v>01.02.2025</v>
      </c>
      <c r="V3" s="620" t="str">
        <f>+'Calculo IP ZDF'!$C$46</f>
        <v>28.02.2025</v>
      </c>
      <c r="X3" s="299" t="s">
        <v>426</v>
      </c>
    </row>
    <row r="4" spans="1:24" ht="18.75" x14ac:dyDescent="0.3">
      <c r="A4" s="219" t="s">
        <v>348</v>
      </c>
      <c r="B4" s="219">
        <v>567</v>
      </c>
      <c r="C4" s="219" t="s">
        <v>361</v>
      </c>
      <c r="M4" s="296" t="str">
        <f>+M22</f>
        <v>Z65</v>
      </c>
      <c r="O4" s="222">
        <v>30000000070</v>
      </c>
      <c r="P4" s="382">
        <f>ROUND('Calculo IP ZDF'!B33,2)</f>
        <v>10456.1</v>
      </c>
      <c r="Q4" s="219" t="s">
        <v>344</v>
      </c>
      <c r="R4" s="219">
        <v>1</v>
      </c>
      <c r="S4" s="219" t="s">
        <v>345</v>
      </c>
      <c r="T4" s="219" t="s">
        <v>346</v>
      </c>
      <c r="U4" s="620" t="str">
        <f>+'Calculo IP ZDF'!$B$46</f>
        <v>01.02.2025</v>
      </c>
      <c r="V4" s="620" t="str">
        <f>+'Calculo IP ZDF'!$C$46</f>
        <v>28.02.2025</v>
      </c>
      <c r="X4" s="295" t="s">
        <v>424</v>
      </c>
    </row>
    <row r="5" spans="1:24" ht="18.75" x14ac:dyDescent="0.3">
      <c r="A5" s="219" t="s">
        <v>348</v>
      </c>
      <c r="B5" s="219">
        <v>567</v>
      </c>
      <c r="C5" s="219" t="s">
        <v>361</v>
      </c>
      <c r="M5" s="297" t="str">
        <f>+M23</f>
        <v>Z73</v>
      </c>
      <c r="O5" s="222">
        <v>30000000070</v>
      </c>
      <c r="P5" s="219">
        <f>ROUND('Calculo IP ZDF'!B35,2)</f>
        <v>9983.48</v>
      </c>
      <c r="Q5" s="219" t="s">
        <v>344</v>
      </c>
      <c r="R5" s="219">
        <v>1</v>
      </c>
      <c r="S5" s="219" t="s">
        <v>345</v>
      </c>
      <c r="T5" s="219" t="s">
        <v>346</v>
      </c>
      <c r="U5" s="620" t="str">
        <f>+'Calculo IP ZDF'!$B$46</f>
        <v>01.02.2025</v>
      </c>
      <c r="V5" s="620" t="str">
        <f>+'Calculo IP ZDF'!$C$46</f>
        <v>28.02.2025</v>
      </c>
      <c r="X5" s="298" t="s">
        <v>425</v>
      </c>
    </row>
    <row r="6" spans="1:24" ht="18.75" x14ac:dyDescent="0.3">
      <c r="A6" s="219" t="s">
        <v>348</v>
      </c>
      <c r="B6" s="219">
        <v>567</v>
      </c>
      <c r="C6" s="219" t="s">
        <v>361</v>
      </c>
      <c r="M6" s="294" t="str">
        <f>+M24</f>
        <v>Z62</v>
      </c>
      <c r="O6" s="222">
        <v>30000000070</v>
      </c>
      <c r="P6" s="219">
        <f>ROUND('Calculo IP ZDF'!B36,2)</f>
        <v>10105.82</v>
      </c>
      <c r="Q6" s="219" t="s">
        <v>344</v>
      </c>
      <c r="R6" s="219">
        <v>1</v>
      </c>
      <c r="S6" s="219" t="s">
        <v>345</v>
      </c>
      <c r="T6" s="219" t="s">
        <v>346</v>
      </c>
      <c r="U6" s="620" t="str">
        <f>+'Calculo IP ZDF'!$B$46</f>
        <v>01.02.2025</v>
      </c>
      <c r="V6" s="620" t="str">
        <f>+'Calculo IP ZDF'!$C$46</f>
        <v>28.02.2025</v>
      </c>
      <c r="W6" s="293"/>
      <c r="X6" s="293" t="s">
        <v>110</v>
      </c>
    </row>
    <row r="7" spans="1:24" ht="18.75" x14ac:dyDescent="0.3">
      <c r="A7" s="219" t="s">
        <v>342</v>
      </c>
      <c r="B7" s="219">
        <v>567</v>
      </c>
      <c r="C7" s="219" t="s">
        <v>361</v>
      </c>
      <c r="F7" s="219" t="s">
        <v>148</v>
      </c>
      <c r="M7" s="241" t="str">
        <f>+M20</f>
        <v xml:space="preserve">Z64  </v>
      </c>
      <c r="O7" s="229">
        <v>30000002129</v>
      </c>
      <c r="P7" s="219">
        <f>ROUND('Calculo IP ZDF'!D31,2)</f>
        <v>5211.07</v>
      </c>
      <c r="Q7" s="219" t="s">
        <v>344</v>
      </c>
      <c r="R7" s="219">
        <v>1</v>
      </c>
      <c r="S7" s="219" t="s">
        <v>345</v>
      </c>
      <c r="T7" s="219" t="s">
        <v>346</v>
      </c>
      <c r="U7" s="620" t="str">
        <f>+'Calculo IP ZDF'!$B$46</f>
        <v>01.02.2025</v>
      </c>
      <c r="V7" s="620" t="str">
        <f>+'Calculo IP ZDF'!$C$46</f>
        <v>28.02.2025</v>
      </c>
      <c r="X7" s="231" t="s">
        <v>108</v>
      </c>
    </row>
    <row r="8" spans="1:24" ht="18.75" x14ac:dyDescent="0.3">
      <c r="A8" s="219" t="s">
        <v>342</v>
      </c>
      <c r="B8" s="219">
        <v>567</v>
      </c>
      <c r="C8" s="219" t="s">
        <v>361</v>
      </c>
      <c r="M8" s="300" t="str">
        <f>+M21</f>
        <v>Z51</v>
      </c>
      <c r="O8" s="229">
        <v>30000002129</v>
      </c>
      <c r="P8" s="219">
        <f>ROUND('Calculo IP ZDF'!D32,2)</f>
        <v>3924.86</v>
      </c>
      <c r="Q8" s="219" t="s">
        <v>344</v>
      </c>
      <c r="R8" s="219">
        <v>1</v>
      </c>
      <c r="S8" s="219" t="s">
        <v>345</v>
      </c>
      <c r="T8" s="219" t="s">
        <v>346</v>
      </c>
      <c r="U8" s="620" t="str">
        <f>+'Calculo IP ZDF'!$B$46</f>
        <v>01.02.2025</v>
      </c>
      <c r="V8" s="620" t="str">
        <f>+'Calculo IP ZDF'!$C$46</f>
        <v>28.02.2025</v>
      </c>
      <c r="X8" s="299" t="s">
        <v>426</v>
      </c>
    </row>
    <row r="9" spans="1:24" ht="18.75" x14ac:dyDescent="0.3">
      <c r="A9" s="219" t="s">
        <v>342</v>
      </c>
      <c r="B9" s="219">
        <v>567</v>
      </c>
      <c r="C9" s="219" t="s">
        <v>361</v>
      </c>
      <c r="M9" s="296" t="str">
        <f>+M22</f>
        <v>Z65</v>
      </c>
      <c r="O9" s="229">
        <v>30000002129</v>
      </c>
      <c r="P9" s="219">
        <f>ROUND('Calculo IP ZDF'!D33,2)</f>
        <v>5114.3500000000004</v>
      </c>
      <c r="Q9" s="219" t="s">
        <v>344</v>
      </c>
      <c r="R9" s="219">
        <v>1</v>
      </c>
      <c r="S9" s="219" t="s">
        <v>345</v>
      </c>
      <c r="T9" s="219" t="s">
        <v>346</v>
      </c>
      <c r="U9" s="620" t="str">
        <f>+'Calculo IP ZDF'!$B$46</f>
        <v>01.02.2025</v>
      </c>
      <c r="V9" s="620" t="str">
        <f>+'Calculo IP ZDF'!$C$46</f>
        <v>28.02.2025</v>
      </c>
      <c r="X9" s="295" t="s">
        <v>424</v>
      </c>
    </row>
    <row r="10" spans="1:24" ht="18.75" x14ac:dyDescent="0.3">
      <c r="A10" s="219" t="s">
        <v>342</v>
      </c>
      <c r="B10" s="219">
        <v>567</v>
      </c>
      <c r="C10" s="219" t="s">
        <v>361</v>
      </c>
      <c r="M10" s="297" t="str">
        <f>+M23</f>
        <v>Z73</v>
      </c>
      <c r="O10" s="229">
        <v>30000002129</v>
      </c>
      <c r="P10" s="219">
        <f>ROUND('Calculo IP ZDF'!D35,2)</f>
        <v>4148.76</v>
      </c>
      <c r="Q10" s="219" t="s">
        <v>344</v>
      </c>
      <c r="R10" s="219">
        <v>1</v>
      </c>
      <c r="S10" s="219" t="s">
        <v>345</v>
      </c>
      <c r="T10" s="219" t="s">
        <v>346</v>
      </c>
      <c r="U10" s="620" t="str">
        <f>+'Calculo IP ZDF'!$B$46</f>
        <v>01.02.2025</v>
      </c>
      <c r="V10" s="620" t="str">
        <f>+'Calculo IP ZDF'!$C$46</f>
        <v>28.02.2025</v>
      </c>
      <c r="X10" s="298" t="s">
        <v>425</v>
      </c>
    </row>
    <row r="11" spans="1:24" ht="18.75" x14ac:dyDescent="0.3">
      <c r="A11" s="219" t="s">
        <v>342</v>
      </c>
      <c r="B11" s="219">
        <v>567</v>
      </c>
      <c r="C11" s="219" t="s">
        <v>361</v>
      </c>
      <c r="M11" s="294" t="str">
        <f>+M24</f>
        <v>Z62</v>
      </c>
      <c r="O11" s="229">
        <v>30000002129</v>
      </c>
      <c r="P11" s="219">
        <f>ROUND('Calculo IP ZDF'!D36,2)</f>
        <v>5113.8100000000004</v>
      </c>
      <c r="Q11" s="219" t="s">
        <v>344</v>
      </c>
      <c r="R11" s="219">
        <v>1</v>
      </c>
      <c r="S11" s="219" t="s">
        <v>345</v>
      </c>
      <c r="T11" s="219" t="s">
        <v>346</v>
      </c>
      <c r="U11" s="620" t="str">
        <f>+'Calculo IP ZDF'!$B$46</f>
        <v>01.02.2025</v>
      </c>
      <c r="V11" s="620" t="str">
        <f>+'Calculo IP ZDF'!$C$46</f>
        <v>28.02.2025</v>
      </c>
      <c r="W11" s="293"/>
      <c r="X11" s="293" t="s">
        <v>110</v>
      </c>
    </row>
    <row r="12" spans="1:24" ht="18.75" x14ac:dyDescent="0.3">
      <c r="A12" s="219" t="s">
        <v>347</v>
      </c>
      <c r="B12" s="219">
        <v>567</v>
      </c>
      <c r="C12" s="219" t="s">
        <v>361</v>
      </c>
      <c r="F12" s="219" t="s">
        <v>148</v>
      </c>
      <c r="M12" s="241" t="str">
        <f t="shared" ref="M12:M16" si="0">+M2</f>
        <v xml:space="preserve">Z64  </v>
      </c>
      <c r="O12" s="229">
        <v>30000002129</v>
      </c>
      <c r="P12" s="219">
        <f>ROUND('Calculo IP ZDF'!E31,2)</f>
        <v>415.18</v>
      </c>
      <c r="Q12" s="219" t="s">
        <v>344</v>
      </c>
      <c r="R12" s="219">
        <v>1</v>
      </c>
      <c r="S12" s="219" t="s">
        <v>345</v>
      </c>
      <c r="T12" s="219" t="s">
        <v>346</v>
      </c>
      <c r="U12" s="620" t="str">
        <f>+'Calculo IP ZDF'!$B$46</f>
        <v>01.02.2025</v>
      </c>
      <c r="V12" s="620" t="str">
        <f>+'Calculo IP ZDF'!$C$46</f>
        <v>28.02.2025</v>
      </c>
      <c r="X12" s="231" t="s">
        <v>108</v>
      </c>
    </row>
    <row r="13" spans="1:24" ht="18.75" x14ac:dyDescent="0.3">
      <c r="A13" s="219" t="s">
        <v>347</v>
      </c>
      <c r="B13" s="219">
        <v>567</v>
      </c>
      <c r="C13" s="219" t="s">
        <v>361</v>
      </c>
      <c r="M13" s="300" t="str">
        <f t="shared" si="0"/>
        <v>Z51</v>
      </c>
      <c r="O13" s="229">
        <v>30000002129</v>
      </c>
      <c r="P13" s="219">
        <f>ROUND('Calculo IP ZDF'!E32,2)</f>
        <v>415.18</v>
      </c>
      <c r="Q13" s="219" t="s">
        <v>344</v>
      </c>
      <c r="R13" s="219">
        <v>1</v>
      </c>
      <c r="S13" s="219" t="s">
        <v>345</v>
      </c>
      <c r="T13" s="219" t="s">
        <v>346</v>
      </c>
      <c r="U13" s="620" t="str">
        <f>+'Calculo IP ZDF'!$B$46</f>
        <v>01.02.2025</v>
      </c>
      <c r="V13" s="620" t="str">
        <f>+'Calculo IP ZDF'!$C$46</f>
        <v>28.02.2025</v>
      </c>
      <c r="X13" s="299" t="s">
        <v>426</v>
      </c>
    </row>
    <row r="14" spans="1:24" ht="18.75" x14ac:dyDescent="0.3">
      <c r="A14" s="219" t="s">
        <v>347</v>
      </c>
      <c r="B14" s="219">
        <v>567</v>
      </c>
      <c r="C14" s="219" t="s">
        <v>361</v>
      </c>
      <c r="M14" s="296" t="str">
        <f t="shared" si="0"/>
        <v>Z65</v>
      </c>
      <c r="O14" s="229">
        <v>30000002129</v>
      </c>
      <c r="P14" s="219">
        <f>ROUND('Calculo IP ZDF'!E33,2)</f>
        <v>415.18</v>
      </c>
      <c r="Q14" s="219" t="s">
        <v>344</v>
      </c>
      <c r="R14" s="219">
        <v>1</v>
      </c>
      <c r="S14" s="219" t="s">
        <v>345</v>
      </c>
      <c r="T14" s="219" t="s">
        <v>346</v>
      </c>
      <c r="U14" s="620" t="str">
        <f>+'Calculo IP ZDF'!$B$46</f>
        <v>01.02.2025</v>
      </c>
      <c r="V14" s="620" t="str">
        <f>+'Calculo IP ZDF'!$C$46</f>
        <v>28.02.2025</v>
      </c>
      <c r="X14" s="295" t="s">
        <v>424</v>
      </c>
    </row>
    <row r="15" spans="1:24" ht="18.75" x14ac:dyDescent="0.3">
      <c r="A15" s="219" t="s">
        <v>347</v>
      </c>
      <c r="B15" s="219">
        <v>567</v>
      </c>
      <c r="C15" s="219" t="s">
        <v>361</v>
      </c>
      <c r="M15" s="297" t="str">
        <f t="shared" si="0"/>
        <v>Z73</v>
      </c>
      <c r="O15" s="229">
        <v>30000002129</v>
      </c>
      <c r="P15" s="219">
        <f>ROUND('Calculo IP ZDF'!E35,2)</f>
        <v>415.18</v>
      </c>
      <c r="Q15" s="219" t="s">
        <v>344</v>
      </c>
      <c r="R15" s="219">
        <v>1</v>
      </c>
      <c r="S15" s="219" t="s">
        <v>345</v>
      </c>
      <c r="T15" s="219" t="s">
        <v>346</v>
      </c>
      <c r="U15" s="620" t="str">
        <f>+'Calculo IP ZDF'!$B$46</f>
        <v>01.02.2025</v>
      </c>
      <c r="V15" s="620" t="str">
        <f>+'Calculo IP ZDF'!$C$46</f>
        <v>28.02.2025</v>
      </c>
      <c r="X15" s="298" t="s">
        <v>425</v>
      </c>
    </row>
    <row r="16" spans="1:24" ht="18.75" x14ac:dyDescent="0.3">
      <c r="A16" s="219" t="s">
        <v>347</v>
      </c>
      <c r="B16" s="219">
        <v>567</v>
      </c>
      <c r="C16" s="219" t="s">
        <v>361</v>
      </c>
      <c r="M16" s="294" t="str">
        <f t="shared" si="0"/>
        <v>Z62</v>
      </c>
      <c r="O16" s="229">
        <v>30000002129</v>
      </c>
      <c r="P16" s="219">
        <f>ROUND('Calculo IP ZDF'!E36,2)</f>
        <v>415.18</v>
      </c>
      <c r="Q16" s="219" t="s">
        <v>344</v>
      </c>
      <c r="R16" s="219">
        <v>1</v>
      </c>
      <c r="S16" s="219" t="s">
        <v>345</v>
      </c>
      <c r="T16" s="219" t="s">
        <v>346</v>
      </c>
      <c r="U16" s="620" t="str">
        <f>+'Calculo IP ZDF'!$B$46</f>
        <v>01.02.2025</v>
      </c>
      <c r="V16" s="620" t="str">
        <f>+'Calculo IP ZDF'!$C$46</f>
        <v>28.02.2025</v>
      </c>
      <c r="W16" s="293"/>
      <c r="X16" s="293" t="s">
        <v>110</v>
      </c>
    </row>
    <row r="17" spans="1:25" ht="18.75" x14ac:dyDescent="0.3">
      <c r="M17" s="294"/>
      <c r="O17" s="229"/>
      <c r="P17" s="219"/>
      <c r="U17" s="620"/>
      <c r="V17" s="620"/>
      <c r="W17" s="293"/>
      <c r="X17" s="293"/>
    </row>
    <row r="18" spans="1:25" ht="18.75" x14ac:dyDescent="0.3">
      <c r="M18" s="294"/>
      <c r="O18" s="229"/>
      <c r="P18" s="219"/>
      <c r="U18" s="620"/>
      <c r="V18" s="620"/>
      <c r="W18" s="293"/>
      <c r="X18" s="293"/>
    </row>
    <row r="19" spans="1:25" ht="18.75" x14ac:dyDescent="0.3">
      <c r="A19" s="322" t="s">
        <v>348</v>
      </c>
      <c r="B19" s="322">
        <v>549</v>
      </c>
      <c r="C19" s="322" t="s">
        <v>361</v>
      </c>
      <c r="D19" s="322"/>
      <c r="E19" s="322"/>
      <c r="F19" s="322"/>
      <c r="G19" s="322"/>
      <c r="H19" s="322"/>
      <c r="I19" s="322">
        <v>9000014799</v>
      </c>
      <c r="J19" s="322"/>
      <c r="K19" s="322"/>
      <c r="L19" s="322"/>
      <c r="M19" s="323" t="str">
        <f>+M16</f>
        <v>Z62</v>
      </c>
      <c r="N19" s="322"/>
      <c r="O19" s="322">
        <v>30000000003</v>
      </c>
      <c r="P19" s="322">
        <f>ROUND('Calculo IP ZDF'!C36,2)</f>
        <v>5218.18</v>
      </c>
      <c r="Q19" s="322" t="s">
        <v>344</v>
      </c>
      <c r="R19" s="322">
        <v>1</v>
      </c>
      <c r="S19" s="219" t="s">
        <v>345</v>
      </c>
      <c r="T19" s="322" t="s">
        <v>346</v>
      </c>
      <c r="U19" s="620" t="str">
        <f>+'Calculo IP ZDF'!$B$46</f>
        <v>01.02.2025</v>
      </c>
      <c r="V19" s="620" t="str">
        <f>+'Calculo IP ZDF'!$C$46</f>
        <v>28.02.2025</v>
      </c>
      <c r="W19" s="235" t="s">
        <v>371</v>
      </c>
      <c r="X19" s="236"/>
      <c r="Y19" s="236"/>
    </row>
    <row r="20" spans="1:25" ht="18.75" x14ac:dyDescent="0.3">
      <c r="A20" s="219" t="s">
        <v>348</v>
      </c>
      <c r="B20" s="219">
        <v>543</v>
      </c>
      <c r="C20" s="219" t="s">
        <v>361</v>
      </c>
      <c r="F20" s="219" t="s">
        <v>148</v>
      </c>
      <c r="M20" s="241" t="s">
        <v>363</v>
      </c>
      <c r="O20" s="232">
        <v>30000000003</v>
      </c>
      <c r="P20" s="219">
        <f>ROUND('Calculo IP ZDF'!C31,2)</f>
        <v>5317.41</v>
      </c>
      <c r="Q20" s="219" t="s">
        <v>344</v>
      </c>
      <c r="R20" s="219">
        <v>1</v>
      </c>
      <c r="S20" s="219" t="s">
        <v>345</v>
      </c>
      <c r="T20" s="219" t="s">
        <v>346</v>
      </c>
      <c r="U20" s="620" t="str">
        <f>+'Calculo IP ZDF'!$B$46</f>
        <v>01.02.2025</v>
      </c>
      <c r="V20" s="620" t="str">
        <f>+'Calculo IP ZDF'!$C$46</f>
        <v>28.02.2025</v>
      </c>
      <c r="X20" s="231" t="s">
        <v>108</v>
      </c>
    </row>
    <row r="21" spans="1:25" ht="18.75" x14ac:dyDescent="0.3">
      <c r="A21" s="219" t="s">
        <v>348</v>
      </c>
      <c r="B21" s="219">
        <v>543</v>
      </c>
      <c r="C21" s="219" t="s">
        <v>361</v>
      </c>
      <c r="M21" s="300" t="s">
        <v>362</v>
      </c>
      <c r="O21" s="232">
        <v>30000000003</v>
      </c>
      <c r="P21" s="495">
        <f>ROUND('Calculo IP ZDF'!C32,2)</f>
        <v>4004.96</v>
      </c>
      <c r="Q21" s="219" t="s">
        <v>344</v>
      </c>
      <c r="R21" s="219">
        <v>1</v>
      </c>
      <c r="S21" s="219" t="s">
        <v>345</v>
      </c>
      <c r="T21" s="219" t="s">
        <v>346</v>
      </c>
      <c r="U21" s="620" t="str">
        <f>+'Calculo IP ZDF'!$B$46</f>
        <v>01.02.2025</v>
      </c>
      <c r="V21" s="620" t="str">
        <f>+'Calculo IP ZDF'!$C$46</f>
        <v>28.02.2025</v>
      </c>
      <c r="X21" s="299" t="s">
        <v>426</v>
      </c>
    </row>
    <row r="22" spans="1:25" ht="18.75" x14ac:dyDescent="0.3">
      <c r="A22" s="219" t="s">
        <v>348</v>
      </c>
      <c r="B22" s="219">
        <v>543</v>
      </c>
      <c r="C22" s="219" t="s">
        <v>361</v>
      </c>
      <c r="M22" s="296" t="str">
        <f>+'Calculo IP ZDF'!O33</f>
        <v>Z65</v>
      </c>
      <c r="O22" s="232">
        <v>30000000003</v>
      </c>
      <c r="P22" s="219">
        <f>ROUND('Calculo IP ZDF'!C33,2)</f>
        <v>5218.72</v>
      </c>
      <c r="Q22" s="219" t="s">
        <v>344</v>
      </c>
      <c r="R22" s="219">
        <v>1</v>
      </c>
      <c r="S22" s="219" t="s">
        <v>345</v>
      </c>
      <c r="T22" s="219" t="s">
        <v>346</v>
      </c>
      <c r="U22" s="620" t="str">
        <f>+'Calculo IP ZDF'!$B$46</f>
        <v>01.02.2025</v>
      </c>
      <c r="V22" s="620" t="str">
        <f>+'Calculo IP ZDF'!$C$46</f>
        <v>28.02.2025</v>
      </c>
      <c r="X22" s="295" t="s">
        <v>424</v>
      </c>
    </row>
    <row r="23" spans="1:25" ht="18.75" x14ac:dyDescent="0.3">
      <c r="A23" s="219" t="s">
        <v>348</v>
      </c>
      <c r="B23" s="219">
        <v>543</v>
      </c>
      <c r="C23" s="219" t="s">
        <v>361</v>
      </c>
      <c r="M23" s="297" t="str">
        <f>+'Calculo IP ZDF'!O35</f>
        <v>Z73</v>
      </c>
      <c r="O23" s="232">
        <v>30000000003</v>
      </c>
      <c r="P23" s="219">
        <f>ROUND('Calculo IP ZDF'!C35,2)</f>
        <v>4233.43</v>
      </c>
      <c r="Q23" s="219" t="s">
        <v>344</v>
      </c>
      <c r="R23" s="219">
        <v>1</v>
      </c>
      <c r="S23" s="219" t="s">
        <v>345</v>
      </c>
      <c r="T23" s="219" t="s">
        <v>346</v>
      </c>
      <c r="U23" s="620" t="str">
        <f>+'Calculo IP ZDF'!$B$46</f>
        <v>01.02.2025</v>
      </c>
      <c r="V23" s="620" t="str">
        <f>+'Calculo IP ZDF'!$C$46</f>
        <v>28.02.2025</v>
      </c>
      <c r="X23" s="298" t="s">
        <v>425</v>
      </c>
    </row>
    <row r="24" spans="1:25" ht="18.75" x14ac:dyDescent="0.3">
      <c r="A24" s="219" t="s">
        <v>348</v>
      </c>
      <c r="B24" s="219">
        <v>543</v>
      </c>
      <c r="C24" s="219" t="s">
        <v>361</v>
      </c>
      <c r="M24" s="294" t="str">
        <f>+'Calculo IP ZDF'!O36</f>
        <v>Z62</v>
      </c>
      <c r="O24" s="232">
        <v>30000000003</v>
      </c>
      <c r="P24" s="219">
        <f>ROUND('Calculo IP ZDF'!C36,2)</f>
        <v>5218.18</v>
      </c>
      <c r="Q24" s="219" t="s">
        <v>344</v>
      </c>
      <c r="R24" s="219">
        <v>1</v>
      </c>
      <c r="S24" s="219" t="s">
        <v>345</v>
      </c>
      <c r="T24" s="219" t="s">
        <v>346</v>
      </c>
      <c r="U24" s="620" t="str">
        <f>+'Calculo IP ZDF'!$B$46</f>
        <v>01.02.2025</v>
      </c>
      <c r="V24" s="620" t="str">
        <f>+'Calculo IP ZDF'!$C$46</f>
        <v>28.02.2025</v>
      </c>
      <c r="W24" s="293"/>
      <c r="X24" s="293" t="s">
        <v>110</v>
      </c>
    </row>
    <row r="26" spans="1:25" x14ac:dyDescent="0.25">
      <c r="I26" s="231" t="s">
        <v>390</v>
      </c>
      <c r="J26" s="231"/>
      <c r="K26" s="231"/>
      <c r="L26" s="231"/>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dimension ref="A1:K31"/>
  <sheetViews>
    <sheetView showGridLines="0" tabSelected="1" zoomScale="85" zoomScaleNormal="85" workbookViewId="0">
      <selection activeCell="J28" sqref="J28"/>
    </sheetView>
  </sheetViews>
  <sheetFormatPr baseColWidth="10" defaultRowHeight="15" x14ac:dyDescent="0.25"/>
  <cols>
    <col min="1" max="1" width="65.85546875" customWidth="1"/>
    <col min="2" max="2" width="32.140625" customWidth="1"/>
    <col min="3" max="3" width="31" customWidth="1"/>
    <col min="4" max="4" width="25.5703125" hidden="1" customWidth="1"/>
    <col min="7" max="8" width="0" hidden="1" customWidth="1"/>
  </cols>
  <sheetData>
    <row r="1" spans="1:7" x14ac:dyDescent="0.25">
      <c r="A1" s="1017" t="s">
        <v>273</v>
      </c>
      <c r="B1" s="1017"/>
      <c r="C1" s="1017"/>
      <c r="D1" s="1017"/>
      <c r="E1" s="187">
        <v>2826.91</v>
      </c>
    </row>
    <row r="2" spans="1:7" x14ac:dyDescent="0.25">
      <c r="A2" s="1017" t="s">
        <v>274</v>
      </c>
      <c r="B2" s="1017"/>
      <c r="C2" s="1017"/>
      <c r="D2" s="1017"/>
      <c r="E2" s="186"/>
    </row>
    <row r="3" spans="1:7" x14ac:dyDescent="0.25">
      <c r="A3" s="1017" t="s">
        <v>275</v>
      </c>
      <c r="B3" s="1017"/>
      <c r="C3" s="1017"/>
      <c r="D3" s="1017"/>
      <c r="E3" s="186"/>
    </row>
    <row r="4" spans="1:7" x14ac:dyDescent="0.25">
      <c r="A4" s="185"/>
      <c r="B4" s="185"/>
      <c r="C4" s="186"/>
      <c r="D4" s="186"/>
      <c r="E4" s="186"/>
    </row>
    <row r="5" spans="1:7" ht="15.75" thickBot="1" x14ac:dyDescent="0.3">
      <c r="A5" s="188" t="str">
        <f>+AMAZONAS!C1</f>
        <v>Vigencia: 22 de Marzo de 2025; 00:00 horas</v>
      </c>
      <c r="B5" s="185"/>
      <c r="D5" s="357" t="s">
        <v>445</v>
      </c>
      <c r="E5" s="186"/>
    </row>
    <row r="6" spans="1:7" ht="15.95" customHeight="1" thickTop="1" x14ac:dyDescent="0.25">
      <c r="A6" s="1018" t="s">
        <v>276</v>
      </c>
      <c r="B6" s="1020" t="s">
        <v>427</v>
      </c>
      <c r="C6" s="1020" t="s">
        <v>428</v>
      </c>
      <c r="D6" s="1022" t="s">
        <v>446</v>
      </c>
      <c r="E6" s="186"/>
    </row>
    <row r="7" spans="1:7" ht="31.7" customHeight="1" x14ac:dyDescent="0.25">
      <c r="A7" s="1019"/>
      <c r="B7" s="1021"/>
      <c r="C7" s="1021"/>
      <c r="D7" s="926"/>
      <c r="E7" s="186"/>
    </row>
    <row r="8" spans="1:7" x14ac:dyDescent="0.25">
      <c r="A8" s="197" t="s">
        <v>277</v>
      </c>
      <c r="B8" s="198">
        <f>+BIODIESEL!C6</f>
        <v>5452.64</v>
      </c>
      <c r="C8" s="199">
        <f>+BIODIESEL!E9</f>
        <v>5758.7686000000003</v>
      </c>
      <c r="D8" s="200" t="e">
        <f>+BIODIESEL!#REF!</f>
        <v>#REF!</v>
      </c>
      <c r="E8" s="186"/>
      <c r="F8" s="272"/>
      <c r="G8" s="244"/>
    </row>
    <row r="9" spans="1:7" x14ac:dyDescent="0.25">
      <c r="A9" s="197" t="s">
        <v>278</v>
      </c>
      <c r="B9" s="199" t="s">
        <v>130</v>
      </c>
      <c r="C9" s="199" t="s">
        <v>130</v>
      </c>
      <c r="D9" s="200" t="s">
        <v>130</v>
      </c>
      <c r="E9" s="186"/>
      <c r="F9" s="272"/>
    </row>
    <row r="10" spans="1:7" x14ac:dyDescent="0.25">
      <c r="A10" s="197" t="s">
        <v>454</v>
      </c>
      <c r="B10" s="199">
        <f>+BIODIESEL!C12</f>
        <v>223.69</v>
      </c>
      <c r="C10" s="199">
        <f>+BIODIESEL!E12</f>
        <v>219.21619999999999</v>
      </c>
      <c r="D10" s="200" t="e">
        <f>+BIODIESEL!#REF!</f>
        <v>#REF!</v>
      </c>
      <c r="E10" s="186"/>
      <c r="F10" s="272"/>
    </row>
    <row r="11" spans="1:7" x14ac:dyDescent="0.25">
      <c r="A11" s="197" t="s">
        <v>279</v>
      </c>
      <c r="B11" s="201">
        <v>9.43</v>
      </c>
      <c r="C11" s="201">
        <v>9.43</v>
      </c>
      <c r="D11" s="202">
        <f>+C11</f>
        <v>9.43</v>
      </c>
      <c r="E11" s="186"/>
    </row>
    <row r="12" spans="1:7" x14ac:dyDescent="0.25">
      <c r="A12" s="203" t="s">
        <v>280</v>
      </c>
      <c r="B12" s="204" t="s">
        <v>127</v>
      </c>
      <c r="C12" s="204" t="s">
        <v>127</v>
      </c>
      <c r="D12" s="205" t="s">
        <v>127</v>
      </c>
      <c r="E12" s="186"/>
    </row>
    <row r="13" spans="1:7" hidden="1" x14ac:dyDescent="0.25">
      <c r="A13" s="197" t="s">
        <v>281</v>
      </c>
      <c r="B13" s="201"/>
      <c r="C13" s="201"/>
      <c r="D13" s="202"/>
      <c r="E13" s="186"/>
    </row>
    <row r="14" spans="1:7" x14ac:dyDescent="0.25">
      <c r="A14" s="203" t="s">
        <v>282</v>
      </c>
      <c r="B14" s="204" t="s">
        <v>173</v>
      </c>
      <c r="C14" s="204" t="s">
        <v>173</v>
      </c>
      <c r="D14" s="205" t="s">
        <v>173</v>
      </c>
      <c r="E14" s="186"/>
    </row>
    <row r="15" spans="1:7" x14ac:dyDescent="0.25">
      <c r="A15" s="203" t="s">
        <v>283</v>
      </c>
      <c r="B15" s="201" t="s">
        <v>135</v>
      </c>
      <c r="C15" s="201" t="s">
        <v>135</v>
      </c>
      <c r="D15" s="202" t="s">
        <v>135</v>
      </c>
      <c r="E15" s="186"/>
    </row>
    <row r="16" spans="1:7" x14ac:dyDescent="0.25">
      <c r="A16" s="203" t="s">
        <v>284</v>
      </c>
      <c r="B16" s="201" t="s">
        <v>132</v>
      </c>
      <c r="C16" s="201" t="s">
        <v>132</v>
      </c>
      <c r="D16" s="202" t="s">
        <v>132</v>
      </c>
      <c r="E16" s="186"/>
    </row>
    <row r="17" spans="1:11" ht="15.75" thickBot="1" x14ac:dyDescent="0.3">
      <c r="A17" s="206" t="s">
        <v>285</v>
      </c>
      <c r="B17" s="207" t="s">
        <v>200</v>
      </c>
      <c r="C17" s="207" t="s">
        <v>200</v>
      </c>
      <c r="D17" s="208" t="s">
        <v>200</v>
      </c>
      <c r="E17" s="186"/>
    </row>
    <row r="18" spans="1:11" ht="15.75" thickTop="1" x14ac:dyDescent="0.25">
      <c r="A18" s="196" t="s">
        <v>286</v>
      </c>
      <c r="B18" s="189"/>
      <c r="C18" s="186"/>
      <c r="D18" s="186"/>
      <c r="E18" s="186"/>
    </row>
    <row r="19" spans="1:11" x14ac:dyDescent="0.25">
      <c r="A19" s="190" t="s">
        <v>148</v>
      </c>
      <c r="B19" s="191"/>
      <c r="C19" s="186"/>
      <c r="D19" s="186"/>
      <c r="E19" s="186"/>
    </row>
    <row r="20" spans="1:11" x14ac:dyDescent="0.25">
      <c r="A20" s="116" t="s">
        <v>209</v>
      </c>
      <c r="B20" s="191"/>
      <c r="C20" s="186"/>
      <c r="D20" s="186"/>
      <c r="E20" s="186"/>
    </row>
    <row r="21" spans="1:11" x14ac:dyDescent="0.25">
      <c r="A21" s="192" t="s">
        <v>287</v>
      </c>
      <c r="B21" s="193"/>
      <c r="C21" s="186"/>
      <c r="D21" s="186"/>
      <c r="E21" s="186"/>
    </row>
    <row r="22" spans="1:11" x14ac:dyDescent="0.25">
      <c r="A22" s="192" t="s">
        <v>288</v>
      </c>
      <c r="B22" s="194"/>
      <c r="C22" s="186"/>
      <c r="D22" s="247"/>
      <c r="E22" s="186"/>
    </row>
    <row r="23" spans="1:11" x14ac:dyDescent="0.25">
      <c r="A23" s="192" t="s">
        <v>289</v>
      </c>
      <c r="B23" s="195"/>
      <c r="C23" s="186"/>
      <c r="D23" s="186"/>
      <c r="E23" s="186"/>
    </row>
    <row r="24" spans="1:11" ht="12.2" customHeight="1" x14ac:dyDescent="0.25">
      <c r="A24" s="192"/>
      <c r="B24" s="195"/>
      <c r="C24" s="186"/>
      <c r="D24" s="186"/>
      <c r="E24" s="186"/>
    </row>
    <row r="25" spans="1:11" x14ac:dyDescent="0.25">
      <c r="A25" s="190" t="s">
        <v>290</v>
      </c>
      <c r="B25" s="190"/>
      <c r="C25" s="186"/>
      <c r="D25" s="186"/>
      <c r="E25" s="186"/>
    </row>
    <row r="26" spans="1:11" x14ac:dyDescent="0.25">
      <c r="A26" s="190" t="s">
        <v>291</v>
      </c>
      <c r="B26" s="190"/>
      <c r="C26" s="186"/>
      <c r="D26" s="186"/>
      <c r="E26" s="186"/>
    </row>
    <row r="27" spans="1:11" x14ac:dyDescent="0.25">
      <c r="A27" s="1023" t="s">
        <v>305</v>
      </c>
      <c r="B27" s="1023"/>
      <c r="C27" s="1023"/>
      <c r="D27" s="1023"/>
      <c r="E27" s="1023"/>
    </row>
    <row r="28" spans="1:11" ht="41.45" customHeight="1" x14ac:dyDescent="0.25">
      <c r="A28" s="1023"/>
      <c r="B28" s="1023"/>
      <c r="C28" s="1023"/>
      <c r="D28" s="1023"/>
      <c r="E28" s="1023"/>
    </row>
    <row r="29" spans="1:11" x14ac:dyDescent="0.25">
      <c r="A29" s="1004" t="s">
        <v>411</v>
      </c>
      <c r="B29" s="1004"/>
      <c r="C29" s="1004"/>
      <c r="D29" s="1004"/>
      <c r="E29" s="1004"/>
      <c r="F29" s="1004"/>
      <c r="G29" s="1004"/>
      <c r="H29" s="1004"/>
    </row>
    <row r="30" spans="1:11" ht="17.100000000000001" customHeight="1" x14ac:dyDescent="0.25">
      <c r="A30" s="1016"/>
      <c r="B30" s="1016"/>
      <c r="C30" s="1016"/>
      <c r="D30" s="1016"/>
      <c r="E30" s="1016"/>
      <c r="F30" s="376"/>
      <c r="G30" s="376"/>
      <c r="H30" s="376"/>
      <c r="I30" s="376"/>
      <c r="J30" s="376"/>
      <c r="K30" s="376"/>
    </row>
    <row r="31" spans="1:11" ht="90" customHeight="1" x14ac:dyDescent="0.25">
      <c r="A31" s="893" t="s">
        <v>137</v>
      </c>
      <c r="B31" s="893"/>
      <c r="C31" s="893"/>
      <c r="D31" s="893"/>
      <c r="E31" s="893"/>
    </row>
  </sheetData>
  <sheetProtection algorithmName="SHA-512" hashValue="yytAxq8kH7+V30h/TBa8fkPhDwq4ET7Gy2lMUOzDQe2FgmDx8PICkiObIBwNbcvlHcRiXxltnUu18Q7i4UjIvQ==" saltValue="Dzngnlx628Enkpv++E2OOg==" spinCount="100000" sheet="1" objects="1" scenarios="1"/>
  <mergeCells count="11">
    <mergeCell ref="A1:D1"/>
    <mergeCell ref="A2:D2"/>
    <mergeCell ref="A3:D3"/>
    <mergeCell ref="A31:E31"/>
    <mergeCell ref="A6:A7"/>
    <mergeCell ref="C6:C7"/>
    <mergeCell ref="D6:D7"/>
    <mergeCell ref="A27:E28"/>
    <mergeCell ref="B6:B7"/>
    <mergeCell ref="A29:H29"/>
    <mergeCell ref="A30:E30"/>
  </mergeCells>
  <hyperlinks>
    <hyperlink ref="A20" location="ELECTROCOMBUSTIBLE!A31" display="Ver Nota Informativa" xr:uid="{00000000-0004-0000-16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249977111117893"/>
  </sheetPr>
  <dimension ref="A1:Y62"/>
  <sheetViews>
    <sheetView showGridLines="0" topLeftCell="A52" zoomScale="85" zoomScaleNormal="85" workbookViewId="0">
      <selection activeCell="D54" sqref="D54"/>
    </sheetView>
  </sheetViews>
  <sheetFormatPr baseColWidth="10" defaultRowHeight="15" x14ac:dyDescent="0.25"/>
  <cols>
    <col min="1" max="1" width="33.140625" customWidth="1"/>
    <col min="2" max="2" width="14.42578125" bestFit="1" customWidth="1"/>
    <col min="3" max="3" width="13" bestFit="1" customWidth="1"/>
    <col min="4" max="5" width="14.42578125" bestFit="1" customWidth="1"/>
    <col min="6" max="6" width="19.7109375" customWidth="1"/>
    <col min="7" max="9" width="14.85546875" customWidth="1"/>
    <col min="10" max="10" width="12.140625" customWidth="1"/>
    <col min="11" max="11" width="14" customWidth="1"/>
    <col min="12" max="12" width="12.140625" customWidth="1"/>
    <col min="13" max="14" width="18.140625" customWidth="1"/>
    <col min="15" max="15" width="18.28515625" customWidth="1"/>
    <col min="16" max="16" width="13.85546875" customWidth="1"/>
    <col min="17" max="17" width="18.140625" customWidth="1"/>
  </cols>
  <sheetData>
    <row r="1" spans="1:19" x14ac:dyDescent="0.25">
      <c r="A1" s="213"/>
      <c r="D1" s="122"/>
      <c r="S1" t="s">
        <v>148</v>
      </c>
    </row>
    <row r="2" spans="1:19" x14ac:dyDescent="0.25">
      <c r="A2" s="861" t="s">
        <v>120</v>
      </c>
      <c r="B2" s="860" t="s">
        <v>119</v>
      </c>
      <c r="C2" s="860"/>
      <c r="G2" t="s">
        <v>148</v>
      </c>
    </row>
    <row r="3" spans="1:19" x14ac:dyDescent="0.25">
      <c r="A3" s="861"/>
      <c r="B3" s="214" t="s">
        <v>377</v>
      </c>
      <c r="C3" s="215" t="s">
        <v>106</v>
      </c>
      <c r="E3" s="290" t="str">
        <f>+B3</f>
        <v>IP GASOLINA</v>
      </c>
      <c r="F3" s="290" t="str">
        <f>+C3</f>
        <v>ACEM</v>
      </c>
      <c r="G3" s="290" t="str">
        <f>+E3</f>
        <v>IP GASOLINA</v>
      </c>
      <c r="H3" s="290" t="str">
        <f>+F3</f>
        <v>ACEM</v>
      </c>
    </row>
    <row r="4" spans="1:19" ht="17.45" customHeight="1" x14ac:dyDescent="0.25">
      <c r="A4" s="17" t="s">
        <v>107</v>
      </c>
      <c r="B4" s="611">
        <v>1</v>
      </c>
      <c r="C4" s="611">
        <v>0.96630000000000005</v>
      </c>
      <c r="D4" s="272"/>
      <c r="E4" s="643">
        <f>+_xlfn.XLOOKUP(A4,PROPORCIONALIDADES!$M$4:$M$50,PROPORCIONALIDADES!$N$4:$N$50,0,0)</f>
        <v>1</v>
      </c>
      <c r="F4" s="643">
        <f>+_xlfn.XLOOKUP(A4,PROPORCIONALIDADES!$M$4:$M$50,PROPORCIONALIDADES!$O$4:$O$50,0,0)</f>
        <v>0.96634140492137088</v>
      </c>
      <c r="G4" s="290">
        <f>+ROUND((E4-B4)*100,2)</f>
        <v>0</v>
      </c>
      <c r="H4" s="290">
        <f>+ROUND((F4-C4)*100,2)</f>
        <v>0</v>
      </c>
    </row>
    <row r="5" spans="1:19" ht="17.45" customHeight="1" x14ac:dyDescent="0.25">
      <c r="A5" s="17" t="s">
        <v>115</v>
      </c>
      <c r="B5" s="611">
        <v>1</v>
      </c>
      <c r="C5" s="611">
        <v>0.75749999999999995</v>
      </c>
      <c r="E5" s="643">
        <f>+_xlfn.XLOOKUP(A5,PROPORCIONALIDADES!$M$4:$M$50,PROPORCIONALIDADES!$N$4:$N$50,0,0)</f>
        <v>1</v>
      </c>
      <c r="F5" s="643">
        <f>+_xlfn.XLOOKUP(A5,PROPORCIONALIDADES!$M$4:$M$50,PROPORCIONALIDADES!$O$4:$O$50,0,0)</f>
        <v>0.75745813320778155</v>
      </c>
      <c r="G5" s="290">
        <f t="shared" ref="G5:H22" si="0">+ROUND((E5-B5)*100,2)</f>
        <v>0</v>
      </c>
      <c r="H5" s="290">
        <f t="shared" si="0"/>
        <v>0</v>
      </c>
    </row>
    <row r="6" spans="1:19" ht="17.45" customHeight="1" x14ac:dyDescent="0.25">
      <c r="A6" s="17" t="s">
        <v>517</v>
      </c>
      <c r="B6" s="611">
        <v>1</v>
      </c>
      <c r="C6" s="611">
        <v>0.96950000000000003</v>
      </c>
      <c r="D6" t="s">
        <v>674</v>
      </c>
      <c r="E6" s="643">
        <f>+_xlfn.XLOOKUP(A6,PROPORCIONALIDADES!$M$4:$M$50,PROPORCIONALIDADES!$N$4:$N$50,0,0)</f>
        <v>1</v>
      </c>
      <c r="F6" s="643">
        <f>+_xlfn.XLOOKUP(A6,PROPORCIONALIDADES!$M$4:$M$50,PROPORCIONALIDADES!$O$4:$O$50,0,0)</f>
        <v>0.96945813266887626</v>
      </c>
      <c r="G6" s="290">
        <f t="shared" si="0"/>
        <v>0</v>
      </c>
      <c r="H6" s="290">
        <f t="shared" si="0"/>
        <v>0</v>
      </c>
    </row>
    <row r="7" spans="1:19" ht="17.45" customHeight="1" x14ac:dyDescent="0.25">
      <c r="A7" s="17" t="s">
        <v>108</v>
      </c>
      <c r="B7" s="611">
        <v>1</v>
      </c>
      <c r="C7" s="611">
        <v>0.97519999999999996</v>
      </c>
      <c r="E7" s="643">
        <f>+_xlfn.XLOOKUP(A7,PROPORCIONALIDADES!$M$4:$M$50,PROPORCIONALIDADES!$N$4:$N$50,0,0)</f>
        <v>1</v>
      </c>
      <c r="F7" s="643">
        <f>+_xlfn.XLOOKUP(A7,PROPORCIONALIDADES!$M$4:$M$50,PROPORCIONALIDADES!$O$4:$O$50,0,0)</f>
        <v>0.9752440091974699</v>
      </c>
      <c r="G7" s="290">
        <f t="shared" si="0"/>
        <v>0</v>
      </c>
      <c r="H7" s="290">
        <f t="shared" si="0"/>
        <v>0</v>
      </c>
    </row>
    <row r="8" spans="1:19" ht="17.45" customHeight="1" x14ac:dyDescent="0.25">
      <c r="A8" s="17" t="s">
        <v>113</v>
      </c>
      <c r="B8" s="611">
        <v>1</v>
      </c>
      <c r="C8" s="611">
        <v>0.73450000000000004</v>
      </c>
      <c r="E8" s="643">
        <f>+_xlfn.XLOOKUP(A8,PROPORCIONALIDADES!$M$4:$M$50,PROPORCIONALIDADES!$N$4:$N$50,0,0)</f>
        <v>1</v>
      </c>
      <c r="F8" s="643">
        <f>+_xlfn.XLOOKUP(A8,PROPORCIONALIDADES!$M$4:$M$50,PROPORCIONALIDADES!$O$4:$O$50,0,0)</f>
        <v>0.73450028258052058</v>
      </c>
      <c r="G8" s="290">
        <f t="shared" si="0"/>
        <v>0</v>
      </c>
      <c r="H8" s="290">
        <f t="shared" si="0"/>
        <v>0</v>
      </c>
    </row>
    <row r="9" spans="1:19" ht="17.45" customHeight="1" x14ac:dyDescent="0.25">
      <c r="A9" s="17" t="s">
        <v>414</v>
      </c>
      <c r="B9" s="611">
        <v>1</v>
      </c>
      <c r="C9" s="611">
        <f>+C7</f>
        <v>0.97519999999999996</v>
      </c>
      <c r="E9" s="643">
        <f>+_xlfn.XLOOKUP(A9,PROPORCIONALIDADES!$M$4:$M$50,PROPORCIONALIDADES!$N$4:$N$50,0,0)</f>
        <v>1</v>
      </c>
      <c r="F9" s="643">
        <f>+_xlfn.XLOOKUP(A9,PROPORCIONALIDADES!$M$4:$M$50,PROPORCIONALIDADES!$O$4:$O$50,0,0)</f>
        <v>0.97524400919747001</v>
      </c>
      <c r="G9" s="290">
        <f t="shared" si="0"/>
        <v>0</v>
      </c>
      <c r="H9" s="290">
        <f t="shared" si="0"/>
        <v>0</v>
      </c>
    </row>
    <row r="10" spans="1:19" ht="17.45" customHeight="1" x14ac:dyDescent="0.25">
      <c r="A10" s="17" t="s">
        <v>108</v>
      </c>
      <c r="B10" s="611">
        <v>1</v>
      </c>
      <c r="C10" s="611">
        <f>+C7</f>
        <v>0.97519999999999996</v>
      </c>
      <c r="E10" s="643">
        <f>+_xlfn.XLOOKUP(A10,PROPORCIONALIDADES!$M$4:$M$50,PROPORCIONALIDADES!$N$4:$N$50,0,0)</f>
        <v>1</v>
      </c>
      <c r="F10" s="643">
        <f>+_xlfn.XLOOKUP(A10,PROPORCIONALIDADES!$M$4:$M$50,PROPORCIONALIDADES!$O$4:$O$50,0,0)</f>
        <v>0.9752440091974699</v>
      </c>
      <c r="G10" s="290">
        <f t="shared" si="0"/>
        <v>0</v>
      </c>
      <c r="H10" s="290">
        <f t="shared" si="0"/>
        <v>0</v>
      </c>
    </row>
    <row r="11" spans="1:19" ht="17.45" customHeight="1" x14ac:dyDescent="0.25">
      <c r="A11" s="17" t="s">
        <v>121</v>
      </c>
      <c r="B11" s="611">
        <v>1</v>
      </c>
      <c r="C11" s="611">
        <v>0.95709999999999995</v>
      </c>
      <c r="E11" s="643">
        <f>+_xlfn.XLOOKUP(A11,PROPORCIONALIDADES!$M$4:$M$50,PROPORCIONALIDADES!$N$4:$N$50,0,0)</f>
        <v>1</v>
      </c>
      <c r="F11" s="643">
        <f>+_xlfn.XLOOKUP(A11,PROPORCIONALIDADES!$M$4:$M$50,PROPORCIONALIDADES!$O$4:$O$50,0,0)</f>
        <v>0.95707695023701267</v>
      </c>
      <c r="G11" s="290">
        <f t="shared" si="0"/>
        <v>0</v>
      </c>
      <c r="H11" s="290">
        <f t="shared" si="0"/>
        <v>0</v>
      </c>
    </row>
    <row r="12" spans="1:19" ht="17.45" customHeight="1" x14ac:dyDescent="0.25">
      <c r="A12" s="17" t="s">
        <v>116</v>
      </c>
      <c r="B12" s="611">
        <v>1</v>
      </c>
      <c r="C12" s="611">
        <v>0.8075</v>
      </c>
      <c r="E12" s="643">
        <f>+_xlfn.XLOOKUP(A12,PROPORCIONALIDADES!$M$4:$M$50,PROPORCIONALIDADES!$N$4:$N$50,0,0)</f>
        <v>1</v>
      </c>
      <c r="F12" s="643">
        <f>+_xlfn.XLOOKUP(A12,PROPORCIONALIDADES!$M$4:$M$50,PROPORCIONALIDADES!$O$4:$O$50,0,0)</f>
        <v>0.80752740800147949</v>
      </c>
      <c r="G12" s="290">
        <f t="shared" si="0"/>
        <v>0</v>
      </c>
      <c r="H12" s="290">
        <f t="shared" si="0"/>
        <v>0</v>
      </c>
    </row>
    <row r="13" spans="1:19" ht="17.45" customHeight="1" x14ac:dyDescent="0.25">
      <c r="A13" s="17" t="s">
        <v>111</v>
      </c>
      <c r="B13" s="635">
        <v>0.95479999999999998</v>
      </c>
      <c r="C13" s="611">
        <v>0.77639999999999998</v>
      </c>
      <c r="E13" s="643">
        <f>+_xlfn.XLOOKUP(A13,PROPORCIONALIDADES!$M$4:$M$50,PROPORCIONALIDADES!$N$4:$N$50,0,0)</f>
        <v>0.95477128438283809</v>
      </c>
      <c r="F13" s="643">
        <f>+_xlfn.XLOOKUP(A13,PROPORCIONALIDADES!$M$4:$M$50,PROPORCIONALIDADES!$O$4:$O$50,0,0)</f>
        <v>0.77637970659167344</v>
      </c>
      <c r="G13" s="290">
        <f t="shared" si="0"/>
        <v>0</v>
      </c>
      <c r="H13" s="290">
        <f t="shared" si="0"/>
        <v>0</v>
      </c>
    </row>
    <row r="14" spans="1:19" ht="17.45" customHeight="1" x14ac:dyDescent="0.25">
      <c r="A14" s="17" t="s">
        <v>494</v>
      </c>
      <c r="B14" s="635">
        <v>0.95479999999999998</v>
      </c>
      <c r="C14" s="611">
        <v>0.77639999999999998</v>
      </c>
      <c r="E14" s="643">
        <f>+_xlfn.XLOOKUP(A14,PROPORCIONALIDADES!$M$4:$M$50,PROPORCIONALIDADES!$N$4:$N$50,0,0)</f>
        <v>0.95477128438283787</v>
      </c>
      <c r="F14" s="643">
        <f>+_xlfn.XLOOKUP(A14,PROPORCIONALIDADES!$M$4:$M$50,PROPORCIONALIDADES!$O$4:$O$50,0,0)</f>
        <v>0.77637970659167355</v>
      </c>
      <c r="G14" s="290">
        <f t="shared" si="0"/>
        <v>0</v>
      </c>
      <c r="H14" s="290">
        <f t="shared" si="0"/>
        <v>0</v>
      </c>
    </row>
    <row r="15" spans="1:19" ht="17.45" customHeight="1" x14ac:dyDescent="0.25">
      <c r="A15" s="17" t="s">
        <v>110</v>
      </c>
      <c r="B15" s="611">
        <v>0.96650000000000003</v>
      </c>
      <c r="C15" s="611">
        <v>0.95699999999999996</v>
      </c>
      <c r="E15" s="643">
        <f>+_xlfn.XLOOKUP(A15,PROPORCIONALIDADES!$M$4:$M$50,PROPORCIONALIDADES!$N$4:$N$50,0,0)</f>
        <v>0.96653083109391291</v>
      </c>
      <c r="F15" s="643">
        <f>+_xlfn.XLOOKUP(A15,PROPORCIONALIDADES!$M$4:$M$50,PROPORCIONALIDADES!$O$4:$O$50,0,0)</f>
        <v>0.9570330883737338</v>
      </c>
      <c r="G15" s="290">
        <f t="shared" si="0"/>
        <v>0</v>
      </c>
      <c r="H15" s="290">
        <f t="shared" si="0"/>
        <v>0</v>
      </c>
      <c r="I15" s="234"/>
    </row>
    <row r="16" spans="1:19" ht="17.45" customHeight="1" x14ac:dyDescent="0.25">
      <c r="A16" s="17" t="s">
        <v>109</v>
      </c>
      <c r="B16" s="611">
        <v>0.99870000000000003</v>
      </c>
      <c r="C16" s="611">
        <v>0.71679999999999999</v>
      </c>
      <c r="E16" s="643">
        <f>+_xlfn.XLOOKUP(A16,PROPORCIONALIDADES!$M$4:$M$50,PROPORCIONALIDADES!$N$4:$N$50,0,0)</f>
        <v>0.99873484093274378</v>
      </c>
      <c r="F16" s="643">
        <f>+_xlfn.XLOOKUP(A16,PROPORCIONALIDADES!$M$4:$M$50,PROPORCIONALIDADES!$O$4:$O$50,0,0)</f>
        <v>0.71681882790111229</v>
      </c>
      <c r="G16" s="290">
        <f t="shared" si="0"/>
        <v>0</v>
      </c>
      <c r="H16" s="290">
        <f t="shared" si="0"/>
        <v>0</v>
      </c>
    </row>
    <row r="17" spans="1:25" ht="17.45" customHeight="1" x14ac:dyDescent="0.25">
      <c r="A17" s="17" t="s">
        <v>294</v>
      </c>
      <c r="B17" s="611">
        <v>1</v>
      </c>
      <c r="C17" s="611">
        <v>0.96509999999999996</v>
      </c>
      <c r="E17" s="643">
        <f>+_xlfn.XLOOKUP(A17,PROPORCIONALIDADES!$M$4:$M$50,PROPORCIONALIDADES!$N$4:$N$50,0,0)</f>
        <v>1</v>
      </c>
      <c r="F17" s="643">
        <f>+_xlfn.XLOOKUP(A17,PROPORCIONALIDADES!$M$4:$M$50,PROPORCIONALIDADES!$O$4:$O$50,0,0)</f>
        <v>0.96510202634628872</v>
      </c>
      <c r="G17" s="290">
        <f t="shared" si="0"/>
        <v>0</v>
      </c>
      <c r="H17" s="290">
        <f t="shared" si="0"/>
        <v>0</v>
      </c>
    </row>
    <row r="18" spans="1:25" ht="17.45" customHeight="1" x14ac:dyDescent="0.25">
      <c r="A18" s="17" t="s">
        <v>665</v>
      </c>
      <c r="B18" s="611">
        <v>1</v>
      </c>
      <c r="C18" s="611">
        <v>0.79079999999999995</v>
      </c>
      <c r="E18" s="643">
        <f>+_xlfn.XLOOKUP(A18,PROPORCIONALIDADES!$M$4:$M$50,PROPORCIONALIDADES!$N$4:$N$50,0,0)</f>
        <v>1</v>
      </c>
      <c r="F18" s="643">
        <f>+_xlfn.XLOOKUP(A18,PROPORCIONALIDADES!$M$4:$M$50,PROPORCIONALIDADES!$O$4:$O$50,0,0)</f>
        <v>0.79083651065225435</v>
      </c>
      <c r="G18" s="290">
        <f t="shared" si="0"/>
        <v>0</v>
      </c>
      <c r="H18" s="290">
        <f t="shared" si="0"/>
        <v>0</v>
      </c>
    </row>
    <row r="19" spans="1:25" ht="17.45" customHeight="1" x14ac:dyDescent="0.25">
      <c r="A19" s="17" t="s">
        <v>114</v>
      </c>
      <c r="B19" s="611">
        <v>1</v>
      </c>
      <c r="C19" s="611">
        <v>0.74339999999999995</v>
      </c>
      <c r="E19" s="643">
        <f>+_xlfn.XLOOKUP(A19,PROPORCIONALIDADES!$M$4:$M$50,PROPORCIONALIDADES!$N$4:$N$50,0,0)</f>
        <v>1</v>
      </c>
      <c r="F19" s="643">
        <f>+_xlfn.XLOOKUP(A19,PROPORCIONALIDADES!$M$4:$M$50,PROPORCIONALIDADES!$O$4:$O$50,0,0)</f>
        <v>0.7433515658795542</v>
      </c>
      <c r="G19" s="290">
        <f t="shared" si="0"/>
        <v>0</v>
      </c>
      <c r="H19" s="290">
        <f t="shared" si="0"/>
        <v>0</v>
      </c>
    </row>
    <row r="20" spans="1:25" ht="17.45" customHeight="1" x14ac:dyDescent="0.25">
      <c r="A20" s="17" t="s">
        <v>443</v>
      </c>
      <c r="B20" s="611">
        <v>1</v>
      </c>
      <c r="C20" s="611">
        <v>0.77510000000000001</v>
      </c>
      <c r="E20" s="643">
        <f>+_xlfn.XLOOKUP(A20,PROPORCIONALIDADES!$M$4:$M$50,PROPORCIONALIDADES!$N$4:$N$50,0,0)</f>
        <v>1</v>
      </c>
      <c r="F20" s="643">
        <f>+_xlfn.XLOOKUP(A20,PROPORCIONALIDADES!$M$4:$M$50,PROPORCIONALIDADES!$O$4:$O$50,0,0)</f>
        <v>0.77509196037151307</v>
      </c>
      <c r="G20" s="290">
        <f t="shared" si="0"/>
        <v>0</v>
      </c>
      <c r="H20" s="290">
        <f t="shared" si="0"/>
        <v>0</v>
      </c>
    </row>
    <row r="21" spans="1:25" ht="18.600000000000001" customHeight="1" x14ac:dyDescent="0.25">
      <c r="A21" s="17" t="s">
        <v>516</v>
      </c>
      <c r="B21" s="612">
        <v>1</v>
      </c>
      <c r="C21" s="612">
        <v>1</v>
      </c>
      <c r="E21" s="643">
        <f>+_xlfn.XLOOKUP(A21,PROPORCIONALIDADES!$M$4:$M$50,PROPORCIONALIDADES!$N$4:$N$50,0,0)</f>
        <v>1</v>
      </c>
      <c r="F21" s="643">
        <f>+_xlfn.XLOOKUP(A21,PROPORCIONALIDADES!$M$4:$M$50,PROPORCIONALIDADES!$O$4:$O$50,0,0)</f>
        <v>1</v>
      </c>
      <c r="G21" s="290">
        <f t="shared" si="0"/>
        <v>0</v>
      </c>
      <c r="H21" s="290">
        <f t="shared" si="0"/>
        <v>0</v>
      </c>
    </row>
    <row r="22" spans="1:25" ht="18.600000000000001" customHeight="1" x14ac:dyDescent="0.25">
      <c r="A22" s="17" t="s">
        <v>516</v>
      </c>
      <c r="B22" s="612">
        <v>1</v>
      </c>
      <c r="C22" s="612">
        <v>1</v>
      </c>
      <c r="E22" s="643">
        <f>+_xlfn.XLOOKUP(A22,PROPORCIONALIDADES!$M$4:$M$50,PROPORCIONALIDADES!$N$4:$N$50,0,0)</f>
        <v>1</v>
      </c>
      <c r="F22" s="643">
        <f>+_xlfn.XLOOKUP(A22,PROPORCIONALIDADES!$M$4:$M$50,PROPORCIONALIDADES!$O$4:$O$50,0,0)</f>
        <v>1</v>
      </c>
      <c r="G22" s="290">
        <f t="shared" si="0"/>
        <v>0</v>
      </c>
      <c r="H22" s="290">
        <f t="shared" si="0"/>
        <v>0</v>
      </c>
    </row>
    <row r="23" spans="1:25" x14ac:dyDescent="0.25">
      <c r="A23" s="216" t="s">
        <v>226</v>
      </c>
      <c r="B23" s="216" t="s">
        <v>118</v>
      </c>
      <c r="C23" s="216" t="s">
        <v>225</v>
      </c>
      <c r="D23" s="216" t="s">
        <v>227</v>
      </c>
      <c r="E23" s="216" t="s">
        <v>228</v>
      </c>
      <c r="G23" s="290">
        <f>+SUM(G4:G22)</f>
        <v>0</v>
      </c>
      <c r="H23" s="290">
        <f>+SUM(H4:H22)</f>
        <v>0</v>
      </c>
    </row>
    <row r="24" spans="1:25" ht="21" customHeight="1" x14ac:dyDescent="0.25">
      <c r="A24" s="449" t="s">
        <v>307</v>
      </c>
      <c r="B24" s="609">
        <v>10456.1</v>
      </c>
      <c r="C24" s="609">
        <v>5452.64</v>
      </c>
      <c r="D24" s="609">
        <v>20758.93</v>
      </c>
      <c r="E24" s="609">
        <v>15994</v>
      </c>
      <c r="G24" s="272"/>
      <c r="H24" s="272"/>
    </row>
    <row r="25" spans="1:25" x14ac:dyDescent="0.25">
      <c r="B25" s="610">
        <v>45738</v>
      </c>
      <c r="C25" s="610">
        <v>45738</v>
      </c>
      <c r="D25" s="610">
        <v>45738</v>
      </c>
      <c r="E25" s="610">
        <v>45603</v>
      </c>
      <c r="I25" t="s">
        <v>479</v>
      </c>
    </row>
    <row r="26" spans="1:25" x14ac:dyDescent="0.25">
      <c r="B26" s="122"/>
      <c r="C26" s="122"/>
      <c r="D26" s="122"/>
      <c r="E26" s="122"/>
      <c r="H26" s="271"/>
      <c r="I26" s="356"/>
      <c r="O26" t="s">
        <v>148</v>
      </c>
      <c r="V26" t="s">
        <v>359</v>
      </c>
      <c r="Y26" t="s">
        <v>360</v>
      </c>
    </row>
    <row r="27" spans="1:25" s="212" customFormat="1" ht="66.2" customHeight="1" x14ac:dyDescent="0.25">
      <c r="A27" s="217" t="s">
        <v>224</v>
      </c>
      <c r="B27" s="218" t="s">
        <v>355</v>
      </c>
      <c r="C27" s="218" t="s">
        <v>356</v>
      </c>
      <c r="D27" s="226" t="s">
        <v>308</v>
      </c>
      <c r="E27" s="226" t="s">
        <v>309</v>
      </c>
      <c r="F27" s="227" t="s">
        <v>478</v>
      </c>
      <c r="G27" s="423" t="s">
        <v>480</v>
      </c>
      <c r="H27" s="608" t="s">
        <v>491</v>
      </c>
      <c r="I27" s="423" t="s">
        <v>464</v>
      </c>
      <c r="J27" s="364" t="s">
        <v>465</v>
      </c>
      <c r="K27" s="364" t="s">
        <v>463</v>
      </c>
      <c r="L27" s="217" t="s">
        <v>449</v>
      </c>
      <c r="M27" s="217" t="s">
        <v>456</v>
      </c>
      <c r="N27" s="217" t="s">
        <v>483</v>
      </c>
      <c r="O27" s="326" t="s">
        <v>358</v>
      </c>
      <c r="P27" s="275" t="s">
        <v>388</v>
      </c>
      <c r="R27" s="324" t="s">
        <v>434</v>
      </c>
      <c r="S27" s="227" t="s">
        <v>432</v>
      </c>
      <c r="T27"/>
    </row>
    <row r="28" spans="1:25" ht="20.45" customHeight="1" x14ac:dyDescent="0.25">
      <c r="A28" s="123" t="s">
        <v>107</v>
      </c>
      <c r="B28" s="450">
        <f t="shared" ref="B28:C32" si="1">+B$24*B4</f>
        <v>10456.1</v>
      </c>
      <c r="C28" s="451">
        <f>+C$24*C4</f>
        <v>5268.8860320000003</v>
      </c>
      <c r="D28" s="123">
        <f>+ROUND(C28*0.98,2)</f>
        <v>5163.51</v>
      </c>
      <c r="E28" s="123">
        <f>+ROUND(D$24*0.02,2)</f>
        <v>415.18</v>
      </c>
      <c r="F28" s="421">
        <f>+ROUND(D28+E28,2)</f>
        <v>5578.69</v>
      </c>
      <c r="G28" s="421"/>
      <c r="H28" s="421">
        <f>($B$28*90%)+('IMPUESTO AL CARBONO GMR'!D$8)</f>
        <v>11009.89</v>
      </c>
      <c r="I28" s="421">
        <f>ROUND((B28*95%),2)+($E$24*5%)</f>
        <v>10733</v>
      </c>
      <c r="J28" s="421">
        <f>ROUND(($B28*94%),2)+($E$24*6%)</f>
        <v>10788.369999999999</v>
      </c>
      <c r="K28" s="421"/>
      <c r="L28" s="371"/>
      <c r="M28" s="378">
        <f>(C28*90%)+(BIODIESEL!F$8)</f>
        <v>6817.8904288000003</v>
      </c>
      <c r="N28" s="378">
        <f>(C28*92%)+($D$24*0.08)</f>
        <v>6508.0895494400002</v>
      </c>
      <c r="O28" s="325" t="s">
        <v>310</v>
      </c>
      <c r="P28" s="251"/>
      <c r="T28" s="327" t="s">
        <v>107</v>
      </c>
    </row>
    <row r="29" spans="1:25" ht="20.45" customHeight="1" thickBot="1" x14ac:dyDescent="0.3">
      <c r="A29" s="456" t="s">
        <v>115</v>
      </c>
      <c r="B29" s="457">
        <f t="shared" si="1"/>
        <v>10456.1</v>
      </c>
      <c r="C29" s="458">
        <f t="shared" si="1"/>
        <v>4130.3747999999996</v>
      </c>
      <c r="D29" s="456">
        <f>+ROUND(C29*0.98,2)</f>
        <v>4047.77</v>
      </c>
      <c r="E29" s="123">
        <f t="shared" ref="E29:E44" si="2">+ROUND(D$24*0.02,2)</f>
        <v>415.18</v>
      </c>
      <c r="F29" s="459">
        <f>+D29+E29</f>
        <v>4462.95</v>
      </c>
      <c r="G29" s="459"/>
      <c r="H29" s="459">
        <f>($B$29*90%)+('IMPUESTO AL CARBONO GMR'!D$8)</f>
        <v>11009.89</v>
      </c>
      <c r="I29" s="459">
        <f>(B29*95%)+($E$24*5%)</f>
        <v>10732.995000000001</v>
      </c>
      <c r="J29" s="460"/>
      <c r="K29" s="461">
        <f>(B29*90%)+($E$24*10%)</f>
        <v>11009.89</v>
      </c>
      <c r="M29" s="462">
        <f>(C29*90%)+(BIODIESEL!F$8)</f>
        <v>5793.2303199999997</v>
      </c>
      <c r="N29" s="378">
        <f t="shared" ref="N29:N41" si="3">(C29*92%)+($D$24*0.08)</f>
        <v>5460.659216</v>
      </c>
      <c r="O29" s="463" t="s">
        <v>311</v>
      </c>
      <c r="P29" s="273"/>
      <c r="R29" s="122">
        <f>(B29*95%)+5%*$E$24</f>
        <v>10732.995000000001</v>
      </c>
      <c r="S29" s="122">
        <f>(C29*95%)+(5%*$D$24)</f>
        <v>4961.8025600000001</v>
      </c>
      <c r="T29" s="327" t="s">
        <v>115</v>
      </c>
    </row>
    <row r="30" spans="1:25" ht="20.45" customHeight="1" thickBot="1" x14ac:dyDescent="0.3">
      <c r="A30" s="471" t="s">
        <v>112</v>
      </c>
      <c r="B30" s="472">
        <f t="shared" si="1"/>
        <v>10456.1</v>
      </c>
      <c r="C30" s="473">
        <f t="shared" si="1"/>
        <v>5286.3344800000004</v>
      </c>
      <c r="D30" s="474">
        <f>+ROUND(C30*0.98,2)</f>
        <v>5180.6099999999997</v>
      </c>
      <c r="E30" s="123">
        <f t="shared" si="2"/>
        <v>415.18</v>
      </c>
      <c r="F30" s="475">
        <f>+D30+E30</f>
        <v>5595.79</v>
      </c>
      <c r="G30" s="475"/>
      <c r="H30" s="475">
        <f>($B$30*90%)+('IMPUESTO AL CARBONO GMR'!D$8)</f>
        <v>11009.89</v>
      </c>
      <c r="I30" s="475">
        <f>ROUND((B30*95%),2)+($E$24*5%)</f>
        <v>10733</v>
      </c>
      <c r="J30" s="475">
        <f>ROUND(($B30*94%),2)+($E$24*6%)</f>
        <v>10788.369999999999</v>
      </c>
      <c r="K30" s="475"/>
      <c r="L30" s="476"/>
      <c r="M30" s="477">
        <f>(C30*90%)+(BIODIESEL!F$8)</f>
        <v>6833.5940320000009</v>
      </c>
      <c r="N30" s="378">
        <f t="shared" si="3"/>
        <v>6524.1421216000008</v>
      </c>
      <c r="O30" s="478" t="s">
        <v>312</v>
      </c>
      <c r="P30" s="479"/>
      <c r="Q30" s="271" t="s">
        <v>431</v>
      </c>
      <c r="T30" s="327" t="s">
        <v>112</v>
      </c>
    </row>
    <row r="31" spans="1:25" ht="20.45" customHeight="1" x14ac:dyDescent="0.25">
      <c r="A31" s="464" t="s">
        <v>108</v>
      </c>
      <c r="B31" s="465">
        <f t="shared" si="1"/>
        <v>10456.1</v>
      </c>
      <c r="C31" s="466">
        <f t="shared" si="1"/>
        <v>5317.4145280000002</v>
      </c>
      <c r="D31" s="464">
        <f t="shared" ref="D31:D39" si="4">+ROUND(C31*0.98,2)</f>
        <v>5211.07</v>
      </c>
      <c r="E31" s="123">
        <f t="shared" si="2"/>
        <v>415.18</v>
      </c>
      <c r="F31" s="467">
        <f t="shared" ref="F31:F41" si="5">+D31+E31</f>
        <v>5626.25</v>
      </c>
      <c r="G31" s="467"/>
      <c r="H31" s="467">
        <f>($B$31*90%)+('IMPUESTO AL CARBONO GMR'!D$8)</f>
        <v>11009.89</v>
      </c>
      <c r="I31" s="467">
        <f>ROUND((B31*95%),2)+($E$24*5%)</f>
        <v>10733</v>
      </c>
      <c r="J31" s="467">
        <f>ROUND(($B31*94%),2)+($E$24*6%)</f>
        <v>10788.369999999999</v>
      </c>
      <c r="K31" s="467"/>
      <c r="L31" s="468"/>
      <c r="M31" s="469">
        <f>(C31*90%)+(BIODIESEL!F$8)</f>
        <v>6861.5660752000003</v>
      </c>
      <c r="N31" s="378">
        <f t="shared" si="3"/>
        <v>6552.7357657600005</v>
      </c>
      <c r="O31" s="470" t="s">
        <v>363</v>
      </c>
      <c r="P31" s="274"/>
      <c r="Q31" s="271" t="s">
        <v>389</v>
      </c>
      <c r="T31" s="327" t="s">
        <v>108</v>
      </c>
    </row>
    <row r="32" spans="1:25" ht="20.45" customHeight="1" x14ac:dyDescent="0.25">
      <c r="A32" s="123" t="s">
        <v>113</v>
      </c>
      <c r="B32" s="450">
        <f t="shared" si="1"/>
        <v>10456.1</v>
      </c>
      <c r="C32" s="451">
        <f t="shared" si="1"/>
        <v>4004.9640800000006</v>
      </c>
      <c r="D32" s="123">
        <f t="shared" si="4"/>
        <v>3924.86</v>
      </c>
      <c r="E32" s="123">
        <f t="shared" si="2"/>
        <v>415.18</v>
      </c>
      <c r="F32" s="421">
        <f t="shared" si="5"/>
        <v>4340.04</v>
      </c>
      <c r="G32" s="421"/>
      <c r="H32" s="421">
        <f>($B$32*90%)+('IMPUESTO AL CARBONO GMR'!D$8)</f>
        <v>11009.89</v>
      </c>
      <c r="I32" s="467">
        <f>(B32*95%)+($E$24*5%)</f>
        <v>10732.995000000001</v>
      </c>
      <c r="J32" s="422"/>
      <c r="K32" s="422"/>
      <c r="L32" s="372"/>
      <c r="M32" s="379">
        <f>(C32*90%)+(BIODIESEL!F$8)</f>
        <v>5680.3606720000007</v>
      </c>
      <c r="N32" s="378">
        <f t="shared" si="3"/>
        <v>5345.2813536000012</v>
      </c>
      <c r="O32" s="438" t="s">
        <v>468</v>
      </c>
      <c r="P32" s="273"/>
      <c r="S32" s="122">
        <f>(C32*95%)+(5%*$D$24)</f>
        <v>4842.6623760000002</v>
      </c>
      <c r="T32" s="327" t="s">
        <v>113</v>
      </c>
    </row>
    <row r="33" spans="1:23" ht="20.45" customHeight="1" thickBot="1" x14ac:dyDescent="0.3">
      <c r="A33" s="456" t="s">
        <v>121</v>
      </c>
      <c r="B33" s="457">
        <f t="shared" ref="B33:C35" si="6">+B$24*B11</f>
        <v>10456.1</v>
      </c>
      <c r="C33" s="458">
        <f t="shared" si="6"/>
        <v>5218.7217440000004</v>
      </c>
      <c r="D33" s="456">
        <f t="shared" si="4"/>
        <v>5114.3500000000004</v>
      </c>
      <c r="E33" s="123">
        <f t="shared" si="2"/>
        <v>415.18</v>
      </c>
      <c r="F33" s="459">
        <f t="shared" si="5"/>
        <v>5529.5300000000007</v>
      </c>
      <c r="G33" s="459"/>
      <c r="H33" s="459">
        <f>($B$33*90%)+('IMPUESTO AL CARBONO GMR'!D$8)</f>
        <v>11009.89</v>
      </c>
      <c r="I33" s="459">
        <f>ROUND((B33*95%),2)+($E$24*5%)</f>
        <v>10733</v>
      </c>
      <c r="J33" s="459">
        <f>ROUND(($B33*94%),2)+($E$24*6%)</f>
        <v>10788.369999999999</v>
      </c>
      <c r="K33" s="459"/>
      <c r="L33" s="480"/>
      <c r="M33" s="481">
        <f>(C33*90%)+(BIODIESEL!F$8)</f>
        <v>6772.7425696000009</v>
      </c>
      <c r="N33" s="378">
        <f t="shared" si="3"/>
        <v>6461.9384044800008</v>
      </c>
      <c r="O33" s="463" t="s">
        <v>313</v>
      </c>
      <c r="P33" s="251"/>
      <c r="T33" s="327" t="s">
        <v>121</v>
      </c>
      <c r="U33" s="246" t="s">
        <v>361</v>
      </c>
    </row>
    <row r="34" spans="1:23" ht="20.45" customHeight="1" thickBot="1" x14ac:dyDescent="0.3">
      <c r="A34" s="471" t="s">
        <v>116</v>
      </c>
      <c r="B34" s="472">
        <f t="shared" si="6"/>
        <v>10456.1</v>
      </c>
      <c r="C34" s="473">
        <f t="shared" si="6"/>
        <v>4403.0068000000001</v>
      </c>
      <c r="D34" s="474">
        <f t="shared" si="4"/>
        <v>4314.95</v>
      </c>
      <c r="E34" s="123">
        <f t="shared" si="2"/>
        <v>415.18</v>
      </c>
      <c r="F34" s="475">
        <f>+D34+E34</f>
        <v>4730.13</v>
      </c>
      <c r="G34" s="475"/>
      <c r="H34" s="475">
        <f>($B$34*90%)+('IMPUESTO AL CARBONO GMR'!D$8)</f>
        <v>11009.89</v>
      </c>
      <c r="I34" s="475">
        <f>ROUND((B34*95%),2)+($E$24*5%)</f>
        <v>10733</v>
      </c>
      <c r="J34" s="486"/>
      <c r="K34" s="487">
        <f>(B34*90%)+($E$24*10%)</f>
        <v>11009.89</v>
      </c>
      <c r="L34" s="488"/>
      <c r="M34" s="489">
        <f>(C34*90%)+(BIODIESEL!F$8)</f>
        <v>6038.5991200000008</v>
      </c>
      <c r="N34" s="378">
        <f t="shared" si="3"/>
        <v>5711.4806560000006</v>
      </c>
      <c r="O34" s="478" t="s">
        <v>314</v>
      </c>
      <c r="P34" s="490"/>
      <c r="R34" s="122">
        <f>(B34*95%)+5%*$E$24</f>
        <v>10732.995000000001</v>
      </c>
      <c r="S34" s="122">
        <f>(C34*95%)+(5%*$D$24)</f>
        <v>5220.80296</v>
      </c>
      <c r="T34" s="327" t="s">
        <v>116</v>
      </c>
    </row>
    <row r="35" spans="1:23" ht="20.45" customHeight="1" x14ac:dyDescent="0.25">
      <c r="A35" s="464" t="s">
        <v>111</v>
      </c>
      <c r="B35" s="465">
        <f t="shared" si="6"/>
        <v>9983.4842800000006</v>
      </c>
      <c r="C35" s="466">
        <f t="shared" si="6"/>
        <v>4233.4296960000001</v>
      </c>
      <c r="D35" s="464">
        <f t="shared" si="4"/>
        <v>4148.76</v>
      </c>
      <c r="E35" s="123">
        <f t="shared" si="2"/>
        <v>415.18</v>
      </c>
      <c r="F35" s="467">
        <f t="shared" si="5"/>
        <v>4563.9400000000005</v>
      </c>
      <c r="G35" s="467"/>
      <c r="H35" s="467">
        <f>($B$35*90%)+('IMPUESTO AL CARBONO GMR'!D$8)</f>
        <v>10584.535852000001</v>
      </c>
      <c r="I35" s="467">
        <f t="shared" ref="I35:I40" si="7">(B35*95%)+($E$24*5%)</f>
        <v>10284.010066000001</v>
      </c>
      <c r="J35" s="482"/>
      <c r="K35" s="483">
        <f>(B35*90%)+($E$24*10%)</f>
        <v>10584.535852000001</v>
      </c>
      <c r="M35" s="484">
        <f>(C35*90%)+(BIODIESEL!F$8)</f>
        <v>5885.9797264000008</v>
      </c>
      <c r="N35" s="378">
        <f t="shared" si="3"/>
        <v>5555.4697203200003</v>
      </c>
      <c r="O35" s="485" t="s">
        <v>357</v>
      </c>
      <c r="P35" s="273"/>
      <c r="R35" s="122">
        <f>(B35*95%)+5%*$E$24</f>
        <v>10284.010066000001</v>
      </c>
      <c r="S35" s="122">
        <f>(C35*95%)+(5%*$D$24)</f>
        <v>5059.7047112</v>
      </c>
      <c r="T35" s="327" t="s">
        <v>111</v>
      </c>
      <c r="U35" s="246" t="s">
        <v>361</v>
      </c>
    </row>
    <row r="36" spans="1:23" ht="20.45" customHeight="1" x14ac:dyDescent="0.25">
      <c r="A36" s="123" t="s">
        <v>110</v>
      </c>
      <c r="B36" s="450">
        <f>+B$24*B15</f>
        <v>10105.820650000001</v>
      </c>
      <c r="C36" s="451">
        <f>+C$24*C15</f>
        <v>5218.1764800000001</v>
      </c>
      <c r="D36" s="123">
        <f t="shared" si="4"/>
        <v>5113.8100000000004</v>
      </c>
      <c r="E36" s="123">
        <f t="shared" si="2"/>
        <v>415.18</v>
      </c>
      <c r="F36" s="421">
        <f t="shared" si="5"/>
        <v>5528.9900000000007</v>
      </c>
      <c r="G36" s="421"/>
      <c r="H36" s="421">
        <f>($B$36*90%)+('IMPUESTO AL CARBONO GMR'!D$8)</f>
        <v>10694.638585000001</v>
      </c>
      <c r="I36" s="421">
        <f t="shared" si="7"/>
        <v>10400.229617500001</v>
      </c>
      <c r="J36" s="421">
        <f>ROUND(($B36*94%),2)+($E$24*6%)</f>
        <v>10459.109999999999</v>
      </c>
      <c r="K36" s="421"/>
      <c r="L36" s="372"/>
      <c r="M36" s="379">
        <f>(C36*90%)+(BIODIESEL!F$8)</f>
        <v>6772.2518319999999</v>
      </c>
      <c r="N36" s="378">
        <f t="shared" si="3"/>
        <v>6461.4367616</v>
      </c>
      <c r="O36" s="325" t="s">
        <v>315</v>
      </c>
      <c r="P36" s="251"/>
      <c r="R36" s="122"/>
      <c r="S36" s="122"/>
      <c r="T36" s="327" t="s">
        <v>110</v>
      </c>
    </row>
    <row r="37" spans="1:23" ht="20.45" customHeight="1" thickBot="1" x14ac:dyDescent="0.3">
      <c r="A37" s="456" t="s">
        <v>109</v>
      </c>
      <c r="B37" s="457">
        <f t="shared" ref="B37:C41" si="8">+B$24*B16</f>
        <v>10442.507070000001</v>
      </c>
      <c r="C37" s="458">
        <f t="shared" si="8"/>
        <v>3908.4523520000002</v>
      </c>
      <c r="D37" s="456">
        <f t="shared" si="4"/>
        <v>3830.28</v>
      </c>
      <c r="E37" s="123">
        <f t="shared" si="2"/>
        <v>415.18</v>
      </c>
      <c r="F37" s="459">
        <f t="shared" si="5"/>
        <v>4245.46</v>
      </c>
      <c r="G37" s="491"/>
      <c r="H37" s="491">
        <f>($B$37*90%)+('IMPUESTO AL CARBONO GMR'!D$8)</f>
        <v>10997.656363000002</v>
      </c>
      <c r="I37" s="491">
        <f t="shared" si="7"/>
        <v>10720.081716500001</v>
      </c>
      <c r="J37" s="460"/>
      <c r="K37" s="460"/>
      <c r="M37" s="462">
        <f>(C37*90%)+(BIODIESEL!F$8)</f>
        <v>5593.5001167999999</v>
      </c>
      <c r="N37" s="378">
        <f t="shared" si="3"/>
        <v>5256.4905638400005</v>
      </c>
      <c r="O37" s="492" t="s">
        <v>316</v>
      </c>
      <c r="P37" s="273"/>
      <c r="S37" s="122">
        <f>(C37*95%)+(5%*$D$24)</f>
        <v>4750.9762344000001</v>
      </c>
      <c r="T37" s="327" t="s">
        <v>109</v>
      </c>
    </row>
    <row r="38" spans="1:23" ht="20.45" customHeight="1" thickBot="1" x14ac:dyDescent="0.3">
      <c r="A38" s="471" t="s">
        <v>294</v>
      </c>
      <c r="B38" s="472">
        <f t="shared" si="8"/>
        <v>10456.1</v>
      </c>
      <c r="C38" s="473">
        <f t="shared" si="8"/>
        <v>5262.3428640000002</v>
      </c>
      <c r="D38" s="474">
        <f t="shared" si="4"/>
        <v>5157.1000000000004</v>
      </c>
      <c r="E38" s="123">
        <f t="shared" si="2"/>
        <v>415.18</v>
      </c>
      <c r="F38" s="475">
        <f t="shared" si="5"/>
        <v>5572.2800000000007</v>
      </c>
      <c r="G38" s="475"/>
      <c r="H38" s="475">
        <f>($B$38*90%)+('IMPUESTO AL CARBONO GMR'!D$8)</f>
        <v>11009.89</v>
      </c>
      <c r="I38" s="475">
        <f>ROUND((B38*95%),2)+($E$24*5%)</f>
        <v>10733</v>
      </c>
      <c r="J38" s="475">
        <f>ROUND(($B38*94%),2)+($E$24*6%)</f>
        <v>10788.369999999999</v>
      </c>
      <c r="K38" s="475"/>
      <c r="L38" s="493"/>
      <c r="M38" s="477">
        <f>(C38*90%)+(BIODIESEL!F$8)</f>
        <v>6812.0015776</v>
      </c>
      <c r="N38" s="378">
        <f t="shared" si="3"/>
        <v>6502.0698348800006</v>
      </c>
      <c r="O38" s="478" t="s">
        <v>317</v>
      </c>
      <c r="P38" s="494"/>
      <c r="T38" s="327" t="s">
        <v>294</v>
      </c>
    </row>
    <row r="39" spans="1:23" ht="20.45" customHeight="1" x14ac:dyDescent="0.25">
      <c r="A39" s="464" t="s">
        <v>117</v>
      </c>
      <c r="B39" s="465">
        <f t="shared" si="8"/>
        <v>10456.1</v>
      </c>
      <c r="C39" s="466">
        <f t="shared" si="8"/>
        <v>4311.9477120000001</v>
      </c>
      <c r="D39" s="464">
        <f t="shared" si="4"/>
        <v>4225.71</v>
      </c>
      <c r="E39" s="123">
        <f t="shared" si="2"/>
        <v>415.18</v>
      </c>
      <c r="F39" s="467">
        <f t="shared" si="5"/>
        <v>4640.8900000000003</v>
      </c>
      <c r="G39" s="467"/>
      <c r="H39" s="467">
        <f>($B$39*90%)+('IMPUESTO AL CARBONO GMR'!D$8)</f>
        <v>11009.89</v>
      </c>
      <c r="I39" s="467">
        <f>ROUND((B39*95%),2)+($E$24*5%)</f>
        <v>10733</v>
      </c>
      <c r="J39" s="482"/>
      <c r="K39" s="483">
        <f>(B39*90%)+($E$24*10%)</f>
        <v>11009.89</v>
      </c>
      <c r="M39" s="484">
        <f>(C39*90%)+(BIODIESEL!F$8)</f>
        <v>5956.6459408000001</v>
      </c>
      <c r="N39" s="378">
        <f t="shared" si="3"/>
        <v>5627.7062950400004</v>
      </c>
      <c r="O39" s="470" t="s">
        <v>319</v>
      </c>
      <c r="P39" s="273"/>
      <c r="R39" s="122">
        <f>(B39*95%)+5%*$E$24</f>
        <v>10732.995000000001</v>
      </c>
      <c r="S39" s="122">
        <f>(C39*95%)+(5%*$D$24)</f>
        <v>5134.2968264000001</v>
      </c>
      <c r="T39" s="327" t="s">
        <v>117</v>
      </c>
    </row>
    <row r="40" spans="1:23" ht="20.45" customHeight="1" x14ac:dyDescent="0.25">
      <c r="A40" s="123" t="s">
        <v>366</v>
      </c>
      <c r="B40" s="450">
        <f t="shared" si="8"/>
        <v>10456.1</v>
      </c>
      <c r="C40" s="451">
        <f t="shared" si="8"/>
        <v>4053.4925760000001</v>
      </c>
      <c r="D40" s="123">
        <f>+ROUND(C40*0.98,2)</f>
        <v>3972.42</v>
      </c>
      <c r="E40" s="123">
        <f t="shared" si="2"/>
        <v>415.18</v>
      </c>
      <c r="F40" s="421">
        <f t="shared" si="5"/>
        <v>4387.6000000000004</v>
      </c>
      <c r="G40" s="421"/>
      <c r="H40" s="421">
        <f>($B$40*90%)+('IMPUESTO AL CARBONO GMR'!D$8)</f>
        <v>11009.89</v>
      </c>
      <c r="I40" s="421">
        <f t="shared" si="7"/>
        <v>10732.995000000001</v>
      </c>
      <c r="J40" s="421">
        <f>ROUND(($B40*94%),2)+($E$24*6%)</f>
        <v>10788.369999999999</v>
      </c>
      <c r="K40" s="424">
        <f>(B40*90%)+($E$24*10%)</f>
        <v>11009.89</v>
      </c>
      <c r="M40" s="139">
        <f>(C40*90%)+(BIODIESEL!F$8)</f>
        <v>5724.0363183999998</v>
      </c>
      <c r="N40" s="378">
        <f t="shared" si="3"/>
        <v>5389.9275699200007</v>
      </c>
      <c r="O40" s="325" t="s">
        <v>374</v>
      </c>
      <c r="P40" s="273"/>
      <c r="R40" s="274">
        <f>(B40*95%)+5%*$E$24</f>
        <v>10732.995000000001</v>
      </c>
      <c r="S40" s="122">
        <f>(C40*95%)+(5%*$D$24)</f>
        <v>4888.7644471999993</v>
      </c>
      <c r="T40" s="327" t="s">
        <v>435</v>
      </c>
      <c r="W40" t="s">
        <v>148</v>
      </c>
    </row>
    <row r="41" spans="1:23" ht="20.45" customHeight="1" x14ac:dyDescent="0.25">
      <c r="A41" s="123" t="s">
        <v>365</v>
      </c>
      <c r="B41" s="450">
        <f t="shared" si="8"/>
        <v>10456.1</v>
      </c>
      <c r="C41" s="451">
        <f t="shared" si="8"/>
        <v>4226.3412640000006</v>
      </c>
      <c r="D41" s="123">
        <f>+ROUND(C41*0.98,2)</f>
        <v>4141.8100000000004</v>
      </c>
      <c r="E41" s="123">
        <f t="shared" si="2"/>
        <v>415.18</v>
      </c>
      <c r="F41" s="421">
        <f t="shared" si="5"/>
        <v>4556.9900000000007</v>
      </c>
      <c r="G41" s="421"/>
      <c r="H41" s="421">
        <f>($B$41*90%)+('IMPUESTO AL CARBONO GMR'!D$8)</f>
        <v>11009.89</v>
      </c>
      <c r="I41" s="421">
        <f>ROUND((B41*95%),2)+($E$24*5%)</f>
        <v>10733</v>
      </c>
      <c r="J41" s="422"/>
      <c r="K41" s="424">
        <f>(B41*90%)+($E$24*10%)</f>
        <v>11009.89</v>
      </c>
      <c r="M41" s="139">
        <f>(C41*90%)+(BIODIESEL!F$8)</f>
        <v>5879.6001376000004</v>
      </c>
      <c r="N41" s="378">
        <f t="shared" si="3"/>
        <v>5548.9483628800008</v>
      </c>
      <c r="O41" s="325" t="s">
        <v>318</v>
      </c>
      <c r="P41" s="273"/>
      <c r="R41" s="274">
        <f>(B41*95%)+5%*$E$24</f>
        <v>10732.995000000001</v>
      </c>
      <c r="S41" s="122">
        <f>(C41*95%)+(5%*$D$24)</f>
        <v>5052.9707008000005</v>
      </c>
      <c r="T41" s="327" t="s">
        <v>436</v>
      </c>
    </row>
    <row r="42" spans="1:23" ht="20.45" customHeight="1" x14ac:dyDescent="0.25">
      <c r="A42" s="123" t="s">
        <v>414</v>
      </c>
      <c r="B42" s="450">
        <f>+B$24*B9</f>
        <v>10456.1</v>
      </c>
      <c r="C42" s="451">
        <f>+C$24*C9</f>
        <v>5317.4145280000002</v>
      </c>
      <c r="D42" s="123">
        <f t="shared" ref="D42" si="9">+ROUND(C42*0.98,2)</f>
        <v>5211.07</v>
      </c>
      <c r="E42" s="123">
        <f t="shared" si="2"/>
        <v>415.18</v>
      </c>
      <c r="F42" s="421">
        <f t="shared" ref="F42:F44" si="10">+D42+E42</f>
        <v>5626.25</v>
      </c>
      <c r="G42" s="421"/>
      <c r="H42" s="421">
        <f>(B42*90%)+('IMPUESTO AL CARBONO GMR'!D$8)</f>
        <v>11009.89</v>
      </c>
      <c r="I42" s="421"/>
      <c r="J42" s="422"/>
      <c r="K42" s="424"/>
      <c r="L42">
        <f>(C42*90%)+(BIODIESEL!F$8)</f>
        <v>6861.5660752000003</v>
      </c>
      <c r="M42" s="139"/>
      <c r="N42" s="378"/>
      <c r="O42" s="325"/>
      <c r="P42" s="273"/>
      <c r="R42" s="274"/>
      <c r="S42" s="122"/>
      <c r="T42" s="327"/>
    </row>
    <row r="43" spans="1:23" ht="20.45" customHeight="1" x14ac:dyDescent="0.25">
      <c r="A43" s="123" t="s">
        <v>415</v>
      </c>
      <c r="B43" s="450">
        <f>+B$24*B10</f>
        <v>10456.1</v>
      </c>
      <c r="C43" s="451">
        <f>+C$24*C10</f>
        <v>5317.4145280000002</v>
      </c>
      <c r="D43" s="123">
        <f t="shared" ref="D43:D44" si="11">+ROUND(C43*0.98,2)</f>
        <v>5211.07</v>
      </c>
      <c r="E43" s="123">
        <f t="shared" si="2"/>
        <v>415.18</v>
      </c>
      <c r="F43" s="421">
        <f t="shared" si="10"/>
        <v>5626.25</v>
      </c>
      <c r="G43" s="421"/>
      <c r="H43" s="421">
        <f>(B43*90%)+('IMPUESTO AL CARBONO GMR'!D$8)</f>
        <v>11009.89</v>
      </c>
      <c r="I43" s="421"/>
      <c r="J43" s="422"/>
      <c r="K43" s="424"/>
      <c r="L43">
        <f>(C43*90%)+(BIODIESEL!F$8)</f>
        <v>6861.5660752000003</v>
      </c>
      <c r="M43" s="139"/>
      <c r="N43" s="378"/>
      <c r="O43" s="325"/>
      <c r="P43" s="273"/>
      <c r="R43" s="274"/>
      <c r="S43" s="122"/>
      <c r="T43" s="327"/>
    </row>
    <row r="44" spans="1:23" ht="20.45" customHeight="1" x14ac:dyDescent="0.25">
      <c r="A44" s="123" t="s">
        <v>413</v>
      </c>
      <c r="B44" s="450">
        <f>+B$24*B14</f>
        <v>9983.4842800000006</v>
      </c>
      <c r="C44" s="451">
        <f>+C$24*C14</f>
        <v>4233.4296960000001</v>
      </c>
      <c r="D44" s="123">
        <f t="shared" si="11"/>
        <v>4148.76</v>
      </c>
      <c r="E44" s="123">
        <f t="shared" si="2"/>
        <v>415.18</v>
      </c>
      <c r="F44" s="421">
        <f t="shared" si="10"/>
        <v>4563.9400000000005</v>
      </c>
      <c r="G44" s="421"/>
      <c r="H44" s="421">
        <f>(B44*90%)+('IMPUESTO AL CARBONO GMR'!D$8)</f>
        <v>10584.535852000001</v>
      </c>
      <c r="I44" s="421"/>
      <c r="J44" s="422"/>
      <c r="K44" s="424"/>
      <c r="L44">
        <f>(C44*90%)+(BIODIESEL!F$8)</f>
        <v>5885.9797264000008</v>
      </c>
      <c r="M44" s="139"/>
      <c r="N44" s="378"/>
      <c r="O44" s="325"/>
      <c r="P44" s="273"/>
      <c r="R44" s="274"/>
      <c r="S44" s="122"/>
      <c r="T44" s="327"/>
    </row>
    <row r="46" spans="1:23" ht="15.75" x14ac:dyDescent="0.25">
      <c r="A46" s="225" t="s">
        <v>354</v>
      </c>
      <c r="B46" s="333" t="s">
        <v>680</v>
      </c>
      <c r="C46" s="333" t="s">
        <v>681</v>
      </c>
    </row>
    <row r="48" spans="1:23" x14ac:dyDescent="0.25">
      <c r="A48" s="230" t="s">
        <v>351</v>
      </c>
      <c r="B48" s="230" t="s">
        <v>349</v>
      </c>
      <c r="C48" s="230" t="s">
        <v>350</v>
      </c>
      <c r="D48" t="s">
        <v>148</v>
      </c>
    </row>
    <row r="49" spans="1:5" x14ac:dyDescent="0.25">
      <c r="A49" s="223" t="s">
        <v>352</v>
      </c>
      <c r="B49" s="224">
        <v>30000002129</v>
      </c>
      <c r="C49" s="17"/>
    </row>
    <row r="50" spans="1:5" x14ac:dyDescent="0.25">
      <c r="A50" s="223" t="s">
        <v>353</v>
      </c>
      <c r="B50" s="224">
        <v>30000000070</v>
      </c>
      <c r="C50" s="224">
        <v>30000000070</v>
      </c>
    </row>
    <row r="51" spans="1:5" x14ac:dyDescent="0.25">
      <c r="A51" s="223" t="s">
        <v>364</v>
      </c>
      <c r="B51" s="228">
        <v>30000009250</v>
      </c>
      <c r="C51" s="224"/>
      <c r="E51" t="s">
        <v>148</v>
      </c>
    </row>
    <row r="52" spans="1:5" x14ac:dyDescent="0.25">
      <c r="A52" s="223" t="s">
        <v>106</v>
      </c>
      <c r="B52" s="224" t="s">
        <v>148</v>
      </c>
      <c r="C52" s="224">
        <v>30000000003</v>
      </c>
    </row>
    <row r="62" spans="1:5" x14ac:dyDescent="0.25">
      <c r="A62" s="101" t="s">
        <v>682</v>
      </c>
    </row>
  </sheetData>
  <sortState xmlns:xlrd2="http://schemas.microsoft.com/office/spreadsheetml/2017/richdata2" ref="A4:C17">
    <sortCondition ref="A3:A17"/>
  </sortState>
  <mergeCells count="2">
    <mergeCell ref="B2:C2"/>
    <mergeCell ref="A2:A3"/>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FF065-F6CC-4520-A988-513486B99FF4}">
  <dimension ref="A1:O174"/>
  <sheetViews>
    <sheetView workbookViewId="0">
      <selection activeCell="B176" sqref="B176"/>
    </sheetView>
  </sheetViews>
  <sheetFormatPr baseColWidth="10" defaultRowHeight="15" x14ac:dyDescent="0.25"/>
  <cols>
    <col min="1" max="1" width="21.28515625" bestFit="1" customWidth="1"/>
    <col min="2" max="2" width="23.5703125" bestFit="1" customWidth="1"/>
    <col min="3" max="4" width="10.5703125" bestFit="1" customWidth="1"/>
    <col min="6" max="6" width="12.140625" bestFit="1" customWidth="1"/>
    <col min="13" max="13" width="60.140625" bestFit="1" customWidth="1"/>
  </cols>
  <sheetData>
    <row r="1" spans="1:15" ht="48" x14ac:dyDescent="0.25">
      <c r="A1" s="636" t="s">
        <v>120</v>
      </c>
      <c r="B1" s="636" t="s">
        <v>498</v>
      </c>
      <c r="C1" s="636" t="s">
        <v>499</v>
      </c>
      <c r="D1" s="636" t="s">
        <v>500</v>
      </c>
      <c r="E1" s="641" t="s">
        <v>673</v>
      </c>
      <c r="F1" s="636" t="s">
        <v>499</v>
      </c>
      <c r="G1" s="636" t="s">
        <v>500</v>
      </c>
      <c r="J1" s="636" t="s">
        <v>501</v>
      </c>
      <c r="K1" s="636" t="s">
        <v>502</v>
      </c>
    </row>
    <row r="2" spans="1:15" x14ac:dyDescent="0.25">
      <c r="A2" s="637" t="s">
        <v>107</v>
      </c>
      <c r="B2" s="637" t="s">
        <v>503</v>
      </c>
      <c r="C2" s="638">
        <v>1</v>
      </c>
      <c r="D2" s="638">
        <v>0.96634140492137077</v>
      </c>
      <c r="F2" s="642">
        <f t="shared" ref="F2:F33" si="0">+ROUND(C2*100,2)/100</f>
        <v>1</v>
      </c>
      <c r="G2" s="642">
        <f t="shared" ref="G2:G33" si="1">+ROUND(D2*100,2)/100</f>
        <v>0.96629999999999994</v>
      </c>
      <c r="J2" s="18">
        <v>0</v>
      </c>
      <c r="K2" s="18">
        <v>1.6463349593214271E-3</v>
      </c>
    </row>
    <row r="3" spans="1:15" x14ac:dyDescent="0.25">
      <c r="A3" s="17" t="s">
        <v>107</v>
      </c>
      <c r="B3" s="17" t="s">
        <v>504</v>
      </c>
      <c r="C3" s="638">
        <v>1</v>
      </c>
      <c r="D3" s="638">
        <v>0.96634140492137077</v>
      </c>
      <c r="F3" s="642">
        <f t="shared" si="0"/>
        <v>1</v>
      </c>
      <c r="G3" s="642">
        <f t="shared" si="1"/>
        <v>0.96629999999999994</v>
      </c>
      <c r="J3" s="18">
        <v>0</v>
      </c>
      <c r="K3" s="18">
        <v>1.6463349593214271E-3</v>
      </c>
    </row>
    <row r="4" spans="1:15" x14ac:dyDescent="0.25">
      <c r="A4" s="17" t="s">
        <v>107</v>
      </c>
      <c r="B4" s="17" t="s">
        <v>505</v>
      </c>
      <c r="C4" s="638">
        <v>1</v>
      </c>
      <c r="D4" s="638">
        <v>0.96634140492137077</v>
      </c>
      <c r="F4" s="642">
        <f t="shared" si="0"/>
        <v>1</v>
      </c>
      <c r="G4" s="642">
        <f t="shared" si="1"/>
        <v>0.96629999999999994</v>
      </c>
      <c r="J4" s="18">
        <v>0</v>
      </c>
      <c r="K4" s="18">
        <v>1.6463349593214271E-3</v>
      </c>
      <c r="M4" t="s">
        <v>107</v>
      </c>
      <c r="N4" s="642">
        <f>+AVERAGEIF($A:$A,$M4,$C:$C)</f>
        <v>1</v>
      </c>
      <c r="O4" s="642">
        <f>+AVERAGEIF($A:$A,$M4,$D:$D)</f>
        <v>0.96634140492137088</v>
      </c>
    </row>
    <row r="5" spans="1:15" x14ac:dyDescent="0.25">
      <c r="A5" s="17" t="s">
        <v>107</v>
      </c>
      <c r="B5" s="17" t="s">
        <v>506</v>
      </c>
      <c r="C5" s="638">
        <v>1</v>
      </c>
      <c r="D5" s="638">
        <v>0.96634140492137077</v>
      </c>
      <c r="F5" s="642">
        <f t="shared" si="0"/>
        <v>1</v>
      </c>
      <c r="G5" s="642">
        <f t="shared" si="1"/>
        <v>0.96629999999999994</v>
      </c>
      <c r="J5" s="18">
        <v>0</v>
      </c>
      <c r="K5" s="18">
        <v>1.6463349593214271E-3</v>
      </c>
      <c r="M5" t="s">
        <v>115</v>
      </c>
      <c r="N5" s="642">
        <f t="shared" ref="N5:N20" si="2">+AVERAGEIF($A:$A,$M5,$C:$C)</f>
        <v>1</v>
      </c>
      <c r="O5" s="642">
        <f t="shared" ref="O5:O20" si="3">+AVERAGEIF($A:$A,$M5,$D:$D)</f>
        <v>0.75745813320778155</v>
      </c>
    </row>
    <row r="6" spans="1:15" x14ac:dyDescent="0.25">
      <c r="A6" s="17" t="s">
        <v>107</v>
      </c>
      <c r="B6" s="17" t="s">
        <v>507</v>
      </c>
      <c r="C6" s="638">
        <v>1</v>
      </c>
      <c r="D6" s="638">
        <v>0.96634140492137077</v>
      </c>
      <c r="F6" s="642">
        <f t="shared" si="0"/>
        <v>1</v>
      </c>
      <c r="G6" s="642">
        <f t="shared" si="1"/>
        <v>0.96629999999999994</v>
      </c>
      <c r="J6" s="18">
        <v>0</v>
      </c>
      <c r="K6" s="18">
        <v>1.6463349593214271E-3</v>
      </c>
      <c r="M6" t="s">
        <v>516</v>
      </c>
      <c r="N6" s="642">
        <f t="shared" si="2"/>
        <v>1</v>
      </c>
      <c r="O6" s="642">
        <f t="shared" si="3"/>
        <v>1</v>
      </c>
    </row>
    <row r="7" spans="1:15" x14ac:dyDescent="0.25">
      <c r="A7" s="17" t="s">
        <v>107</v>
      </c>
      <c r="B7" s="17" t="s">
        <v>508</v>
      </c>
      <c r="C7" s="638">
        <v>1</v>
      </c>
      <c r="D7" s="638">
        <v>0.96634140492137077</v>
      </c>
      <c r="F7" s="642">
        <f t="shared" si="0"/>
        <v>1</v>
      </c>
      <c r="G7" s="642">
        <f t="shared" si="1"/>
        <v>0.96629999999999994</v>
      </c>
      <c r="J7" s="18">
        <v>0</v>
      </c>
      <c r="K7" s="18">
        <v>1.6463349593214271E-3</v>
      </c>
      <c r="M7" t="s">
        <v>517</v>
      </c>
      <c r="N7" s="642">
        <f t="shared" si="2"/>
        <v>1</v>
      </c>
      <c r="O7" s="642">
        <f t="shared" si="3"/>
        <v>0.96945813266887626</v>
      </c>
    </row>
    <row r="8" spans="1:15" x14ac:dyDescent="0.25">
      <c r="A8" s="17" t="s">
        <v>107</v>
      </c>
      <c r="B8" s="17" t="s">
        <v>509</v>
      </c>
      <c r="C8" s="638">
        <v>1</v>
      </c>
      <c r="D8" s="638">
        <v>0.96634140492137077</v>
      </c>
      <c r="F8" s="642">
        <f t="shared" si="0"/>
        <v>1</v>
      </c>
      <c r="G8" s="642">
        <f t="shared" si="1"/>
        <v>0.96629999999999994</v>
      </c>
      <c r="J8" s="18">
        <v>0</v>
      </c>
      <c r="K8" s="18">
        <v>1.6463349593214271E-3</v>
      </c>
      <c r="M8" t="s">
        <v>108</v>
      </c>
      <c r="N8" s="642">
        <f t="shared" si="2"/>
        <v>1</v>
      </c>
      <c r="O8" s="642">
        <f t="shared" si="3"/>
        <v>0.9752440091974699</v>
      </c>
    </row>
    <row r="9" spans="1:15" x14ac:dyDescent="0.25">
      <c r="A9" s="17" t="s">
        <v>115</v>
      </c>
      <c r="B9" s="17" t="s">
        <v>115</v>
      </c>
      <c r="C9" s="638">
        <v>1</v>
      </c>
      <c r="D9" s="638">
        <v>0.75745813320778166</v>
      </c>
      <c r="F9" s="642">
        <f t="shared" si="0"/>
        <v>1</v>
      </c>
      <c r="G9" s="642">
        <f t="shared" si="1"/>
        <v>0.75749999999999995</v>
      </c>
      <c r="J9" s="18">
        <v>0</v>
      </c>
      <c r="K9" s="18">
        <v>5.7567681732354492E-3</v>
      </c>
      <c r="M9" t="s">
        <v>113</v>
      </c>
      <c r="N9" s="642">
        <f t="shared" si="2"/>
        <v>1</v>
      </c>
      <c r="O9" s="642">
        <f t="shared" si="3"/>
        <v>0.73450028258052058</v>
      </c>
    </row>
    <row r="10" spans="1:15" x14ac:dyDescent="0.25">
      <c r="A10" s="17" t="s">
        <v>115</v>
      </c>
      <c r="B10" s="17" t="s">
        <v>510</v>
      </c>
      <c r="C10" s="638">
        <v>1</v>
      </c>
      <c r="D10" s="638">
        <v>0.75745813320778166</v>
      </c>
      <c r="F10" s="642">
        <f t="shared" si="0"/>
        <v>1</v>
      </c>
      <c r="G10" s="642">
        <f t="shared" si="1"/>
        <v>0.75749999999999995</v>
      </c>
      <c r="J10" s="18">
        <v>0</v>
      </c>
      <c r="K10" s="18">
        <v>5.7567681732354492E-3</v>
      </c>
      <c r="M10" t="s">
        <v>414</v>
      </c>
      <c r="N10" s="642">
        <f t="shared" si="2"/>
        <v>1</v>
      </c>
      <c r="O10" s="642">
        <f t="shared" si="3"/>
        <v>0.97524400919747001</v>
      </c>
    </row>
    <row r="11" spans="1:15" x14ac:dyDescent="0.25">
      <c r="A11" s="17" t="s">
        <v>115</v>
      </c>
      <c r="B11" s="17" t="s">
        <v>511</v>
      </c>
      <c r="C11" s="638">
        <v>1</v>
      </c>
      <c r="D11" s="638">
        <v>0.75745813320778166</v>
      </c>
      <c r="F11" s="642">
        <f t="shared" si="0"/>
        <v>1</v>
      </c>
      <c r="G11" s="642">
        <f t="shared" si="1"/>
        <v>0.75749999999999995</v>
      </c>
      <c r="J11" s="18">
        <v>0</v>
      </c>
      <c r="K11" s="18">
        <v>5.7567681732354492E-3</v>
      </c>
      <c r="M11" t="s">
        <v>121</v>
      </c>
      <c r="N11" s="642">
        <f t="shared" si="2"/>
        <v>1</v>
      </c>
      <c r="O11" s="642">
        <f t="shared" si="3"/>
        <v>0.95707695023701267</v>
      </c>
    </row>
    <row r="12" spans="1:15" x14ac:dyDescent="0.25">
      <c r="A12" s="17" t="s">
        <v>115</v>
      </c>
      <c r="B12" s="17" t="s">
        <v>512</v>
      </c>
      <c r="C12" s="638">
        <v>1</v>
      </c>
      <c r="D12" s="638">
        <v>0.75745813320778166</v>
      </c>
      <c r="F12" s="642">
        <f t="shared" si="0"/>
        <v>1</v>
      </c>
      <c r="G12" s="642">
        <f t="shared" si="1"/>
        <v>0.75749999999999995</v>
      </c>
      <c r="J12" s="18">
        <v>0</v>
      </c>
      <c r="K12" s="18">
        <v>5.7567681732354492E-3</v>
      </c>
      <c r="M12" t="s">
        <v>116</v>
      </c>
      <c r="N12" s="642">
        <f t="shared" si="2"/>
        <v>1</v>
      </c>
      <c r="O12" s="642">
        <f t="shared" si="3"/>
        <v>0.80752740800147949</v>
      </c>
    </row>
    <row r="13" spans="1:15" x14ac:dyDescent="0.25">
      <c r="A13" s="17" t="s">
        <v>115</v>
      </c>
      <c r="B13" s="17" t="s">
        <v>513</v>
      </c>
      <c r="C13" s="638">
        <v>1</v>
      </c>
      <c r="D13" s="638">
        <v>0.75745813320778166</v>
      </c>
      <c r="F13" s="642">
        <f t="shared" si="0"/>
        <v>1</v>
      </c>
      <c r="G13" s="642">
        <f t="shared" si="1"/>
        <v>0.75749999999999995</v>
      </c>
      <c r="J13" s="18">
        <v>0</v>
      </c>
      <c r="K13" s="18">
        <v>5.7567681732354492E-3</v>
      </c>
      <c r="M13" t="s">
        <v>111</v>
      </c>
      <c r="N13" s="642">
        <f t="shared" si="2"/>
        <v>0.95477128438283809</v>
      </c>
      <c r="O13" s="642">
        <f t="shared" si="3"/>
        <v>0.77637970659167344</v>
      </c>
    </row>
    <row r="14" spans="1:15" x14ac:dyDescent="0.25">
      <c r="A14" s="17" t="s">
        <v>115</v>
      </c>
      <c r="B14" s="17" t="s">
        <v>514</v>
      </c>
      <c r="C14" s="638">
        <v>1</v>
      </c>
      <c r="D14" s="638">
        <v>0.75745813320778166</v>
      </c>
      <c r="F14" s="642">
        <f t="shared" si="0"/>
        <v>1</v>
      </c>
      <c r="G14" s="642">
        <f t="shared" si="1"/>
        <v>0.75749999999999995</v>
      </c>
      <c r="J14" s="18">
        <v>0</v>
      </c>
      <c r="K14" s="18">
        <v>5.7567681732354492E-3</v>
      </c>
      <c r="M14" t="s">
        <v>494</v>
      </c>
      <c r="N14" s="642">
        <f t="shared" si="2"/>
        <v>0.95477128438283787</v>
      </c>
      <c r="O14" s="642">
        <f t="shared" si="3"/>
        <v>0.77637970659167355</v>
      </c>
    </row>
    <row r="15" spans="1:15" x14ac:dyDescent="0.25">
      <c r="A15" s="17" t="s">
        <v>115</v>
      </c>
      <c r="B15" s="17" t="s">
        <v>515</v>
      </c>
      <c r="C15" s="638">
        <v>1</v>
      </c>
      <c r="D15" s="638">
        <v>0.75745813320778166</v>
      </c>
      <c r="F15" s="642">
        <f t="shared" si="0"/>
        <v>1</v>
      </c>
      <c r="G15" s="642">
        <f t="shared" si="1"/>
        <v>0.75749999999999995</v>
      </c>
      <c r="J15" s="18">
        <v>0</v>
      </c>
      <c r="K15" s="18">
        <v>5.7567681732354492E-3</v>
      </c>
      <c r="M15" t="s">
        <v>110</v>
      </c>
      <c r="N15" s="642">
        <f t="shared" si="2"/>
        <v>0.96653083109391291</v>
      </c>
      <c r="O15" s="642">
        <f t="shared" si="3"/>
        <v>0.9570330883737338</v>
      </c>
    </row>
    <row r="16" spans="1:15" ht="60" x14ac:dyDescent="0.25">
      <c r="A16" s="639" t="s">
        <v>516</v>
      </c>
      <c r="B16" s="639" t="s">
        <v>489</v>
      </c>
      <c r="C16" s="638">
        <v>1</v>
      </c>
      <c r="D16" s="638">
        <v>1</v>
      </c>
      <c r="E16" s="640"/>
      <c r="F16" s="642">
        <f t="shared" si="0"/>
        <v>1</v>
      </c>
      <c r="G16" s="642">
        <f t="shared" si="1"/>
        <v>1</v>
      </c>
      <c r="H16" s="640"/>
      <c r="I16" s="640"/>
      <c r="J16" s="18">
        <v>0</v>
      </c>
      <c r="K16" s="18">
        <v>0</v>
      </c>
      <c r="M16" t="s">
        <v>109</v>
      </c>
      <c r="N16" s="642">
        <f t="shared" si="2"/>
        <v>0.99873484093274378</v>
      </c>
      <c r="O16" s="642">
        <f t="shared" si="3"/>
        <v>0.71681882790111229</v>
      </c>
    </row>
    <row r="17" spans="1:15" ht="60" x14ac:dyDescent="0.25">
      <c r="A17" s="639" t="s">
        <v>516</v>
      </c>
      <c r="B17" s="639" t="s">
        <v>488</v>
      </c>
      <c r="C17" s="638">
        <v>1</v>
      </c>
      <c r="D17" s="638">
        <v>1</v>
      </c>
      <c r="E17" s="640"/>
      <c r="F17" s="642">
        <f t="shared" si="0"/>
        <v>1</v>
      </c>
      <c r="G17" s="642">
        <f t="shared" si="1"/>
        <v>1</v>
      </c>
      <c r="H17" s="640"/>
      <c r="I17" s="640"/>
      <c r="J17" s="18">
        <v>0</v>
      </c>
      <c r="K17" s="18">
        <v>0</v>
      </c>
      <c r="M17" t="s">
        <v>294</v>
      </c>
      <c r="N17" s="642">
        <f t="shared" si="2"/>
        <v>1</v>
      </c>
      <c r="O17" s="642">
        <f t="shared" si="3"/>
        <v>0.96510202634628872</v>
      </c>
    </row>
    <row r="18" spans="1:15" x14ac:dyDescent="0.25">
      <c r="A18" s="17" t="s">
        <v>517</v>
      </c>
      <c r="B18" s="17" t="s">
        <v>518</v>
      </c>
      <c r="C18" s="638">
        <v>1</v>
      </c>
      <c r="D18" s="638">
        <v>0.96945813266887626</v>
      </c>
      <c r="F18" s="642">
        <f t="shared" si="0"/>
        <v>1</v>
      </c>
      <c r="G18" s="642">
        <f t="shared" si="1"/>
        <v>0.96950000000000003</v>
      </c>
      <c r="J18" s="18">
        <v>0</v>
      </c>
      <c r="K18" s="18">
        <v>1.5850035700384346E-3</v>
      </c>
      <c r="M18" t="s">
        <v>665</v>
      </c>
      <c r="N18" s="642">
        <f t="shared" si="2"/>
        <v>1</v>
      </c>
      <c r="O18" s="642">
        <f t="shared" si="3"/>
        <v>0.79083651065225435</v>
      </c>
    </row>
    <row r="19" spans="1:15" x14ac:dyDescent="0.25">
      <c r="A19" s="17" t="s">
        <v>108</v>
      </c>
      <c r="B19" s="17" t="s">
        <v>519</v>
      </c>
      <c r="C19" s="638">
        <v>1</v>
      </c>
      <c r="D19" s="638">
        <v>0.97524400919747001</v>
      </c>
      <c r="F19" s="642">
        <f t="shared" si="0"/>
        <v>1</v>
      </c>
      <c r="G19" s="642">
        <f t="shared" si="1"/>
        <v>0.97519999999999996</v>
      </c>
      <c r="J19" s="18">
        <v>0</v>
      </c>
      <c r="K19" s="18">
        <v>1.4711483107848755E-3</v>
      </c>
      <c r="M19" t="s">
        <v>443</v>
      </c>
      <c r="N19" s="642">
        <f t="shared" si="2"/>
        <v>1</v>
      </c>
      <c r="O19" s="642">
        <f t="shared" si="3"/>
        <v>0.77509196037151307</v>
      </c>
    </row>
    <row r="20" spans="1:15" x14ac:dyDescent="0.25">
      <c r="A20" s="17" t="s">
        <v>108</v>
      </c>
      <c r="B20" s="17" t="s">
        <v>520</v>
      </c>
      <c r="C20" s="638">
        <v>1</v>
      </c>
      <c r="D20" s="638">
        <v>0.97524400919747001</v>
      </c>
      <c r="F20" s="642">
        <f t="shared" si="0"/>
        <v>1</v>
      </c>
      <c r="G20" s="642">
        <f t="shared" si="1"/>
        <v>0.97519999999999996</v>
      </c>
      <c r="J20" s="18">
        <v>0</v>
      </c>
      <c r="K20" s="18">
        <v>1.4711483107848755E-3</v>
      </c>
      <c r="M20" t="s">
        <v>114</v>
      </c>
      <c r="N20" s="642">
        <f t="shared" si="2"/>
        <v>1</v>
      </c>
      <c r="O20" s="642">
        <f t="shared" si="3"/>
        <v>0.7433515658795542</v>
      </c>
    </row>
    <row r="21" spans="1:15" x14ac:dyDescent="0.25">
      <c r="A21" s="17" t="s">
        <v>108</v>
      </c>
      <c r="B21" s="17" t="s">
        <v>521</v>
      </c>
      <c r="C21" s="638">
        <v>1</v>
      </c>
      <c r="D21" s="638">
        <v>0.97524400919747001</v>
      </c>
      <c r="F21" s="642">
        <f t="shared" si="0"/>
        <v>1</v>
      </c>
      <c r="G21" s="642">
        <f t="shared" si="1"/>
        <v>0.97519999999999996</v>
      </c>
      <c r="J21" s="18">
        <v>0</v>
      </c>
      <c r="K21" s="18">
        <v>1.4711483107848755E-3</v>
      </c>
    </row>
    <row r="22" spans="1:15" x14ac:dyDescent="0.25">
      <c r="A22" s="17" t="s">
        <v>108</v>
      </c>
      <c r="B22" s="17" t="s">
        <v>522</v>
      </c>
      <c r="C22" s="638">
        <v>1</v>
      </c>
      <c r="D22" s="638">
        <v>0.97524400919747001</v>
      </c>
      <c r="F22" s="642">
        <f t="shared" si="0"/>
        <v>1</v>
      </c>
      <c r="G22" s="642">
        <f t="shared" si="1"/>
        <v>0.97519999999999996</v>
      </c>
      <c r="J22" s="18">
        <v>0</v>
      </c>
      <c r="K22" s="18">
        <v>1.4711483107848755E-3</v>
      </c>
    </row>
    <row r="23" spans="1:15" x14ac:dyDescent="0.25">
      <c r="A23" s="17" t="s">
        <v>108</v>
      </c>
      <c r="B23" s="17" t="s">
        <v>523</v>
      </c>
      <c r="C23" s="638">
        <v>1</v>
      </c>
      <c r="D23" s="638">
        <v>0.97524400919747001</v>
      </c>
      <c r="F23" s="642">
        <f t="shared" si="0"/>
        <v>1</v>
      </c>
      <c r="G23" s="642">
        <f t="shared" si="1"/>
        <v>0.97519999999999996</v>
      </c>
      <c r="J23" s="18">
        <v>0</v>
      </c>
      <c r="K23" s="18">
        <v>1.4711483107848755E-3</v>
      </c>
    </row>
    <row r="24" spans="1:15" x14ac:dyDescent="0.25">
      <c r="A24" s="17" t="s">
        <v>108</v>
      </c>
      <c r="B24" s="17" t="s">
        <v>524</v>
      </c>
      <c r="C24" s="638">
        <v>1</v>
      </c>
      <c r="D24" s="638">
        <v>0.97524400919747001</v>
      </c>
      <c r="F24" s="642">
        <f t="shared" si="0"/>
        <v>1</v>
      </c>
      <c r="G24" s="642">
        <f t="shared" si="1"/>
        <v>0.97519999999999996</v>
      </c>
      <c r="J24" s="18">
        <v>0</v>
      </c>
      <c r="K24" s="18">
        <v>1.4711483107848755E-3</v>
      </c>
    </row>
    <row r="25" spans="1:15" x14ac:dyDescent="0.25">
      <c r="A25" s="17" t="s">
        <v>108</v>
      </c>
      <c r="B25" s="17" t="s">
        <v>525</v>
      </c>
      <c r="C25" s="638">
        <v>1</v>
      </c>
      <c r="D25" s="638">
        <v>0.97524400919747001</v>
      </c>
      <c r="F25" s="642">
        <f t="shared" si="0"/>
        <v>1</v>
      </c>
      <c r="G25" s="642">
        <f t="shared" si="1"/>
        <v>0.97519999999999996</v>
      </c>
      <c r="J25" s="18">
        <v>0</v>
      </c>
      <c r="K25" s="18">
        <v>1.4711483107848755E-3</v>
      </c>
    </row>
    <row r="26" spans="1:15" x14ac:dyDescent="0.25">
      <c r="A26" s="17" t="s">
        <v>108</v>
      </c>
      <c r="B26" s="17" t="s">
        <v>526</v>
      </c>
      <c r="C26" s="638">
        <v>1</v>
      </c>
      <c r="D26" s="638">
        <v>0.97524400919747001</v>
      </c>
      <c r="F26" s="642">
        <f t="shared" si="0"/>
        <v>1</v>
      </c>
      <c r="G26" s="642">
        <f t="shared" si="1"/>
        <v>0.97519999999999996</v>
      </c>
      <c r="J26" s="18">
        <v>0</v>
      </c>
      <c r="K26" s="18">
        <v>1.4711483107848755E-3</v>
      </c>
    </row>
    <row r="27" spans="1:15" x14ac:dyDescent="0.25">
      <c r="A27" s="17" t="s">
        <v>108</v>
      </c>
      <c r="B27" s="17" t="s">
        <v>527</v>
      </c>
      <c r="C27" s="638">
        <v>1</v>
      </c>
      <c r="D27" s="638">
        <v>0.97524400919747001</v>
      </c>
      <c r="F27" s="642">
        <f t="shared" si="0"/>
        <v>1</v>
      </c>
      <c r="G27" s="642">
        <f t="shared" si="1"/>
        <v>0.97519999999999996</v>
      </c>
      <c r="J27" s="18">
        <v>0</v>
      </c>
      <c r="K27" s="18">
        <v>1.4711483107848755E-3</v>
      </c>
    </row>
    <row r="28" spans="1:15" x14ac:dyDescent="0.25">
      <c r="A28" s="17" t="s">
        <v>108</v>
      </c>
      <c r="B28" s="17" t="s">
        <v>528</v>
      </c>
      <c r="C28" s="638">
        <v>1</v>
      </c>
      <c r="D28" s="638">
        <v>0.97524400919747001</v>
      </c>
      <c r="F28" s="642">
        <f t="shared" si="0"/>
        <v>1</v>
      </c>
      <c r="G28" s="642">
        <f t="shared" si="1"/>
        <v>0.97519999999999996</v>
      </c>
      <c r="J28" s="18">
        <v>0</v>
      </c>
      <c r="K28" s="18">
        <v>1.4711483107848755E-3</v>
      </c>
    </row>
    <row r="29" spans="1:15" x14ac:dyDescent="0.25">
      <c r="A29" s="17" t="s">
        <v>108</v>
      </c>
      <c r="B29" s="17" t="s">
        <v>529</v>
      </c>
      <c r="C29" s="638">
        <v>1</v>
      </c>
      <c r="D29" s="638">
        <v>0.97524400919747001</v>
      </c>
      <c r="F29" s="642">
        <f t="shared" si="0"/>
        <v>1</v>
      </c>
      <c r="G29" s="642">
        <f t="shared" si="1"/>
        <v>0.97519999999999996</v>
      </c>
      <c r="J29" s="18">
        <v>0</v>
      </c>
      <c r="K29" s="18">
        <v>1.4711483107848755E-3</v>
      </c>
    </row>
    <row r="30" spans="1:15" x14ac:dyDescent="0.25">
      <c r="A30" s="17" t="s">
        <v>108</v>
      </c>
      <c r="B30" s="17" t="s">
        <v>530</v>
      </c>
      <c r="C30" s="638">
        <v>1</v>
      </c>
      <c r="D30" s="638">
        <v>0.97524400919747001</v>
      </c>
      <c r="F30" s="642">
        <f t="shared" si="0"/>
        <v>1</v>
      </c>
      <c r="G30" s="642">
        <f t="shared" si="1"/>
        <v>0.97519999999999996</v>
      </c>
      <c r="J30" s="18">
        <v>0</v>
      </c>
      <c r="K30" s="18">
        <v>1.4711483107848755E-3</v>
      </c>
    </row>
    <row r="31" spans="1:15" x14ac:dyDescent="0.25">
      <c r="A31" s="17" t="s">
        <v>108</v>
      </c>
      <c r="B31" s="17" t="s">
        <v>531</v>
      </c>
      <c r="C31" s="638">
        <v>1</v>
      </c>
      <c r="D31" s="638">
        <v>0.97524400919747001</v>
      </c>
      <c r="F31" s="642">
        <f t="shared" si="0"/>
        <v>1</v>
      </c>
      <c r="G31" s="642">
        <f t="shared" si="1"/>
        <v>0.97519999999999996</v>
      </c>
      <c r="J31" s="18">
        <v>0</v>
      </c>
      <c r="K31" s="18">
        <v>1.4711483107848755E-3</v>
      </c>
    </row>
    <row r="32" spans="1:15" x14ac:dyDescent="0.25">
      <c r="A32" s="17" t="s">
        <v>108</v>
      </c>
      <c r="B32" s="17" t="s">
        <v>532</v>
      </c>
      <c r="C32" s="638">
        <v>1</v>
      </c>
      <c r="D32" s="638">
        <v>0.97524400919747001</v>
      </c>
      <c r="F32" s="642">
        <f t="shared" si="0"/>
        <v>1</v>
      </c>
      <c r="G32" s="642">
        <f t="shared" si="1"/>
        <v>0.97519999999999996</v>
      </c>
      <c r="J32" s="18">
        <v>0</v>
      </c>
      <c r="K32" s="18">
        <v>1.4711483107848755E-3</v>
      </c>
    </row>
    <row r="33" spans="1:11" x14ac:dyDescent="0.25">
      <c r="A33" s="17" t="s">
        <v>108</v>
      </c>
      <c r="B33" s="17" t="s">
        <v>533</v>
      </c>
      <c r="C33" s="638">
        <v>1</v>
      </c>
      <c r="D33" s="638">
        <v>0.97524400919747001</v>
      </c>
      <c r="F33" s="642">
        <f t="shared" si="0"/>
        <v>1</v>
      </c>
      <c r="G33" s="642">
        <f t="shared" si="1"/>
        <v>0.97519999999999996</v>
      </c>
      <c r="J33" s="18">
        <v>0</v>
      </c>
      <c r="K33" s="18">
        <v>1.4711483107848755E-3</v>
      </c>
    </row>
    <row r="34" spans="1:11" x14ac:dyDescent="0.25">
      <c r="A34" s="17" t="s">
        <v>113</v>
      </c>
      <c r="B34" s="17" t="s">
        <v>534</v>
      </c>
      <c r="C34" s="638">
        <v>1</v>
      </c>
      <c r="D34" s="638">
        <v>0.73450028258052058</v>
      </c>
      <c r="F34" s="642">
        <f t="shared" ref="F34:F65" si="4">+ROUND(C34*100,2)/100</f>
        <v>1</v>
      </c>
      <c r="G34" s="642">
        <f t="shared" ref="G34:G65" si="5">+ROUND(D34*100,2)/100</f>
        <v>0.73450000000000004</v>
      </c>
      <c r="J34" s="18">
        <v>0</v>
      </c>
      <c r="K34" s="18">
        <v>6.208545109677055E-3</v>
      </c>
    </row>
    <row r="35" spans="1:11" x14ac:dyDescent="0.25">
      <c r="A35" s="17" t="s">
        <v>108</v>
      </c>
      <c r="B35" s="17" t="s">
        <v>535</v>
      </c>
      <c r="C35" s="638">
        <v>1</v>
      </c>
      <c r="D35" s="638">
        <v>0.97524400919747001</v>
      </c>
      <c r="F35" s="642">
        <f t="shared" si="4"/>
        <v>1</v>
      </c>
      <c r="G35" s="642">
        <f t="shared" si="5"/>
        <v>0.97519999999999996</v>
      </c>
      <c r="J35" s="18">
        <v>0</v>
      </c>
      <c r="K35" s="18">
        <v>1.4711483107848755E-3</v>
      </c>
    </row>
    <row r="36" spans="1:11" x14ac:dyDescent="0.25">
      <c r="A36" s="17" t="s">
        <v>108</v>
      </c>
      <c r="B36" s="17" t="s">
        <v>536</v>
      </c>
      <c r="C36" s="638">
        <v>1</v>
      </c>
      <c r="D36" s="638">
        <v>0.97524400919747001</v>
      </c>
      <c r="F36" s="642">
        <f t="shared" si="4"/>
        <v>1</v>
      </c>
      <c r="G36" s="642">
        <f t="shared" si="5"/>
        <v>0.97519999999999996</v>
      </c>
      <c r="J36" s="18">
        <v>0</v>
      </c>
      <c r="K36" s="18">
        <v>1.4711483107848755E-3</v>
      </c>
    </row>
    <row r="37" spans="1:11" x14ac:dyDescent="0.25">
      <c r="A37" s="17" t="s">
        <v>108</v>
      </c>
      <c r="B37" s="17" t="s">
        <v>537</v>
      </c>
      <c r="C37" s="638">
        <v>1</v>
      </c>
      <c r="D37" s="638">
        <v>0.97524400919747001</v>
      </c>
      <c r="F37" s="642">
        <f t="shared" si="4"/>
        <v>1</v>
      </c>
      <c r="G37" s="642">
        <f t="shared" si="5"/>
        <v>0.97519999999999996</v>
      </c>
      <c r="J37" s="18">
        <v>0</v>
      </c>
      <c r="K37" s="18">
        <v>1.4711483107848755E-3</v>
      </c>
    </row>
    <row r="38" spans="1:11" x14ac:dyDescent="0.25">
      <c r="A38" s="17" t="s">
        <v>414</v>
      </c>
      <c r="B38" s="17" t="s">
        <v>538</v>
      </c>
      <c r="C38" s="638">
        <v>1</v>
      </c>
      <c r="D38" s="638">
        <v>0.97524400919747001</v>
      </c>
      <c r="F38" s="642">
        <f t="shared" si="4"/>
        <v>1</v>
      </c>
      <c r="G38" s="642">
        <f t="shared" si="5"/>
        <v>0.97519999999999996</v>
      </c>
      <c r="J38" s="18">
        <v>0</v>
      </c>
      <c r="K38" s="18">
        <v>1.4711483107848755E-3</v>
      </c>
    </row>
    <row r="39" spans="1:11" x14ac:dyDescent="0.25">
      <c r="A39" s="17" t="s">
        <v>121</v>
      </c>
      <c r="B39" s="17" t="s">
        <v>539</v>
      </c>
      <c r="C39" s="638">
        <v>1</v>
      </c>
      <c r="D39" s="638">
        <v>0.95707695023701267</v>
      </c>
      <c r="F39" s="642">
        <f t="shared" si="4"/>
        <v>1</v>
      </c>
      <c r="G39" s="642">
        <f t="shared" si="5"/>
        <v>0.95709999999999995</v>
      </c>
      <c r="J39" s="18">
        <v>0</v>
      </c>
      <c r="K39" s="18">
        <v>1.8286421490305571E-3</v>
      </c>
    </row>
    <row r="40" spans="1:11" x14ac:dyDescent="0.25">
      <c r="A40" s="17" t="s">
        <v>121</v>
      </c>
      <c r="B40" s="17" t="s">
        <v>540</v>
      </c>
      <c r="C40" s="638">
        <v>1</v>
      </c>
      <c r="D40" s="638">
        <v>0.95707695023701267</v>
      </c>
      <c r="F40" s="642">
        <f t="shared" si="4"/>
        <v>1</v>
      </c>
      <c r="G40" s="642">
        <f t="shared" si="5"/>
        <v>0.95709999999999995</v>
      </c>
      <c r="J40" s="18">
        <v>0</v>
      </c>
      <c r="K40" s="18">
        <v>1.8286421490305571E-3</v>
      </c>
    </row>
    <row r="41" spans="1:11" x14ac:dyDescent="0.25">
      <c r="A41" s="17" t="s">
        <v>121</v>
      </c>
      <c r="B41" s="17" t="s">
        <v>541</v>
      </c>
      <c r="C41" s="638">
        <v>1</v>
      </c>
      <c r="D41" s="638">
        <v>0.95707695023701267</v>
      </c>
      <c r="F41" s="642">
        <f t="shared" si="4"/>
        <v>1</v>
      </c>
      <c r="G41" s="642">
        <f t="shared" si="5"/>
        <v>0.95709999999999995</v>
      </c>
      <c r="J41" s="18">
        <v>0</v>
      </c>
      <c r="K41" s="18">
        <v>1.8286421490305571E-3</v>
      </c>
    </row>
    <row r="42" spans="1:11" x14ac:dyDescent="0.25">
      <c r="A42" s="17" t="s">
        <v>121</v>
      </c>
      <c r="B42" s="17" t="s">
        <v>542</v>
      </c>
      <c r="C42" s="638">
        <v>1</v>
      </c>
      <c r="D42" s="638">
        <v>0.95707695023701267</v>
      </c>
      <c r="F42" s="642">
        <f t="shared" si="4"/>
        <v>1</v>
      </c>
      <c r="G42" s="642">
        <f t="shared" si="5"/>
        <v>0.95709999999999995</v>
      </c>
      <c r="J42" s="18">
        <v>0</v>
      </c>
      <c r="K42" s="18">
        <v>1.8286421490305571E-3</v>
      </c>
    </row>
    <row r="43" spans="1:11" x14ac:dyDescent="0.25">
      <c r="A43" s="17" t="s">
        <v>116</v>
      </c>
      <c r="B43" s="17" t="s">
        <v>543</v>
      </c>
      <c r="C43" s="638">
        <v>1</v>
      </c>
      <c r="D43" s="638">
        <v>0.80752740800147949</v>
      </c>
      <c r="F43" s="642">
        <f t="shared" si="4"/>
        <v>1</v>
      </c>
      <c r="G43" s="642">
        <f t="shared" si="5"/>
        <v>0.8075</v>
      </c>
      <c r="J43" s="18">
        <v>0</v>
      </c>
      <c r="K43" s="18">
        <v>4.771498225957016E-3</v>
      </c>
    </row>
    <row r="44" spans="1:11" x14ac:dyDescent="0.25">
      <c r="A44" s="17" t="s">
        <v>116</v>
      </c>
      <c r="B44" s="17" t="s">
        <v>544</v>
      </c>
      <c r="C44" s="638">
        <v>1</v>
      </c>
      <c r="D44" s="638">
        <v>0.80752740800147949</v>
      </c>
      <c r="F44" s="642">
        <f t="shared" si="4"/>
        <v>1</v>
      </c>
      <c r="G44" s="642">
        <f t="shared" si="5"/>
        <v>0.8075</v>
      </c>
      <c r="J44" s="18">
        <v>0</v>
      </c>
      <c r="K44" s="18">
        <v>4.771498225957016E-3</v>
      </c>
    </row>
    <row r="45" spans="1:11" x14ac:dyDescent="0.25">
      <c r="A45" s="17" t="s">
        <v>116</v>
      </c>
      <c r="B45" s="17" t="s">
        <v>545</v>
      </c>
      <c r="C45" s="638">
        <v>1</v>
      </c>
      <c r="D45" s="638">
        <v>0.80752740800147949</v>
      </c>
      <c r="F45" s="642">
        <f t="shared" si="4"/>
        <v>1</v>
      </c>
      <c r="G45" s="642">
        <f t="shared" si="5"/>
        <v>0.8075</v>
      </c>
      <c r="J45" s="18">
        <v>0</v>
      </c>
      <c r="K45" s="18">
        <v>4.771498225957016E-3</v>
      </c>
    </row>
    <row r="46" spans="1:11" x14ac:dyDescent="0.25">
      <c r="A46" s="17" t="s">
        <v>116</v>
      </c>
      <c r="B46" s="17" t="s">
        <v>546</v>
      </c>
      <c r="C46" s="638">
        <v>1</v>
      </c>
      <c r="D46" s="638">
        <v>0.80752740800147949</v>
      </c>
      <c r="F46" s="642">
        <f t="shared" si="4"/>
        <v>1</v>
      </c>
      <c r="G46" s="642">
        <f t="shared" si="5"/>
        <v>0.8075</v>
      </c>
      <c r="J46" s="18">
        <v>0</v>
      </c>
      <c r="K46" s="18">
        <v>4.771498225957016E-3</v>
      </c>
    </row>
    <row r="47" spans="1:11" x14ac:dyDescent="0.25">
      <c r="A47" s="17" t="s">
        <v>116</v>
      </c>
      <c r="B47" s="17" t="s">
        <v>547</v>
      </c>
      <c r="C47" s="638">
        <v>1</v>
      </c>
      <c r="D47" s="638">
        <v>0.80752740800147949</v>
      </c>
      <c r="F47" s="642">
        <f t="shared" si="4"/>
        <v>1</v>
      </c>
      <c r="G47" s="642">
        <f t="shared" si="5"/>
        <v>0.8075</v>
      </c>
      <c r="J47" s="18">
        <v>0</v>
      </c>
      <c r="K47" s="18">
        <v>4.771498225957016E-3</v>
      </c>
    </row>
    <row r="48" spans="1:11" x14ac:dyDescent="0.25">
      <c r="A48" s="17" t="s">
        <v>116</v>
      </c>
      <c r="B48" s="17" t="s">
        <v>548</v>
      </c>
      <c r="C48" s="638">
        <v>1</v>
      </c>
      <c r="D48" s="638">
        <v>0.80752740800147949</v>
      </c>
      <c r="F48" s="642">
        <f t="shared" si="4"/>
        <v>1</v>
      </c>
      <c r="G48" s="642">
        <f t="shared" si="5"/>
        <v>0.8075</v>
      </c>
      <c r="J48" s="18">
        <v>0</v>
      </c>
      <c r="K48" s="18">
        <v>4.771498225957016E-3</v>
      </c>
    </row>
    <row r="49" spans="1:11" x14ac:dyDescent="0.25">
      <c r="A49" s="17" t="s">
        <v>111</v>
      </c>
      <c r="B49" s="17" t="s">
        <v>549</v>
      </c>
      <c r="C49" s="638">
        <v>0.95477128438283787</v>
      </c>
      <c r="D49" s="638">
        <v>0.77637970659167355</v>
      </c>
      <c r="F49" s="642">
        <f t="shared" si="4"/>
        <v>0.95480000000000009</v>
      </c>
      <c r="G49" s="642">
        <f t="shared" si="5"/>
        <v>0.77639999999999998</v>
      </c>
      <c r="J49" s="18">
        <v>9.3795728204670858E-4</v>
      </c>
      <c r="K49" s="18">
        <v>5.3844268983282983E-3</v>
      </c>
    </row>
    <row r="50" spans="1:11" x14ac:dyDescent="0.25">
      <c r="A50" s="17" t="s">
        <v>111</v>
      </c>
      <c r="B50" s="17" t="s">
        <v>550</v>
      </c>
      <c r="C50" s="638">
        <v>0.95477128438283787</v>
      </c>
      <c r="D50" s="638">
        <v>0.77637970659167355</v>
      </c>
      <c r="F50" s="642">
        <f t="shared" si="4"/>
        <v>0.95480000000000009</v>
      </c>
      <c r="G50" s="642">
        <f t="shared" si="5"/>
        <v>0.77639999999999998</v>
      </c>
      <c r="J50" s="18">
        <v>9.3795728204670858E-4</v>
      </c>
      <c r="K50" s="18">
        <v>5.3844268983282983E-3</v>
      </c>
    </row>
    <row r="51" spans="1:11" x14ac:dyDescent="0.25">
      <c r="A51" s="17" t="s">
        <v>111</v>
      </c>
      <c r="B51" s="17" t="s">
        <v>551</v>
      </c>
      <c r="C51" s="638">
        <v>0.95477128438283787</v>
      </c>
      <c r="D51" s="638">
        <v>0.77637970659167355</v>
      </c>
      <c r="F51" s="642">
        <f t="shared" si="4"/>
        <v>0.95480000000000009</v>
      </c>
      <c r="G51" s="642">
        <f t="shared" si="5"/>
        <v>0.77639999999999998</v>
      </c>
      <c r="J51" s="18">
        <v>9.3795728204670858E-4</v>
      </c>
      <c r="K51" s="18">
        <v>5.3844268983282983E-3</v>
      </c>
    </row>
    <row r="52" spans="1:11" x14ac:dyDescent="0.25">
      <c r="A52" s="17" t="s">
        <v>111</v>
      </c>
      <c r="B52" s="17" t="s">
        <v>552</v>
      </c>
      <c r="C52" s="638">
        <v>0.95477128438283787</v>
      </c>
      <c r="D52" s="638">
        <v>0.77637970659167355</v>
      </c>
      <c r="F52" s="642">
        <f t="shared" si="4"/>
        <v>0.95480000000000009</v>
      </c>
      <c r="G52" s="642">
        <f t="shared" si="5"/>
        <v>0.77639999999999998</v>
      </c>
      <c r="J52" s="18">
        <v>9.3795728204670858E-4</v>
      </c>
      <c r="K52" s="18">
        <v>5.3844268983282983E-3</v>
      </c>
    </row>
    <row r="53" spans="1:11" x14ac:dyDescent="0.25">
      <c r="A53" s="17" t="s">
        <v>111</v>
      </c>
      <c r="B53" s="17" t="s">
        <v>553</v>
      </c>
      <c r="C53" s="638">
        <v>0.95477128438283787</v>
      </c>
      <c r="D53" s="638">
        <v>0.77637970659167355</v>
      </c>
      <c r="F53" s="642">
        <f t="shared" si="4"/>
        <v>0.95480000000000009</v>
      </c>
      <c r="G53" s="642">
        <f t="shared" si="5"/>
        <v>0.77639999999999998</v>
      </c>
      <c r="J53" s="18">
        <v>9.3795728204670858E-4</v>
      </c>
      <c r="K53" s="18">
        <v>5.3844268983282983E-3</v>
      </c>
    </row>
    <row r="54" spans="1:11" x14ac:dyDescent="0.25">
      <c r="A54" s="17" t="s">
        <v>111</v>
      </c>
      <c r="B54" s="17" t="s">
        <v>554</v>
      </c>
      <c r="C54" s="638">
        <v>0.95477128438283787</v>
      </c>
      <c r="D54" s="638">
        <v>0.77637970659167355</v>
      </c>
      <c r="F54" s="642">
        <f t="shared" si="4"/>
        <v>0.95480000000000009</v>
      </c>
      <c r="G54" s="642">
        <f t="shared" si="5"/>
        <v>0.77639999999999998</v>
      </c>
      <c r="J54" s="18">
        <v>9.3795728204670858E-4</v>
      </c>
      <c r="K54" s="18">
        <v>5.3844268983282983E-3</v>
      </c>
    </row>
    <row r="55" spans="1:11" x14ac:dyDescent="0.25">
      <c r="A55" s="17" t="s">
        <v>111</v>
      </c>
      <c r="B55" s="17" t="s">
        <v>555</v>
      </c>
      <c r="C55" s="638">
        <v>0.95477128438283787</v>
      </c>
      <c r="D55" s="638">
        <v>0.77637970659167355</v>
      </c>
      <c r="F55" s="642">
        <f t="shared" si="4"/>
        <v>0.95480000000000009</v>
      </c>
      <c r="G55" s="642">
        <f t="shared" si="5"/>
        <v>0.77639999999999998</v>
      </c>
      <c r="J55" s="18">
        <v>9.3795728204670858E-4</v>
      </c>
      <c r="K55" s="18">
        <v>5.3844268983282983E-3</v>
      </c>
    </row>
    <row r="56" spans="1:11" x14ac:dyDescent="0.25">
      <c r="A56" s="17" t="s">
        <v>111</v>
      </c>
      <c r="B56" s="17" t="s">
        <v>556</v>
      </c>
      <c r="C56" s="638">
        <v>0.95477128438283787</v>
      </c>
      <c r="D56" s="638">
        <v>0.77637970659167355</v>
      </c>
      <c r="F56" s="642">
        <f t="shared" si="4"/>
        <v>0.95480000000000009</v>
      </c>
      <c r="G56" s="642">
        <f t="shared" si="5"/>
        <v>0.77639999999999998</v>
      </c>
      <c r="J56" s="18">
        <v>9.3795728204670858E-4</v>
      </c>
      <c r="K56" s="18">
        <v>5.3844268983282983E-3</v>
      </c>
    </row>
    <row r="57" spans="1:11" x14ac:dyDescent="0.25">
      <c r="A57" s="17" t="s">
        <v>111</v>
      </c>
      <c r="B57" s="17" t="s">
        <v>557</v>
      </c>
      <c r="C57" s="638">
        <v>0.95477128438283787</v>
      </c>
      <c r="D57" s="638">
        <v>0.77637970659167355</v>
      </c>
      <c r="F57" s="642">
        <f t="shared" si="4"/>
        <v>0.95480000000000009</v>
      </c>
      <c r="G57" s="642">
        <f t="shared" si="5"/>
        <v>0.77639999999999998</v>
      </c>
      <c r="J57" s="18">
        <v>9.3795728204670858E-4</v>
      </c>
      <c r="K57" s="18">
        <v>5.3844268983282983E-3</v>
      </c>
    </row>
    <row r="58" spans="1:11" x14ac:dyDescent="0.25">
      <c r="A58" s="17" t="s">
        <v>111</v>
      </c>
      <c r="B58" s="17" t="s">
        <v>531</v>
      </c>
      <c r="C58" s="638">
        <v>0.95477128438283787</v>
      </c>
      <c r="D58" s="638">
        <v>0.77637970659167355</v>
      </c>
      <c r="F58" s="642">
        <f t="shared" si="4"/>
        <v>0.95480000000000009</v>
      </c>
      <c r="G58" s="642">
        <f t="shared" si="5"/>
        <v>0.77639999999999998</v>
      </c>
      <c r="J58" s="18">
        <v>9.3795728204670858E-4</v>
      </c>
      <c r="K58" s="18">
        <v>5.3844268983282983E-3</v>
      </c>
    </row>
    <row r="59" spans="1:11" x14ac:dyDescent="0.25">
      <c r="A59" s="17" t="s">
        <v>494</v>
      </c>
      <c r="B59" s="17" t="s">
        <v>558</v>
      </c>
      <c r="C59" s="638">
        <v>0.95477128438283787</v>
      </c>
      <c r="D59" s="638">
        <v>0.77637970659167355</v>
      </c>
      <c r="F59" s="642">
        <f t="shared" si="4"/>
        <v>0.95480000000000009</v>
      </c>
      <c r="G59" s="642">
        <f t="shared" si="5"/>
        <v>0.77639999999999998</v>
      </c>
      <c r="J59" s="18">
        <v>9.3795728204670858E-4</v>
      </c>
      <c r="K59" s="18">
        <v>5.3844268983282983E-3</v>
      </c>
    </row>
    <row r="60" spans="1:11" x14ac:dyDescent="0.25">
      <c r="A60" s="17" t="s">
        <v>111</v>
      </c>
      <c r="B60" s="17" t="s">
        <v>559</v>
      </c>
      <c r="C60" s="638">
        <v>0.95477128438283787</v>
      </c>
      <c r="D60" s="638">
        <v>0.77637970659167355</v>
      </c>
      <c r="F60" s="642">
        <f t="shared" si="4"/>
        <v>0.95480000000000009</v>
      </c>
      <c r="G60" s="642">
        <f t="shared" si="5"/>
        <v>0.77639999999999998</v>
      </c>
      <c r="J60" s="18">
        <v>9.3795728204670858E-4</v>
      </c>
      <c r="K60" s="18">
        <v>5.3844268983282983E-3</v>
      </c>
    </row>
    <row r="61" spans="1:11" x14ac:dyDescent="0.25">
      <c r="A61" s="17" t="s">
        <v>111</v>
      </c>
      <c r="B61" s="17" t="s">
        <v>560</v>
      </c>
      <c r="C61" s="638">
        <v>0.95477128438283787</v>
      </c>
      <c r="D61" s="638">
        <v>0.77637970659167355</v>
      </c>
      <c r="F61" s="642">
        <f t="shared" si="4"/>
        <v>0.95480000000000009</v>
      </c>
      <c r="G61" s="642">
        <f t="shared" si="5"/>
        <v>0.77639999999999998</v>
      </c>
      <c r="J61" s="18">
        <v>9.3795728204670858E-4</v>
      </c>
      <c r="K61" s="18">
        <v>5.3844268983282983E-3</v>
      </c>
    </row>
    <row r="62" spans="1:11" x14ac:dyDescent="0.25">
      <c r="A62" s="17" t="s">
        <v>111</v>
      </c>
      <c r="B62" s="17" t="s">
        <v>561</v>
      </c>
      <c r="C62" s="638">
        <v>0.95477128438283787</v>
      </c>
      <c r="D62" s="638">
        <v>0.77637970659167355</v>
      </c>
      <c r="F62" s="642">
        <f t="shared" si="4"/>
        <v>0.95480000000000009</v>
      </c>
      <c r="G62" s="642">
        <f t="shared" si="5"/>
        <v>0.77639999999999998</v>
      </c>
      <c r="J62" s="18">
        <v>9.3795728204670858E-4</v>
      </c>
      <c r="K62" s="18">
        <v>5.3844268983282983E-3</v>
      </c>
    </row>
    <row r="63" spans="1:11" x14ac:dyDescent="0.25">
      <c r="A63" s="17" t="s">
        <v>111</v>
      </c>
      <c r="B63" s="17" t="s">
        <v>562</v>
      </c>
      <c r="C63" s="638">
        <v>0.95477128438283787</v>
      </c>
      <c r="D63" s="638">
        <v>0.77637970659167355</v>
      </c>
      <c r="F63" s="642">
        <f t="shared" si="4"/>
        <v>0.95480000000000009</v>
      </c>
      <c r="G63" s="642">
        <f t="shared" si="5"/>
        <v>0.77639999999999998</v>
      </c>
      <c r="J63" s="18">
        <v>9.3795728204670858E-4</v>
      </c>
      <c r="K63" s="18">
        <v>5.3844268983282983E-3</v>
      </c>
    </row>
    <row r="64" spans="1:11" x14ac:dyDescent="0.25">
      <c r="A64" s="17" t="s">
        <v>110</v>
      </c>
      <c r="B64" s="17" t="s">
        <v>563</v>
      </c>
      <c r="C64" s="638">
        <v>0.96653083109391369</v>
      </c>
      <c r="D64" s="638">
        <v>0.95703308837373313</v>
      </c>
      <c r="F64" s="642">
        <f t="shared" si="4"/>
        <v>0.96650000000000003</v>
      </c>
      <c r="G64" s="642">
        <f t="shared" si="5"/>
        <v>0.95700000000000007</v>
      </c>
      <c r="J64" s="18">
        <v>8.3083109391368648E-4</v>
      </c>
      <c r="K64" s="18">
        <v>1.8295052686960744E-3</v>
      </c>
    </row>
    <row r="65" spans="1:11" x14ac:dyDescent="0.25">
      <c r="A65" s="17" t="s">
        <v>110</v>
      </c>
      <c r="B65" s="17" t="s">
        <v>564</v>
      </c>
      <c r="C65" s="638">
        <v>0.96653083109391369</v>
      </c>
      <c r="D65" s="638">
        <v>0.95703308837373313</v>
      </c>
      <c r="F65" s="642">
        <f t="shared" si="4"/>
        <v>0.96650000000000003</v>
      </c>
      <c r="G65" s="642">
        <f t="shared" si="5"/>
        <v>0.95700000000000007</v>
      </c>
      <c r="J65" s="18">
        <v>8.3083109391368648E-4</v>
      </c>
      <c r="K65" s="18">
        <v>1.8295052686960744E-3</v>
      </c>
    </row>
    <row r="66" spans="1:11" x14ac:dyDescent="0.25">
      <c r="A66" s="17" t="s">
        <v>110</v>
      </c>
      <c r="B66" s="17" t="s">
        <v>565</v>
      </c>
      <c r="C66" s="638">
        <v>0.96653083109391369</v>
      </c>
      <c r="D66" s="638">
        <v>0.95703308837373313</v>
      </c>
      <c r="F66" s="642">
        <f t="shared" ref="F66:F97" si="6">+ROUND(C66*100,2)/100</f>
        <v>0.96650000000000003</v>
      </c>
      <c r="G66" s="642">
        <f t="shared" ref="G66:G97" si="7">+ROUND(D66*100,2)/100</f>
        <v>0.95700000000000007</v>
      </c>
      <c r="J66" s="18">
        <v>8.3083109391368648E-4</v>
      </c>
      <c r="K66" s="18">
        <v>1.8295052686960744E-3</v>
      </c>
    </row>
    <row r="67" spans="1:11" x14ac:dyDescent="0.25">
      <c r="A67" s="17" t="s">
        <v>110</v>
      </c>
      <c r="B67" s="17" t="s">
        <v>566</v>
      </c>
      <c r="C67" s="638">
        <v>0.96653083109391369</v>
      </c>
      <c r="D67" s="638">
        <v>0.95703308837373313</v>
      </c>
      <c r="F67" s="642">
        <f t="shared" si="6"/>
        <v>0.96650000000000003</v>
      </c>
      <c r="G67" s="642">
        <f t="shared" si="7"/>
        <v>0.95700000000000007</v>
      </c>
      <c r="J67" s="18">
        <v>8.3083109391368648E-4</v>
      </c>
      <c r="K67" s="18">
        <v>1.8295052686960744E-3</v>
      </c>
    </row>
    <row r="68" spans="1:11" x14ac:dyDescent="0.25">
      <c r="A68" s="17" t="s">
        <v>110</v>
      </c>
      <c r="B68" s="17" t="s">
        <v>567</v>
      </c>
      <c r="C68" s="638">
        <v>0.96653083109391369</v>
      </c>
      <c r="D68" s="638">
        <v>0.95703308837373313</v>
      </c>
      <c r="F68" s="642">
        <f t="shared" si="6"/>
        <v>0.96650000000000003</v>
      </c>
      <c r="G68" s="642">
        <f t="shared" si="7"/>
        <v>0.95700000000000007</v>
      </c>
      <c r="J68" s="18">
        <v>8.3083109391368648E-4</v>
      </c>
      <c r="K68" s="18">
        <v>1.8295052686960744E-3</v>
      </c>
    </row>
    <row r="69" spans="1:11" x14ac:dyDescent="0.25">
      <c r="A69" s="17" t="s">
        <v>110</v>
      </c>
      <c r="B69" s="17" t="s">
        <v>568</v>
      </c>
      <c r="C69" s="638">
        <v>0.96653083109391369</v>
      </c>
      <c r="D69" s="638">
        <v>0.95703308837373313</v>
      </c>
      <c r="F69" s="642">
        <f t="shared" si="6"/>
        <v>0.96650000000000003</v>
      </c>
      <c r="G69" s="642">
        <f t="shared" si="7"/>
        <v>0.95700000000000007</v>
      </c>
      <c r="J69" s="18">
        <v>8.3083109391368648E-4</v>
      </c>
      <c r="K69" s="18">
        <v>1.8295052686960744E-3</v>
      </c>
    </row>
    <row r="70" spans="1:11" x14ac:dyDescent="0.25">
      <c r="A70" s="17" t="s">
        <v>110</v>
      </c>
      <c r="B70" s="17" t="s">
        <v>569</v>
      </c>
      <c r="C70" s="638">
        <v>0.96653083109391369</v>
      </c>
      <c r="D70" s="638">
        <v>0.95703308837373313</v>
      </c>
      <c r="F70" s="642">
        <f t="shared" si="6"/>
        <v>0.96650000000000003</v>
      </c>
      <c r="G70" s="642">
        <f t="shared" si="7"/>
        <v>0.95700000000000007</v>
      </c>
      <c r="J70" s="18">
        <v>8.3083109391368648E-4</v>
      </c>
      <c r="K70" s="18">
        <v>1.8295052686960744E-3</v>
      </c>
    </row>
    <row r="71" spans="1:11" x14ac:dyDescent="0.25">
      <c r="A71" s="17" t="s">
        <v>110</v>
      </c>
      <c r="B71" s="17" t="s">
        <v>570</v>
      </c>
      <c r="C71" s="638">
        <v>0.96653083109391369</v>
      </c>
      <c r="D71" s="638">
        <v>0.95703308837373313</v>
      </c>
      <c r="F71" s="642">
        <f t="shared" si="6"/>
        <v>0.96650000000000003</v>
      </c>
      <c r="G71" s="642">
        <f t="shared" si="7"/>
        <v>0.95700000000000007</v>
      </c>
      <c r="J71" s="18">
        <v>8.3083109391368648E-4</v>
      </c>
      <c r="K71" s="18">
        <v>1.8295052686960744E-3</v>
      </c>
    </row>
    <row r="72" spans="1:11" x14ac:dyDescent="0.25">
      <c r="A72" s="17" t="s">
        <v>110</v>
      </c>
      <c r="B72" s="17" t="s">
        <v>571</v>
      </c>
      <c r="C72" s="638">
        <v>0.96653083109391369</v>
      </c>
      <c r="D72" s="638">
        <v>0.95703308837373313</v>
      </c>
      <c r="F72" s="642">
        <f t="shared" si="6"/>
        <v>0.96650000000000003</v>
      </c>
      <c r="G72" s="642">
        <f t="shared" si="7"/>
        <v>0.95700000000000007</v>
      </c>
      <c r="J72" s="18">
        <v>8.3083109391368648E-4</v>
      </c>
      <c r="K72" s="18">
        <v>1.8295052686960744E-3</v>
      </c>
    </row>
    <row r="73" spans="1:11" x14ac:dyDescent="0.25">
      <c r="A73" s="17" t="s">
        <v>110</v>
      </c>
      <c r="B73" s="17" t="s">
        <v>572</v>
      </c>
      <c r="C73" s="638">
        <v>0.96653083109391369</v>
      </c>
      <c r="D73" s="638">
        <v>0.95703308837373313</v>
      </c>
      <c r="F73" s="642">
        <f t="shared" si="6"/>
        <v>0.96650000000000003</v>
      </c>
      <c r="G73" s="642">
        <f t="shared" si="7"/>
        <v>0.95700000000000007</v>
      </c>
      <c r="J73" s="18">
        <v>8.3083109391368648E-4</v>
      </c>
      <c r="K73" s="18">
        <v>1.8295052686960744E-3</v>
      </c>
    </row>
    <row r="74" spans="1:11" x14ac:dyDescent="0.25">
      <c r="A74" s="17" t="s">
        <v>110</v>
      </c>
      <c r="B74" s="17" t="s">
        <v>573</v>
      </c>
      <c r="C74" s="638">
        <v>0.96653083109391369</v>
      </c>
      <c r="D74" s="638">
        <v>0.95703308837373313</v>
      </c>
      <c r="F74" s="642">
        <f t="shared" si="6"/>
        <v>0.96650000000000003</v>
      </c>
      <c r="G74" s="642">
        <f t="shared" si="7"/>
        <v>0.95700000000000007</v>
      </c>
      <c r="J74" s="18">
        <v>8.3083109391368648E-4</v>
      </c>
      <c r="K74" s="18">
        <v>1.8295052686960744E-3</v>
      </c>
    </row>
    <row r="75" spans="1:11" x14ac:dyDescent="0.25">
      <c r="A75" s="17" t="s">
        <v>110</v>
      </c>
      <c r="B75" s="17" t="s">
        <v>574</v>
      </c>
      <c r="C75" s="638">
        <v>0.96653083109391369</v>
      </c>
      <c r="D75" s="638">
        <v>0.95703308837373313</v>
      </c>
      <c r="F75" s="642">
        <f t="shared" si="6"/>
        <v>0.96650000000000003</v>
      </c>
      <c r="G75" s="642">
        <f t="shared" si="7"/>
        <v>0.95700000000000007</v>
      </c>
      <c r="J75" s="18">
        <v>8.3083109391368648E-4</v>
      </c>
      <c r="K75" s="18">
        <v>1.8295052686960744E-3</v>
      </c>
    </row>
    <row r="76" spans="1:11" x14ac:dyDescent="0.25">
      <c r="A76" s="17" t="s">
        <v>110</v>
      </c>
      <c r="B76" s="17" t="s">
        <v>575</v>
      </c>
      <c r="C76" s="638">
        <v>0.96653083109391369</v>
      </c>
      <c r="D76" s="638">
        <v>0.95703308837373313</v>
      </c>
      <c r="F76" s="642">
        <f t="shared" si="6"/>
        <v>0.96650000000000003</v>
      </c>
      <c r="G76" s="642">
        <f t="shared" si="7"/>
        <v>0.95700000000000007</v>
      </c>
      <c r="J76" s="18">
        <v>8.3083109391368648E-4</v>
      </c>
      <c r="K76" s="18">
        <v>1.8295052686960744E-3</v>
      </c>
    </row>
    <row r="77" spans="1:11" x14ac:dyDescent="0.25">
      <c r="A77" s="17" t="s">
        <v>110</v>
      </c>
      <c r="B77" s="17" t="s">
        <v>576</v>
      </c>
      <c r="C77" s="638">
        <v>0.96653083109391369</v>
      </c>
      <c r="D77" s="638">
        <v>0.95703308837373313</v>
      </c>
      <c r="F77" s="642">
        <f t="shared" si="6"/>
        <v>0.96650000000000003</v>
      </c>
      <c r="G77" s="642">
        <f t="shared" si="7"/>
        <v>0.95700000000000007</v>
      </c>
      <c r="J77" s="18">
        <v>8.3083109391368648E-4</v>
      </c>
      <c r="K77" s="18">
        <v>1.8295052686960744E-3</v>
      </c>
    </row>
    <row r="78" spans="1:11" x14ac:dyDescent="0.25">
      <c r="A78" s="17" t="s">
        <v>110</v>
      </c>
      <c r="B78" s="17" t="s">
        <v>577</v>
      </c>
      <c r="C78" s="638">
        <v>0.96653083109391369</v>
      </c>
      <c r="D78" s="638">
        <v>0.95703308837373313</v>
      </c>
      <c r="F78" s="642">
        <f t="shared" si="6"/>
        <v>0.96650000000000003</v>
      </c>
      <c r="G78" s="642">
        <f t="shared" si="7"/>
        <v>0.95700000000000007</v>
      </c>
      <c r="J78" s="18">
        <v>8.3083109391368648E-4</v>
      </c>
      <c r="K78" s="18">
        <v>1.8295052686960744E-3</v>
      </c>
    </row>
    <row r="79" spans="1:11" x14ac:dyDescent="0.25">
      <c r="A79" s="17" t="s">
        <v>110</v>
      </c>
      <c r="B79" s="17" t="s">
        <v>578</v>
      </c>
      <c r="C79" s="638">
        <v>0.96653083109391369</v>
      </c>
      <c r="D79" s="638">
        <v>0.95703308837373313</v>
      </c>
      <c r="F79" s="642">
        <f t="shared" si="6"/>
        <v>0.96650000000000003</v>
      </c>
      <c r="G79" s="642">
        <f t="shared" si="7"/>
        <v>0.95700000000000007</v>
      </c>
      <c r="J79" s="18">
        <v>8.3083109391368648E-4</v>
      </c>
      <c r="K79" s="18">
        <v>1.8295052686960744E-3</v>
      </c>
    </row>
    <row r="80" spans="1:11" x14ac:dyDescent="0.25">
      <c r="A80" s="17" t="s">
        <v>110</v>
      </c>
      <c r="B80" s="17" t="s">
        <v>579</v>
      </c>
      <c r="C80" s="638">
        <v>0.96653083109391369</v>
      </c>
      <c r="D80" s="638">
        <v>0.95703308837373313</v>
      </c>
      <c r="F80" s="642">
        <f t="shared" si="6"/>
        <v>0.96650000000000003</v>
      </c>
      <c r="G80" s="642">
        <f t="shared" si="7"/>
        <v>0.95700000000000007</v>
      </c>
      <c r="J80" s="18">
        <v>8.3083109391368648E-4</v>
      </c>
      <c r="K80" s="18">
        <v>1.8295052686960744E-3</v>
      </c>
    </row>
    <row r="81" spans="1:11" x14ac:dyDescent="0.25">
      <c r="A81" s="17" t="s">
        <v>110</v>
      </c>
      <c r="B81" s="17" t="s">
        <v>580</v>
      </c>
      <c r="C81" s="638">
        <v>0.96653083109391369</v>
      </c>
      <c r="D81" s="638">
        <v>0.95703308837373313</v>
      </c>
      <c r="F81" s="642">
        <f t="shared" si="6"/>
        <v>0.96650000000000003</v>
      </c>
      <c r="G81" s="642">
        <f t="shared" si="7"/>
        <v>0.95700000000000007</v>
      </c>
      <c r="J81" s="18">
        <v>8.3083109391368648E-4</v>
      </c>
      <c r="K81" s="18">
        <v>1.8295052686960744E-3</v>
      </c>
    </row>
    <row r="82" spans="1:11" x14ac:dyDescent="0.25">
      <c r="A82" s="17" t="s">
        <v>110</v>
      </c>
      <c r="B82" s="17" t="s">
        <v>581</v>
      </c>
      <c r="C82" s="638">
        <v>0.96653083109391369</v>
      </c>
      <c r="D82" s="638">
        <v>0.95703308837373313</v>
      </c>
      <c r="F82" s="642">
        <f t="shared" si="6"/>
        <v>0.96650000000000003</v>
      </c>
      <c r="G82" s="642">
        <f t="shared" si="7"/>
        <v>0.95700000000000007</v>
      </c>
      <c r="J82" s="18">
        <v>8.3083109391368648E-4</v>
      </c>
      <c r="K82" s="18">
        <v>1.8295052686960744E-3</v>
      </c>
    </row>
    <row r="83" spans="1:11" x14ac:dyDescent="0.25">
      <c r="A83" s="17" t="s">
        <v>110</v>
      </c>
      <c r="B83" s="17" t="s">
        <v>582</v>
      </c>
      <c r="C83" s="638">
        <v>0.96653083109391369</v>
      </c>
      <c r="D83" s="638">
        <v>0.95703308837373313</v>
      </c>
      <c r="F83" s="642">
        <f t="shared" si="6"/>
        <v>0.96650000000000003</v>
      </c>
      <c r="G83" s="642">
        <f t="shared" si="7"/>
        <v>0.95700000000000007</v>
      </c>
      <c r="J83" s="18">
        <v>8.3083109391368648E-4</v>
      </c>
      <c r="K83" s="18">
        <v>1.8295052686960744E-3</v>
      </c>
    </row>
    <row r="84" spans="1:11" x14ac:dyDescent="0.25">
      <c r="A84" s="17" t="s">
        <v>110</v>
      </c>
      <c r="B84" s="17" t="s">
        <v>583</v>
      </c>
      <c r="C84" s="638">
        <v>0.96653083109391369</v>
      </c>
      <c r="D84" s="638">
        <v>0.95703308837373313</v>
      </c>
      <c r="F84" s="642">
        <f t="shared" si="6"/>
        <v>0.96650000000000003</v>
      </c>
      <c r="G84" s="642">
        <f t="shared" si="7"/>
        <v>0.95700000000000007</v>
      </c>
      <c r="J84" s="18">
        <v>8.3083109391368648E-4</v>
      </c>
      <c r="K84" s="18">
        <v>1.8295052686960744E-3</v>
      </c>
    </row>
    <row r="85" spans="1:11" x14ac:dyDescent="0.25">
      <c r="A85" s="17" t="s">
        <v>110</v>
      </c>
      <c r="B85" s="17" t="s">
        <v>584</v>
      </c>
      <c r="C85" s="638">
        <v>0.96653083109391369</v>
      </c>
      <c r="D85" s="638">
        <v>0.95703308837373313</v>
      </c>
      <c r="F85" s="642">
        <f t="shared" si="6"/>
        <v>0.96650000000000003</v>
      </c>
      <c r="G85" s="642">
        <f t="shared" si="7"/>
        <v>0.95700000000000007</v>
      </c>
      <c r="J85" s="18">
        <v>8.3083109391368648E-4</v>
      </c>
      <c r="K85" s="18">
        <v>1.8295052686960744E-3</v>
      </c>
    </row>
    <row r="86" spans="1:11" x14ac:dyDescent="0.25">
      <c r="A86" s="17" t="s">
        <v>110</v>
      </c>
      <c r="B86" s="17" t="s">
        <v>585</v>
      </c>
      <c r="C86" s="638">
        <v>0.96653083109391369</v>
      </c>
      <c r="D86" s="638">
        <v>0.95703308837373313</v>
      </c>
      <c r="F86" s="642">
        <f t="shared" si="6"/>
        <v>0.96650000000000003</v>
      </c>
      <c r="G86" s="642">
        <f t="shared" si="7"/>
        <v>0.95700000000000007</v>
      </c>
      <c r="J86" s="18">
        <v>8.3083109391368648E-4</v>
      </c>
      <c r="K86" s="18">
        <v>1.8295052686960744E-3</v>
      </c>
    </row>
    <row r="87" spans="1:11" x14ac:dyDescent="0.25">
      <c r="A87" s="17" t="s">
        <v>110</v>
      </c>
      <c r="B87" s="17" t="s">
        <v>586</v>
      </c>
      <c r="C87" s="638">
        <v>0.96653083109391369</v>
      </c>
      <c r="D87" s="638">
        <v>0.95703308837373313</v>
      </c>
      <c r="F87" s="642">
        <f t="shared" si="6"/>
        <v>0.96650000000000003</v>
      </c>
      <c r="G87" s="642">
        <f t="shared" si="7"/>
        <v>0.95700000000000007</v>
      </c>
      <c r="J87" s="18">
        <v>8.3083109391368648E-4</v>
      </c>
      <c r="K87" s="18">
        <v>1.8295052686960744E-3</v>
      </c>
    </row>
    <row r="88" spans="1:11" x14ac:dyDescent="0.25">
      <c r="A88" s="17" t="s">
        <v>110</v>
      </c>
      <c r="B88" s="17" t="s">
        <v>587</v>
      </c>
      <c r="C88" s="638">
        <v>0.96653083109391369</v>
      </c>
      <c r="D88" s="638">
        <v>0.95703308837373313</v>
      </c>
      <c r="F88" s="642">
        <f t="shared" si="6"/>
        <v>0.96650000000000003</v>
      </c>
      <c r="G88" s="642">
        <f t="shared" si="7"/>
        <v>0.95700000000000007</v>
      </c>
      <c r="J88" s="18">
        <v>8.3083109391368648E-4</v>
      </c>
      <c r="K88" s="18">
        <v>1.8295052686960744E-3</v>
      </c>
    </row>
    <row r="89" spans="1:11" x14ac:dyDescent="0.25">
      <c r="A89" s="17" t="s">
        <v>110</v>
      </c>
      <c r="B89" s="17" t="s">
        <v>588</v>
      </c>
      <c r="C89" s="638">
        <v>0.96653083109391369</v>
      </c>
      <c r="D89" s="638">
        <v>0.95703308837373313</v>
      </c>
      <c r="F89" s="642">
        <f t="shared" si="6"/>
        <v>0.96650000000000003</v>
      </c>
      <c r="G89" s="642">
        <f t="shared" si="7"/>
        <v>0.95700000000000007</v>
      </c>
      <c r="J89" s="18">
        <v>8.3083109391368648E-4</v>
      </c>
      <c r="K89" s="18">
        <v>1.8295052686960744E-3</v>
      </c>
    </row>
    <row r="90" spans="1:11" x14ac:dyDescent="0.25">
      <c r="A90" s="17" t="s">
        <v>110</v>
      </c>
      <c r="B90" s="17" t="s">
        <v>589</v>
      </c>
      <c r="C90" s="638">
        <v>0.96653083109391369</v>
      </c>
      <c r="D90" s="638">
        <v>0.95703308837373313</v>
      </c>
      <c r="F90" s="642">
        <f t="shared" si="6"/>
        <v>0.96650000000000003</v>
      </c>
      <c r="G90" s="642">
        <f t="shared" si="7"/>
        <v>0.95700000000000007</v>
      </c>
      <c r="J90" s="18">
        <v>8.3083109391368648E-4</v>
      </c>
      <c r="K90" s="18">
        <v>1.8295052686960744E-3</v>
      </c>
    </row>
    <row r="91" spans="1:11" x14ac:dyDescent="0.25">
      <c r="A91" s="17" t="s">
        <v>110</v>
      </c>
      <c r="B91" s="17" t="s">
        <v>590</v>
      </c>
      <c r="C91" s="638">
        <v>0.96653083109391369</v>
      </c>
      <c r="D91" s="638">
        <v>0.95703308837373313</v>
      </c>
      <c r="F91" s="642">
        <f t="shared" si="6"/>
        <v>0.96650000000000003</v>
      </c>
      <c r="G91" s="642">
        <f t="shared" si="7"/>
        <v>0.95700000000000007</v>
      </c>
      <c r="J91" s="18">
        <v>8.3083109391368648E-4</v>
      </c>
      <c r="K91" s="18">
        <v>1.8295052686960744E-3</v>
      </c>
    </row>
    <row r="92" spans="1:11" x14ac:dyDescent="0.25">
      <c r="A92" s="17" t="s">
        <v>110</v>
      </c>
      <c r="B92" s="17" t="s">
        <v>591</v>
      </c>
      <c r="C92" s="638">
        <v>0.96653083109391369</v>
      </c>
      <c r="D92" s="638">
        <v>0.95703308837373313</v>
      </c>
      <c r="F92" s="642">
        <f t="shared" si="6"/>
        <v>0.96650000000000003</v>
      </c>
      <c r="G92" s="642">
        <f t="shared" si="7"/>
        <v>0.95700000000000007</v>
      </c>
      <c r="J92" s="18">
        <v>8.3083109391368648E-4</v>
      </c>
      <c r="K92" s="18">
        <v>1.8295052686960744E-3</v>
      </c>
    </row>
    <row r="93" spans="1:11" x14ac:dyDescent="0.25">
      <c r="A93" s="17" t="s">
        <v>110</v>
      </c>
      <c r="B93" s="17" t="s">
        <v>592</v>
      </c>
      <c r="C93" s="638">
        <v>0.96653083109391369</v>
      </c>
      <c r="D93" s="638">
        <v>0.95703308837373313</v>
      </c>
      <c r="F93" s="642">
        <f t="shared" si="6"/>
        <v>0.96650000000000003</v>
      </c>
      <c r="G93" s="642">
        <f t="shared" si="7"/>
        <v>0.95700000000000007</v>
      </c>
      <c r="J93" s="18">
        <v>8.3083109391368648E-4</v>
      </c>
      <c r="K93" s="18">
        <v>1.8295052686960744E-3</v>
      </c>
    </row>
    <row r="94" spans="1:11" x14ac:dyDescent="0.25">
      <c r="A94" s="17" t="s">
        <v>110</v>
      </c>
      <c r="B94" s="17" t="s">
        <v>593</v>
      </c>
      <c r="C94" s="638">
        <v>0.96653083109391369</v>
      </c>
      <c r="D94" s="638">
        <v>0.95703308837373313</v>
      </c>
      <c r="F94" s="642">
        <f t="shared" si="6"/>
        <v>0.96650000000000003</v>
      </c>
      <c r="G94" s="642">
        <f t="shared" si="7"/>
        <v>0.95700000000000007</v>
      </c>
      <c r="J94" s="18">
        <v>8.3083109391368648E-4</v>
      </c>
      <c r="K94" s="18">
        <v>1.8295052686960744E-3</v>
      </c>
    </row>
    <row r="95" spans="1:11" x14ac:dyDescent="0.25">
      <c r="A95" s="17" t="s">
        <v>110</v>
      </c>
      <c r="B95" s="17" t="s">
        <v>594</v>
      </c>
      <c r="C95" s="638">
        <v>0.96653083109391369</v>
      </c>
      <c r="D95" s="638">
        <v>0.95703308837373313</v>
      </c>
      <c r="F95" s="642">
        <f t="shared" si="6"/>
        <v>0.96650000000000003</v>
      </c>
      <c r="G95" s="642">
        <f t="shared" si="7"/>
        <v>0.95700000000000007</v>
      </c>
      <c r="J95" s="18">
        <v>8.3083109391368648E-4</v>
      </c>
      <c r="K95" s="18">
        <v>1.8295052686960744E-3</v>
      </c>
    </row>
    <row r="96" spans="1:11" x14ac:dyDescent="0.25">
      <c r="A96" s="17" t="s">
        <v>110</v>
      </c>
      <c r="B96" s="17" t="s">
        <v>595</v>
      </c>
      <c r="C96" s="638">
        <v>0.96653083109391369</v>
      </c>
      <c r="D96" s="638">
        <v>0.95703308837373313</v>
      </c>
      <c r="F96" s="642">
        <f t="shared" si="6"/>
        <v>0.96650000000000003</v>
      </c>
      <c r="G96" s="642">
        <f t="shared" si="7"/>
        <v>0.95700000000000007</v>
      </c>
      <c r="J96" s="18">
        <v>8.3083109391368648E-4</v>
      </c>
      <c r="K96" s="18">
        <v>1.8295052686960744E-3</v>
      </c>
    </row>
    <row r="97" spans="1:11" x14ac:dyDescent="0.25">
      <c r="A97" s="17" t="s">
        <v>110</v>
      </c>
      <c r="B97" s="17" t="s">
        <v>596</v>
      </c>
      <c r="C97" s="638">
        <v>0.96653083109391369</v>
      </c>
      <c r="D97" s="638">
        <v>0.95703308837373313</v>
      </c>
      <c r="F97" s="642">
        <f t="shared" si="6"/>
        <v>0.96650000000000003</v>
      </c>
      <c r="G97" s="642">
        <f t="shared" si="7"/>
        <v>0.95700000000000007</v>
      </c>
      <c r="J97" s="18">
        <v>8.3083109391368648E-4</v>
      </c>
      <c r="K97" s="18">
        <v>1.8295052686960744E-3</v>
      </c>
    </row>
    <row r="98" spans="1:11" x14ac:dyDescent="0.25">
      <c r="A98" s="17" t="s">
        <v>110</v>
      </c>
      <c r="B98" s="17" t="s">
        <v>597</v>
      </c>
      <c r="C98" s="638">
        <v>0.96653083109391369</v>
      </c>
      <c r="D98" s="638">
        <v>0.95703308837373313</v>
      </c>
      <c r="F98" s="642">
        <f t="shared" ref="F98:F129" si="8">+ROUND(C98*100,2)/100</f>
        <v>0.96650000000000003</v>
      </c>
      <c r="G98" s="642">
        <f t="shared" ref="G98:G129" si="9">+ROUND(D98*100,2)/100</f>
        <v>0.95700000000000007</v>
      </c>
      <c r="J98" s="18">
        <v>8.3083109391368648E-4</v>
      </c>
      <c r="K98" s="18">
        <v>1.8295052686960744E-3</v>
      </c>
    </row>
    <row r="99" spans="1:11" x14ac:dyDescent="0.25">
      <c r="A99" s="17" t="s">
        <v>110</v>
      </c>
      <c r="B99" s="17" t="s">
        <v>598</v>
      </c>
      <c r="C99" s="638">
        <v>0.96653083109391369</v>
      </c>
      <c r="D99" s="638">
        <v>0.95703308837373313</v>
      </c>
      <c r="F99" s="642">
        <f t="shared" si="8"/>
        <v>0.96650000000000003</v>
      </c>
      <c r="G99" s="642">
        <f t="shared" si="9"/>
        <v>0.95700000000000007</v>
      </c>
      <c r="J99" s="18">
        <v>8.3083109391368648E-4</v>
      </c>
      <c r="K99" s="18">
        <v>1.8295052686960744E-3</v>
      </c>
    </row>
    <row r="100" spans="1:11" x14ac:dyDescent="0.25">
      <c r="A100" s="17" t="s">
        <v>110</v>
      </c>
      <c r="B100" s="17" t="s">
        <v>599</v>
      </c>
      <c r="C100" s="638">
        <v>0.96653083109391369</v>
      </c>
      <c r="D100" s="638">
        <v>0.95703308837373313</v>
      </c>
      <c r="F100" s="642">
        <f t="shared" si="8"/>
        <v>0.96650000000000003</v>
      </c>
      <c r="G100" s="642">
        <f t="shared" si="9"/>
        <v>0.95700000000000007</v>
      </c>
      <c r="J100" s="18">
        <v>8.3083109391368648E-4</v>
      </c>
      <c r="K100" s="18">
        <v>1.8295052686960744E-3</v>
      </c>
    </row>
    <row r="101" spans="1:11" x14ac:dyDescent="0.25">
      <c r="A101" s="17" t="s">
        <v>110</v>
      </c>
      <c r="B101" s="17" t="s">
        <v>600</v>
      </c>
      <c r="C101" s="638">
        <v>0.96653083109391369</v>
      </c>
      <c r="D101" s="638">
        <v>0.95703308837373313</v>
      </c>
      <c r="F101" s="642">
        <f t="shared" si="8"/>
        <v>0.96650000000000003</v>
      </c>
      <c r="G101" s="642">
        <f t="shared" si="9"/>
        <v>0.95700000000000007</v>
      </c>
      <c r="J101" s="18">
        <v>8.3083109391368648E-4</v>
      </c>
      <c r="K101" s="18">
        <v>1.8295052686960744E-3</v>
      </c>
    </row>
    <row r="102" spans="1:11" x14ac:dyDescent="0.25">
      <c r="A102" s="17" t="s">
        <v>110</v>
      </c>
      <c r="B102" s="17" t="s">
        <v>601</v>
      </c>
      <c r="C102" s="638">
        <v>0.96653083109391369</v>
      </c>
      <c r="D102" s="638">
        <v>0.95703308837373313</v>
      </c>
      <c r="F102" s="642">
        <f t="shared" si="8"/>
        <v>0.96650000000000003</v>
      </c>
      <c r="G102" s="642">
        <f t="shared" si="9"/>
        <v>0.95700000000000007</v>
      </c>
      <c r="J102" s="18">
        <v>8.3083109391368648E-4</v>
      </c>
      <c r="K102" s="18">
        <v>1.8295052686960744E-3</v>
      </c>
    </row>
    <row r="103" spans="1:11" x14ac:dyDescent="0.25">
      <c r="A103" s="17" t="s">
        <v>110</v>
      </c>
      <c r="B103" s="17" t="s">
        <v>110</v>
      </c>
      <c r="C103" s="638">
        <v>0.96653083109391369</v>
      </c>
      <c r="D103" s="638">
        <v>0.95703308837373313</v>
      </c>
      <c r="F103" s="642">
        <f t="shared" si="8"/>
        <v>0.96650000000000003</v>
      </c>
      <c r="G103" s="642">
        <f t="shared" si="9"/>
        <v>0.95700000000000007</v>
      </c>
      <c r="J103" s="18">
        <v>8.3083109391368648E-4</v>
      </c>
      <c r="K103" s="18">
        <v>1.8295052686960744E-3</v>
      </c>
    </row>
    <row r="104" spans="1:11" x14ac:dyDescent="0.25">
      <c r="A104" s="17" t="s">
        <v>110</v>
      </c>
      <c r="B104" s="17" t="s">
        <v>602</v>
      </c>
      <c r="C104" s="638">
        <v>0.96653083109391369</v>
      </c>
      <c r="D104" s="638">
        <v>0.95703308837373313</v>
      </c>
      <c r="F104" s="642">
        <f t="shared" si="8"/>
        <v>0.96650000000000003</v>
      </c>
      <c r="G104" s="642">
        <f t="shared" si="9"/>
        <v>0.95700000000000007</v>
      </c>
      <c r="J104" s="18">
        <v>8.3083109391368648E-4</v>
      </c>
      <c r="K104" s="18">
        <v>1.8295052686960744E-3</v>
      </c>
    </row>
    <row r="105" spans="1:11" x14ac:dyDescent="0.25">
      <c r="A105" s="17" t="s">
        <v>110</v>
      </c>
      <c r="B105" s="17" t="s">
        <v>603</v>
      </c>
      <c r="C105" s="638">
        <v>0.96653083109391369</v>
      </c>
      <c r="D105" s="638">
        <v>0.95703308837373313</v>
      </c>
      <c r="F105" s="642">
        <f t="shared" si="8"/>
        <v>0.96650000000000003</v>
      </c>
      <c r="G105" s="642">
        <f t="shared" si="9"/>
        <v>0.95700000000000007</v>
      </c>
      <c r="J105" s="18">
        <v>8.3083109391368648E-4</v>
      </c>
      <c r="K105" s="18">
        <v>1.8295052686960744E-3</v>
      </c>
    </row>
    <row r="106" spans="1:11" x14ac:dyDescent="0.25">
      <c r="A106" s="17" t="s">
        <v>110</v>
      </c>
      <c r="B106" s="17" t="s">
        <v>604</v>
      </c>
      <c r="C106" s="638">
        <v>0.96653083109391369</v>
      </c>
      <c r="D106" s="638">
        <v>0.95703308837373313</v>
      </c>
      <c r="F106" s="642">
        <f t="shared" si="8"/>
        <v>0.96650000000000003</v>
      </c>
      <c r="G106" s="642">
        <f t="shared" si="9"/>
        <v>0.95700000000000007</v>
      </c>
      <c r="J106" s="18">
        <v>8.3083109391368648E-4</v>
      </c>
      <c r="K106" s="18">
        <v>1.8295052686960744E-3</v>
      </c>
    </row>
    <row r="107" spans="1:11" x14ac:dyDescent="0.25">
      <c r="A107" s="17" t="s">
        <v>110</v>
      </c>
      <c r="B107" s="17" t="s">
        <v>605</v>
      </c>
      <c r="C107" s="638">
        <v>0.96653083109391369</v>
      </c>
      <c r="D107" s="638">
        <v>0.95703308837373313</v>
      </c>
      <c r="F107" s="642">
        <f t="shared" si="8"/>
        <v>0.96650000000000003</v>
      </c>
      <c r="G107" s="642">
        <f t="shared" si="9"/>
        <v>0.95700000000000007</v>
      </c>
      <c r="J107" s="18">
        <v>8.3083109391368648E-4</v>
      </c>
      <c r="K107" s="18">
        <v>1.8295052686960744E-3</v>
      </c>
    </row>
    <row r="108" spans="1:11" x14ac:dyDescent="0.25">
      <c r="A108" s="17" t="s">
        <v>110</v>
      </c>
      <c r="B108" s="17" t="s">
        <v>606</v>
      </c>
      <c r="C108" s="638">
        <v>0.96653083109391369</v>
      </c>
      <c r="D108" s="638">
        <v>0.95703308837373313</v>
      </c>
      <c r="F108" s="642">
        <f t="shared" si="8"/>
        <v>0.96650000000000003</v>
      </c>
      <c r="G108" s="642">
        <f t="shared" si="9"/>
        <v>0.95700000000000007</v>
      </c>
      <c r="J108" s="18">
        <v>8.3083109391368648E-4</v>
      </c>
      <c r="K108" s="18">
        <v>1.8295052686960744E-3</v>
      </c>
    </row>
    <row r="109" spans="1:11" x14ac:dyDescent="0.25">
      <c r="A109" s="17" t="s">
        <v>110</v>
      </c>
      <c r="B109" s="17" t="s">
        <v>607</v>
      </c>
      <c r="C109" s="638">
        <v>0.96653083109391369</v>
      </c>
      <c r="D109" s="638">
        <v>0.95703308837373313</v>
      </c>
      <c r="F109" s="642">
        <f t="shared" si="8"/>
        <v>0.96650000000000003</v>
      </c>
      <c r="G109" s="642">
        <f t="shared" si="9"/>
        <v>0.95700000000000007</v>
      </c>
      <c r="J109" s="18">
        <v>8.3083109391368648E-4</v>
      </c>
      <c r="K109" s="18">
        <v>1.8295052686960744E-3</v>
      </c>
    </row>
    <row r="110" spans="1:11" x14ac:dyDescent="0.25">
      <c r="A110" s="17" t="s">
        <v>110</v>
      </c>
      <c r="B110" s="17" t="s">
        <v>608</v>
      </c>
      <c r="C110" s="638">
        <v>0.96653083109391369</v>
      </c>
      <c r="D110" s="638">
        <v>0.95703308837373313</v>
      </c>
      <c r="F110" s="642">
        <f t="shared" si="8"/>
        <v>0.96650000000000003</v>
      </c>
      <c r="G110" s="642">
        <f t="shared" si="9"/>
        <v>0.95700000000000007</v>
      </c>
      <c r="J110" s="18">
        <v>8.3083109391368648E-4</v>
      </c>
      <c r="K110" s="18">
        <v>1.8295052686960744E-3</v>
      </c>
    </row>
    <row r="111" spans="1:11" x14ac:dyDescent="0.25">
      <c r="A111" s="17" t="s">
        <v>110</v>
      </c>
      <c r="B111" s="17" t="s">
        <v>609</v>
      </c>
      <c r="C111" s="638">
        <v>0.96653083109391369</v>
      </c>
      <c r="D111" s="638">
        <v>0.95703308837373313</v>
      </c>
      <c r="F111" s="642">
        <f t="shared" si="8"/>
        <v>0.96650000000000003</v>
      </c>
      <c r="G111" s="642">
        <f t="shared" si="9"/>
        <v>0.95700000000000007</v>
      </c>
      <c r="J111" s="18">
        <v>8.3083109391368648E-4</v>
      </c>
      <c r="K111" s="18">
        <v>1.8295052686960744E-3</v>
      </c>
    </row>
    <row r="112" spans="1:11" x14ac:dyDescent="0.25">
      <c r="A112" s="17" t="s">
        <v>110</v>
      </c>
      <c r="B112" s="17" t="s">
        <v>610</v>
      </c>
      <c r="C112" s="638">
        <v>0.96653083109391369</v>
      </c>
      <c r="D112" s="638">
        <v>0.95703308837373313</v>
      </c>
      <c r="F112" s="642">
        <f t="shared" si="8"/>
        <v>0.96650000000000003</v>
      </c>
      <c r="G112" s="642">
        <f t="shared" si="9"/>
        <v>0.95700000000000007</v>
      </c>
      <c r="J112" s="18">
        <v>8.3083109391368648E-4</v>
      </c>
      <c r="K112" s="18">
        <v>1.8295052686960744E-3</v>
      </c>
    </row>
    <row r="113" spans="1:11" x14ac:dyDescent="0.25">
      <c r="A113" s="17" t="s">
        <v>110</v>
      </c>
      <c r="B113" s="17" t="s">
        <v>611</v>
      </c>
      <c r="C113" s="638">
        <v>0.96653083109391369</v>
      </c>
      <c r="D113" s="638">
        <v>0.95703308837373313</v>
      </c>
      <c r="F113" s="642">
        <f t="shared" si="8"/>
        <v>0.96650000000000003</v>
      </c>
      <c r="G113" s="642">
        <f t="shared" si="9"/>
        <v>0.95700000000000007</v>
      </c>
      <c r="J113" s="18">
        <v>8.3083109391368648E-4</v>
      </c>
      <c r="K113" s="18">
        <v>1.8295052686960744E-3</v>
      </c>
    </row>
    <row r="114" spans="1:11" x14ac:dyDescent="0.25">
      <c r="A114" s="17" t="s">
        <v>110</v>
      </c>
      <c r="B114" s="17" t="s">
        <v>612</v>
      </c>
      <c r="C114" s="638">
        <v>0.96653083109391369</v>
      </c>
      <c r="D114" s="638">
        <v>0.95703308837373313</v>
      </c>
      <c r="F114" s="642">
        <f t="shared" si="8"/>
        <v>0.96650000000000003</v>
      </c>
      <c r="G114" s="642">
        <f t="shared" si="9"/>
        <v>0.95700000000000007</v>
      </c>
      <c r="J114" s="18">
        <v>8.3083109391368648E-4</v>
      </c>
      <c r="K114" s="18">
        <v>1.8295052686960744E-3</v>
      </c>
    </row>
    <row r="115" spans="1:11" x14ac:dyDescent="0.25">
      <c r="A115" s="17" t="s">
        <v>110</v>
      </c>
      <c r="B115" s="17" t="s">
        <v>613</v>
      </c>
      <c r="C115" s="638">
        <v>0.96653083109391369</v>
      </c>
      <c r="D115" s="638">
        <v>0.95703308837373313</v>
      </c>
      <c r="F115" s="642">
        <f t="shared" si="8"/>
        <v>0.96650000000000003</v>
      </c>
      <c r="G115" s="642">
        <f t="shared" si="9"/>
        <v>0.95700000000000007</v>
      </c>
      <c r="J115" s="18">
        <v>8.3083109391368648E-4</v>
      </c>
      <c r="K115" s="18">
        <v>1.8295052686960744E-3</v>
      </c>
    </row>
    <row r="116" spans="1:11" x14ac:dyDescent="0.25">
      <c r="A116" s="17" t="s">
        <v>110</v>
      </c>
      <c r="B116" s="17" t="s">
        <v>614</v>
      </c>
      <c r="C116" s="638">
        <v>0.96653083109391369</v>
      </c>
      <c r="D116" s="638">
        <v>0.95703308837373313</v>
      </c>
      <c r="F116" s="642">
        <f t="shared" si="8"/>
        <v>0.96650000000000003</v>
      </c>
      <c r="G116" s="642">
        <f t="shared" si="9"/>
        <v>0.95700000000000007</v>
      </c>
      <c r="J116" s="18">
        <v>8.3083109391368648E-4</v>
      </c>
      <c r="K116" s="18">
        <v>1.8295052686960744E-3</v>
      </c>
    </row>
    <row r="117" spans="1:11" x14ac:dyDescent="0.25">
      <c r="A117" s="17" t="s">
        <v>110</v>
      </c>
      <c r="B117" s="17" t="s">
        <v>615</v>
      </c>
      <c r="C117" s="638">
        <v>0.96653083109391369</v>
      </c>
      <c r="D117" s="638">
        <v>0.95703308837373313</v>
      </c>
      <c r="F117" s="642">
        <f t="shared" si="8"/>
        <v>0.96650000000000003</v>
      </c>
      <c r="G117" s="642">
        <f t="shared" si="9"/>
        <v>0.95700000000000007</v>
      </c>
      <c r="J117" s="18">
        <v>8.3083109391368648E-4</v>
      </c>
      <c r="K117" s="18">
        <v>1.8295052686960744E-3</v>
      </c>
    </row>
    <row r="118" spans="1:11" x14ac:dyDescent="0.25">
      <c r="A118" s="17" t="s">
        <v>110</v>
      </c>
      <c r="B118" s="17" t="s">
        <v>616</v>
      </c>
      <c r="C118" s="638">
        <v>0.96653083109391369</v>
      </c>
      <c r="D118" s="638">
        <v>0.95703308837373313</v>
      </c>
      <c r="F118" s="642">
        <f t="shared" si="8"/>
        <v>0.96650000000000003</v>
      </c>
      <c r="G118" s="642">
        <f t="shared" si="9"/>
        <v>0.95700000000000007</v>
      </c>
      <c r="J118" s="18">
        <v>8.3083109391368648E-4</v>
      </c>
      <c r="K118" s="18">
        <v>1.8295052686960744E-3</v>
      </c>
    </row>
    <row r="119" spans="1:11" x14ac:dyDescent="0.25">
      <c r="A119" s="17" t="s">
        <v>110</v>
      </c>
      <c r="B119" s="17" t="s">
        <v>617</v>
      </c>
      <c r="C119" s="638">
        <v>0.96653083109391369</v>
      </c>
      <c r="D119" s="638">
        <v>0.95703308837373313</v>
      </c>
      <c r="F119" s="642">
        <f t="shared" si="8"/>
        <v>0.96650000000000003</v>
      </c>
      <c r="G119" s="642">
        <f t="shared" si="9"/>
        <v>0.95700000000000007</v>
      </c>
      <c r="J119" s="18">
        <v>8.3083109391368648E-4</v>
      </c>
      <c r="K119" s="18">
        <v>1.8295052686960744E-3</v>
      </c>
    </row>
    <row r="120" spans="1:11" x14ac:dyDescent="0.25">
      <c r="A120" s="17" t="s">
        <v>110</v>
      </c>
      <c r="B120" s="17" t="s">
        <v>618</v>
      </c>
      <c r="C120" s="638">
        <v>0.96653083109391369</v>
      </c>
      <c r="D120" s="638">
        <v>0.95703308837373313</v>
      </c>
      <c r="F120" s="642">
        <f t="shared" si="8"/>
        <v>0.96650000000000003</v>
      </c>
      <c r="G120" s="642">
        <f t="shared" si="9"/>
        <v>0.95700000000000007</v>
      </c>
      <c r="J120" s="18">
        <v>8.3083109391368648E-4</v>
      </c>
      <c r="K120" s="18">
        <v>1.8295052686960744E-3</v>
      </c>
    </row>
    <row r="121" spans="1:11" x14ac:dyDescent="0.25">
      <c r="A121" s="17" t="s">
        <v>110</v>
      </c>
      <c r="B121" s="17" t="s">
        <v>619</v>
      </c>
      <c r="C121" s="638">
        <v>0.96653083109391369</v>
      </c>
      <c r="D121" s="638">
        <v>0.95703308837373313</v>
      </c>
      <c r="F121" s="642">
        <f t="shared" si="8"/>
        <v>0.96650000000000003</v>
      </c>
      <c r="G121" s="642">
        <f t="shared" si="9"/>
        <v>0.95700000000000007</v>
      </c>
      <c r="J121" s="18">
        <v>8.3083109391368648E-4</v>
      </c>
      <c r="K121" s="18">
        <v>1.8295052686960744E-3</v>
      </c>
    </row>
    <row r="122" spans="1:11" x14ac:dyDescent="0.25">
      <c r="A122" s="17" t="s">
        <v>110</v>
      </c>
      <c r="B122" s="17" t="s">
        <v>620</v>
      </c>
      <c r="C122" s="638">
        <v>0.96653083109391369</v>
      </c>
      <c r="D122" s="638">
        <v>0.95703308837373313</v>
      </c>
      <c r="F122" s="642">
        <f t="shared" si="8"/>
        <v>0.96650000000000003</v>
      </c>
      <c r="G122" s="642">
        <f t="shared" si="9"/>
        <v>0.95700000000000007</v>
      </c>
      <c r="J122" s="18">
        <v>8.3083109391368648E-4</v>
      </c>
      <c r="K122" s="18">
        <v>1.8295052686960744E-3</v>
      </c>
    </row>
    <row r="123" spans="1:11" x14ac:dyDescent="0.25">
      <c r="A123" s="17" t="s">
        <v>110</v>
      </c>
      <c r="B123" s="17" t="s">
        <v>621</v>
      </c>
      <c r="C123" s="638">
        <v>0.96653083109391369</v>
      </c>
      <c r="D123" s="638">
        <v>0.95703308837373313</v>
      </c>
      <c r="F123" s="642">
        <f t="shared" si="8"/>
        <v>0.96650000000000003</v>
      </c>
      <c r="G123" s="642">
        <f t="shared" si="9"/>
        <v>0.95700000000000007</v>
      </c>
      <c r="J123" s="18">
        <v>8.3083109391368648E-4</v>
      </c>
      <c r="K123" s="18">
        <v>1.8295052686960744E-3</v>
      </c>
    </row>
    <row r="124" spans="1:11" x14ac:dyDescent="0.25">
      <c r="A124" s="17" t="s">
        <v>110</v>
      </c>
      <c r="B124" s="17" t="s">
        <v>622</v>
      </c>
      <c r="C124" s="638">
        <v>0.96653083109391369</v>
      </c>
      <c r="D124" s="638">
        <v>0.95703308837373313</v>
      </c>
      <c r="F124" s="642">
        <f t="shared" si="8"/>
        <v>0.96650000000000003</v>
      </c>
      <c r="G124" s="642">
        <f t="shared" si="9"/>
        <v>0.95700000000000007</v>
      </c>
      <c r="J124" s="18">
        <v>8.3083109391368648E-4</v>
      </c>
      <c r="K124" s="18">
        <v>1.8295052686960744E-3</v>
      </c>
    </row>
    <row r="125" spans="1:11" x14ac:dyDescent="0.25">
      <c r="A125" s="17" t="s">
        <v>110</v>
      </c>
      <c r="B125" s="17" t="s">
        <v>623</v>
      </c>
      <c r="C125" s="638">
        <v>0.96653083109391369</v>
      </c>
      <c r="D125" s="638">
        <v>0.95703308837373313</v>
      </c>
      <c r="F125" s="642">
        <f t="shared" si="8"/>
        <v>0.96650000000000003</v>
      </c>
      <c r="G125" s="642">
        <f t="shared" si="9"/>
        <v>0.95700000000000007</v>
      </c>
      <c r="J125" s="18">
        <v>8.3083109391368648E-4</v>
      </c>
      <c r="K125" s="18">
        <v>1.8295052686960744E-3</v>
      </c>
    </row>
    <row r="126" spans="1:11" x14ac:dyDescent="0.25">
      <c r="A126" s="17" t="s">
        <v>110</v>
      </c>
      <c r="B126" s="17" t="s">
        <v>624</v>
      </c>
      <c r="C126" s="638">
        <v>0.96653083109391369</v>
      </c>
      <c r="D126" s="638">
        <v>0.95703308837373313</v>
      </c>
      <c r="F126" s="642">
        <f t="shared" si="8"/>
        <v>0.96650000000000003</v>
      </c>
      <c r="G126" s="642">
        <f t="shared" si="9"/>
        <v>0.95700000000000007</v>
      </c>
      <c r="J126" s="18">
        <v>8.3083109391368648E-4</v>
      </c>
      <c r="K126" s="18">
        <v>1.8295052686960744E-3</v>
      </c>
    </row>
    <row r="127" spans="1:11" x14ac:dyDescent="0.25">
      <c r="A127" s="17" t="s">
        <v>109</v>
      </c>
      <c r="B127" s="17" t="s">
        <v>625</v>
      </c>
      <c r="C127" s="638">
        <v>0.99873484093274356</v>
      </c>
      <c r="D127" s="638">
        <v>0.71681882790111229</v>
      </c>
      <c r="F127" s="642">
        <f t="shared" si="8"/>
        <v>0.99870000000000003</v>
      </c>
      <c r="G127" s="642">
        <f t="shared" si="9"/>
        <v>0.7168000000000001</v>
      </c>
      <c r="J127" s="18">
        <v>2.3484093274350748E-4</v>
      </c>
      <c r="K127" s="18">
        <v>6.5564828065527436E-3</v>
      </c>
    </row>
    <row r="128" spans="1:11" x14ac:dyDescent="0.25">
      <c r="A128" s="17" t="s">
        <v>109</v>
      </c>
      <c r="B128" s="17" t="s">
        <v>626</v>
      </c>
      <c r="C128" s="638">
        <v>0.99873484093274356</v>
      </c>
      <c r="D128" s="638">
        <v>0.71681882790111229</v>
      </c>
      <c r="F128" s="642">
        <f t="shared" si="8"/>
        <v>0.99870000000000003</v>
      </c>
      <c r="G128" s="642">
        <f t="shared" si="9"/>
        <v>0.7168000000000001</v>
      </c>
      <c r="J128" s="18">
        <v>2.3484093274350748E-4</v>
      </c>
      <c r="K128" s="18">
        <v>6.5564828065527436E-3</v>
      </c>
    </row>
    <row r="129" spans="1:11" x14ac:dyDescent="0.25">
      <c r="A129" s="17" t="s">
        <v>109</v>
      </c>
      <c r="B129" s="17" t="s">
        <v>627</v>
      </c>
      <c r="C129" s="638">
        <v>0.99873484093274356</v>
      </c>
      <c r="D129" s="638">
        <v>0.71681882790111229</v>
      </c>
      <c r="F129" s="642">
        <f t="shared" si="8"/>
        <v>0.99870000000000003</v>
      </c>
      <c r="G129" s="642">
        <f t="shared" si="9"/>
        <v>0.7168000000000001</v>
      </c>
      <c r="J129" s="18">
        <v>2.3484093274350748E-4</v>
      </c>
      <c r="K129" s="18">
        <v>6.5564828065527436E-3</v>
      </c>
    </row>
    <row r="130" spans="1:11" x14ac:dyDescent="0.25">
      <c r="A130" s="17" t="s">
        <v>109</v>
      </c>
      <c r="B130" s="17" t="s">
        <v>628</v>
      </c>
      <c r="C130" s="638">
        <v>0.99873484093274356</v>
      </c>
      <c r="D130" s="638">
        <v>0.71681882790111229</v>
      </c>
      <c r="F130" s="642">
        <f t="shared" ref="F130:F161" si="10">+ROUND(C130*100,2)/100</f>
        <v>0.99870000000000003</v>
      </c>
      <c r="G130" s="642">
        <f t="shared" ref="G130:G161" si="11">+ROUND(D130*100,2)/100</f>
        <v>0.7168000000000001</v>
      </c>
      <c r="J130" s="18">
        <v>2.3484093274350748E-4</v>
      </c>
      <c r="K130" s="18">
        <v>6.5564828065527436E-3</v>
      </c>
    </row>
    <row r="131" spans="1:11" x14ac:dyDescent="0.25">
      <c r="A131" s="17" t="s">
        <v>109</v>
      </c>
      <c r="B131" s="17" t="s">
        <v>629</v>
      </c>
      <c r="C131" s="638">
        <v>0.99873484093274356</v>
      </c>
      <c r="D131" s="638">
        <v>0.71681882790111229</v>
      </c>
      <c r="F131" s="642">
        <f t="shared" si="10"/>
        <v>0.99870000000000003</v>
      </c>
      <c r="G131" s="642">
        <f t="shared" si="11"/>
        <v>0.7168000000000001</v>
      </c>
      <c r="J131" s="18">
        <v>2.3484093274350748E-4</v>
      </c>
      <c r="K131" s="18">
        <v>6.5564828065527436E-3</v>
      </c>
    </row>
    <row r="132" spans="1:11" x14ac:dyDescent="0.25">
      <c r="A132" s="17" t="s">
        <v>109</v>
      </c>
      <c r="B132" s="17" t="s">
        <v>630</v>
      </c>
      <c r="C132" s="638">
        <v>0.99873484093274356</v>
      </c>
      <c r="D132" s="638">
        <v>0.71681882790111229</v>
      </c>
      <c r="F132" s="642">
        <f t="shared" si="10"/>
        <v>0.99870000000000003</v>
      </c>
      <c r="G132" s="642">
        <f t="shared" si="11"/>
        <v>0.7168000000000001</v>
      </c>
      <c r="J132" s="18">
        <v>2.3484093274350748E-4</v>
      </c>
      <c r="K132" s="18">
        <v>6.5564828065527436E-3</v>
      </c>
    </row>
    <row r="133" spans="1:11" x14ac:dyDescent="0.25">
      <c r="A133" s="17" t="s">
        <v>109</v>
      </c>
      <c r="B133" s="17" t="s">
        <v>631</v>
      </c>
      <c r="C133" s="638">
        <v>0.99873484093274356</v>
      </c>
      <c r="D133" s="638">
        <v>0.71681882790111229</v>
      </c>
      <c r="F133" s="642">
        <f t="shared" si="10"/>
        <v>0.99870000000000003</v>
      </c>
      <c r="G133" s="642">
        <f t="shared" si="11"/>
        <v>0.7168000000000001</v>
      </c>
      <c r="J133" s="18">
        <v>2.3484093274350748E-4</v>
      </c>
      <c r="K133" s="18">
        <v>6.5564828065527436E-3</v>
      </c>
    </row>
    <row r="134" spans="1:11" x14ac:dyDescent="0.25">
      <c r="A134" s="17" t="s">
        <v>109</v>
      </c>
      <c r="B134" s="17" t="s">
        <v>632</v>
      </c>
      <c r="C134" s="638">
        <v>0.99873484093274356</v>
      </c>
      <c r="D134" s="638">
        <v>0.71681882790111229</v>
      </c>
      <c r="F134" s="642">
        <f t="shared" si="10"/>
        <v>0.99870000000000003</v>
      </c>
      <c r="G134" s="642">
        <f t="shared" si="11"/>
        <v>0.7168000000000001</v>
      </c>
      <c r="J134" s="18">
        <v>2.3484093274350748E-4</v>
      </c>
      <c r="K134" s="18">
        <v>6.5564828065527436E-3</v>
      </c>
    </row>
    <row r="135" spans="1:11" x14ac:dyDescent="0.25">
      <c r="A135" s="17" t="s">
        <v>109</v>
      </c>
      <c r="B135" s="17" t="s">
        <v>633</v>
      </c>
      <c r="C135" s="638">
        <v>0.99873484093274356</v>
      </c>
      <c r="D135" s="638">
        <v>0.71681882790111229</v>
      </c>
      <c r="F135" s="642">
        <f t="shared" si="10"/>
        <v>0.99870000000000003</v>
      </c>
      <c r="G135" s="642">
        <f t="shared" si="11"/>
        <v>0.7168000000000001</v>
      </c>
      <c r="J135" s="18">
        <v>2.3484093274350748E-4</v>
      </c>
      <c r="K135" s="18">
        <v>6.5564828065527436E-3</v>
      </c>
    </row>
    <row r="136" spans="1:11" x14ac:dyDescent="0.25">
      <c r="A136" s="17" t="s">
        <v>109</v>
      </c>
      <c r="B136" s="17" t="s">
        <v>634</v>
      </c>
      <c r="C136" s="638">
        <v>0.99873484093274356</v>
      </c>
      <c r="D136" s="638">
        <v>0.71681882790111229</v>
      </c>
      <c r="F136" s="642">
        <f t="shared" si="10"/>
        <v>0.99870000000000003</v>
      </c>
      <c r="G136" s="642">
        <f t="shared" si="11"/>
        <v>0.7168000000000001</v>
      </c>
      <c r="J136" s="18">
        <v>2.3484093274350748E-4</v>
      </c>
      <c r="K136" s="18">
        <v>6.5564828065527436E-3</v>
      </c>
    </row>
    <row r="137" spans="1:11" x14ac:dyDescent="0.25">
      <c r="A137" s="17" t="s">
        <v>109</v>
      </c>
      <c r="B137" s="17" t="s">
        <v>635</v>
      </c>
      <c r="C137" s="638">
        <v>0.99873484093274356</v>
      </c>
      <c r="D137" s="638">
        <v>0.71681882790111229</v>
      </c>
      <c r="F137" s="642">
        <f t="shared" si="10"/>
        <v>0.99870000000000003</v>
      </c>
      <c r="G137" s="642">
        <f t="shared" si="11"/>
        <v>0.7168000000000001</v>
      </c>
      <c r="J137" s="18">
        <v>2.3484093274350748E-4</v>
      </c>
      <c r="K137" s="18">
        <v>6.5564828065527436E-3</v>
      </c>
    </row>
    <row r="138" spans="1:11" x14ac:dyDescent="0.25">
      <c r="A138" s="17" t="s">
        <v>109</v>
      </c>
      <c r="B138" s="17" t="s">
        <v>636</v>
      </c>
      <c r="C138" s="638">
        <v>0.99873484093274356</v>
      </c>
      <c r="D138" s="638">
        <v>0.71681882790111229</v>
      </c>
      <c r="F138" s="642">
        <f t="shared" si="10"/>
        <v>0.99870000000000003</v>
      </c>
      <c r="G138" s="642">
        <f t="shared" si="11"/>
        <v>0.7168000000000001</v>
      </c>
      <c r="J138" s="18">
        <v>2.3484093274350748E-4</v>
      </c>
      <c r="K138" s="18">
        <v>6.5564828065527436E-3</v>
      </c>
    </row>
    <row r="139" spans="1:11" x14ac:dyDescent="0.25">
      <c r="A139" s="17" t="s">
        <v>109</v>
      </c>
      <c r="B139" s="17" t="s">
        <v>637</v>
      </c>
      <c r="C139" s="638">
        <v>0.99873484093274356</v>
      </c>
      <c r="D139" s="638">
        <v>0.71681882790111229</v>
      </c>
      <c r="F139" s="642">
        <f t="shared" si="10"/>
        <v>0.99870000000000003</v>
      </c>
      <c r="G139" s="642">
        <f t="shared" si="11"/>
        <v>0.7168000000000001</v>
      </c>
      <c r="J139" s="18">
        <v>2.3484093274350748E-4</v>
      </c>
      <c r="K139" s="18">
        <v>6.5564828065527436E-3</v>
      </c>
    </row>
    <row r="140" spans="1:11" x14ac:dyDescent="0.25">
      <c r="A140" s="17" t="s">
        <v>109</v>
      </c>
      <c r="B140" s="17" t="s">
        <v>638</v>
      </c>
      <c r="C140" s="638">
        <v>0.99873484093274356</v>
      </c>
      <c r="D140" s="638">
        <v>0.71681882790111229</v>
      </c>
      <c r="F140" s="642">
        <f t="shared" si="10"/>
        <v>0.99870000000000003</v>
      </c>
      <c r="G140" s="642">
        <f t="shared" si="11"/>
        <v>0.7168000000000001</v>
      </c>
      <c r="J140" s="18">
        <v>2.3484093274350748E-4</v>
      </c>
      <c r="K140" s="18">
        <v>6.5564828065527436E-3</v>
      </c>
    </row>
    <row r="141" spans="1:11" x14ac:dyDescent="0.25">
      <c r="A141" s="17" t="s">
        <v>109</v>
      </c>
      <c r="B141" s="17" t="s">
        <v>639</v>
      </c>
      <c r="C141" s="638">
        <v>0.99873484093274356</v>
      </c>
      <c r="D141" s="638">
        <v>0.71681882790111229</v>
      </c>
      <c r="F141" s="642">
        <f t="shared" si="10"/>
        <v>0.99870000000000003</v>
      </c>
      <c r="G141" s="642">
        <f t="shared" si="11"/>
        <v>0.7168000000000001</v>
      </c>
      <c r="J141" s="18">
        <v>2.3484093274350748E-4</v>
      </c>
      <c r="K141" s="18">
        <v>6.5564828065527436E-3</v>
      </c>
    </row>
    <row r="142" spans="1:11" x14ac:dyDescent="0.25">
      <c r="A142" s="17" t="s">
        <v>109</v>
      </c>
      <c r="B142" s="17" t="s">
        <v>640</v>
      </c>
      <c r="C142" s="638">
        <v>0.99873484093274356</v>
      </c>
      <c r="D142" s="638">
        <v>0.71681882790111229</v>
      </c>
      <c r="F142" s="642">
        <f t="shared" si="10"/>
        <v>0.99870000000000003</v>
      </c>
      <c r="G142" s="642">
        <f t="shared" si="11"/>
        <v>0.7168000000000001</v>
      </c>
      <c r="J142" s="18">
        <v>2.3484093274350748E-4</v>
      </c>
      <c r="K142" s="18">
        <v>6.5564828065527436E-3</v>
      </c>
    </row>
    <row r="143" spans="1:11" x14ac:dyDescent="0.25">
      <c r="A143" s="17" t="s">
        <v>109</v>
      </c>
      <c r="B143" s="17" t="s">
        <v>641</v>
      </c>
      <c r="C143" s="638">
        <v>0.99873484093274356</v>
      </c>
      <c r="D143" s="638">
        <v>0.71681882790111229</v>
      </c>
      <c r="F143" s="642">
        <f t="shared" si="10"/>
        <v>0.99870000000000003</v>
      </c>
      <c r="G143" s="642">
        <f t="shared" si="11"/>
        <v>0.7168000000000001</v>
      </c>
      <c r="J143" s="18">
        <v>2.3484093274350748E-4</v>
      </c>
      <c r="K143" s="18">
        <v>6.5564828065527436E-3</v>
      </c>
    </row>
    <row r="144" spans="1:11" x14ac:dyDescent="0.25">
      <c r="A144" s="17" t="s">
        <v>109</v>
      </c>
      <c r="B144" s="17" t="s">
        <v>642</v>
      </c>
      <c r="C144" s="638">
        <v>0.99873484093274356</v>
      </c>
      <c r="D144" s="638">
        <v>0.71681882790111229</v>
      </c>
      <c r="F144" s="642">
        <f t="shared" si="10"/>
        <v>0.99870000000000003</v>
      </c>
      <c r="G144" s="642">
        <f t="shared" si="11"/>
        <v>0.7168000000000001</v>
      </c>
      <c r="J144" s="18">
        <v>2.3484093274350748E-4</v>
      </c>
      <c r="K144" s="18">
        <v>6.5564828065527436E-3</v>
      </c>
    </row>
    <row r="145" spans="1:11" x14ac:dyDescent="0.25">
      <c r="A145" s="17" t="s">
        <v>109</v>
      </c>
      <c r="B145" s="17" t="s">
        <v>643</v>
      </c>
      <c r="C145" s="638">
        <v>0.99873484093274356</v>
      </c>
      <c r="D145" s="638">
        <v>0.71681882790111229</v>
      </c>
      <c r="F145" s="642">
        <f t="shared" si="10"/>
        <v>0.99870000000000003</v>
      </c>
      <c r="G145" s="642">
        <f t="shared" si="11"/>
        <v>0.7168000000000001</v>
      </c>
      <c r="J145" s="18">
        <v>2.3484093274350748E-4</v>
      </c>
      <c r="K145" s="18">
        <v>6.5564828065527436E-3</v>
      </c>
    </row>
    <row r="146" spans="1:11" x14ac:dyDescent="0.25">
      <c r="A146" s="17" t="s">
        <v>109</v>
      </c>
      <c r="B146" s="17" t="s">
        <v>644</v>
      </c>
      <c r="C146" s="638">
        <v>0.99873484093274356</v>
      </c>
      <c r="D146" s="638">
        <v>0.71681882790111229</v>
      </c>
      <c r="F146" s="642">
        <f t="shared" si="10"/>
        <v>0.99870000000000003</v>
      </c>
      <c r="G146" s="642">
        <f t="shared" si="11"/>
        <v>0.7168000000000001</v>
      </c>
      <c r="J146" s="18">
        <v>2.3484093274350748E-4</v>
      </c>
      <c r="K146" s="18">
        <v>6.5564828065527436E-3</v>
      </c>
    </row>
    <row r="147" spans="1:11" x14ac:dyDescent="0.25">
      <c r="A147" s="17" t="s">
        <v>109</v>
      </c>
      <c r="B147" s="17" t="s">
        <v>645</v>
      </c>
      <c r="C147" s="638">
        <v>0.99873484093274356</v>
      </c>
      <c r="D147" s="638">
        <v>0.71681882790111229</v>
      </c>
      <c r="F147" s="642">
        <f t="shared" si="10"/>
        <v>0.99870000000000003</v>
      </c>
      <c r="G147" s="642">
        <f t="shared" si="11"/>
        <v>0.7168000000000001</v>
      </c>
      <c r="J147" s="18">
        <v>2.3484093274350748E-4</v>
      </c>
      <c r="K147" s="18">
        <v>6.5564828065527436E-3</v>
      </c>
    </row>
    <row r="148" spans="1:11" x14ac:dyDescent="0.25">
      <c r="A148" s="17" t="s">
        <v>109</v>
      </c>
      <c r="B148" s="17" t="s">
        <v>646</v>
      </c>
      <c r="C148" s="638">
        <v>0.99873484093274356</v>
      </c>
      <c r="D148" s="638">
        <v>0.71681882790111229</v>
      </c>
      <c r="F148" s="642">
        <f t="shared" si="10"/>
        <v>0.99870000000000003</v>
      </c>
      <c r="G148" s="642">
        <f t="shared" si="11"/>
        <v>0.7168000000000001</v>
      </c>
      <c r="J148" s="18">
        <v>2.3484093274350748E-4</v>
      </c>
      <c r="K148" s="18">
        <v>6.5564828065527436E-3</v>
      </c>
    </row>
    <row r="149" spans="1:11" x14ac:dyDescent="0.25">
      <c r="A149" s="17" t="s">
        <v>109</v>
      </c>
      <c r="B149" s="17" t="s">
        <v>647</v>
      </c>
      <c r="C149" s="638">
        <v>0.99873484093274356</v>
      </c>
      <c r="D149" s="638">
        <v>0.71681882790111229</v>
      </c>
      <c r="F149" s="642">
        <f t="shared" si="10"/>
        <v>0.99870000000000003</v>
      </c>
      <c r="G149" s="642">
        <f t="shared" si="11"/>
        <v>0.7168000000000001</v>
      </c>
      <c r="J149" s="18">
        <v>2.3484093274350748E-4</v>
      </c>
      <c r="K149" s="18">
        <v>6.5564828065527436E-3</v>
      </c>
    </row>
    <row r="150" spans="1:11" x14ac:dyDescent="0.25">
      <c r="A150" s="17" t="s">
        <v>109</v>
      </c>
      <c r="B150" s="17" t="s">
        <v>648</v>
      </c>
      <c r="C150" s="638">
        <v>0.99873484093274356</v>
      </c>
      <c r="D150" s="638">
        <v>0.71681882790111229</v>
      </c>
      <c r="F150" s="642">
        <f t="shared" si="10"/>
        <v>0.99870000000000003</v>
      </c>
      <c r="G150" s="642">
        <f t="shared" si="11"/>
        <v>0.7168000000000001</v>
      </c>
      <c r="J150" s="18">
        <v>2.3484093274350748E-4</v>
      </c>
      <c r="K150" s="18">
        <v>6.5564828065527436E-3</v>
      </c>
    </row>
    <row r="151" spans="1:11" x14ac:dyDescent="0.25">
      <c r="A151" s="17" t="s">
        <v>109</v>
      </c>
      <c r="B151" s="17" t="s">
        <v>649</v>
      </c>
      <c r="C151" s="638">
        <v>0.99873484093274356</v>
      </c>
      <c r="D151" s="638">
        <v>0.71681882790111229</v>
      </c>
      <c r="F151" s="642">
        <f t="shared" si="10"/>
        <v>0.99870000000000003</v>
      </c>
      <c r="G151" s="642">
        <f t="shared" si="11"/>
        <v>0.7168000000000001</v>
      </c>
      <c r="J151" s="18">
        <v>2.3484093274350748E-4</v>
      </c>
      <c r="K151" s="18">
        <v>6.5564828065527436E-3</v>
      </c>
    </row>
    <row r="152" spans="1:11" x14ac:dyDescent="0.25">
      <c r="A152" s="17" t="s">
        <v>109</v>
      </c>
      <c r="B152" s="17" t="s">
        <v>650</v>
      </c>
      <c r="C152" s="638">
        <v>0.99873484093274356</v>
      </c>
      <c r="D152" s="638">
        <v>0.71681882790111229</v>
      </c>
      <c r="F152" s="642">
        <f t="shared" si="10"/>
        <v>0.99870000000000003</v>
      </c>
      <c r="G152" s="642">
        <f t="shared" si="11"/>
        <v>0.7168000000000001</v>
      </c>
      <c r="J152" s="18">
        <v>2.3484093274350748E-4</v>
      </c>
      <c r="K152" s="18">
        <v>6.5564828065527436E-3</v>
      </c>
    </row>
    <row r="153" spans="1:11" x14ac:dyDescent="0.25">
      <c r="A153" s="17" t="s">
        <v>109</v>
      </c>
      <c r="B153" s="17" t="s">
        <v>651</v>
      </c>
      <c r="C153" s="638">
        <v>0.99873484093274356</v>
      </c>
      <c r="D153" s="638">
        <v>0.71681882790111229</v>
      </c>
      <c r="F153" s="642">
        <f t="shared" si="10"/>
        <v>0.99870000000000003</v>
      </c>
      <c r="G153" s="642">
        <f t="shared" si="11"/>
        <v>0.7168000000000001</v>
      </c>
      <c r="J153" s="18">
        <v>2.3484093274350748E-4</v>
      </c>
      <c r="K153" s="18">
        <v>6.5564828065527436E-3</v>
      </c>
    </row>
    <row r="154" spans="1:11" x14ac:dyDescent="0.25">
      <c r="A154" s="17" t="s">
        <v>109</v>
      </c>
      <c r="B154" s="17" t="s">
        <v>652</v>
      </c>
      <c r="C154" s="638">
        <v>0.99873484093274356</v>
      </c>
      <c r="D154" s="638">
        <v>0.71681882790111229</v>
      </c>
      <c r="F154" s="642">
        <f t="shared" si="10"/>
        <v>0.99870000000000003</v>
      </c>
      <c r="G154" s="642">
        <f t="shared" si="11"/>
        <v>0.7168000000000001</v>
      </c>
      <c r="J154" s="18">
        <v>2.3484093274350748E-4</v>
      </c>
      <c r="K154" s="18">
        <v>6.5564828065527436E-3</v>
      </c>
    </row>
    <row r="155" spans="1:11" x14ac:dyDescent="0.25">
      <c r="A155" s="17" t="s">
        <v>294</v>
      </c>
      <c r="B155" s="17" t="s">
        <v>571</v>
      </c>
      <c r="C155" s="638">
        <v>1</v>
      </c>
      <c r="D155" s="638">
        <v>0.96510202634628872</v>
      </c>
      <c r="F155" s="642">
        <f t="shared" si="10"/>
        <v>1</v>
      </c>
      <c r="G155" s="642">
        <f t="shared" si="11"/>
        <v>0.96510000000000007</v>
      </c>
      <c r="J155" s="18">
        <v>0</v>
      </c>
      <c r="K155" s="18">
        <v>1.6707236182017526E-3</v>
      </c>
    </row>
    <row r="156" spans="1:11" x14ac:dyDescent="0.25">
      <c r="A156" s="17" t="s">
        <v>294</v>
      </c>
      <c r="B156" s="17" t="s">
        <v>653</v>
      </c>
      <c r="C156" s="638">
        <v>1</v>
      </c>
      <c r="D156" s="638">
        <v>0.96510202634628872</v>
      </c>
      <c r="F156" s="642">
        <f t="shared" si="10"/>
        <v>1</v>
      </c>
      <c r="G156" s="642">
        <f t="shared" si="11"/>
        <v>0.96510000000000007</v>
      </c>
      <c r="J156" s="18">
        <v>0</v>
      </c>
      <c r="K156" s="18">
        <v>1.6707236182017526E-3</v>
      </c>
    </row>
    <row r="157" spans="1:11" x14ac:dyDescent="0.25">
      <c r="A157" s="17" t="s">
        <v>294</v>
      </c>
      <c r="B157" s="17" t="s">
        <v>654</v>
      </c>
      <c r="C157" s="638">
        <v>1</v>
      </c>
      <c r="D157" s="638">
        <v>0.96510202634628872</v>
      </c>
      <c r="F157" s="642">
        <f t="shared" si="10"/>
        <v>1</v>
      </c>
      <c r="G157" s="642">
        <f t="shared" si="11"/>
        <v>0.96510000000000007</v>
      </c>
      <c r="J157" s="18">
        <v>0</v>
      </c>
      <c r="K157" s="18">
        <v>1.6707236182017526E-3</v>
      </c>
    </row>
    <row r="158" spans="1:11" x14ac:dyDescent="0.25">
      <c r="A158" s="17" t="s">
        <v>294</v>
      </c>
      <c r="B158" s="17" t="s">
        <v>655</v>
      </c>
      <c r="C158" s="638">
        <v>1</v>
      </c>
      <c r="D158" s="638">
        <v>0.96510202634628872</v>
      </c>
      <c r="F158" s="642">
        <f t="shared" si="10"/>
        <v>1</v>
      </c>
      <c r="G158" s="642">
        <f t="shared" si="11"/>
        <v>0.96510000000000007</v>
      </c>
      <c r="J158" s="18">
        <v>0</v>
      </c>
      <c r="K158" s="18">
        <v>1.6707236182017526E-3</v>
      </c>
    </row>
    <row r="159" spans="1:11" x14ac:dyDescent="0.25">
      <c r="A159" s="17" t="s">
        <v>294</v>
      </c>
      <c r="B159" s="17" t="s">
        <v>656</v>
      </c>
      <c r="C159" s="638">
        <v>1</v>
      </c>
      <c r="D159" s="638">
        <v>0.96510202634628872</v>
      </c>
      <c r="F159" s="642">
        <f t="shared" si="10"/>
        <v>1</v>
      </c>
      <c r="G159" s="642">
        <f t="shared" si="11"/>
        <v>0.96510000000000007</v>
      </c>
      <c r="J159" s="18">
        <v>0</v>
      </c>
      <c r="K159" s="18">
        <v>1.6707236182017526E-3</v>
      </c>
    </row>
    <row r="160" spans="1:11" x14ac:dyDescent="0.25">
      <c r="A160" s="17" t="s">
        <v>294</v>
      </c>
      <c r="B160" s="17" t="s">
        <v>657</v>
      </c>
      <c r="C160" s="638">
        <v>1</v>
      </c>
      <c r="D160" s="638">
        <v>0.96510202634628872</v>
      </c>
      <c r="F160" s="642">
        <f t="shared" si="10"/>
        <v>1</v>
      </c>
      <c r="G160" s="642">
        <f t="shared" si="11"/>
        <v>0.96510000000000007</v>
      </c>
      <c r="J160" s="18">
        <v>0</v>
      </c>
      <c r="K160" s="18">
        <v>1.6707236182017526E-3</v>
      </c>
    </row>
    <row r="161" spans="1:11" x14ac:dyDescent="0.25">
      <c r="A161" s="17" t="s">
        <v>294</v>
      </c>
      <c r="B161" s="17" t="s">
        <v>658</v>
      </c>
      <c r="C161" s="638">
        <v>1</v>
      </c>
      <c r="D161" s="638">
        <v>0.96510202634628872</v>
      </c>
      <c r="F161" s="642">
        <f t="shared" si="10"/>
        <v>1</v>
      </c>
      <c r="G161" s="642">
        <f t="shared" si="11"/>
        <v>0.96510000000000007</v>
      </c>
      <c r="J161" s="18">
        <v>0</v>
      </c>
      <c r="K161" s="18">
        <v>1.6707236182017526E-3</v>
      </c>
    </row>
    <row r="162" spans="1:11" x14ac:dyDescent="0.25">
      <c r="A162" s="17" t="s">
        <v>294</v>
      </c>
      <c r="B162" s="17" t="s">
        <v>659</v>
      </c>
      <c r="C162" s="638">
        <v>1</v>
      </c>
      <c r="D162" s="638">
        <v>0.96510202634628872</v>
      </c>
      <c r="F162" s="642">
        <f t="shared" ref="F162:F174" si="12">+ROUND(C162*100,2)/100</f>
        <v>1</v>
      </c>
      <c r="G162" s="642">
        <f t="shared" ref="G162:G174" si="13">+ROUND(D162*100,2)/100</f>
        <v>0.96510000000000007</v>
      </c>
      <c r="J162" s="18">
        <v>0</v>
      </c>
      <c r="K162" s="18">
        <v>1.6707236182017526E-3</v>
      </c>
    </row>
    <row r="163" spans="1:11" x14ac:dyDescent="0.25">
      <c r="A163" s="17" t="s">
        <v>294</v>
      </c>
      <c r="B163" s="17" t="s">
        <v>660</v>
      </c>
      <c r="C163" s="638">
        <v>1</v>
      </c>
      <c r="D163" s="638">
        <v>0.96510202634628872</v>
      </c>
      <c r="F163" s="642">
        <f t="shared" si="12"/>
        <v>1</v>
      </c>
      <c r="G163" s="642">
        <f t="shared" si="13"/>
        <v>0.96510000000000007</v>
      </c>
      <c r="J163" s="18">
        <v>0</v>
      </c>
      <c r="K163" s="18">
        <v>1.6707236182017526E-3</v>
      </c>
    </row>
    <row r="164" spans="1:11" x14ac:dyDescent="0.25">
      <c r="A164" s="17" t="s">
        <v>294</v>
      </c>
      <c r="B164" s="17" t="s">
        <v>661</v>
      </c>
      <c r="C164" s="638">
        <v>1</v>
      </c>
      <c r="D164" s="638">
        <v>0.96510202634628872</v>
      </c>
      <c r="F164" s="642">
        <f t="shared" si="12"/>
        <v>1</v>
      </c>
      <c r="G164" s="642">
        <f t="shared" si="13"/>
        <v>0.96510000000000007</v>
      </c>
      <c r="H164" s="290"/>
      <c r="J164" s="18">
        <v>0</v>
      </c>
      <c r="K164" s="18">
        <v>1.6707236182017526E-3</v>
      </c>
    </row>
    <row r="165" spans="1:11" x14ac:dyDescent="0.25">
      <c r="A165" s="17" t="s">
        <v>294</v>
      </c>
      <c r="B165" s="17" t="s">
        <v>662</v>
      </c>
      <c r="C165" s="638">
        <v>1</v>
      </c>
      <c r="D165" s="638">
        <v>0.96510202634628872</v>
      </c>
      <c r="F165" s="642">
        <f t="shared" si="12"/>
        <v>1</v>
      </c>
      <c r="G165" s="642">
        <f t="shared" si="13"/>
        <v>0.96510000000000007</v>
      </c>
      <c r="J165" s="18">
        <v>0</v>
      </c>
      <c r="K165" s="18">
        <v>1.6707236182017526E-3</v>
      </c>
    </row>
    <row r="166" spans="1:11" x14ac:dyDescent="0.25">
      <c r="A166" s="17" t="s">
        <v>294</v>
      </c>
      <c r="B166" s="17" t="s">
        <v>663</v>
      </c>
      <c r="C166" s="638">
        <v>1</v>
      </c>
      <c r="D166" s="638">
        <v>0.96510202634628872</v>
      </c>
      <c r="F166" s="642">
        <f t="shared" si="12"/>
        <v>1</v>
      </c>
      <c r="G166" s="642">
        <f t="shared" si="13"/>
        <v>0.96510000000000007</v>
      </c>
      <c r="J166" s="18">
        <v>0</v>
      </c>
      <c r="K166" s="18">
        <v>1.6707236182017526E-3</v>
      </c>
    </row>
    <row r="167" spans="1:11" x14ac:dyDescent="0.25">
      <c r="A167" s="17" t="s">
        <v>294</v>
      </c>
      <c r="B167" s="17" t="s">
        <v>664</v>
      </c>
      <c r="C167" s="638">
        <v>1</v>
      </c>
      <c r="D167" s="638">
        <v>0.96510202634628872</v>
      </c>
      <c r="F167" s="642">
        <f t="shared" si="12"/>
        <v>1</v>
      </c>
      <c r="G167" s="642">
        <f t="shared" si="13"/>
        <v>0.96510000000000007</v>
      </c>
      <c r="J167" s="18">
        <v>0</v>
      </c>
      <c r="K167" s="18">
        <v>1.6707236182017526E-3</v>
      </c>
    </row>
    <row r="168" spans="1:11" x14ac:dyDescent="0.25">
      <c r="A168" s="17" t="s">
        <v>665</v>
      </c>
      <c r="B168" s="17" t="s">
        <v>666</v>
      </c>
      <c r="C168" s="638">
        <v>1</v>
      </c>
      <c r="D168" s="638">
        <v>0.79083651065225435</v>
      </c>
      <c r="F168" s="642">
        <f t="shared" si="12"/>
        <v>1</v>
      </c>
      <c r="G168" s="642">
        <f t="shared" si="13"/>
        <v>0.79079999999999995</v>
      </c>
      <c r="J168" s="18">
        <v>0</v>
      </c>
      <c r="K168" s="18">
        <v>5.0999439567781524E-3</v>
      </c>
    </row>
    <row r="169" spans="1:11" x14ac:dyDescent="0.25">
      <c r="A169" s="17" t="s">
        <v>665</v>
      </c>
      <c r="B169" s="17" t="s">
        <v>667</v>
      </c>
      <c r="C169" s="638">
        <v>1</v>
      </c>
      <c r="D169" s="638">
        <v>0.79083651065225435</v>
      </c>
      <c r="F169" s="642">
        <f t="shared" si="12"/>
        <v>1</v>
      </c>
      <c r="G169" s="642">
        <f t="shared" si="13"/>
        <v>0.79079999999999995</v>
      </c>
      <c r="J169" s="18">
        <v>0</v>
      </c>
      <c r="K169" s="18">
        <v>5.0999439567781524E-3</v>
      </c>
    </row>
    <row r="170" spans="1:11" x14ac:dyDescent="0.25">
      <c r="A170" s="17" t="s">
        <v>665</v>
      </c>
      <c r="B170" s="17" t="s">
        <v>668</v>
      </c>
      <c r="C170" s="638">
        <v>1</v>
      </c>
      <c r="D170" s="638">
        <v>0.79083651065225435</v>
      </c>
      <c r="F170" s="642">
        <f t="shared" si="12"/>
        <v>1</v>
      </c>
      <c r="G170" s="642">
        <f t="shared" si="13"/>
        <v>0.79079999999999995</v>
      </c>
      <c r="J170" s="18">
        <v>0</v>
      </c>
      <c r="K170" s="18">
        <v>5.0999439567781524E-3</v>
      </c>
    </row>
    <row r="171" spans="1:11" x14ac:dyDescent="0.25">
      <c r="A171" s="17" t="s">
        <v>665</v>
      </c>
      <c r="B171" s="17" t="s">
        <v>669</v>
      </c>
      <c r="C171" s="638">
        <v>1</v>
      </c>
      <c r="D171" s="638">
        <v>0.79083651065225435</v>
      </c>
      <c r="F171" s="642">
        <f t="shared" si="12"/>
        <v>1</v>
      </c>
      <c r="G171" s="642">
        <f t="shared" si="13"/>
        <v>0.79079999999999995</v>
      </c>
      <c r="J171" s="18">
        <v>0</v>
      </c>
      <c r="K171" s="18">
        <v>5.0999439567781524E-3</v>
      </c>
    </row>
    <row r="172" spans="1:11" x14ac:dyDescent="0.25">
      <c r="A172" s="17" t="s">
        <v>443</v>
      </c>
      <c r="B172" s="17" t="s">
        <v>670</v>
      </c>
      <c r="C172" s="638">
        <v>1</v>
      </c>
      <c r="D172" s="638">
        <v>0.77509196037151307</v>
      </c>
      <c r="F172" s="642">
        <f t="shared" si="12"/>
        <v>1</v>
      </c>
      <c r="G172" s="642">
        <f t="shared" si="13"/>
        <v>0.77510000000000001</v>
      </c>
      <c r="J172" s="18">
        <v>0</v>
      </c>
      <c r="K172" s="18">
        <v>5.4097673422560666E-3</v>
      </c>
    </row>
    <row r="173" spans="1:11" x14ac:dyDescent="0.25">
      <c r="A173" s="17" t="s">
        <v>443</v>
      </c>
      <c r="B173" s="17" t="s">
        <v>671</v>
      </c>
      <c r="C173" s="638">
        <v>1</v>
      </c>
      <c r="D173" s="638">
        <v>0.77509196037151307</v>
      </c>
      <c r="F173" s="642">
        <f t="shared" si="12"/>
        <v>1</v>
      </c>
      <c r="G173" s="642">
        <f t="shared" si="13"/>
        <v>0.77510000000000001</v>
      </c>
      <c r="J173" s="18">
        <v>0</v>
      </c>
      <c r="K173" s="18">
        <v>5.4097673422560666E-3</v>
      </c>
    </row>
    <row r="174" spans="1:11" x14ac:dyDescent="0.25">
      <c r="A174" s="17" t="s">
        <v>114</v>
      </c>
      <c r="B174" s="17" t="s">
        <v>672</v>
      </c>
      <c r="C174" s="638">
        <v>1</v>
      </c>
      <c r="D174" s="638">
        <v>0.7433515658795542</v>
      </c>
      <c r="F174" s="642">
        <f t="shared" si="12"/>
        <v>1</v>
      </c>
      <c r="G174" s="642">
        <f t="shared" si="13"/>
        <v>0.74340000000000006</v>
      </c>
      <c r="J174" s="18">
        <v>0</v>
      </c>
      <c r="K174" s="18">
        <v>6.0343591090938897E-3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BR167"/>
  <sheetViews>
    <sheetView showGridLines="0" topLeftCell="AD37" zoomScaleNormal="100" workbookViewId="0">
      <selection activeCell="AL53" sqref="AL53"/>
    </sheetView>
  </sheetViews>
  <sheetFormatPr baseColWidth="10" defaultRowHeight="15" x14ac:dyDescent="0.25"/>
  <cols>
    <col min="1" max="1" width="23.85546875" customWidth="1"/>
    <col min="2" max="2" width="13.85546875" customWidth="1"/>
    <col min="3" max="3" width="13.140625" customWidth="1"/>
    <col min="4" max="4" width="14.140625" customWidth="1"/>
    <col min="5" max="7" width="13.140625" customWidth="1"/>
    <col min="8" max="8" width="12.85546875" customWidth="1"/>
    <col min="9" max="9" width="13.140625" customWidth="1"/>
    <col min="10" max="10" width="11.140625" customWidth="1"/>
    <col min="11" max="13" width="12.85546875" customWidth="1"/>
    <col min="14" max="18" width="11.140625" customWidth="1"/>
    <col min="19" max="20" width="13.5703125" customWidth="1"/>
    <col min="21" max="22" width="11.140625" customWidth="1"/>
    <col min="23" max="24" width="13.140625" customWidth="1"/>
    <col min="25" max="25" width="11.140625" customWidth="1"/>
    <col min="26" max="26" width="14.140625" customWidth="1"/>
    <col min="27" max="27" width="12.85546875" customWidth="1"/>
    <col min="28" max="28" width="11.140625" customWidth="1"/>
    <col min="29" max="29" width="13" customWidth="1"/>
    <col min="30" max="30" width="14.7109375" customWidth="1"/>
    <col min="31" max="31" width="15.140625" customWidth="1"/>
    <col min="32" max="32" width="13.5703125" customWidth="1"/>
    <col min="33" max="33" width="13" customWidth="1"/>
    <col min="36" max="36" width="20.28515625" customWidth="1"/>
    <col min="38" max="42" width="12.140625" bestFit="1" customWidth="1"/>
    <col min="43" max="43" width="11.85546875" bestFit="1" customWidth="1"/>
    <col min="44" max="44" width="12.140625" bestFit="1" customWidth="1"/>
  </cols>
  <sheetData>
    <row r="1" spans="1:46" x14ac:dyDescent="0.25">
      <c r="A1" s="15" t="s">
        <v>74</v>
      </c>
    </row>
    <row r="2" spans="1:46" x14ac:dyDescent="0.25">
      <c r="A2" s="16" t="s">
        <v>75</v>
      </c>
      <c r="B2" s="16"/>
      <c r="C2" s="16"/>
      <c r="D2" s="16"/>
      <c r="AB2" s="334">
        <v>2016</v>
      </c>
      <c r="AC2" s="334">
        <v>2017</v>
      </c>
      <c r="AD2" s="334">
        <v>2018</v>
      </c>
      <c r="AE2" s="335">
        <v>2019</v>
      </c>
      <c r="AF2" s="335">
        <v>2020</v>
      </c>
      <c r="AG2" s="336">
        <v>2021</v>
      </c>
    </row>
    <row r="3" spans="1:46" x14ac:dyDescent="0.25">
      <c r="Y3" t="s">
        <v>469</v>
      </c>
      <c r="AB3" s="18">
        <v>5.7500000000000002E-2</v>
      </c>
      <c r="AC3" s="18">
        <v>4.0899999999999999E-2</v>
      </c>
      <c r="AD3" s="18">
        <v>3.1800000000000002E-2</v>
      </c>
      <c r="AE3" s="18">
        <v>3.7999999999999999E-2</v>
      </c>
      <c r="AF3" s="18">
        <v>1.61E-2</v>
      </c>
      <c r="AG3" s="250">
        <v>5.62E-2</v>
      </c>
    </row>
    <row r="4" spans="1:46" x14ac:dyDescent="0.25">
      <c r="B4" s="334">
        <v>2013</v>
      </c>
      <c r="C4" s="334">
        <v>2014</v>
      </c>
      <c r="D4" s="334">
        <v>2015</v>
      </c>
      <c r="E4" s="334">
        <v>2016</v>
      </c>
      <c r="F4" s="334">
        <v>2017</v>
      </c>
      <c r="G4" s="334">
        <v>2018</v>
      </c>
      <c r="H4" s="335">
        <v>2019</v>
      </c>
      <c r="I4" s="335">
        <v>2020</v>
      </c>
      <c r="J4" s="335">
        <v>2021</v>
      </c>
      <c r="K4" s="335">
        <v>2022</v>
      </c>
      <c r="L4" s="336">
        <v>2023</v>
      </c>
      <c r="M4" s="336">
        <v>2024</v>
      </c>
      <c r="R4" t="s">
        <v>471</v>
      </c>
      <c r="S4" t="s">
        <v>472</v>
      </c>
      <c r="W4" s="440">
        <f>+T13</f>
        <v>21.104913852952627</v>
      </c>
      <c r="Y4" s="2">
        <v>2019</v>
      </c>
      <c r="Z4" s="272">
        <v>21.1</v>
      </c>
    </row>
    <row r="5" spans="1:46" x14ac:dyDescent="0.25">
      <c r="A5" s="17" t="s">
        <v>76</v>
      </c>
      <c r="B5" s="18">
        <v>1.9400000000000001E-2</v>
      </c>
      <c r="C5" s="18">
        <v>3.6600000000000001E-2</v>
      </c>
      <c r="D5" s="18">
        <v>6.7699999999999996E-2</v>
      </c>
      <c r="E5" s="18">
        <v>5.7500000000000002E-2</v>
      </c>
      <c r="F5" s="18">
        <v>4.0899999999999999E-2</v>
      </c>
      <c r="G5" s="18">
        <v>3.1800000000000002E-2</v>
      </c>
      <c r="H5" s="18">
        <v>3.7999999999999999E-2</v>
      </c>
      <c r="I5" s="18">
        <v>1.61E-2</v>
      </c>
      <c r="J5" s="18">
        <v>5.62E-2</v>
      </c>
      <c r="K5" s="18">
        <v>0.13120000000000001</v>
      </c>
      <c r="L5" s="250">
        <v>9.2799999999999994E-2</v>
      </c>
      <c r="M5" s="250">
        <v>5.2000000000000005E-2</v>
      </c>
      <c r="R5">
        <v>2020</v>
      </c>
      <c r="S5" s="445">
        <v>81596633</v>
      </c>
      <c r="T5" s="443">
        <f>+S5*0.01</f>
        <v>815966.33000000007</v>
      </c>
      <c r="W5" s="441">
        <f>+W4*(1+AE3)</f>
        <v>21.906900579364827</v>
      </c>
      <c r="X5" s="442">
        <f>+ROUND(W4,2)*(1+AE3)</f>
        <v>21.901800000000001</v>
      </c>
      <c r="Y5" s="2">
        <v>2020</v>
      </c>
      <c r="Z5" s="272">
        <f>+Z4*(1+AE3)</f>
        <v>21.901800000000001</v>
      </c>
      <c r="AA5" s="272">
        <f>+ROUND(Z5,2)</f>
        <v>21.9</v>
      </c>
      <c r="AC5">
        <v>21.91</v>
      </c>
      <c r="AD5" s="272">
        <v>21.9</v>
      </c>
    </row>
    <row r="6" spans="1:46" x14ac:dyDescent="0.25">
      <c r="A6" s="19" t="s">
        <v>77</v>
      </c>
      <c r="B6" s="20"/>
      <c r="C6" s="21"/>
      <c r="D6" s="18">
        <v>7.9299999999999995E-2</v>
      </c>
      <c r="R6">
        <v>2021</v>
      </c>
      <c r="S6" s="445">
        <v>105647084</v>
      </c>
      <c r="T6" s="444">
        <f>+S6*0.01</f>
        <v>1056470.8400000001</v>
      </c>
      <c r="W6" s="288">
        <f>+W5*(1+AF3)</f>
        <v>22.259601678692601</v>
      </c>
      <c r="X6" s="272">
        <f>21.9*(1+AF3)</f>
        <v>22.252589999999998</v>
      </c>
      <c r="Y6" s="2">
        <v>2021</v>
      </c>
      <c r="Z6" s="272">
        <f>+AA5*(1+AF3)</f>
        <v>22.252589999999998</v>
      </c>
      <c r="AA6" s="272">
        <f>+ROUND(Z6,2)</f>
        <v>22.25</v>
      </c>
      <c r="AC6" s="244">
        <v>22.26</v>
      </c>
      <c r="AD6" s="346">
        <v>22.25</v>
      </c>
      <c r="AE6" s="346" t="s">
        <v>470</v>
      </c>
    </row>
    <row r="7" spans="1:46" x14ac:dyDescent="0.25">
      <c r="A7" t="s">
        <v>78</v>
      </c>
      <c r="Y7" s="2">
        <v>2022</v>
      </c>
      <c r="Z7" s="272">
        <f>+AA6*(1+AG3)</f>
        <v>23.500450000000001</v>
      </c>
      <c r="AA7" s="272">
        <f>+ROUND(Z7,2)</f>
        <v>23.5</v>
      </c>
    </row>
    <row r="8" spans="1:46" x14ac:dyDescent="0.25">
      <c r="C8" s="288"/>
      <c r="D8" s="288"/>
      <c r="E8" s="288"/>
      <c r="F8" s="288"/>
      <c r="G8" s="288"/>
      <c r="H8" s="288"/>
      <c r="I8" s="288"/>
      <c r="J8" s="288"/>
    </row>
    <row r="9" spans="1:46" x14ac:dyDescent="0.25">
      <c r="A9" s="15" t="s">
        <v>79</v>
      </c>
      <c r="H9" t="s">
        <v>407</v>
      </c>
      <c r="W9" s="288">
        <f>21.91*1.0161</f>
        <v>22.262751000000002</v>
      </c>
      <c r="AF9" s="15" t="s">
        <v>79</v>
      </c>
    </row>
    <row r="10" spans="1:46" ht="15.75" thickBot="1" x14ac:dyDescent="0.3">
      <c r="AS10" s="17" t="s">
        <v>84</v>
      </c>
    </row>
    <row r="11" spans="1:46" x14ac:dyDescent="0.25">
      <c r="B11" s="863">
        <v>2013</v>
      </c>
      <c r="C11" s="863"/>
      <c r="D11" s="863"/>
      <c r="E11" s="863">
        <v>2014</v>
      </c>
      <c r="F11" s="863"/>
      <c r="G11" s="863"/>
      <c r="H11" s="863">
        <v>2015</v>
      </c>
      <c r="I11" s="863"/>
      <c r="J11" s="863"/>
      <c r="K11" s="863">
        <v>2016</v>
      </c>
      <c r="L11" s="863"/>
      <c r="M11" s="863"/>
      <c r="N11" s="863">
        <v>2017</v>
      </c>
      <c r="O11" s="863"/>
      <c r="P11" s="870"/>
      <c r="Q11" s="867">
        <v>2018</v>
      </c>
      <c r="R11" s="868"/>
      <c r="S11" s="869"/>
      <c r="T11" s="862">
        <v>2019</v>
      </c>
      <c r="U11" s="863"/>
      <c r="V11" s="870"/>
      <c r="W11" s="867">
        <v>2020</v>
      </c>
      <c r="X11" s="868"/>
      <c r="Y11" s="869"/>
      <c r="Z11" s="867">
        <v>2021</v>
      </c>
      <c r="AA11" s="868"/>
      <c r="AB11" s="869"/>
      <c r="AC11" s="878">
        <v>2022</v>
      </c>
      <c r="AD11" s="879"/>
      <c r="AE11" s="879"/>
      <c r="AF11" s="862">
        <v>2023</v>
      </c>
      <c r="AG11" s="863"/>
      <c r="AH11" s="863"/>
      <c r="AI11" s="862">
        <v>2024</v>
      </c>
      <c r="AJ11" s="863"/>
      <c r="AK11" s="863"/>
      <c r="AL11" s="862">
        <v>2025</v>
      </c>
      <c r="AM11" s="863"/>
      <c r="AN11" s="863"/>
      <c r="AR11" s="862">
        <v>2025</v>
      </c>
      <c r="AS11" s="863"/>
      <c r="AT11" s="863"/>
    </row>
    <row r="12" spans="1:46" s="23" customFormat="1" ht="45" x14ac:dyDescent="0.25">
      <c r="A12" s="22" t="s">
        <v>80</v>
      </c>
      <c r="B12" s="22" t="s">
        <v>81</v>
      </c>
      <c r="C12" s="22" t="s">
        <v>82</v>
      </c>
      <c r="D12" s="22" t="s">
        <v>83</v>
      </c>
      <c r="E12" s="22" t="s">
        <v>81</v>
      </c>
      <c r="F12" s="22" t="s">
        <v>82</v>
      </c>
      <c r="G12" s="22" t="s">
        <v>83</v>
      </c>
      <c r="H12" s="22" t="s">
        <v>81</v>
      </c>
      <c r="I12" s="22" t="s">
        <v>82</v>
      </c>
      <c r="J12" s="22" t="s">
        <v>83</v>
      </c>
      <c r="K12" s="22" t="s">
        <v>81</v>
      </c>
      <c r="L12" s="22" t="s">
        <v>82</v>
      </c>
      <c r="M12" s="22" t="s">
        <v>83</v>
      </c>
      <c r="N12" s="22" t="s">
        <v>81</v>
      </c>
      <c r="O12" s="22" t="s">
        <v>82</v>
      </c>
      <c r="P12" s="253" t="s">
        <v>83</v>
      </c>
      <c r="Q12" s="256" t="s">
        <v>81</v>
      </c>
      <c r="R12" s="22" t="s">
        <v>82</v>
      </c>
      <c r="S12" s="257" t="s">
        <v>83</v>
      </c>
      <c r="T12" s="254" t="s">
        <v>81</v>
      </c>
      <c r="U12" s="22" t="s">
        <v>82</v>
      </c>
      <c r="V12" s="253" t="s">
        <v>83</v>
      </c>
      <c r="W12" s="256" t="s">
        <v>81</v>
      </c>
      <c r="X12" s="22" t="s">
        <v>82</v>
      </c>
      <c r="Y12" s="257" t="s">
        <v>83</v>
      </c>
      <c r="Z12" s="256" t="s">
        <v>81</v>
      </c>
      <c r="AA12" s="22" t="s">
        <v>82</v>
      </c>
      <c r="AB12" s="257" t="s">
        <v>83</v>
      </c>
      <c r="AC12" s="337" t="s">
        <v>81</v>
      </c>
      <c r="AD12" s="338" t="s">
        <v>82</v>
      </c>
      <c r="AE12" s="338" t="s">
        <v>83</v>
      </c>
      <c r="AF12" s="509" t="s">
        <v>81</v>
      </c>
      <c r="AG12" s="510" t="s">
        <v>82</v>
      </c>
      <c r="AH12" s="510" t="s">
        <v>83</v>
      </c>
      <c r="AI12" s="509" t="s">
        <v>81</v>
      </c>
      <c r="AJ12" s="510" t="s">
        <v>82</v>
      </c>
      <c r="AK12" s="510" t="s">
        <v>83</v>
      </c>
      <c r="AL12" s="509" t="s">
        <v>81</v>
      </c>
      <c r="AM12" s="510" t="s">
        <v>82</v>
      </c>
      <c r="AN12" s="510" t="s">
        <v>83</v>
      </c>
      <c r="AR12" s="509" t="s">
        <v>81</v>
      </c>
      <c r="AS12" s="510" t="s">
        <v>82</v>
      </c>
      <c r="AT12" s="510" t="s">
        <v>83</v>
      </c>
    </row>
    <row r="13" spans="1:46" x14ac:dyDescent="0.25">
      <c r="A13" s="17" t="s">
        <v>84</v>
      </c>
      <c r="B13" s="17">
        <v>16.47</v>
      </c>
      <c r="C13" s="17">
        <v>16.47</v>
      </c>
      <c r="D13" s="17">
        <v>0</v>
      </c>
      <c r="E13" s="24">
        <f>B13*(1+$B$5)</f>
        <v>16.789518000000001</v>
      </c>
      <c r="F13" s="24">
        <f t="shared" ref="F13:G20" si="0">C13*(1+$B$5)</f>
        <v>16.789518000000001</v>
      </c>
      <c r="G13" s="24">
        <f t="shared" si="0"/>
        <v>0</v>
      </c>
      <c r="H13" s="24">
        <f>E13*(1+$C$5)</f>
        <v>17.404014358800001</v>
      </c>
      <c r="I13" s="24">
        <f>F13*(1+$C$5)</f>
        <v>17.404014358800001</v>
      </c>
      <c r="J13" s="24">
        <f>G13*(1+$C$5)</f>
        <v>0</v>
      </c>
      <c r="K13" s="24">
        <f>H13*(1+$D$5)</f>
        <v>18.582266130890762</v>
      </c>
      <c r="L13" s="24">
        <f>I13*(1+$D$5)</f>
        <v>18.582266130890762</v>
      </c>
      <c r="M13" s="24">
        <f>J13*(1+$D$5)</f>
        <v>0</v>
      </c>
      <c r="N13" s="25">
        <f>K13*(1+$E$5)</f>
        <v>19.650746433416984</v>
      </c>
      <c r="O13" s="25">
        <f t="shared" ref="O13:P21" si="1">L13*(1+$E$5)</f>
        <v>19.650746433416984</v>
      </c>
      <c r="P13" s="263">
        <f t="shared" si="1"/>
        <v>0</v>
      </c>
      <c r="Q13" s="265">
        <f>N13*(1+$F$5)</f>
        <v>20.454461962543736</v>
      </c>
      <c r="R13" s="26">
        <f>O13*(1+$F$5)</f>
        <v>20.454461962543736</v>
      </c>
      <c r="S13" s="266">
        <f>P13*(1+$F$5)</f>
        <v>0</v>
      </c>
      <c r="T13" s="264">
        <f t="shared" ref="T13:V21" si="2">Q13*(1+$G$5)</f>
        <v>21.104913852952627</v>
      </c>
      <c r="U13" s="27">
        <f t="shared" si="2"/>
        <v>21.104913852952627</v>
      </c>
      <c r="V13" s="255">
        <f t="shared" si="2"/>
        <v>0</v>
      </c>
      <c r="W13" s="287">
        <f t="shared" ref="W13:W21" si="3">T13*(1+$H$5)</f>
        <v>21.906900579364827</v>
      </c>
      <c r="X13" s="27">
        <f t="shared" ref="X13:X21" si="4">U13*(1+$H$5)</f>
        <v>21.906900579364827</v>
      </c>
      <c r="Y13" s="259">
        <f t="shared" ref="Y13:Y21" si="5">V13*(1+$G$5)</f>
        <v>0</v>
      </c>
      <c r="Z13" s="506">
        <f t="shared" ref="Z13:AA17" si="6">W13*(1+$I$5)-0.01</f>
        <v>22.249601678692599</v>
      </c>
      <c r="AA13" s="27">
        <f t="shared" si="6"/>
        <v>22.249601678692599</v>
      </c>
      <c r="AB13" s="259"/>
      <c r="AC13" s="505">
        <f>Z13*(1+$J$5)</f>
        <v>23.500029293035123</v>
      </c>
      <c r="AD13" s="340">
        <f t="shared" ref="AD13:AD21" si="7">AA13*(1+$J$5)</f>
        <v>23.500029293035123</v>
      </c>
      <c r="AE13" s="340"/>
      <c r="AF13" s="511">
        <f>AC13*(1+$K$5)</f>
        <v>26.583233136281329</v>
      </c>
      <c r="AG13" s="512">
        <f t="shared" ref="AG13:AG21" si="8">AD13*(1+$K$5)</f>
        <v>26.583233136281329</v>
      </c>
      <c r="AH13" s="512"/>
      <c r="AI13" s="511">
        <f>AF13*(1+$L$5)</f>
        <v>29.050157171328237</v>
      </c>
      <c r="AJ13" s="512">
        <f>AG13*(1+$L$5)</f>
        <v>29.050157171328237</v>
      </c>
      <c r="AK13" s="512"/>
      <c r="AL13" s="511">
        <f>AI13*(1+$M$5)</f>
        <v>30.560765344237307</v>
      </c>
      <c r="AM13" s="512">
        <f>AJ13*(1+$M$5)</f>
        <v>30.560765344237307</v>
      </c>
      <c r="AN13" s="512"/>
      <c r="AR13" s="511">
        <f t="shared" ref="AR13:AR21" si="9">AL13*(1+$M$5)</f>
        <v>32.149925142137647</v>
      </c>
      <c r="AS13" s="512">
        <f t="shared" ref="AS13:AS21" si="10">AM13*(1+$M$5)</f>
        <v>32.149925142137647</v>
      </c>
      <c r="AT13" s="512"/>
    </row>
    <row r="14" spans="1:46" x14ac:dyDescent="0.25">
      <c r="A14" s="17" t="s">
        <v>85</v>
      </c>
      <c r="B14" s="17">
        <v>7.62</v>
      </c>
      <c r="C14" s="17">
        <v>16.47</v>
      </c>
      <c r="D14" s="17">
        <v>0</v>
      </c>
      <c r="E14" s="24">
        <f t="shared" ref="E14:E20" si="11">B14*(1+$B$5)</f>
        <v>7.7678280000000006</v>
      </c>
      <c r="F14" s="24">
        <f t="shared" si="0"/>
        <v>16.789518000000001</v>
      </c>
      <c r="G14" s="24">
        <f t="shared" si="0"/>
        <v>0</v>
      </c>
      <c r="H14" s="24">
        <f t="shared" ref="H14:J20" si="12">E14*(1+$C$5)</f>
        <v>8.0521305048000009</v>
      </c>
      <c r="I14" s="24">
        <f t="shared" si="12"/>
        <v>17.404014358800001</v>
      </c>
      <c r="J14" s="24">
        <f t="shared" si="12"/>
        <v>0</v>
      </c>
      <c r="K14" s="24">
        <f t="shared" ref="K14:M20" si="13">H14*(1+$D$5)</f>
        <v>8.5972597399749624</v>
      </c>
      <c r="L14" s="24">
        <f t="shared" si="13"/>
        <v>18.582266130890762</v>
      </c>
      <c r="M14" s="24">
        <f t="shared" si="13"/>
        <v>0</v>
      </c>
      <c r="N14" s="25">
        <f t="shared" ref="N14:N21" si="14">K14*(1+$E$5)</f>
        <v>9.0916021750235245</v>
      </c>
      <c r="O14" s="25">
        <f t="shared" si="1"/>
        <v>19.650746433416984</v>
      </c>
      <c r="P14" s="263">
        <f t="shared" si="1"/>
        <v>0</v>
      </c>
      <c r="Q14" s="265">
        <f t="shared" ref="Q14:S21" si="15">N14*(1+$F$5)</f>
        <v>9.4634487039819852</v>
      </c>
      <c r="R14" s="26">
        <f t="shared" si="15"/>
        <v>20.454461962543736</v>
      </c>
      <c r="S14" s="266">
        <f t="shared" si="15"/>
        <v>0</v>
      </c>
      <c r="T14" s="264">
        <f t="shared" si="2"/>
        <v>9.7643863727686124</v>
      </c>
      <c r="U14" s="27">
        <f t="shared" si="2"/>
        <v>21.104913852952627</v>
      </c>
      <c r="V14" s="255">
        <f t="shared" si="2"/>
        <v>0</v>
      </c>
      <c r="W14" s="258">
        <f t="shared" si="3"/>
        <v>10.13543305493382</v>
      </c>
      <c r="X14" s="27">
        <f t="shared" si="4"/>
        <v>21.906900579364827</v>
      </c>
      <c r="Y14" s="259">
        <f t="shared" si="5"/>
        <v>0</v>
      </c>
      <c r="Z14" s="258">
        <f t="shared" si="6"/>
        <v>10.288613527118255</v>
      </c>
      <c r="AA14" s="27">
        <f t="shared" si="6"/>
        <v>22.249601678692599</v>
      </c>
      <c r="AB14" s="259"/>
      <c r="AC14" s="339">
        <f t="shared" ref="AC14:AC21" si="16">Z14*(1+$J$5)</f>
        <v>10.866833607342301</v>
      </c>
      <c r="AD14" s="340">
        <f t="shared" si="7"/>
        <v>23.500029293035123</v>
      </c>
      <c r="AE14" s="340"/>
      <c r="AF14" s="511">
        <f t="shared" ref="AF14:AF21" si="17">AC14*(1+$K$5)</f>
        <v>12.29256217662561</v>
      </c>
      <c r="AG14" s="512">
        <f t="shared" si="8"/>
        <v>26.583233136281329</v>
      </c>
      <c r="AH14" s="512"/>
      <c r="AI14" s="511">
        <f t="shared" ref="AI14:AI21" si="18">AF14*(1+$L$5)</f>
        <v>13.433311946616467</v>
      </c>
      <c r="AJ14" s="512">
        <f t="shared" ref="AJ14:AJ21" si="19">AG14*(1+$L$5)</f>
        <v>29.050157171328237</v>
      </c>
      <c r="AK14" s="512"/>
      <c r="AL14" s="511">
        <f t="shared" ref="AL14:AL21" si="20">AI14*(1+$M$5)</f>
        <v>14.131844167840523</v>
      </c>
      <c r="AM14" s="512">
        <f t="shared" ref="AM14:AM21" si="21">AJ14*(1+$M$5)</f>
        <v>30.560765344237307</v>
      </c>
      <c r="AN14" s="512"/>
      <c r="AR14" s="511">
        <f t="shared" si="9"/>
        <v>14.866700064568231</v>
      </c>
      <c r="AS14" s="512">
        <f t="shared" si="10"/>
        <v>32.149925142137647</v>
      </c>
      <c r="AT14" s="512"/>
    </row>
    <row r="15" spans="1:46" x14ac:dyDescent="0.25">
      <c r="A15" s="17" t="s">
        <v>86</v>
      </c>
      <c r="B15" s="17">
        <v>16.47</v>
      </c>
      <c r="C15" s="17">
        <v>16.47</v>
      </c>
      <c r="D15" s="17">
        <v>0</v>
      </c>
      <c r="E15" s="24">
        <f>B15*(1+$B$5)</f>
        <v>16.789518000000001</v>
      </c>
      <c r="F15" s="24">
        <f t="shared" si="0"/>
        <v>16.789518000000001</v>
      </c>
      <c r="G15" s="24">
        <f t="shared" si="0"/>
        <v>0</v>
      </c>
      <c r="H15" s="24">
        <f t="shared" si="12"/>
        <v>17.404014358800001</v>
      </c>
      <c r="I15" s="24">
        <f t="shared" si="12"/>
        <v>17.404014358800001</v>
      </c>
      <c r="J15" s="24">
        <f t="shared" si="12"/>
        <v>0</v>
      </c>
      <c r="K15" s="24">
        <f t="shared" si="13"/>
        <v>18.582266130890762</v>
      </c>
      <c r="L15" s="24">
        <f t="shared" si="13"/>
        <v>18.582266130890762</v>
      </c>
      <c r="M15" s="24">
        <f t="shared" si="13"/>
        <v>0</v>
      </c>
      <c r="N15" s="25">
        <f t="shared" si="14"/>
        <v>19.650746433416984</v>
      </c>
      <c r="O15" s="25">
        <f t="shared" si="1"/>
        <v>19.650746433416984</v>
      </c>
      <c r="P15" s="263">
        <f t="shared" si="1"/>
        <v>0</v>
      </c>
      <c r="Q15" s="265">
        <f t="shared" si="15"/>
        <v>20.454461962543736</v>
      </c>
      <c r="R15" s="26">
        <f t="shared" si="15"/>
        <v>20.454461962543736</v>
      </c>
      <c r="S15" s="266">
        <f t="shared" si="15"/>
        <v>0</v>
      </c>
      <c r="T15" s="264">
        <f t="shared" si="2"/>
        <v>21.104913852952627</v>
      </c>
      <c r="U15" s="27">
        <f t="shared" si="2"/>
        <v>21.104913852952627</v>
      </c>
      <c r="V15" s="255">
        <f t="shared" si="2"/>
        <v>0</v>
      </c>
      <c r="W15" s="507">
        <f t="shared" si="3"/>
        <v>21.906900579364827</v>
      </c>
      <c r="X15" s="27">
        <f t="shared" si="4"/>
        <v>21.906900579364827</v>
      </c>
      <c r="Y15" s="259">
        <f t="shared" si="5"/>
        <v>0</v>
      </c>
      <c r="Z15" s="506">
        <f>W15*(1+$I$5)-0.01</f>
        <v>22.249601678692599</v>
      </c>
      <c r="AA15" s="27">
        <f t="shared" si="6"/>
        <v>22.249601678692599</v>
      </c>
      <c r="AB15" s="259"/>
      <c r="AC15" s="505">
        <f t="shared" si="16"/>
        <v>23.500029293035123</v>
      </c>
      <c r="AD15" s="340">
        <f t="shared" si="7"/>
        <v>23.500029293035123</v>
      </c>
      <c r="AE15" s="340"/>
      <c r="AF15" s="511">
        <f t="shared" si="17"/>
        <v>26.583233136281329</v>
      </c>
      <c r="AG15" s="512">
        <f>+AF15</f>
        <v>26.583233136281329</v>
      </c>
      <c r="AH15" s="512"/>
      <c r="AI15" s="511">
        <f t="shared" si="18"/>
        <v>29.050157171328237</v>
      </c>
      <c r="AJ15" s="512">
        <f t="shared" si="19"/>
        <v>29.050157171328237</v>
      </c>
      <c r="AK15" s="512"/>
      <c r="AL15" s="511">
        <f t="shared" si="20"/>
        <v>30.560765344237307</v>
      </c>
      <c r="AM15" s="512">
        <f t="shared" si="21"/>
        <v>30.560765344237307</v>
      </c>
      <c r="AN15" s="512"/>
      <c r="AR15" s="511">
        <f t="shared" si="9"/>
        <v>32.149925142137647</v>
      </c>
      <c r="AS15" s="512">
        <f t="shared" si="10"/>
        <v>32.149925142137647</v>
      </c>
      <c r="AT15" s="512"/>
    </row>
    <row r="16" spans="1:46" x14ac:dyDescent="0.25">
      <c r="A16" s="17" t="s">
        <v>87</v>
      </c>
      <c r="B16" s="17">
        <v>7.62</v>
      </c>
      <c r="C16" s="17">
        <v>16.47</v>
      </c>
      <c r="D16" s="17">
        <v>0</v>
      </c>
      <c r="E16" s="24">
        <f t="shared" si="11"/>
        <v>7.7678280000000006</v>
      </c>
      <c r="F16" s="24">
        <f t="shared" si="0"/>
        <v>16.789518000000001</v>
      </c>
      <c r="G16" s="24">
        <f t="shared" si="0"/>
        <v>0</v>
      </c>
      <c r="H16" s="24">
        <f t="shared" si="12"/>
        <v>8.0521305048000009</v>
      </c>
      <c r="I16" s="24">
        <f t="shared" si="12"/>
        <v>17.404014358800001</v>
      </c>
      <c r="J16" s="24">
        <f t="shared" si="12"/>
        <v>0</v>
      </c>
      <c r="K16" s="24">
        <f t="shared" si="13"/>
        <v>8.5972597399749624</v>
      </c>
      <c r="L16" s="24">
        <f t="shared" si="13"/>
        <v>18.582266130890762</v>
      </c>
      <c r="M16" s="24">
        <f t="shared" si="13"/>
        <v>0</v>
      </c>
      <c r="N16" s="25">
        <f t="shared" si="14"/>
        <v>9.0916021750235245</v>
      </c>
      <c r="O16" s="25">
        <f t="shared" si="1"/>
        <v>19.650746433416984</v>
      </c>
      <c r="P16" s="263">
        <f t="shared" si="1"/>
        <v>0</v>
      </c>
      <c r="Q16" s="265">
        <f t="shared" si="15"/>
        <v>9.4634487039819852</v>
      </c>
      <c r="R16" s="26">
        <f t="shared" si="15"/>
        <v>20.454461962543736</v>
      </c>
      <c r="S16" s="266">
        <f t="shared" si="15"/>
        <v>0</v>
      </c>
      <c r="T16" s="264">
        <f t="shared" si="2"/>
        <v>9.7643863727686124</v>
      </c>
      <c r="U16" s="27">
        <f t="shared" si="2"/>
        <v>21.104913852952627</v>
      </c>
      <c r="V16" s="255">
        <f t="shared" si="2"/>
        <v>0</v>
      </c>
      <c r="W16" s="258">
        <f t="shared" si="3"/>
        <v>10.13543305493382</v>
      </c>
      <c r="X16" s="27">
        <f t="shared" si="4"/>
        <v>21.906900579364827</v>
      </c>
      <c r="Y16" s="259">
        <f t="shared" si="5"/>
        <v>0</v>
      </c>
      <c r="Z16" s="258">
        <f t="shared" si="6"/>
        <v>10.288613527118255</v>
      </c>
      <c r="AA16" s="27">
        <f t="shared" si="6"/>
        <v>22.249601678692599</v>
      </c>
      <c r="AB16" s="259"/>
      <c r="AC16" s="339">
        <f t="shared" si="16"/>
        <v>10.866833607342301</v>
      </c>
      <c r="AD16" s="340">
        <f t="shared" si="7"/>
        <v>23.500029293035123</v>
      </c>
      <c r="AE16" s="340"/>
      <c r="AF16" s="511">
        <f t="shared" si="17"/>
        <v>12.29256217662561</v>
      </c>
      <c r="AG16" s="512">
        <f t="shared" si="8"/>
        <v>26.583233136281329</v>
      </c>
      <c r="AH16" s="512"/>
      <c r="AI16" s="511">
        <f t="shared" si="18"/>
        <v>13.433311946616467</v>
      </c>
      <c r="AJ16" s="512">
        <f t="shared" si="19"/>
        <v>29.050157171328237</v>
      </c>
      <c r="AK16" s="512"/>
      <c r="AL16" s="511">
        <f t="shared" si="20"/>
        <v>14.131844167840523</v>
      </c>
      <c r="AM16" s="512">
        <f t="shared" si="21"/>
        <v>30.560765344237307</v>
      </c>
      <c r="AN16" s="512"/>
      <c r="AR16" s="511">
        <f t="shared" si="9"/>
        <v>14.866700064568231</v>
      </c>
      <c r="AS16" s="512">
        <f t="shared" si="10"/>
        <v>32.149925142137647</v>
      </c>
      <c r="AT16" s="512"/>
    </row>
    <row r="17" spans="1:70" x14ac:dyDescent="0.25">
      <c r="A17" s="17" t="s">
        <v>88</v>
      </c>
      <c r="B17" s="17">
        <v>16.47</v>
      </c>
      <c r="C17" s="17">
        <v>16.47</v>
      </c>
      <c r="D17" s="17">
        <v>16.47</v>
      </c>
      <c r="E17" s="24">
        <f t="shared" si="11"/>
        <v>16.789518000000001</v>
      </c>
      <c r="F17" s="24">
        <f t="shared" si="0"/>
        <v>16.789518000000001</v>
      </c>
      <c r="G17" s="24">
        <f t="shared" si="0"/>
        <v>16.789518000000001</v>
      </c>
      <c r="H17" s="24">
        <f t="shared" si="12"/>
        <v>17.404014358800001</v>
      </c>
      <c r="I17" s="24">
        <f t="shared" si="12"/>
        <v>17.404014358800001</v>
      </c>
      <c r="J17" s="24">
        <f t="shared" si="12"/>
        <v>17.404014358800001</v>
      </c>
      <c r="K17" s="24">
        <f t="shared" si="13"/>
        <v>18.582266130890762</v>
      </c>
      <c r="L17" s="24">
        <f t="shared" si="13"/>
        <v>18.582266130890762</v>
      </c>
      <c r="M17" s="24">
        <f t="shared" si="13"/>
        <v>18.582266130890762</v>
      </c>
      <c r="N17" s="25">
        <f t="shared" si="14"/>
        <v>19.650746433416984</v>
      </c>
      <c r="O17" s="25">
        <f t="shared" si="1"/>
        <v>19.650746433416984</v>
      </c>
      <c r="P17" s="263">
        <f t="shared" si="1"/>
        <v>19.650746433416984</v>
      </c>
      <c r="Q17" s="265">
        <f t="shared" si="15"/>
        <v>20.454461962543736</v>
      </c>
      <c r="R17" s="26">
        <f t="shared" si="15"/>
        <v>20.454461962543736</v>
      </c>
      <c r="S17" s="266">
        <f t="shared" si="15"/>
        <v>20.454461962543736</v>
      </c>
      <c r="T17" s="264">
        <f t="shared" si="2"/>
        <v>21.104913852952627</v>
      </c>
      <c r="U17" s="27">
        <f t="shared" si="2"/>
        <v>21.104913852952627</v>
      </c>
      <c r="V17" s="255">
        <f t="shared" si="2"/>
        <v>21.104913852952627</v>
      </c>
      <c r="W17" s="508">
        <f t="shared" si="3"/>
        <v>21.906900579364827</v>
      </c>
      <c r="X17" s="27">
        <f t="shared" si="4"/>
        <v>21.906900579364827</v>
      </c>
      <c r="Y17" s="259">
        <f t="shared" si="5"/>
        <v>21.776050113476522</v>
      </c>
      <c r="Z17" s="506">
        <f t="shared" si="6"/>
        <v>22.249601678692599</v>
      </c>
      <c r="AA17" s="27">
        <f t="shared" si="6"/>
        <v>22.249601678692599</v>
      </c>
      <c r="AB17" s="259"/>
      <c r="AC17" s="505">
        <f t="shared" si="16"/>
        <v>23.500029293035123</v>
      </c>
      <c r="AD17" s="340">
        <f t="shared" si="7"/>
        <v>23.500029293035123</v>
      </c>
      <c r="AE17" s="340"/>
      <c r="AF17" s="511">
        <f t="shared" si="17"/>
        <v>26.583233136281329</v>
      </c>
      <c r="AG17" s="512">
        <f t="shared" si="8"/>
        <v>26.583233136281329</v>
      </c>
      <c r="AH17" s="512"/>
      <c r="AI17" s="511">
        <f t="shared" si="18"/>
        <v>29.050157171328237</v>
      </c>
      <c r="AJ17" s="512">
        <f t="shared" si="19"/>
        <v>29.050157171328237</v>
      </c>
      <c r="AK17" s="512"/>
      <c r="AL17" s="511">
        <f t="shared" si="20"/>
        <v>30.560765344237307</v>
      </c>
      <c r="AM17" s="512">
        <f t="shared" si="21"/>
        <v>30.560765344237307</v>
      </c>
      <c r="AN17" s="512"/>
      <c r="AR17" s="511">
        <f t="shared" si="9"/>
        <v>32.149925142137647</v>
      </c>
      <c r="AS17" s="512">
        <f t="shared" si="10"/>
        <v>32.149925142137647</v>
      </c>
      <c r="AT17" s="512"/>
    </row>
    <row r="18" spans="1:70" x14ac:dyDescent="0.25">
      <c r="A18" s="17" t="s">
        <v>89</v>
      </c>
      <c r="B18" s="17">
        <v>11.21</v>
      </c>
      <c r="C18" s="17">
        <v>16.47</v>
      </c>
      <c r="D18" s="17">
        <v>0</v>
      </c>
      <c r="E18" s="24">
        <f t="shared" si="11"/>
        <v>11.427474000000002</v>
      </c>
      <c r="F18" s="24">
        <f t="shared" si="0"/>
        <v>16.789518000000001</v>
      </c>
      <c r="G18" s="24">
        <f t="shared" si="0"/>
        <v>0</v>
      </c>
      <c r="H18" s="24">
        <f t="shared" si="12"/>
        <v>11.845719548400002</v>
      </c>
      <c r="I18" s="24">
        <f t="shared" si="12"/>
        <v>17.404014358800001</v>
      </c>
      <c r="J18" s="24">
        <f t="shared" si="12"/>
        <v>0</v>
      </c>
      <c r="K18" s="24">
        <f t="shared" si="13"/>
        <v>12.647674761826684</v>
      </c>
      <c r="L18" s="24">
        <f t="shared" si="13"/>
        <v>18.582266130890762</v>
      </c>
      <c r="M18" s="24">
        <f t="shared" si="13"/>
        <v>0</v>
      </c>
      <c r="N18" s="25">
        <f t="shared" si="14"/>
        <v>13.374916060631719</v>
      </c>
      <c r="O18" s="25">
        <f t="shared" si="1"/>
        <v>19.650746433416984</v>
      </c>
      <c r="P18" s="263">
        <f t="shared" si="1"/>
        <v>0</v>
      </c>
      <c r="Q18" s="265">
        <f t="shared" si="15"/>
        <v>13.921950127511556</v>
      </c>
      <c r="R18" s="26">
        <f t="shared" si="15"/>
        <v>20.454461962543736</v>
      </c>
      <c r="S18" s="266">
        <f t="shared" si="15"/>
        <v>0</v>
      </c>
      <c r="T18" s="264">
        <f t="shared" si="2"/>
        <v>14.364668141566424</v>
      </c>
      <c r="U18" s="27">
        <f t="shared" si="2"/>
        <v>21.104913852952627</v>
      </c>
      <c r="V18" s="255">
        <f t="shared" si="2"/>
        <v>0</v>
      </c>
      <c r="W18" s="258">
        <f t="shared" si="3"/>
        <v>14.910525530945948</v>
      </c>
      <c r="X18" s="27">
        <f t="shared" si="4"/>
        <v>21.906900579364827</v>
      </c>
      <c r="Y18" s="259">
        <f t="shared" si="5"/>
        <v>0</v>
      </c>
      <c r="Z18" s="258">
        <f t="shared" ref="Z18" si="22">W18*(1+$I$5)</f>
        <v>15.150584991994178</v>
      </c>
      <c r="AA18" s="27">
        <f>X18*(1+$I$5)-0.01</f>
        <v>22.249601678692599</v>
      </c>
      <c r="AB18" s="259"/>
      <c r="AC18" s="339">
        <f t="shared" si="16"/>
        <v>16.002047868544253</v>
      </c>
      <c r="AD18" s="340">
        <f t="shared" si="7"/>
        <v>23.500029293035123</v>
      </c>
      <c r="AE18" s="340"/>
      <c r="AF18" s="511">
        <f t="shared" si="17"/>
        <v>18.101516548897258</v>
      </c>
      <c r="AG18" s="512">
        <f t="shared" si="8"/>
        <v>26.583233136281329</v>
      </c>
      <c r="AH18" s="512"/>
      <c r="AI18" s="511">
        <f t="shared" si="18"/>
        <v>19.781337284634922</v>
      </c>
      <c r="AJ18" s="512">
        <f t="shared" si="19"/>
        <v>29.050157171328237</v>
      </c>
      <c r="AK18" s="512"/>
      <c r="AL18" s="511">
        <f t="shared" si="20"/>
        <v>20.809966823435939</v>
      </c>
      <c r="AM18" s="512">
        <f t="shared" si="21"/>
        <v>30.560765344237307</v>
      </c>
      <c r="AN18" s="512"/>
      <c r="AR18" s="511">
        <f t="shared" si="9"/>
        <v>21.892085098254608</v>
      </c>
      <c r="AS18" s="512">
        <f t="shared" si="10"/>
        <v>32.149925142137647</v>
      </c>
      <c r="AT18" s="512"/>
    </row>
    <row r="19" spans="1:70" x14ac:dyDescent="0.25">
      <c r="A19" s="17" t="s">
        <v>90</v>
      </c>
      <c r="B19" s="17">
        <v>16.47</v>
      </c>
      <c r="C19" s="17">
        <v>16.47</v>
      </c>
      <c r="D19" s="17">
        <v>0</v>
      </c>
      <c r="E19" s="24">
        <f t="shared" si="11"/>
        <v>16.789518000000001</v>
      </c>
      <c r="F19" s="24">
        <f t="shared" si="0"/>
        <v>16.789518000000001</v>
      </c>
      <c r="G19" s="24">
        <f t="shared" si="0"/>
        <v>0</v>
      </c>
      <c r="H19" s="24">
        <f t="shared" si="12"/>
        <v>17.404014358800001</v>
      </c>
      <c r="I19" s="24">
        <f t="shared" si="12"/>
        <v>17.404014358800001</v>
      </c>
      <c r="J19" s="24">
        <f t="shared" si="12"/>
        <v>0</v>
      </c>
      <c r="K19" s="24">
        <f t="shared" si="13"/>
        <v>18.582266130890762</v>
      </c>
      <c r="L19" s="24">
        <f t="shared" si="13"/>
        <v>18.582266130890762</v>
      </c>
      <c r="M19" s="24">
        <f t="shared" si="13"/>
        <v>0</v>
      </c>
      <c r="N19" s="25">
        <f t="shared" si="14"/>
        <v>19.650746433416984</v>
      </c>
      <c r="O19" s="25">
        <f t="shared" si="1"/>
        <v>19.650746433416984</v>
      </c>
      <c r="P19" s="263">
        <f t="shared" si="1"/>
        <v>0</v>
      </c>
      <c r="Q19" s="265">
        <f t="shared" si="15"/>
        <v>20.454461962543736</v>
      </c>
      <c r="R19" s="26">
        <f t="shared" si="15"/>
        <v>20.454461962543736</v>
      </c>
      <c r="S19" s="266">
        <f t="shared" si="15"/>
        <v>0</v>
      </c>
      <c r="T19" s="264">
        <f t="shared" si="2"/>
        <v>21.104913852952627</v>
      </c>
      <c r="U19" s="27">
        <f t="shared" si="2"/>
        <v>21.104913852952627</v>
      </c>
      <c r="V19" s="255">
        <f t="shared" si="2"/>
        <v>0</v>
      </c>
      <c r="W19" s="258">
        <f t="shared" si="3"/>
        <v>21.906900579364827</v>
      </c>
      <c r="X19" s="27">
        <f t="shared" si="4"/>
        <v>21.906900579364827</v>
      </c>
      <c r="Y19" s="259">
        <f t="shared" si="5"/>
        <v>0</v>
      </c>
      <c r="Z19" s="258">
        <f>W19*(1+$I$5)-0.01</f>
        <v>22.249601678692599</v>
      </c>
      <c r="AA19" s="27">
        <f>X19*(1+$I$5)-0.01</f>
        <v>22.249601678692599</v>
      </c>
      <c r="AB19" s="259"/>
      <c r="AC19" s="339">
        <f t="shared" si="16"/>
        <v>23.500029293035123</v>
      </c>
      <c r="AD19" s="340">
        <f t="shared" si="7"/>
        <v>23.500029293035123</v>
      </c>
      <c r="AE19" s="340"/>
      <c r="AF19" s="511">
        <f t="shared" si="17"/>
        <v>26.583233136281329</v>
      </c>
      <c r="AG19" s="512">
        <f t="shared" si="8"/>
        <v>26.583233136281329</v>
      </c>
      <c r="AH19" s="512"/>
      <c r="AI19" s="511">
        <f t="shared" si="18"/>
        <v>29.050157171328237</v>
      </c>
      <c r="AJ19" s="512">
        <f t="shared" si="19"/>
        <v>29.050157171328237</v>
      </c>
      <c r="AK19" s="512"/>
      <c r="AL19" s="511">
        <f t="shared" si="20"/>
        <v>30.560765344237307</v>
      </c>
      <c r="AM19" s="512">
        <f t="shared" si="21"/>
        <v>30.560765344237307</v>
      </c>
      <c r="AN19" s="512"/>
      <c r="AR19" s="511">
        <f t="shared" si="9"/>
        <v>32.149925142137647</v>
      </c>
      <c r="AS19" s="512">
        <f t="shared" si="10"/>
        <v>32.149925142137647</v>
      </c>
      <c r="AT19" s="512"/>
    </row>
    <row r="20" spans="1:70" x14ac:dyDescent="0.25">
      <c r="A20" s="17" t="s">
        <v>91</v>
      </c>
      <c r="B20" s="17">
        <v>7.62</v>
      </c>
      <c r="C20" s="17">
        <v>16.47</v>
      </c>
      <c r="D20" s="17">
        <v>0</v>
      </c>
      <c r="E20" s="24">
        <f t="shared" si="11"/>
        <v>7.7678280000000006</v>
      </c>
      <c r="F20" s="24">
        <f t="shared" si="0"/>
        <v>16.789518000000001</v>
      </c>
      <c r="G20" s="24">
        <f t="shared" si="0"/>
        <v>0</v>
      </c>
      <c r="H20" s="24">
        <f t="shared" si="12"/>
        <v>8.0521305048000009</v>
      </c>
      <c r="I20" s="24">
        <f t="shared" si="12"/>
        <v>17.404014358800001</v>
      </c>
      <c r="J20" s="24">
        <f t="shared" si="12"/>
        <v>0</v>
      </c>
      <c r="K20" s="24">
        <f t="shared" si="13"/>
        <v>8.5972597399749624</v>
      </c>
      <c r="L20" s="24">
        <f t="shared" si="13"/>
        <v>18.582266130890762</v>
      </c>
      <c r="M20" s="24">
        <f t="shared" si="13"/>
        <v>0</v>
      </c>
      <c r="N20" s="25">
        <f t="shared" si="14"/>
        <v>9.0916021750235245</v>
      </c>
      <c r="O20" s="25">
        <f t="shared" si="1"/>
        <v>19.650746433416984</v>
      </c>
      <c r="P20" s="263">
        <f t="shared" si="1"/>
        <v>0</v>
      </c>
      <c r="Q20" s="265">
        <f t="shared" si="15"/>
        <v>9.4634487039819852</v>
      </c>
      <c r="R20" s="26">
        <f t="shared" si="15"/>
        <v>20.454461962543736</v>
      </c>
      <c r="S20" s="266">
        <f t="shared" si="15"/>
        <v>0</v>
      </c>
      <c r="T20" s="264">
        <f t="shared" si="2"/>
        <v>9.7643863727686124</v>
      </c>
      <c r="U20" s="27">
        <f t="shared" si="2"/>
        <v>21.104913852952627</v>
      </c>
      <c r="V20" s="255">
        <f t="shared" si="2"/>
        <v>0</v>
      </c>
      <c r="W20" s="258">
        <f t="shared" si="3"/>
        <v>10.13543305493382</v>
      </c>
      <c r="X20" s="27">
        <f t="shared" si="4"/>
        <v>21.906900579364827</v>
      </c>
      <c r="Y20" s="259">
        <f t="shared" si="5"/>
        <v>0</v>
      </c>
      <c r="Z20" s="258">
        <f>W20*(1+$I$5)-0.01</f>
        <v>10.288613527118255</v>
      </c>
      <c r="AA20" s="27">
        <f>X20*(1+$I$5)-0.01</f>
        <v>22.249601678692599</v>
      </c>
      <c r="AB20" s="259"/>
      <c r="AC20" s="339">
        <f t="shared" si="16"/>
        <v>10.866833607342301</v>
      </c>
      <c r="AD20" s="340">
        <f t="shared" si="7"/>
        <v>23.500029293035123</v>
      </c>
      <c r="AE20" s="340"/>
      <c r="AF20" s="511">
        <f t="shared" si="17"/>
        <v>12.29256217662561</v>
      </c>
      <c r="AG20" s="512">
        <f t="shared" si="8"/>
        <v>26.583233136281329</v>
      </c>
      <c r="AH20" s="512"/>
      <c r="AI20" s="511">
        <f t="shared" si="18"/>
        <v>13.433311946616467</v>
      </c>
      <c r="AJ20" s="512">
        <f t="shared" si="19"/>
        <v>29.050157171328237</v>
      </c>
      <c r="AK20" s="512"/>
      <c r="AL20" s="511">
        <f t="shared" si="20"/>
        <v>14.131844167840523</v>
      </c>
      <c r="AM20" s="512">
        <f t="shared" si="21"/>
        <v>30.560765344237307</v>
      </c>
      <c r="AN20" s="512"/>
      <c r="AR20" s="511">
        <f t="shared" si="9"/>
        <v>14.866700064568231</v>
      </c>
      <c r="AS20" s="512">
        <f t="shared" si="10"/>
        <v>32.149925142137647</v>
      </c>
      <c r="AT20" s="512"/>
    </row>
    <row r="21" spans="1:70" ht="15.75" thickBot="1" x14ac:dyDescent="0.3">
      <c r="A21" s="17" t="s">
        <v>92</v>
      </c>
      <c r="B21" s="17"/>
      <c r="C21" s="17"/>
      <c r="D21" s="17"/>
      <c r="E21" s="24"/>
      <c r="F21" s="24"/>
      <c r="G21" s="24"/>
      <c r="H21" s="24"/>
      <c r="I21" s="24"/>
      <c r="J21" s="24"/>
      <c r="K21" s="24">
        <f>K13</f>
        <v>18.582266130890762</v>
      </c>
      <c r="L21" s="24">
        <f>L13</f>
        <v>18.582266130890762</v>
      </c>
      <c r="M21" s="24">
        <f>M13</f>
        <v>0</v>
      </c>
      <c r="N21" s="25">
        <f t="shared" si="14"/>
        <v>19.650746433416984</v>
      </c>
      <c r="O21" s="25">
        <f t="shared" si="1"/>
        <v>19.650746433416984</v>
      </c>
      <c r="P21" s="263">
        <f t="shared" si="1"/>
        <v>0</v>
      </c>
      <c r="Q21" s="267">
        <f t="shared" si="15"/>
        <v>20.454461962543736</v>
      </c>
      <c r="R21" s="268">
        <f t="shared" si="15"/>
        <v>20.454461962543736</v>
      </c>
      <c r="S21" s="269">
        <f t="shared" si="15"/>
        <v>0</v>
      </c>
      <c r="T21" s="264">
        <f t="shared" si="2"/>
        <v>21.104913852952627</v>
      </c>
      <c r="U21" s="27">
        <f t="shared" si="2"/>
        <v>21.104913852952627</v>
      </c>
      <c r="V21" s="255">
        <f t="shared" si="2"/>
        <v>0</v>
      </c>
      <c r="W21" s="260">
        <f t="shared" si="3"/>
        <v>21.906900579364827</v>
      </c>
      <c r="X21" s="261">
        <f t="shared" si="4"/>
        <v>21.906900579364827</v>
      </c>
      <c r="Y21" s="262">
        <f t="shared" si="5"/>
        <v>0</v>
      </c>
      <c r="Z21" s="260">
        <f>W21*(1+$I$5)-0.01</f>
        <v>22.249601678692599</v>
      </c>
      <c r="AA21" s="261">
        <f>X21*(1+$I$5)-0.01</f>
        <v>22.249601678692599</v>
      </c>
      <c r="AB21" s="262"/>
      <c r="AC21" s="339">
        <f t="shared" si="16"/>
        <v>23.500029293035123</v>
      </c>
      <c r="AD21" s="340">
        <f t="shared" si="7"/>
        <v>23.500029293035123</v>
      </c>
      <c r="AE21" s="340"/>
      <c r="AF21" s="511">
        <f t="shared" si="17"/>
        <v>26.583233136281329</v>
      </c>
      <c r="AG21" s="512">
        <f t="shared" si="8"/>
        <v>26.583233136281329</v>
      </c>
      <c r="AH21" s="512"/>
      <c r="AI21" s="511">
        <f t="shared" si="18"/>
        <v>29.050157171328237</v>
      </c>
      <c r="AJ21" s="512">
        <f t="shared" si="19"/>
        <v>29.050157171328237</v>
      </c>
      <c r="AK21" s="512"/>
      <c r="AL21" s="511">
        <f t="shared" si="20"/>
        <v>30.560765344237307</v>
      </c>
      <c r="AM21" s="512">
        <f t="shared" si="21"/>
        <v>30.560765344237307</v>
      </c>
      <c r="AN21" s="512"/>
      <c r="AR21" s="511">
        <f t="shared" si="9"/>
        <v>32.149925142137647</v>
      </c>
      <c r="AS21" s="512">
        <f t="shared" si="10"/>
        <v>32.149925142137647</v>
      </c>
      <c r="AT21" s="512"/>
    </row>
    <row r="22" spans="1:70" x14ac:dyDescent="0.25">
      <c r="W22" s="280"/>
    </row>
    <row r="23" spans="1:70" x14ac:dyDescent="0.25">
      <c r="A23" s="15" t="s">
        <v>93</v>
      </c>
      <c r="W23" s="280"/>
    </row>
    <row r="24" spans="1:70" x14ac:dyDescent="0.25">
      <c r="L24" t="s">
        <v>94</v>
      </c>
      <c r="P24" s="28">
        <v>0.03</v>
      </c>
      <c r="Q24" t="s">
        <v>95</v>
      </c>
      <c r="U24" s="28">
        <v>0.03</v>
      </c>
      <c r="V24" t="s">
        <v>95</v>
      </c>
      <c r="Z24" s="28">
        <v>0.03</v>
      </c>
      <c r="AA24" t="s">
        <v>440</v>
      </c>
      <c r="AE24" s="28">
        <v>0.03</v>
      </c>
      <c r="AF24" t="s">
        <v>439</v>
      </c>
      <c r="AJ24" s="28">
        <v>0.03</v>
      </c>
      <c r="AK24" t="s">
        <v>386</v>
      </c>
      <c r="AO24" s="28">
        <v>0.03</v>
      </c>
      <c r="AP24" t="s">
        <v>382</v>
      </c>
      <c r="AT24" s="28">
        <v>0.03</v>
      </c>
      <c r="AU24" t="s">
        <v>441</v>
      </c>
      <c r="AY24" s="28">
        <v>0.03</v>
      </c>
      <c r="AZ24" s="341" t="s">
        <v>485</v>
      </c>
      <c r="BA24" s="341"/>
      <c r="BB24" s="341"/>
      <c r="BC24" s="341"/>
      <c r="BD24" s="342">
        <v>0.03</v>
      </c>
      <c r="BE24" s="341" t="s">
        <v>485</v>
      </c>
      <c r="BF24" s="341"/>
      <c r="BG24" s="341"/>
      <c r="BH24" s="341"/>
      <c r="BI24" s="342">
        <v>0.03</v>
      </c>
      <c r="BJ24" s="341" t="s">
        <v>485</v>
      </c>
      <c r="BK24" s="341"/>
      <c r="BL24" s="341"/>
      <c r="BM24" s="341"/>
      <c r="BN24" s="342">
        <v>0.03</v>
      </c>
      <c r="BO24" s="342"/>
      <c r="BP24" s="342"/>
      <c r="BQ24" s="342"/>
    </row>
    <row r="25" spans="1:70" x14ac:dyDescent="0.25">
      <c r="A25" s="866" t="s">
        <v>80</v>
      </c>
      <c r="B25" s="863" t="s">
        <v>408</v>
      </c>
      <c r="C25" s="863"/>
      <c r="D25" s="863"/>
      <c r="E25" s="863"/>
      <c r="F25" s="863"/>
      <c r="G25" s="863">
        <v>2014</v>
      </c>
      <c r="H25" s="863"/>
      <c r="I25" s="863"/>
      <c r="J25" s="863"/>
      <c r="K25" s="863"/>
      <c r="L25" s="870">
        <v>2015</v>
      </c>
      <c r="M25" s="871"/>
      <c r="N25" s="871"/>
      <c r="O25" s="871"/>
      <c r="P25" s="862"/>
      <c r="Q25" s="870">
        <v>2016</v>
      </c>
      <c r="R25" s="871"/>
      <c r="S25" s="871"/>
      <c r="T25" s="871"/>
      <c r="U25" s="862"/>
      <c r="V25" s="870">
        <v>2017</v>
      </c>
      <c r="W25" s="871"/>
      <c r="X25" s="871"/>
      <c r="Y25" s="871"/>
      <c r="Z25" s="862"/>
      <c r="AA25" s="870">
        <v>2018</v>
      </c>
      <c r="AB25" s="871"/>
      <c r="AC25" s="871"/>
      <c r="AD25" s="871"/>
      <c r="AE25" s="862"/>
      <c r="AF25" s="870">
        <v>2019</v>
      </c>
      <c r="AG25" s="871"/>
      <c r="AH25" s="871"/>
      <c r="AI25" s="871"/>
      <c r="AJ25" s="862"/>
      <c r="AK25" s="870">
        <v>2020</v>
      </c>
      <c r="AL25" s="871"/>
      <c r="AM25" s="871"/>
      <c r="AN25" s="871"/>
      <c r="AO25" s="862"/>
      <c r="AP25" s="870">
        <v>2021</v>
      </c>
      <c r="AQ25" s="871"/>
      <c r="AR25" s="871"/>
      <c r="AS25" s="871"/>
      <c r="AT25" s="862"/>
      <c r="AU25" s="870">
        <v>2022</v>
      </c>
      <c r="AV25" s="871"/>
      <c r="AW25" s="871"/>
      <c r="AX25" s="871"/>
      <c r="AY25" s="862"/>
      <c r="AZ25" s="883">
        <v>2023</v>
      </c>
      <c r="BA25" s="884"/>
      <c r="BB25" s="884"/>
      <c r="BC25" s="884"/>
      <c r="BD25" s="885"/>
      <c r="BE25" s="883">
        <v>2024</v>
      </c>
      <c r="BF25" s="884"/>
      <c r="BG25" s="884"/>
      <c r="BH25" s="884"/>
      <c r="BI25" s="885"/>
      <c r="BJ25" s="883">
        <v>2025</v>
      </c>
      <c r="BK25" s="884"/>
      <c r="BL25" s="884"/>
      <c r="BM25" s="884"/>
      <c r="BN25" s="885"/>
      <c r="BO25" s="644"/>
      <c r="BP25" s="644"/>
      <c r="BQ25" s="644"/>
    </row>
    <row r="26" spans="1:70" ht="30.2" customHeight="1" x14ac:dyDescent="0.25">
      <c r="A26" s="866"/>
      <c r="B26" s="866" t="s">
        <v>81</v>
      </c>
      <c r="C26" s="866"/>
      <c r="D26" s="866" t="s">
        <v>82</v>
      </c>
      <c r="E26" s="866"/>
      <c r="F26" s="866" t="s">
        <v>83</v>
      </c>
      <c r="G26" s="866" t="s">
        <v>81</v>
      </c>
      <c r="H26" s="866"/>
      <c r="I26" s="866" t="s">
        <v>82</v>
      </c>
      <c r="J26" s="866"/>
      <c r="K26" s="866" t="s">
        <v>83</v>
      </c>
      <c r="L26" s="872" t="s">
        <v>81</v>
      </c>
      <c r="M26" s="873"/>
      <c r="N26" s="872" t="s">
        <v>82</v>
      </c>
      <c r="O26" s="873"/>
      <c r="P26" s="874" t="s">
        <v>83</v>
      </c>
      <c r="Q26" s="872" t="s">
        <v>81</v>
      </c>
      <c r="R26" s="873"/>
      <c r="S26" s="872" t="s">
        <v>82</v>
      </c>
      <c r="T26" s="873"/>
      <c r="U26" s="874" t="s">
        <v>83</v>
      </c>
      <c r="V26" s="872" t="s">
        <v>81</v>
      </c>
      <c r="W26" s="873"/>
      <c r="X26" s="872" t="s">
        <v>82</v>
      </c>
      <c r="Y26" s="873"/>
      <c r="Z26" s="874" t="s">
        <v>83</v>
      </c>
      <c r="AA26" s="872" t="s">
        <v>81</v>
      </c>
      <c r="AB26" s="873"/>
      <c r="AC26" s="872" t="s">
        <v>82</v>
      </c>
      <c r="AD26" s="873"/>
      <c r="AE26" s="874" t="s">
        <v>83</v>
      </c>
      <c r="AF26" s="872" t="s">
        <v>81</v>
      </c>
      <c r="AG26" s="873"/>
      <c r="AH26" s="872" t="s">
        <v>82</v>
      </c>
      <c r="AI26" s="873"/>
      <c r="AJ26" s="874" t="s">
        <v>83</v>
      </c>
      <c r="AK26" s="872" t="s">
        <v>81</v>
      </c>
      <c r="AL26" s="873"/>
      <c r="AM26" s="872" t="s">
        <v>82</v>
      </c>
      <c r="AN26" s="873"/>
      <c r="AO26" s="874" t="s">
        <v>83</v>
      </c>
      <c r="AP26" s="872" t="s">
        <v>81</v>
      </c>
      <c r="AQ26" s="873"/>
      <c r="AR26" s="872" t="s">
        <v>82</v>
      </c>
      <c r="AS26" s="873"/>
      <c r="AT26" s="874" t="s">
        <v>83</v>
      </c>
      <c r="AU26" s="872" t="s">
        <v>81</v>
      </c>
      <c r="AV26" s="873"/>
      <c r="AW26" s="872" t="s">
        <v>82</v>
      </c>
      <c r="AX26" s="873"/>
      <c r="AY26" s="874" t="s">
        <v>83</v>
      </c>
      <c r="AZ26" s="886" t="s">
        <v>81</v>
      </c>
      <c r="BA26" s="887"/>
      <c r="BB26" s="886" t="s">
        <v>82</v>
      </c>
      <c r="BC26" s="887"/>
      <c r="BD26" s="888" t="s">
        <v>83</v>
      </c>
      <c r="BE26" s="886" t="s">
        <v>81</v>
      </c>
      <c r="BF26" s="887"/>
      <c r="BG26" s="886" t="s">
        <v>82</v>
      </c>
      <c r="BH26" s="887"/>
      <c r="BI26" s="888" t="s">
        <v>83</v>
      </c>
      <c r="BJ26" s="886" t="s">
        <v>81</v>
      </c>
      <c r="BK26" s="887"/>
      <c r="BL26" s="886" t="s">
        <v>82</v>
      </c>
      <c r="BM26" s="887"/>
      <c r="BN26" s="888" t="s">
        <v>83</v>
      </c>
      <c r="BO26" s="645"/>
      <c r="BP26" s="645"/>
      <c r="BQ26" s="645"/>
    </row>
    <row r="27" spans="1:70" ht="30" x14ac:dyDescent="0.25">
      <c r="A27" s="866"/>
      <c r="B27" s="22" t="s">
        <v>96</v>
      </c>
      <c r="C27" s="22" t="s">
        <v>97</v>
      </c>
      <c r="D27" s="22" t="s">
        <v>96</v>
      </c>
      <c r="E27" s="22" t="s">
        <v>97</v>
      </c>
      <c r="F27" s="866"/>
      <c r="G27" s="22" t="s">
        <v>96</v>
      </c>
      <c r="H27" s="22" t="s">
        <v>97</v>
      </c>
      <c r="I27" s="22" t="s">
        <v>96</v>
      </c>
      <c r="J27" s="22" t="s">
        <v>97</v>
      </c>
      <c r="K27" s="866"/>
      <c r="L27" s="22" t="s">
        <v>96</v>
      </c>
      <c r="M27" s="22" t="s">
        <v>97</v>
      </c>
      <c r="N27" s="22" t="s">
        <v>96</v>
      </c>
      <c r="O27" s="22" t="s">
        <v>97</v>
      </c>
      <c r="P27" s="875"/>
      <c r="Q27" s="22" t="s">
        <v>96</v>
      </c>
      <c r="R27" s="22" t="s">
        <v>97</v>
      </c>
      <c r="S27" s="22" t="s">
        <v>96</v>
      </c>
      <c r="T27" s="22" t="s">
        <v>97</v>
      </c>
      <c r="U27" s="875"/>
      <c r="V27" s="22" t="s">
        <v>96</v>
      </c>
      <c r="W27" s="22" t="s">
        <v>97</v>
      </c>
      <c r="X27" s="22" t="s">
        <v>96</v>
      </c>
      <c r="Y27" s="22" t="s">
        <v>97</v>
      </c>
      <c r="Z27" s="875"/>
      <c r="AA27" s="22" t="s">
        <v>96</v>
      </c>
      <c r="AB27" s="22" t="s">
        <v>97</v>
      </c>
      <c r="AC27" s="22" t="s">
        <v>96</v>
      </c>
      <c r="AD27" s="22" t="s">
        <v>97</v>
      </c>
      <c r="AE27" s="875"/>
      <c r="AF27" s="22" t="s">
        <v>96</v>
      </c>
      <c r="AG27" s="22" t="s">
        <v>97</v>
      </c>
      <c r="AH27" s="22" t="s">
        <v>96</v>
      </c>
      <c r="AI27" s="22" t="s">
        <v>97</v>
      </c>
      <c r="AJ27" s="875"/>
      <c r="AK27" s="22" t="s">
        <v>96</v>
      </c>
      <c r="AL27" s="22" t="s">
        <v>97</v>
      </c>
      <c r="AM27" s="22" t="s">
        <v>96</v>
      </c>
      <c r="AN27" s="22" t="s">
        <v>97</v>
      </c>
      <c r="AO27" s="875"/>
      <c r="AP27" s="22" t="s">
        <v>96</v>
      </c>
      <c r="AQ27" s="22" t="s">
        <v>97</v>
      </c>
      <c r="AR27" s="22" t="s">
        <v>96</v>
      </c>
      <c r="AS27" s="22" t="s">
        <v>97</v>
      </c>
      <c r="AT27" s="875"/>
      <c r="AU27" s="22" t="s">
        <v>96</v>
      </c>
      <c r="AV27" s="22" t="s">
        <v>97</v>
      </c>
      <c r="AW27" s="22" t="s">
        <v>96</v>
      </c>
      <c r="AX27" s="22" t="s">
        <v>97</v>
      </c>
      <c r="AY27" s="875"/>
      <c r="AZ27" s="343" t="s">
        <v>96</v>
      </c>
      <c r="BA27" s="343" t="s">
        <v>97</v>
      </c>
      <c r="BB27" s="343" t="s">
        <v>96</v>
      </c>
      <c r="BC27" s="343" t="s">
        <v>97</v>
      </c>
      <c r="BD27" s="889"/>
      <c r="BE27" s="343" t="s">
        <v>96</v>
      </c>
      <c r="BF27" s="343" t="s">
        <v>97</v>
      </c>
      <c r="BG27" s="343" t="s">
        <v>96</v>
      </c>
      <c r="BH27" s="343" t="s">
        <v>97</v>
      </c>
      <c r="BI27" s="889"/>
      <c r="BJ27" s="343" t="s">
        <v>96</v>
      </c>
      <c r="BK27" s="343" t="s">
        <v>97</v>
      </c>
      <c r="BL27" s="343" t="s">
        <v>96</v>
      </c>
      <c r="BM27" s="343" t="s">
        <v>97</v>
      </c>
      <c r="BN27" s="889"/>
      <c r="BO27" s="645"/>
      <c r="BP27" s="645"/>
      <c r="BQ27" s="645"/>
    </row>
    <row r="28" spans="1:70" x14ac:dyDescent="0.25">
      <c r="A28" s="17" t="s">
        <v>85</v>
      </c>
      <c r="B28" s="17">
        <v>9.06</v>
      </c>
      <c r="C28" s="17">
        <v>8.6300000000000008</v>
      </c>
      <c r="D28" s="17">
        <v>9.06</v>
      </c>
      <c r="E28" s="17">
        <v>8.6300000000000008</v>
      </c>
      <c r="F28" s="17">
        <v>0</v>
      </c>
      <c r="G28" s="24">
        <v>10.52</v>
      </c>
      <c r="H28" s="24">
        <v>10.52</v>
      </c>
      <c r="I28" s="24">
        <v>10.52</v>
      </c>
      <c r="J28" s="24">
        <v>10.52</v>
      </c>
      <c r="K28" s="24">
        <f>F28*(1+$B$5)</f>
        <v>0</v>
      </c>
      <c r="L28" s="24">
        <f>G28*(1+$P$24)</f>
        <v>10.835599999999999</v>
      </c>
      <c r="M28" s="24">
        <f t="shared" ref="M28:P31" si="23">H28*(1+$P$24)</f>
        <v>10.835599999999999</v>
      </c>
      <c r="N28" s="24">
        <f t="shared" si="23"/>
        <v>10.835599999999999</v>
      </c>
      <c r="O28" s="24">
        <f t="shared" si="23"/>
        <v>10.835599999999999</v>
      </c>
      <c r="P28" s="24">
        <f t="shared" si="23"/>
        <v>0</v>
      </c>
      <c r="Q28" s="25">
        <f>L28*(1+U24)</f>
        <v>11.160667999999999</v>
      </c>
      <c r="R28" s="25">
        <f t="shared" ref="R28:U31" si="24">M28*(1+$U$24)</f>
        <v>11.160667999999999</v>
      </c>
      <c r="S28" s="25">
        <f t="shared" si="24"/>
        <v>11.160667999999999</v>
      </c>
      <c r="T28" s="25">
        <f t="shared" si="24"/>
        <v>11.160667999999999</v>
      </c>
      <c r="U28" s="25">
        <f t="shared" si="24"/>
        <v>0</v>
      </c>
      <c r="V28" s="24">
        <f t="shared" ref="V28:Z32" si="25">Q28*(1+$Z$24)</f>
        <v>11.49548804</v>
      </c>
      <c r="W28" s="24">
        <f t="shared" si="25"/>
        <v>11.49548804</v>
      </c>
      <c r="X28" s="24">
        <f t="shared" si="25"/>
        <v>11.49548804</v>
      </c>
      <c r="Y28" s="24">
        <f t="shared" si="25"/>
        <v>11.49548804</v>
      </c>
      <c r="Z28" s="24">
        <f t="shared" si="25"/>
        <v>0</v>
      </c>
      <c r="AA28" s="26">
        <f>V28*(1+$AE$24)</f>
        <v>11.840352681200001</v>
      </c>
      <c r="AB28" s="26">
        <f>W28*(1+$AE$24)</f>
        <v>11.840352681200001</v>
      </c>
      <c r="AC28" s="26">
        <f>X28*(1+$AE$24)</f>
        <v>11.840352681200001</v>
      </c>
      <c r="AD28" s="26">
        <f>Y28*(1+$AE$24)</f>
        <v>11.840352681200001</v>
      </c>
      <c r="AE28" s="26">
        <f>Z28*(1+$AE$24)</f>
        <v>0</v>
      </c>
      <c r="AF28" s="29">
        <f t="shared" ref="AF28:AI32" si="26">AA28*(1+$AJ$24)</f>
        <v>12.195563261636002</v>
      </c>
      <c r="AG28" s="29">
        <f t="shared" si="26"/>
        <v>12.195563261636002</v>
      </c>
      <c r="AH28" s="29">
        <f t="shared" si="26"/>
        <v>12.195563261636002</v>
      </c>
      <c r="AI28" s="29">
        <f t="shared" si="26"/>
        <v>12.195563261636002</v>
      </c>
      <c r="AJ28" s="209">
        <v>0</v>
      </c>
      <c r="AK28" s="29">
        <f t="shared" ref="AK28:AM32" si="27">AF28*(1+$AJ$24)</f>
        <v>12.561430159485083</v>
      </c>
      <c r="AL28" s="29">
        <f t="shared" si="27"/>
        <v>12.561430159485083</v>
      </c>
      <c r="AM28" s="29">
        <f t="shared" si="27"/>
        <v>12.561430159485083</v>
      </c>
      <c r="AN28" s="29">
        <f t="shared" ref="AN28:AN32" si="28">AI28*(1+$AJ$24)</f>
        <v>12.561430159485083</v>
      </c>
      <c r="AO28" s="209">
        <v>0</v>
      </c>
      <c r="AP28" s="30">
        <f>AK28*(1+$AT$24)</f>
        <v>12.938273064269636</v>
      </c>
      <c r="AQ28" s="30"/>
      <c r="AR28" s="30"/>
      <c r="AS28" s="30"/>
      <c r="AT28" s="249">
        <v>0</v>
      </c>
      <c r="AU28" s="30">
        <f>AP28*(1+$AY$24)</f>
        <v>13.326421256197724</v>
      </c>
      <c r="AV28" s="30"/>
      <c r="AW28" s="30"/>
      <c r="AX28" s="30"/>
      <c r="AY28" s="249">
        <v>0</v>
      </c>
      <c r="AZ28" s="344">
        <f>AU28*(1+$BD$24)</f>
        <v>13.726213893883656</v>
      </c>
      <c r="BA28" s="344"/>
      <c r="BB28" s="344"/>
      <c r="BC28" s="344"/>
      <c r="BD28" s="345">
        <v>0</v>
      </c>
      <c r="BE28" s="344">
        <f>AZ28*(1+$BI$24)</f>
        <v>14.138000310700166</v>
      </c>
      <c r="BF28" s="344"/>
      <c r="BG28" s="344"/>
      <c r="BH28" s="344"/>
      <c r="BI28" s="345">
        <v>0</v>
      </c>
      <c r="BJ28" s="344">
        <f>BE28*(1+$BN$24)</f>
        <v>14.562140320021172</v>
      </c>
      <c r="BK28" s="344"/>
      <c r="BL28" s="344"/>
      <c r="BM28" s="344"/>
      <c r="BN28" s="345">
        <v>0</v>
      </c>
      <c r="BO28" s="345"/>
      <c r="BP28" s="345"/>
      <c r="BQ28" s="345"/>
      <c r="BR28" s="17" t="s">
        <v>85</v>
      </c>
    </row>
    <row r="29" spans="1:70" x14ac:dyDescent="0.25">
      <c r="A29" s="17" t="s">
        <v>86</v>
      </c>
      <c r="B29" s="17">
        <v>5.56</v>
      </c>
      <c r="C29" s="17">
        <v>5.13</v>
      </c>
      <c r="D29" s="17">
        <v>5.56</v>
      </c>
      <c r="E29" s="17">
        <v>5.13</v>
      </c>
      <c r="F29" s="17">
        <v>0</v>
      </c>
      <c r="G29" s="24">
        <v>10.52</v>
      </c>
      <c r="H29" s="24">
        <v>10.52</v>
      </c>
      <c r="I29" s="24">
        <v>10.52</v>
      </c>
      <c r="J29" s="24">
        <v>10.52</v>
      </c>
      <c r="K29" s="24">
        <f>F29*(1+$B$5)</f>
        <v>0</v>
      </c>
      <c r="L29" s="24">
        <f>G29*(1+$P$24)</f>
        <v>10.835599999999999</v>
      </c>
      <c r="M29" s="24">
        <f t="shared" si="23"/>
        <v>10.835599999999999</v>
      </c>
      <c r="N29" s="24">
        <f t="shared" si="23"/>
        <v>10.835599999999999</v>
      </c>
      <c r="O29" s="24">
        <f t="shared" si="23"/>
        <v>10.835599999999999</v>
      </c>
      <c r="P29" s="24">
        <f t="shared" si="23"/>
        <v>0</v>
      </c>
      <c r="Q29" s="25">
        <f>L29*(1+$U$24)</f>
        <v>11.160667999999999</v>
      </c>
      <c r="R29" s="25">
        <f t="shared" si="24"/>
        <v>11.160667999999999</v>
      </c>
      <c r="S29" s="25">
        <f t="shared" si="24"/>
        <v>11.160667999999999</v>
      </c>
      <c r="T29" s="25">
        <f t="shared" si="24"/>
        <v>11.160667999999999</v>
      </c>
      <c r="U29" s="25">
        <f t="shared" si="24"/>
        <v>0</v>
      </c>
      <c r="V29" s="24">
        <f t="shared" si="25"/>
        <v>11.49548804</v>
      </c>
      <c r="W29" s="24">
        <f t="shared" si="25"/>
        <v>11.49548804</v>
      </c>
      <c r="X29" s="24">
        <f t="shared" si="25"/>
        <v>11.49548804</v>
      </c>
      <c r="Y29" s="24">
        <f t="shared" si="25"/>
        <v>11.49548804</v>
      </c>
      <c r="Z29" s="24">
        <f t="shared" si="25"/>
        <v>0</v>
      </c>
      <c r="AA29" s="26">
        <f>V29*(1+$AE$24)</f>
        <v>11.840352681200001</v>
      </c>
      <c r="AB29" s="26">
        <f>W29*(1+$AE$24)-0.01</f>
        <v>11.830352681200001</v>
      </c>
      <c r="AC29" s="26">
        <f>X29*(1+$AE$24)-0.01</f>
        <v>11.830352681200001</v>
      </c>
      <c r="AD29" s="26">
        <f>Y29*(1+$AE$24)-0.01</f>
        <v>11.830352681200001</v>
      </c>
      <c r="AE29" s="26">
        <f>Z29*(1+$AE$24)</f>
        <v>0</v>
      </c>
      <c r="AF29" s="29">
        <f t="shared" si="26"/>
        <v>12.195563261636002</v>
      </c>
      <c r="AG29" s="29">
        <f t="shared" si="26"/>
        <v>12.185263261636001</v>
      </c>
      <c r="AH29" s="29">
        <f t="shared" si="26"/>
        <v>12.185263261636001</v>
      </c>
      <c r="AI29" s="29">
        <f t="shared" si="26"/>
        <v>12.185263261636001</v>
      </c>
      <c r="AJ29" s="209">
        <v>0</v>
      </c>
      <c r="AK29" s="29">
        <f t="shared" si="27"/>
        <v>12.561430159485083</v>
      </c>
      <c r="AL29" s="29">
        <f t="shared" si="27"/>
        <v>12.550821159485082</v>
      </c>
      <c r="AM29" s="29">
        <f t="shared" si="27"/>
        <v>12.550821159485082</v>
      </c>
      <c r="AN29" s="29">
        <f t="shared" si="28"/>
        <v>12.550821159485082</v>
      </c>
      <c r="AO29" s="209">
        <v>0</v>
      </c>
      <c r="AP29" s="30">
        <f t="shared" ref="AP29:AP32" si="29">AK29*(1+$AT$24)</f>
        <v>12.938273064269636</v>
      </c>
      <c r="AQ29" s="30"/>
      <c r="AR29" s="30"/>
      <c r="AS29" s="30"/>
      <c r="AT29" s="249">
        <v>0</v>
      </c>
      <c r="AU29" s="30">
        <f>AP29*(1+$AY$24)</f>
        <v>13.326421256197724</v>
      </c>
      <c r="AV29" s="30"/>
      <c r="AW29" s="30"/>
      <c r="AX29" s="30"/>
      <c r="AY29" s="249">
        <v>0</v>
      </c>
      <c r="AZ29" s="344">
        <f>AU29*(1+$BD$24)</f>
        <v>13.726213893883656</v>
      </c>
      <c r="BA29" s="344"/>
      <c r="BB29" s="344"/>
      <c r="BC29" s="344"/>
      <c r="BD29" s="345">
        <v>0</v>
      </c>
      <c r="BE29" s="344">
        <f>AZ29*(1+$BI$24)</f>
        <v>14.138000310700166</v>
      </c>
      <c r="BF29" s="344"/>
      <c r="BG29" s="344"/>
      <c r="BH29" s="344"/>
      <c r="BI29" s="345">
        <v>0</v>
      </c>
      <c r="BJ29" s="344">
        <f t="shared" ref="BJ29:BJ32" si="30">BE29*(1+$BN$24)</f>
        <v>14.562140320021172</v>
      </c>
      <c r="BK29" s="344"/>
      <c r="BL29" s="344"/>
      <c r="BM29" s="344"/>
      <c r="BN29" s="345">
        <v>0</v>
      </c>
      <c r="BO29" s="345"/>
      <c r="BP29" s="345"/>
      <c r="BQ29" s="345"/>
      <c r="BR29" s="17" t="s">
        <v>86</v>
      </c>
    </row>
    <row r="30" spans="1:70" x14ac:dyDescent="0.25">
      <c r="A30" s="17" t="s">
        <v>87</v>
      </c>
      <c r="B30" s="17">
        <v>9.06</v>
      </c>
      <c r="C30" s="17">
        <v>8.6300000000000008</v>
      </c>
      <c r="D30" s="17">
        <v>9.06</v>
      </c>
      <c r="E30" s="17">
        <v>8.6300000000000008</v>
      </c>
      <c r="F30" s="17">
        <v>0</v>
      </c>
      <c r="G30" s="24">
        <v>10.52</v>
      </c>
      <c r="H30" s="24">
        <v>10.52</v>
      </c>
      <c r="I30" s="24">
        <v>10.52</v>
      </c>
      <c r="J30" s="24">
        <v>10.52</v>
      </c>
      <c r="K30" s="24">
        <f>F30*(1+$B$5)</f>
        <v>0</v>
      </c>
      <c r="L30" s="24">
        <f>G30*(1+$P$24)</f>
        <v>10.835599999999999</v>
      </c>
      <c r="M30" s="24">
        <f t="shared" si="23"/>
        <v>10.835599999999999</v>
      </c>
      <c r="N30" s="24">
        <f t="shared" si="23"/>
        <v>10.835599999999999</v>
      </c>
      <c r="O30" s="24">
        <f t="shared" si="23"/>
        <v>10.835599999999999</v>
      </c>
      <c r="P30" s="24">
        <f t="shared" si="23"/>
        <v>0</v>
      </c>
      <c r="Q30" s="25">
        <f>L30*(1+$U$24)</f>
        <v>11.160667999999999</v>
      </c>
      <c r="R30" s="25">
        <f t="shared" si="24"/>
        <v>11.160667999999999</v>
      </c>
      <c r="S30" s="25">
        <f t="shared" si="24"/>
        <v>11.160667999999999</v>
      </c>
      <c r="T30" s="25">
        <f t="shared" si="24"/>
        <v>11.160667999999999</v>
      </c>
      <c r="U30" s="25">
        <f t="shared" si="24"/>
        <v>0</v>
      </c>
      <c r="V30" s="24">
        <f>Q30*(1+$Z$24)</f>
        <v>11.49548804</v>
      </c>
      <c r="W30" s="24">
        <f t="shared" si="25"/>
        <v>11.49548804</v>
      </c>
      <c r="X30" s="24">
        <f t="shared" si="25"/>
        <v>11.49548804</v>
      </c>
      <c r="Y30" s="24">
        <f t="shared" si="25"/>
        <v>11.49548804</v>
      </c>
      <c r="Z30" s="24">
        <f t="shared" si="25"/>
        <v>0</v>
      </c>
      <c r="AA30" s="26">
        <f t="shared" ref="AA30:AD32" si="31">V30*(1+$AE$24)</f>
        <v>11.840352681200001</v>
      </c>
      <c r="AB30" s="26">
        <f t="shared" si="31"/>
        <v>11.840352681200001</v>
      </c>
      <c r="AC30" s="26">
        <f t="shared" si="31"/>
        <v>11.840352681200001</v>
      </c>
      <c r="AD30" s="26">
        <f t="shared" si="31"/>
        <v>11.840352681200001</v>
      </c>
      <c r="AE30" s="26">
        <f>Z30*(1+$AE$24)</f>
        <v>0</v>
      </c>
      <c r="AF30" s="29">
        <f t="shared" si="26"/>
        <v>12.195563261636002</v>
      </c>
      <c r="AG30" s="29">
        <f t="shared" si="26"/>
        <v>12.195563261636002</v>
      </c>
      <c r="AH30" s="29">
        <f t="shared" si="26"/>
        <v>12.195563261636002</v>
      </c>
      <c r="AI30" s="29">
        <f t="shared" si="26"/>
        <v>12.195563261636002</v>
      </c>
      <c r="AJ30" s="209">
        <v>0</v>
      </c>
      <c r="AK30" s="29">
        <f t="shared" si="27"/>
        <v>12.561430159485083</v>
      </c>
      <c r="AL30" s="29">
        <f t="shared" si="27"/>
        <v>12.561430159485083</v>
      </c>
      <c r="AM30" s="29">
        <f t="shared" si="27"/>
        <v>12.561430159485083</v>
      </c>
      <c r="AN30" s="29">
        <f t="shared" si="28"/>
        <v>12.561430159485083</v>
      </c>
      <c r="AO30" s="209">
        <v>0</v>
      </c>
      <c r="AP30" s="30">
        <f t="shared" si="29"/>
        <v>12.938273064269636</v>
      </c>
      <c r="AQ30" s="30"/>
      <c r="AR30" s="30"/>
      <c r="AS30" s="30"/>
      <c r="AT30" s="249">
        <v>0</v>
      </c>
      <c r="AU30" s="30">
        <f>AP30*(1+$AY$24)</f>
        <v>13.326421256197724</v>
      </c>
      <c r="AV30" s="30"/>
      <c r="AW30" s="30"/>
      <c r="AX30" s="30"/>
      <c r="AY30" s="249">
        <v>0</v>
      </c>
      <c r="AZ30" s="344">
        <f>AU30*(1+$BD$24)</f>
        <v>13.726213893883656</v>
      </c>
      <c r="BA30" s="344"/>
      <c r="BB30" s="344"/>
      <c r="BC30" s="344"/>
      <c r="BD30" s="345">
        <v>0</v>
      </c>
      <c r="BE30" s="344">
        <f t="shared" ref="BE30:BE32" si="32">AZ30*(1+$BI$24)</f>
        <v>14.138000310700166</v>
      </c>
      <c r="BF30" s="344"/>
      <c r="BG30" s="344"/>
      <c r="BH30" s="344"/>
      <c r="BI30" s="345">
        <v>0</v>
      </c>
      <c r="BJ30" s="344">
        <f t="shared" si="30"/>
        <v>14.562140320021172</v>
      </c>
      <c r="BK30" s="344"/>
      <c r="BL30" s="344"/>
      <c r="BM30" s="344"/>
      <c r="BN30" s="345">
        <v>0</v>
      </c>
      <c r="BO30" s="345"/>
      <c r="BP30" s="345"/>
      <c r="BQ30" s="345"/>
      <c r="BR30" s="17" t="s">
        <v>87</v>
      </c>
    </row>
    <row r="31" spans="1:70" x14ac:dyDescent="0.25">
      <c r="A31" s="17" t="s">
        <v>91</v>
      </c>
      <c r="B31" s="17">
        <v>9.06</v>
      </c>
      <c r="C31" s="17">
        <v>8.6300000000000008</v>
      </c>
      <c r="D31" s="17">
        <v>9.06</v>
      </c>
      <c r="E31" s="17">
        <v>8.6300000000000008</v>
      </c>
      <c r="F31" s="17">
        <v>0</v>
      </c>
      <c r="G31" s="24">
        <v>10.52</v>
      </c>
      <c r="H31" s="24">
        <v>10.52</v>
      </c>
      <c r="I31" s="24">
        <v>10.52</v>
      </c>
      <c r="J31" s="24">
        <v>10.52</v>
      </c>
      <c r="K31" s="24">
        <f>F31*(1+$B$5)</f>
        <v>0</v>
      </c>
      <c r="L31" s="24">
        <f>G31*(1+$P$24)</f>
        <v>10.835599999999999</v>
      </c>
      <c r="M31" s="24">
        <f t="shared" si="23"/>
        <v>10.835599999999999</v>
      </c>
      <c r="N31" s="24">
        <f t="shared" si="23"/>
        <v>10.835599999999999</v>
      </c>
      <c r="O31" s="24">
        <f t="shared" si="23"/>
        <v>10.835599999999999</v>
      </c>
      <c r="P31" s="24">
        <f t="shared" si="23"/>
        <v>0</v>
      </c>
      <c r="Q31" s="25">
        <f>L31*(1+$U$24)</f>
        <v>11.160667999999999</v>
      </c>
      <c r="R31" s="25">
        <f t="shared" si="24"/>
        <v>11.160667999999999</v>
      </c>
      <c r="S31" s="25">
        <f t="shared" si="24"/>
        <v>11.160667999999999</v>
      </c>
      <c r="T31" s="25">
        <f t="shared" si="24"/>
        <v>11.160667999999999</v>
      </c>
      <c r="U31" s="25">
        <f t="shared" si="24"/>
        <v>0</v>
      </c>
      <c r="V31" s="24">
        <f>Q31*(1+$Z$24)</f>
        <v>11.49548804</v>
      </c>
      <c r="W31" s="24">
        <f t="shared" si="25"/>
        <v>11.49548804</v>
      </c>
      <c r="X31" s="24">
        <f t="shared" si="25"/>
        <v>11.49548804</v>
      </c>
      <c r="Y31" s="24">
        <f t="shared" si="25"/>
        <v>11.49548804</v>
      </c>
      <c r="Z31" s="24">
        <f t="shared" si="25"/>
        <v>0</v>
      </c>
      <c r="AA31" s="26">
        <f t="shared" si="31"/>
        <v>11.840352681200001</v>
      </c>
      <c r="AB31" s="26">
        <f t="shared" si="31"/>
        <v>11.840352681200001</v>
      </c>
      <c r="AC31" s="26">
        <f t="shared" si="31"/>
        <v>11.840352681200001</v>
      </c>
      <c r="AD31" s="26">
        <f t="shared" si="31"/>
        <v>11.840352681200001</v>
      </c>
      <c r="AE31" s="26">
        <f>Z31*(1+$AE$24)</f>
        <v>0</v>
      </c>
      <c r="AF31" s="29">
        <f t="shared" si="26"/>
        <v>12.195563261636002</v>
      </c>
      <c r="AG31" s="29">
        <f t="shared" si="26"/>
        <v>12.195563261636002</v>
      </c>
      <c r="AH31" s="29">
        <f t="shared" si="26"/>
        <v>12.195563261636002</v>
      </c>
      <c r="AI31" s="29">
        <f t="shared" si="26"/>
        <v>12.195563261636002</v>
      </c>
      <c r="AJ31" s="209">
        <v>0</v>
      </c>
      <c r="AK31" s="29">
        <f t="shared" si="27"/>
        <v>12.561430159485083</v>
      </c>
      <c r="AL31" s="29">
        <f t="shared" si="27"/>
        <v>12.561430159485083</v>
      </c>
      <c r="AM31" s="29">
        <f t="shared" si="27"/>
        <v>12.561430159485083</v>
      </c>
      <c r="AN31" s="29">
        <f t="shared" si="28"/>
        <v>12.561430159485083</v>
      </c>
      <c r="AO31" s="209">
        <v>0</v>
      </c>
      <c r="AP31" s="30">
        <f t="shared" si="29"/>
        <v>12.938273064269636</v>
      </c>
      <c r="AQ31" s="30"/>
      <c r="AR31" s="30"/>
      <c r="AS31" s="30"/>
      <c r="AT31" s="249">
        <v>0</v>
      </c>
      <c r="AU31" s="30">
        <f>AP31*(1+$AY$24)</f>
        <v>13.326421256197724</v>
      </c>
      <c r="AV31" s="30"/>
      <c r="AW31" s="30"/>
      <c r="AX31" s="30"/>
      <c r="AY31" s="249">
        <v>0</v>
      </c>
      <c r="AZ31" s="344">
        <f>AU31*(1+$BD$24)</f>
        <v>13.726213893883656</v>
      </c>
      <c r="BA31" s="344"/>
      <c r="BB31" s="344"/>
      <c r="BC31" s="344"/>
      <c r="BD31" s="345">
        <v>0</v>
      </c>
      <c r="BE31" s="344">
        <f t="shared" si="32"/>
        <v>14.138000310700166</v>
      </c>
      <c r="BF31" s="344"/>
      <c r="BG31" s="344"/>
      <c r="BH31" s="344"/>
      <c r="BI31" s="345">
        <v>0</v>
      </c>
      <c r="BJ31" s="344">
        <f t="shared" si="30"/>
        <v>14.562140320021172</v>
      </c>
      <c r="BK31" s="344"/>
      <c r="BL31" s="344"/>
      <c r="BM31" s="344"/>
      <c r="BN31" s="345">
        <v>0</v>
      </c>
      <c r="BO31" s="345"/>
      <c r="BP31" s="345"/>
      <c r="BQ31" s="345"/>
      <c r="BR31" s="17" t="s">
        <v>91</v>
      </c>
    </row>
    <row r="32" spans="1:70" x14ac:dyDescent="0.25">
      <c r="A32" s="17" t="s">
        <v>92</v>
      </c>
      <c r="B32" s="30"/>
      <c r="C32" s="30"/>
      <c r="D32" s="30"/>
      <c r="E32" s="30"/>
      <c r="F32" s="30"/>
      <c r="G32" s="24"/>
      <c r="H32" s="24"/>
      <c r="I32" s="24"/>
      <c r="J32" s="24"/>
      <c r="K32" s="24"/>
      <c r="L32" s="24"/>
      <c r="M32" s="24"/>
      <c r="N32" s="24"/>
      <c r="O32" s="24"/>
      <c r="P32" s="24"/>
      <c r="Q32" s="25">
        <f>Q28</f>
        <v>11.160667999999999</v>
      </c>
      <c r="R32" s="25">
        <f>R28</f>
        <v>11.160667999999999</v>
      </c>
      <c r="S32" s="25">
        <f>S28</f>
        <v>11.160667999999999</v>
      </c>
      <c r="T32" s="25">
        <f>T28</f>
        <v>11.160667999999999</v>
      </c>
      <c r="U32" s="25">
        <f>U28</f>
        <v>0</v>
      </c>
      <c r="V32" s="24">
        <f>Q32*(1+$Z$24)</f>
        <v>11.49548804</v>
      </c>
      <c r="W32" s="24">
        <f t="shared" si="25"/>
        <v>11.49548804</v>
      </c>
      <c r="X32" s="24">
        <f t="shared" si="25"/>
        <v>11.49548804</v>
      </c>
      <c r="Y32" s="24">
        <f t="shared" si="25"/>
        <v>11.49548804</v>
      </c>
      <c r="Z32" s="24">
        <f t="shared" si="25"/>
        <v>0</v>
      </c>
      <c r="AA32" s="26">
        <f t="shared" si="31"/>
        <v>11.840352681200001</v>
      </c>
      <c r="AB32" s="26">
        <f t="shared" si="31"/>
        <v>11.840352681200001</v>
      </c>
      <c r="AC32" s="26">
        <f t="shared" si="31"/>
        <v>11.840352681200001</v>
      </c>
      <c r="AD32" s="26">
        <f t="shared" si="31"/>
        <v>11.840352681200001</v>
      </c>
      <c r="AE32" s="26">
        <f>Z32*(1+$AE$24)</f>
        <v>0</v>
      </c>
      <c r="AF32" s="29">
        <f t="shared" si="26"/>
        <v>12.195563261636002</v>
      </c>
      <c r="AG32" s="29">
        <f t="shared" si="26"/>
        <v>12.195563261636002</v>
      </c>
      <c r="AH32" s="29">
        <f t="shared" si="26"/>
        <v>12.195563261636002</v>
      </c>
      <c r="AI32" s="29">
        <f t="shared" si="26"/>
        <v>12.195563261636002</v>
      </c>
      <c r="AJ32" s="209">
        <v>0</v>
      </c>
      <c r="AK32" s="29">
        <f t="shared" si="27"/>
        <v>12.561430159485083</v>
      </c>
      <c r="AL32" s="29">
        <f t="shared" si="27"/>
        <v>12.561430159485083</v>
      </c>
      <c r="AM32" s="29">
        <f t="shared" si="27"/>
        <v>12.561430159485083</v>
      </c>
      <c r="AN32" s="29">
        <f t="shared" si="28"/>
        <v>12.561430159485083</v>
      </c>
      <c r="AO32" s="209">
        <v>0</v>
      </c>
      <c r="AP32" s="30">
        <f t="shared" si="29"/>
        <v>12.938273064269636</v>
      </c>
      <c r="AQ32" s="30"/>
      <c r="AR32" s="30"/>
      <c r="AS32" s="30"/>
      <c r="AT32" s="249">
        <v>0</v>
      </c>
      <c r="AU32" s="30">
        <f>AP32*(1+$AY$24)</f>
        <v>13.326421256197724</v>
      </c>
      <c r="AV32" s="30"/>
      <c r="AW32" s="30"/>
      <c r="AX32" s="30"/>
      <c r="AY32" s="249">
        <v>0</v>
      </c>
      <c r="AZ32" s="344">
        <f>AU32*(1+$BD$24)</f>
        <v>13.726213893883656</v>
      </c>
      <c r="BA32" s="344"/>
      <c r="BB32" s="344"/>
      <c r="BC32" s="344"/>
      <c r="BD32" s="345">
        <v>0</v>
      </c>
      <c r="BE32" s="344">
        <f t="shared" si="32"/>
        <v>14.138000310700166</v>
      </c>
      <c r="BF32" s="344"/>
      <c r="BG32" s="344"/>
      <c r="BH32" s="344"/>
      <c r="BI32" s="345">
        <v>0</v>
      </c>
      <c r="BJ32" s="344">
        <f t="shared" si="30"/>
        <v>14.562140320021172</v>
      </c>
      <c r="BK32" s="344"/>
      <c r="BL32" s="344"/>
      <c r="BM32" s="344"/>
      <c r="BN32" s="345">
        <v>0</v>
      </c>
      <c r="BO32" s="345"/>
      <c r="BP32" s="345"/>
      <c r="BQ32" s="345"/>
      <c r="BR32" s="17" t="s">
        <v>92</v>
      </c>
    </row>
    <row r="34" spans="1:69" x14ac:dyDescent="0.25">
      <c r="A34" s="15" t="s">
        <v>98</v>
      </c>
    </row>
    <row r="35" spans="1:69" x14ac:dyDescent="0.25">
      <c r="L35" t="s">
        <v>94</v>
      </c>
      <c r="P35" s="28">
        <v>0.03</v>
      </c>
      <c r="Q35" t="s">
        <v>95</v>
      </c>
      <c r="U35" s="28">
        <v>0.03</v>
      </c>
      <c r="V35" t="s">
        <v>95</v>
      </c>
      <c r="Z35" s="28">
        <v>0.03</v>
      </c>
      <c r="AA35" t="s">
        <v>95</v>
      </c>
      <c r="AE35" s="28">
        <v>0.03</v>
      </c>
      <c r="AF35" t="s">
        <v>95</v>
      </c>
      <c r="AJ35" s="28">
        <v>0.03</v>
      </c>
      <c r="AK35" t="s">
        <v>386</v>
      </c>
      <c r="AO35" s="28">
        <v>0.03</v>
      </c>
      <c r="AP35" t="s">
        <v>382</v>
      </c>
      <c r="AT35" s="28">
        <v>0.03</v>
      </c>
      <c r="AU35" s="346" t="s">
        <v>441</v>
      </c>
      <c r="AV35" s="346"/>
      <c r="AW35" s="346"/>
      <c r="AX35" s="346"/>
      <c r="AY35" s="347">
        <v>0.03</v>
      </c>
      <c r="AZ35" s="500" t="s">
        <v>485</v>
      </c>
      <c r="BA35" s="500"/>
      <c r="BB35" s="500"/>
      <c r="BC35" s="500"/>
      <c r="BD35" s="501">
        <v>0.03</v>
      </c>
      <c r="BE35" s="500" t="s">
        <v>490</v>
      </c>
      <c r="BF35" s="500"/>
      <c r="BG35" s="500"/>
      <c r="BH35" s="500"/>
      <c r="BI35" s="501">
        <v>0.03</v>
      </c>
      <c r="BJ35" s="500" t="s">
        <v>490</v>
      </c>
      <c r="BK35" s="500"/>
      <c r="BL35" s="500"/>
      <c r="BM35" s="500"/>
      <c r="BN35" s="501">
        <v>0.03</v>
      </c>
      <c r="BO35" s="501"/>
      <c r="BP35" s="501"/>
      <c r="BQ35" s="501"/>
    </row>
    <row r="36" spans="1:69" x14ac:dyDescent="0.25">
      <c r="A36" s="866" t="s">
        <v>80</v>
      </c>
      <c r="B36" s="863">
        <v>2013</v>
      </c>
      <c r="C36" s="863"/>
      <c r="D36" s="863"/>
      <c r="E36" s="863"/>
      <c r="F36" s="863"/>
      <c r="G36" s="877">
        <v>2014</v>
      </c>
      <c r="H36" s="877"/>
      <c r="I36" s="877"/>
      <c r="J36" s="877"/>
      <c r="K36" s="877"/>
      <c r="L36" s="863">
        <v>2015</v>
      </c>
      <c r="M36" s="863"/>
      <c r="N36" s="863"/>
      <c r="O36" s="863"/>
      <c r="P36" s="863"/>
      <c r="Q36" s="863">
        <v>2016</v>
      </c>
      <c r="R36" s="863"/>
      <c r="S36" s="863"/>
      <c r="T36" s="863"/>
      <c r="U36" s="863"/>
      <c r="V36" s="863">
        <v>2017</v>
      </c>
      <c r="W36" s="863"/>
      <c r="X36" s="863"/>
      <c r="Y36" s="863"/>
      <c r="Z36" s="863"/>
      <c r="AA36" s="863">
        <v>2018</v>
      </c>
      <c r="AB36" s="863"/>
      <c r="AC36" s="863"/>
      <c r="AD36" s="863"/>
      <c r="AE36" s="863"/>
      <c r="AF36" s="863">
        <v>2019</v>
      </c>
      <c r="AG36" s="863"/>
      <c r="AH36" s="863"/>
      <c r="AI36" s="863"/>
      <c r="AJ36" s="863"/>
      <c r="AK36" s="863">
        <v>2020</v>
      </c>
      <c r="AL36" s="863"/>
      <c r="AM36" s="863"/>
      <c r="AN36" s="863"/>
      <c r="AO36" s="863"/>
      <c r="AP36" s="863">
        <v>2021</v>
      </c>
      <c r="AQ36" s="863"/>
      <c r="AR36" s="863"/>
      <c r="AS36" s="863"/>
      <c r="AT36" s="863"/>
      <c r="AU36" s="865">
        <v>2022</v>
      </c>
      <c r="AV36" s="865"/>
      <c r="AW36" s="865"/>
      <c r="AX36" s="865"/>
      <c r="AY36" s="865"/>
      <c r="AZ36" s="890">
        <v>2023</v>
      </c>
      <c r="BA36" s="890"/>
      <c r="BB36" s="890"/>
      <c r="BC36" s="890"/>
      <c r="BD36" s="890"/>
      <c r="BE36" s="890">
        <v>2024</v>
      </c>
      <c r="BF36" s="890"/>
      <c r="BG36" s="890"/>
      <c r="BH36" s="890"/>
      <c r="BI36" s="890"/>
      <c r="BJ36" s="890">
        <v>2025</v>
      </c>
      <c r="BK36" s="890"/>
      <c r="BL36" s="890"/>
      <c r="BM36" s="890"/>
      <c r="BN36" s="890"/>
      <c r="BO36" s="646"/>
      <c r="BP36" s="646"/>
      <c r="BQ36" s="646"/>
    </row>
    <row r="37" spans="1:69" ht="30.2" customHeight="1" x14ac:dyDescent="0.25">
      <c r="A37" s="866"/>
      <c r="B37" s="866" t="s">
        <v>81</v>
      </c>
      <c r="C37" s="866"/>
      <c r="D37" s="866" t="s">
        <v>82</v>
      </c>
      <c r="E37" s="866"/>
      <c r="F37" s="866" t="s">
        <v>83</v>
      </c>
      <c r="G37" s="866" t="s">
        <v>81</v>
      </c>
      <c r="H37" s="866"/>
      <c r="I37" s="866" t="s">
        <v>82</v>
      </c>
      <c r="J37" s="866"/>
      <c r="K37" s="866" t="s">
        <v>83</v>
      </c>
      <c r="L37" s="866" t="s">
        <v>81</v>
      </c>
      <c r="M37" s="866"/>
      <c r="N37" s="866" t="s">
        <v>82</v>
      </c>
      <c r="O37" s="866"/>
      <c r="P37" s="866" t="s">
        <v>83</v>
      </c>
      <c r="Q37" s="866" t="s">
        <v>81</v>
      </c>
      <c r="R37" s="866"/>
      <c r="S37" s="866" t="s">
        <v>82</v>
      </c>
      <c r="T37" s="866"/>
      <c r="U37" s="866" t="s">
        <v>83</v>
      </c>
      <c r="V37" s="866" t="s">
        <v>81</v>
      </c>
      <c r="W37" s="866"/>
      <c r="X37" s="866" t="s">
        <v>82</v>
      </c>
      <c r="Y37" s="866"/>
      <c r="Z37" s="866" t="s">
        <v>83</v>
      </c>
      <c r="AA37" s="866" t="s">
        <v>81</v>
      </c>
      <c r="AB37" s="866"/>
      <c r="AC37" s="866" t="s">
        <v>82</v>
      </c>
      <c r="AD37" s="866"/>
      <c r="AE37" s="866" t="s">
        <v>83</v>
      </c>
      <c r="AF37" s="866" t="s">
        <v>81</v>
      </c>
      <c r="AG37" s="866"/>
      <c r="AH37" s="866" t="s">
        <v>82</v>
      </c>
      <c r="AI37" s="866"/>
      <c r="AJ37" s="866" t="s">
        <v>83</v>
      </c>
      <c r="AK37" s="866" t="s">
        <v>81</v>
      </c>
      <c r="AL37" s="866"/>
      <c r="AM37" s="866" t="s">
        <v>82</v>
      </c>
      <c r="AN37" s="866"/>
      <c r="AO37" s="866" t="s">
        <v>83</v>
      </c>
      <c r="AP37" s="866" t="s">
        <v>81</v>
      </c>
      <c r="AQ37" s="866"/>
      <c r="AR37" s="866" t="s">
        <v>82</v>
      </c>
      <c r="AS37" s="866"/>
      <c r="AT37" s="866" t="s">
        <v>83</v>
      </c>
      <c r="AU37" s="880" t="s">
        <v>81</v>
      </c>
      <c r="AV37" s="880"/>
      <c r="AW37" s="880" t="s">
        <v>82</v>
      </c>
      <c r="AX37" s="880"/>
      <c r="AY37" s="880" t="s">
        <v>83</v>
      </c>
      <c r="AZ37" s="891" t="s">
        <v>81</v>
      </c>
      <c r="BA37" s="891"/>
      <c r="BB37" s="891" t="s">
        <v>82</v>
      </c>
      <c r="BC37" s="891"/>
      <c r="BD37" s="891" t="s">
        <v>83</v>
      </c>
      <c r="BE37" s="891" t="s">
        <v>81</v>
      </c>
      <c r="BF37" s="891"/>
      <c r="BG37" s="891" t="s">
        <v>82</v>
      </c>
      <c r="BH37" s="891"/>
      <c r="BI37" s="891" t="s">
        <v>83</v>
      </c>
      <c r="BJ37" s="891" t="s">
        <v>81</v>
      </c>
      <c r="BK37" s="891"/>
      <c r="BL37" s="891" t="s">
        <v>82</v>
      </c>
      <c r="BM37" s="891"/>
      <c r="BN37" s="891" t="s">
        <v>83</v>
      </c>
      <c r="BO37" s="647"/>
      <c r="BP37" s="647"/>
      <c r="BQ37" s="647"/>
    </row>
    <row r="38" spans="1:69" ht="60" x14ac:dyDescent="0.25">
      <c r="A38" s="866"/>
      <c r="B38" s="22" t="s">
        <v>99</v>
      </c>
      <c r="C38" s="22" t="s">
        <v>100</v>
      </c>
      <c r="D38" s="22" t="s">
        <v>99</v>
      </c>
      <c r="E38" s="22" t="s">
        <v>100</v>
      </c>
      <c r="F38" s="866"/>
      <c r="G38" s="22" t="s">
        <v>99</v>
      </c>
      <c r="H38" s="22" t="s">
        <v>100</v>
      </c>
      <c r="I38" s="22" t="s">
        <v>99</v>
      </c>
      <c r="J38" s="22" t="s">
        <v>100</v>
      </c>
      <c r="K38" s="866"/>
      <c r="L38" s="22" t="s">
        <v>99</v>
      </c>
      <c r="M38" s="22" t="s">
        <v>100</v>
      </c>
      <c r="N38" s="22" t="s">
        <v>99</v>
      </c>
      <c r="O38" s="22" t="s">
        <v>100</v>
      </c>
      <c r="P38" s="866"/>
      <c r="Q38" s="22" t="s">
        <v>99</v>
      </c>
      <c r="R38" s="22" t="s">
        <v>100</v>
      </c>
      <c r="S38" s="22" t="s">
        <v>99</v>
      </c>
      <c r="T38" s="22" t="s">
        <v>100</v>
      </c>
      <c r="U38" s="866"/>
      <c r="V38" s="22" t="s">
        <v>99</v>
      </c>
      <c r="W38" s="22" t="s">
        <v>100</v>
      </c>
      <c r="X38" s="22" t="s">
        <v>99</v>
      </c>
      <c r="Y38" s="22" t="s">
        <v>100</v>
      </c>
      <c r="Z38" s="866"/>
      <c r="AA38" s="22" t="s">
        <v>99</v>
      </c>
      <c r="AB38" s="22" t="s">
        <v>100</v>
      </c>
      <c r="AC38" s="22" t="s">
        <v>99</v>
      </c>
      <c r="AD38" s="22" t="s">
        <v>100</v>
      </c>
      <c r="AE38" s="866"/>
      <c r="AF38" s="22" t="s">
        <v>99</v>
      </c>
      <c r="AG38" s="22" t="s">
        <v>100</v>
      </c>
      <c r="AH38" s="22" t="s">
        <v>99</v>
      </c>
      <c r="AI38" s="22" t="s">
        <v>100</v>
      </c>
      <c r="AJ38" s="866"/>
      <c r="AK38" s="22" t="s">
        <v>99</v>
      </c>
      <c r="AL38" s="22" t="s">
        <v>100</v>
      </c>
      <c r="AM38" s="22" t="s">
        <v>99</v>
      </c>
      <c r="AN38" s="22" t="s">
        <v>100</v>
      </c>
      <c r="AO38" s="866"/>
      <c r="AP38" s="22" t="s">
        <v>99</v>
      </c>
      <c r="AQ38" s="22" t="s">
        <v>100</v>
      </c>
      <c r="AR38" s="22" t="s">
        <v>99</v>
      </c>
      <c r="AS38" s="22" t="s">
        <v>100</v>
      </c>
      <c r="AT38" s="866"/>
      <c r="AU38" s="348" t="s">
        <v>99</v>
      </c>
      <c r="AV38" s="348" t="s">
        <v>100</v>
      </c>
      <c r="AW38" s="348" t="s">
        <v>99</v>
      </c>
      <c r="AX38" s="348" t="s">
        <v>100</v>
      </c>
      <c r="AY38" s="880"/>
      <c r="AZ38" s="502" t="s">
        <v>99</v>
      </c>
      <c r="BA38" s="502" t="s">
        <v>100</v>
      </c>
      <c r="BB38" s="502" t="s">
        <v>99</v>
      </c>
      <c r="BC38" s="502" t="s">
        <v>100</v>
      </c>
      <c r="BD38" s="891"/>
      <c r="BE38" s="502" t="s">
        <v>99</v>
      </c>
      <c r="BF38" s="502" t="s">
        <v>100</v>
      </c>
      <c r="BG38" s="502" t="s">
        <v>99</v>
      </c>
      <c r="BH38" s="502" t="s">
        <v>100</v>
      </c>
      <c r="BI38" s="891"/>
      <c r="BJ38" s="502" t="s">
        <v>140</v>
      </c>
      <c r="BK38" s="502" t="s">
        <v>100</v>
      </c>
      <c r="BL38" s="502" t="s">
        <v>99</v>
      </c>
      <c r="BM38" s="502" t="s">
        <v>100</v>
      </c>
      <c r="BN38" s="891"/>
      <c r="BO38" s="647"/>
      <c r="BP38" s="647"/>
      <c r="BQ38" s="647"/>
    </row>
    <row r="39" spans="1:69" x14ac:dyDescent="0.25">
      <c r="A39" s="17" t="s">
        <v>84</v>
      </c>
      <c r="B39" s="30">
        <v>9.65</v>
      </c>
      <c r="C39" s="30">
        <v>8.7899999999999991</v>
      </c>
      <c r="D39" s="30">
        <v>9.65</v>
      </c>
      <c r="E39" s="30">
        <v>8.7899999999999991</v>
      </c>
      <c r="F39" s="30">
        <v>0</v>
      </c>
      <c r="G39" s="24">
        <v>10.52</v>
      </c>
      <c r="H39" s="24">
        <v>10.52</v>
      </c>
      <c r="I39" s="24">
        <v>10.52</v>
      </c>
      <c r="J39" s="24">
        <v>10.52</v>
      </c>
      <c r="K39" s="24">
        <f>F39*(1+$B$5)</f>
        <v>0</v>
      </c>
      <c r="L39" s="24">
        <f>G39*(1+$P$35)</f>
        <v>10.835599999999999</v>
      </c>
      <c r="M39" s="24">
        <f t="shared" ref="M39:P42" si="33">H39*(1+$P$35)</f>
        <v>10.835599999999999</v>
      </c>
      <c r="N39" s="24">
        <f t="shared" si="33"/>
        <v>10.835599999999999</v>
      </c>
      <c r="O39" s="24">
        <f t="shared" si="33"/>
        <v>10.835599999999999</v>
      </c>
      <c r="P39" s="24">
        <f t="shared" si="33"/>
        <v>0</v>
      </c>
      <c r="Q39" s="25">
        <f>L39*(1+U35)</f>
        <v>11.160667999999999</v>
      </c>
      <c r="R39" s="25">
        <f t="shared" ref="R39:U42" si="34">M39*(1+$U$35)</f>
        <v>11.160667999999999</v>
      </c>
      <c r="S39" s="25">
        <f t="shared" si="34"/>
        <v>11.160667999999999</v>
      </c>
      <c r="T39" s="25">
        <f t="shared" si="34"/>
        <v>11.160667999999999</v>
      </c>
      <c r="U39" s="25">
        <f t="shared" si="34"/>
        <v>0</v>
      </c>
      <c r="V39" s="24">
        <f t="shared" ref="V39:Z43" si="35">Q39*(1+$Z$35)</f>
        <v>11.49548804</v>
      </c>
      <c r="W39" s="24">
        <f t="shared" si="35"/>
        <v>11.49548804</v>
      </c>
      <c r="X39" s="24">
        <f t="shared" si="35"/>
        <v>11.49548804</v>
      </c>
      <c r="Y39" s="24">
        <f t="shared" si="35"/>
        <v>11.49548804</v>
      </c>
      <c r="Z39" s="24">
        <f t="shared" si="35"/>
        <v>0</v>
      </c>
      <c r="AA39" s="26">
        <f>V39*(1+$AE$35)</f>
        <v>11.840352681200001</v>
      </c>
      <c r="AB39" s="26">
        <f>W39*(1+$AE$35)</f>
        <v>11.840352681200001</v>
      </c>
      <c r="AC39" s="26">
        <f>X39*(1+$AE$35)</f>
        <v>11.840352681200001</v>
      </c>
      <c r="AD39" s="26">
        <f>Y39*(1+$AE$35)</f>
        <v>11.840352681200001</v>
      </c>
      <c r="AE39" s="26">
        <f>Z39*(1+$AE$35)</f>
        <v>0</v>
      </c>
      <c r="AF39" s="29">
        <f t="shared" ref="AF39:AO39" si="36">AA39*(1+$AJ$35)</f>
        <v>12.195563261636002</v>
      </c>
      <c r="AG39" s="29">
        <f t="shared" si="36"/>
        <v>12.195563261636002</v>
      </c>
      <c r="AH39" s="29">
        <f t="shared" si="36"/>
        <v>12.195563261636002</v>
      </c>
      <c r="AI39" s="29">
        <f t="shared" si="36"/>
        <v>12.195563261636002</v>
      </c>
      <c r="AJ39" s="29">
        <f t="shared" si="36"/>
        <v>0</v>
      </c>
      <c r="AK39" s="29">
        <f t="shared" si="36"/>
        <v>12.561430159485083</v>
      </c>
      <c r="AL39" s="29">
        <f t="shared" si="36"/>
        <v>12.561430159485083</v>
      </c>
      <c r="AM39" s="29">
        <f t="shared" si="36"/>
        <v>12.561430159485083</v>
      </c>
      <c r="AN39" s="29">
        <f t="shared" si="36"/>
        <v>12.561430159485083</v>
      </c>
      <c r="AO39" s="29">
        <f t="shared" si="36"/>
        <v>0</v>
      </c>
      <c r="AP39" s="30">
        <f t="shared" ref="AP39:AT43" si="37">AK39*(1+$AT$35)</f>
        <v>12.938273064269636</v>
      </c>
      <c r="AQ39" s="30">
        <f t="shared" si="37"/>
        <v>12.938273064269636</v>
      </c>
      <c r="AR39" s="30">
        <f t="shared" si="37"/>
        <v>12.938273064269636</v>
      </c>
      <c r="AS39" s="373">
        <f t="shared" si="37"/>
        <v>12.938273064269636</v>
      </c>
      <c r="AT39" s="30">
        <f t="shared" si="37"/>
        <v>0</v>
      </c>
      <c r="AU39" s="349">
        <f t="shared" ref="AU39:AY43" si="38">AP39*(1+$AY$35)</f>
        <v>13.326421256197724</v>
      </c>
      <c r="AV39" s="349">
        <f t="shared" si="38"/>
        <v>13.326421256197724</v>
      </c>
      <c r="AW39" s="349">
        <f t="shared" si="38"/>
        <v>13.326421256197724</v>
      </c>
      <c r="AX39" s="350">
        <f t="shared" si="38"/>
        <v>13.326421256197724</v>
      </c>
      <c r="AY39" s="349">
        <f t="shared" si="38"/>
        <v>0</v>
      </c>
      <c r="AZ39" s="503">
        <f>AU39*(1+$BD$35)</f>
        <v>13.726213893883656</v>
      </c>
      <c r="BA39" s="503">
        <f>AV39*(1+$BD$35)</f>
        <v>13.726213893883656</v>
      </c>
      <c r="BB39" s="503">
        <f>AW39*(1+$BD$35)</f>
        <v>13.726213893883656</v>
      </c>
      <c r="BC39" s="504">
        <f>AX39*(1+$BD$35)-0.01</f>
        <v>13.716213893883657</v>
      </c>
      <c r="BD39" s="503">
        <f>AY39*(1+$BD$35)</f>
        <v>0</v>
      </c>
      <c r="BE39" s="503">
        <f>AZ39*(1+$BI$35)</f>
        <v>14.138000310700166</v>
      </c>
      <c r="BF39" s="503">
        <f>BA39*(1+$BD$35)</f>
        <v>14.138000310700166</v>
      </c>
      <c r="BG39" s="503">
        <f>+BE39</f>
        <v>14.138000310700166</v>
      </c>
      <c r="BH39" s="503">
        <f>BC39*(1+$BD$35)</f>
        <v>14.127700310700167</v>
      </c>
      <c r="BI39" s="503">
        <f>BD39*(1+$BD$35)</f>
        <v>0</v>
      </c>
      <c r="BJ39" s="503">
        <f>BE39*(1+$BN$35)</f>
        <v>14.562140320021172</v>
      </c>
      <c r="BK39" s="503">
        <f>BF39*(1+$BN$35)</f>
        <v>14.562140320021172</v>
      </c>
      <c r="BL39" s="503">
        <f>+BJ39</f>
        <v>14.562140320021172</v>
      </c>
      <c r="BM39" s="503">
        <f>+BL39</f>
        <v>14.562140320021172</v>
      </c>
      <c r="BN39" s="503">
        <f>BI39*(1+$BD$35)</f>
        <v>0</v>
      </c>
      <c r="BO39" s="648"/>
      <c r="BP39" s="648"/>
      <c r="BQ39" s="648"/>
    </row>
    <row r="40" spans="1:69" x14ac:dyDescent="0.25">
      <c r="A40" s="17" t="s">
        <v>89</v>
      </c>
      <c r="B40" s="30">
        <v>6.15</v>
      </c>
      <c r="C40" s="30">
        <v>5.29</v>
      </c>
      <c r="D40" s="30">
        <v>6.15</v>
      </c>
      <c r="E40" s="30">
        <v>5.29</v>
      </c>
      <c r="F40" s="30">
        <v>0</v>
      </c>
      <c r="G40" s="24">
        <v>10.52</v>
      </c>
      <c r="H40" s="24">
        <v>6.82</v>
      </c>
      <c r="I40" s="24">
        <v>6.82</v>
      </c>
      <c r="J40" s="24">
        <v>6.82</v>
      </c>
      <c r="K40" s="24">
        <f>F40*(1+$B$5)</f>
        <v>0</v>
      </c>
      <c r="L40" s="24">
        <f>G40*(1+$P$35)</f>
        <v>10.835599999999999</v>
      </c>
      <c r="M40" s="24">
        <f t="shared" si="33"/>
        <v>7.0246000000000004</v>
      </c>
      <c r="N40" s="24">
        <f t="shared" si="33"/>
        <v>7.0246000000000004</v>
      </c>
      <c r="O40" s="24">
        <f t="shared" si="33"/>
        <v>7.0246000000000004</v>
      </c>
      <c r="P40" s="24">
        <f t="shared" si="33"/>
        <v>0</v>
      </c>
      <c r="Q40" s="25">
        <f>L40*(1+$U$35)</f>
        <v>11.160667999999999</v>
      </c>
      <c r="R40" s="25">
        <f t="shared" si="34"/>
        <v>7.2353380000000005</v>
      </c>
      <c r="S40" s="25">
        <f t="shared" si="34"/>
        <v>7.2353380000000005</v>
      </c>
      <c r="T40" s="25">
        <f t="shared" si="34"/>
        <v>7.2353380000000005</v>
      </c>
      <c r="U40" s="25">
        <f t="shared" si="34"/>
        <v>0</v>
      </c>
      <c r="V40" s="24">
        <f t="shared" si="35"/>
        <v>11.49548804</v>
      </c>
      <c r="W40" s="24">
        <f t="shared" si="35"/>
        <v>7.4523981400000006</v>
      </c>
      <c r="X40" s="24">
        <f t="shared" si="35"/>
        <v>7.4523981400000006</v>
      </c>
      <c r="Y40" s="24">
        <f t="shared" si="35"/>
        <v>7.4523981400000006</v>
      </c>
      <c r="Z40" s="24">
        <f t="shared" si="35"/>
        <v>0</v>
      </c>
      <c r="AA40" s="26">
        <f>V40*(1+$AE$35)</f>
        <v>11.840352681200001</v>
      </c>
      <c r="AB40" s="282">
        <f>W40*(1+$AE$35)-0.01</f>
        <v>7.6659700842000014</v>
      </c>
      <c r="AC40" s="283">
        <f>X40*(1+$AE$35)-0.01</f>
        <v>7.6659700842000014</v>
      </c>
      <c r="AD40" s="26">
        <f t="shared" ref="AB40:AD41" si="39">Y40*(1+$AE$35)-0.01</f>
        <v>7.6659700842000014</v>
      </c>
      <c r="AE40" s="26">
        <f>Z40*(1+$AE$35)</f>
        <v>0</v>
      </c>
      <c r="AF40" s="29">
        <f t="shared" ref="AF40:AM43" si="40">AA40*(1+$AJ$35)</f>
        <v>12.195563261636002</v>
      </c>
      <c r="AG40" s="29">
        <f t="shared" si="40"/>
        <v>7.8959491867260017</v>
      </c>
      <c r="AH40" s="29">
        <f t="shared" si="40"/>
        <v>7.8959491867260017</v>
      </c>
      <c r="AI40" s="29">
        <f t="shared" si="40"/>
        <v>7.8959491867260017</v>
      </c>
      <c r="AJ40" s="29">
        <f t="shared" si="40"/>
        <v>0</v>
      </c>
      <c r="AK40" s="29">
        <f t="shared" si="40"/>
        <v>12.561430159485083</v>
      </c>
      <c r="AL40" s="29">
        <f t="shared" si="40"/>
        <v>8.1328276623277826</v>
      </c>
      <c r="AM40" s="29">
        <f t="shared" si="40"/>
        <v>8.1328276623277826</v>
      </c>
      <c r="AN40" s="29">
        <f t="shared" ref="AN40:AN43" si="41">AI40*(1+$AJ$35)</f>
        <v>8.1328276623277826</v>
      </c>
      <c r="AO40" s="29">
        <f t="shared" ref="AO40:AO43" si="42">AJ40*(1+$AJ$35)</f>
        <v>0</v>
      </c>
      <c r="AP40" s="30">
        <f>AK40*(1+$AT$35)</f>
        <v>12.938273064269636</v>
      </c>
      <c r="AQ40" s="374">
        <v>8.3841999999999999</v>
      </c>
      <c r="AR40" s="374">
        <v>8.3841999999999999</v>
      </c>
      <c r="AS40" s="374">
        <v>8.3841999999999999</v>
      </c>
      <c r="AT40" s="30">
        <f t="shared" si="37"/>
        <v>0</v>
      </c>
      <c r="AU40" s="349">
        <f t="shared" si="38"/>
        <v>13.326421256197724</v>
      </c>
      <c r="AV40" s="349">
        <f t="shared" ref="AV40:AX41" si="43">ROUND(AQ40,2)*(1+$AY$35)</f>
        <v>8.6314000000000011</v>
      </c>
      <c r="AW40" s="349">
        <f t="shared" si="43"/>
        <v>8.6314000000000011</v>
      </c>
      <c r="AX40" s="349">
        <f t="shared" si="43"/>
        <v>8.6314000000000011</v>
      </c>
      <c r="AY40" s="349">
        <f t="shared" si="38"/>
        <v>0</v>
      </c>
      <c r="AZ40" s="503">
        <f t="shared" ref="AZ40:AZ43" si="44">AU40*(1+$BD$35)</f>
        <v>13.726213893883656</v>
      </c>
      <c r="BA40" s="503">
        <f t="shared" ref="BA40:BC41" si="45">ROUND(AV40,2)*(1+$BD$35)</f>
        <v>8.8889000000000014</v>
      </c>
      <c r="BB40" s="503">
        <f t="shared" si="45"/>
        <v>8.8889000000000014</v>
      </c>
      <c r="BC40" s="503">
        <f t="shared" si="45"/>
        <v>8.8889000000000014</v>
      </c>
      <c r="BD40" s="503">
        <f>AY40*(1+$BD$35)</f>
        <v>0</v>
      </c>
      <c r="BE40" s="503">
        <f t="shared" ref="BE40:BE43" si="46">AZ40*(1+$BI$35)</f>
        <v>14.138000310700166</v>
      </c>
      <c r="BF40" s="503">
        <f>ROUND(BA40,2)*(1+$BD$35)</f>
        <v>9.1567000000000007</v>
      </c>
      <c r="BG40" s="503">
        <f t="shared" ref="BG40:BG41" si="47">ROUND(BB40,2)*(1+$BD$35)</f>
        <v>9.1567000000000007</v>
      </c>
      <c r="BH40" s="503">
        <f t="shared" ref="BH40:BH41" si="48">ROUND(BC40,2)*(1+$BD$35)</f>
        <v>9.1567000000000007</v>
      </c>
      <c r="BI40" s="503">
        <f>BD40*(1+$BD$35)</f>
        <v>0</v>
      </c>
      <c r="BJ40" s="503">
        <f>BE40*(1+$BN$35)</f>
        <v>14.562140320021172</v>
      </c>
      <c r="BK40" s="503">
        <f>BF40*(1+$BN$35)</f>
        <v>9.431401000000001</v>
      </c>
      <c r="BL40" s="503">
        <f t="shared" ref="BL40:BL41" si="49">ROUND(BG40,2)*(1+$BD$35)</f>
        <v>9.434800000000001</v>
      </c>
      <c r="BM40" s="503">
        <f t="shared" ref="BM40:BM41" si="50">ROUND(BH40,2)*(1+$BD$35)</f>
        <v>9.434800000000001</v>
      </c>
      <c r="BN40" s="503">
        <f>BI40*(1+$BD$35)</f>
        <v>0</v>
      </c>
      <c r="BO40" s="648"/>
      <c r="BP40" s="648"/>
      <c r="BQ40" s="648"/>
    </row>
    <row r="41" spans="1:69" x14ac:dyDescent="0.25">
      <c r="A41" s="17" t="s">
        <v>90</v>
      </c>
      <c r="B41" s="30">
        <v>6.15</v>
      </c>
      <c r="C41" s="30">
        <v>5.29</v>
      </c>
      <c r="D41" s="30">
        <v>6.15</v>
      </c>
      <c r="E41" s="30">
        <v>5.29</v>
      </c>
      <c r="F41" s="30">
        <v>0</v>
      </c>
      <c r="G41" s="24">
        <v>10.52</v>
      </c>
      <c r="H41" s="24">
        <v>6.82</v>
      </c>
      <c r="I41" s="24">
        <v>6.82</v>
      </c>
      <c r="J41" s="24">
        <v>6.82</v>
      </c>
      <c r="K41" s="24">
        <f>F41*(1+$B$5)</f>
        <v>0</v>
      </c>
      <c r="L41" s="24">
        <f>G41*(1+$P$35)</f>
        <v>10.835599999999999</v>
      </c>
      <c r="M41" s="24">
        <f t="shared" si="33"/>
        <v>7.0246000000000004</v>
      </c>
      <c r="N41" s="24">
        <f t="shared" si="33"/>
        <v>7.0246000000000004</v>
      </c>
      <c r="O41" s="24">
        <f t="shared" si="33"/>
        <v>7.0246000000000004</v>
      </c>
      <c r="P41" s="24">
        <f t="shared" si="33"/>
        <v>0</v>
      </c>
      <c r="Q41" s="25">
        <f>L41*(1+$U$35)</f>
        <v>11.160667999999999</v>
      </c>
      <c r="R41" s="25">
        <f t="shared" si="34"/>
        <v>7.2353380000000005</v>
      </c>
      <c r="S41" s="25">
        <f t="shared" si="34"/>
        <v>7.2353380000000005</v>
      </c>
      <c r="T41" s="25">
        <f t="shared" si="34"/>
        <v>7.2353380000000005</v>
      </c>
      <c r="U41" s="25">
        <f t="shared" si="34"/>
        <v>0</v>
      </c>
      <c r="V41" s="24">
        <f t="shared" si="35"/>
        <v>11.49548804</v>
      </c>
      <c r="W41" s="24">
        <f t="shared" si="35"/>
        <v>7.4523981400000006</v>
      </c>
      <c r="X41" s="24">
        <f t="shared" si="35"/>
        <v>7.4523981400000006</v>
      </c>
      <c r="Y41" s="24">
        <f t="shared" si="35"/>
        <v>7.4523981400000006</v>
      </c>
      <c r="Z41" s="24">
        <f t="shared" si="35"/>
        <v>0</v>
      </c>
      <c r="AA41" s="26">
        <f>V41*(1+$AE$35)</f>
        <v>11.840352681200001</v>
      </c>
      <c r="AB41" s="283">
        <f t="shared" si="39"/>
        <v>7.6659700842000014</v>
      </c>
      <c r="AC41" s="283">
        <f t="shared" si="39"/>
        <v>7.6659700842000014</v>
      </c>
      <c r="AD41" s="26">
        <f t="shared" si="39"/>
        <v>7.6659700842000014</v>
      </c>
      <c r="AE41" s="26">
        <f>Z41*(1+$AE$35)</f>
        <v>0</v>
      </c>
      <c r="AF41" s="29">
        <f t="shared" si="40"/>
        <v>12.195563261636002</v>
      </c>
      <c r="AG41" s="29">
        <f t="shared" si="40"/>
        <v>7.8959491867260017</v>
      </c>
      <c r="AH41" s="29">
        <f t="shared" si="40"/>
        <v>7.8959491867260017</v>
      </c>
      <c r="AI41" s="29">
        <f t="shared" si="40"/>
        <v>7.8959491867260017</v>
      </c>
      <c r="AJ41" s="29">
        <f t="shared" si="40"/>
        <v>0</v>
      </c>
      <c r="AK41" s="29">
        <f t="shared" si="40"/>
        <v>12.561430159485083</v>
      </c>
      <c r="AL41" s="29">
        <f t="shared" si="40"/>
        <v>8.1328276623277826</v>
      </c>
      <c r="AM41" s="29">
        <f t="shared" si="40"/>
        <v>8.1328276623277826</v>
      </c>
      <c r="AN41" s="29">
        <f t="shared" si="41"/>
        <v>8.1328276623277826</v>
      </c>
      <c r="AO41" s="29">
        <f t="shared" si="42"/>
        <v>0</v>
      </c>
      <c r="AP41" s="30">
        <f t="shared" si="37"/>
        <v>12.938273064269636</v>
      </c>
      <c r="AQ41" s="374">
        <v>8.3841999999999999</v>
      </c>
      <c r="AR41" s="374">
        <v>8.3841999999999999</v>
      </c>
      <c r="AS41" s="374">
        <v>8.3841999999999999</v>
      </c>
      <c r="AT41" s="30">
        <f t="shared" si="37"/>
        <v>0</v>
      </c>
      <c r="AU41" s="349">
        <f t="shared" si="38"/>
        <v>13.326421256197724</v>
      </c>
      <c r="AV41" s="349">
        <f t="shared" si="43"/>
        <v>8.6314000000000011</v>
      </c>
      <c r="AW41" s="349">
        <f t="shared" si="43"/>
        <v>8.6314000000000011</v>
      </c>
      <c r="AX41" s="349">
        <f t="shared" si="43"/>
        <v>8.6314000000000011</v>
      </c>
      <c r="AY41" s="349">
        <f t="shared" si="38"/>
        <v>0</v>
      </c>
      <c r="AZ41" s="503">
        <f t="shared" si="44"/>
        <v>13.726213893883656</v>
      </c>
      <c r="BA41" s="503">
        <f t="shared" si="45"/>
        <v>8.8889000000000014</v>
      </c>
      <c r="BB41" s="503">
        <f t="shared" si="45"/>
        <v>8.8889000000000014</v>
      </c>
      <c r="BC41" s="503">
        <f t="shared" si="45"/>
        <v>8.8889000000000014</v>
      </c>
      <c r="BD41" s="503">
        <f>AY41*(1+$BD$35)</f>
        <v>0</v>
      </c>
      <c r="BE41" s="503">
        <f t="shared" si="46"/>
        <v>14.138000310700166</v>
      </c>
      <c r="BF41" s="503">
        <f t="shared" ref="BF41" si="51">ROUND(BA41,2)*(1+$BD$35)</f>
        <v>9.1567000000000007</v>
      </c>
      <c r="BG41" s="503">
        <f t="shared" si="47"/>
        <v>9.1567000000000007</v>
      </c>
      <c r="BH41" s="503">
        <f t="shared" si="48"/>
        <v>9.1567000000000007</v>
      </c>
      <c r="BI41" s="503">
        <f>BD41*(1+$BD$35)</f>
        <v>0</v>
      </c>
      <c r="BJ41" s="503">
        <f t="shared" ref="BJ41:BJ43" si="52">BE41*(1+$BN$35)</f>
        <v>14.562140320021172</v>
      </c>
      <c r="BK41" s="503">
        <f>BF41*(1+$BN$35)</f>
        <v>9.431401000000001</v>
      </c>
      <c r="BL41" s="503">
        <f t="shared" si="49"/>
        <v>9.434800000000001</v>
      </c>
      <c r="BM41" s="503">
        <f t="shared" si="50"/>
        <v>9.434800000000001</v>
      </c>
      <c r="BN41" s="503">
        <f>BI41*(1+$BD$35)</f>
        <v>0</v>
      </c>
      <c r="BO41" s="648"/>
      <c r="BP41" s="648"/>
      <c r="BQ41" s="648"/>
    </row>
    <row r="42" spans="1:69" x14ac:dyDescent="0.25">
      <c r="A42" s="239" t="s">
        <v>376</v>
      </c>
      <c r="B42" s="30">
        <v>9.15</v>
      </c>
      <c r="C42" s="30">
        <v>8.2899999999999991</v>
      </c>
      <c r="D42" s="30">
        <v>9.15</v>
      </c>
      <c r="E42" s="30">
        <v>8.2899999999999991</v>
      </c>
      <c r="F42" s="240">
        <v>3.7</v>
      </c>
      <c r="G42" s="24">
        <v>10.52</v>
      </c>
      <c r="H42" s="24">
        <v>10.52</v>
      </c>
      <c r="I42" s="24">
        <v>10.52</v>
      </c>
      <c r="J42" s="24">
        <v>10.52</v>
      </c>
      <c r="K42" s="24">
        <v>3.7</v>
      </c>
      <c r="L42" s="24">
        <f>G42*(1+$P$35)</f>
        <v>10.835599999999999</v>
      </c>
      <c r="M42" s="24">
        <f t="shared" si="33"/>
        <v>10.835599999999999</v>
      </c>
      <c r="N42" s="24">
        <f t="shared" si="33"/>
        <v>10.835599999999999</v>
      </c>
      <c r="O42" s="24">
        <f t="shared" si="33"/>
        <v>10.835599999999999</v>
      </c>
      <c r="P42" s="24">
        <f t="shared" si="33"/>
        <v>3.8110000000000004</v>
      </c>
      <c r="Q42" s="25">
        <f>L42*(1+$U$35)</f>
        <v>11.160667999999999</v>
      </c>
      <c r="R42" s="25">
        <f t="shared" si="34"/>
        <v>11.160667999999999</v>
      </c>
      <c r="S42" s="25">
        <f t="shared" si="34"/>
        <v>11.160667999999999</v>
      </c>
      <c r="T42" s="25">
        <f t="shared" si="34"/>
        <v>11.160667999999999</v>
      </c>
      <c r="U42" s="25">
        <f t="shared" si="34"/>
        <v>3.9253300000000007</v>
      </c>
      <c r="V42" s="24">
        <f t="shared" si="35"/>
        <v>11.49548804</v>
      </c>
      <c r="W42" s="24">
        <f t="shared" si="35"/>
        <v>11.49548804</v>
      </c>
      <c r="X42" s="24">
        <f t="shared" si="35"/>
        <v>11.49548804</v>
      </c>
      <c r="Y42" s="24">
        <f t="shared" si="35"/>
        <v>11.49548804</v>
      </c>
      <c r="Z42" s="24">
        <f>U42*(1+$Z$35)</f>
        <v>4.0430899000000009</v>
      </c>
      <c r="AA42" s="26">
        <f t="shared" ref="AA42:AD43" si="53">V42*(1+$AE$35)</f>
        <v>11.840352681200001</v>
      </c>
      <c r="AB42" s="26">
        <f t="shared" si="53"/>
        <v>11.840352681200001</v>
      </c>
      <c r="AC42" s="26">
        <f t="shared" si="53"/>
        <v>11.840352681200001</v>
      </c>
      <c r="AD42" s="26">
        <f t="shared" si="53"/>
        <v>11.840352681200001</v>
      </c>
      <c r="AE42" s="26">
        <f>Z42*(1+$AE$35)</f>
        <v>4.1643825970000012</v>
      </c>
      <c r="AF42" s="29">
        <f t="shared" si="40"/>
        <v>12.195563261636002</v>
      </c>
      <c r="AG42" s="29">
        <f t="shared" si="40"/>
        <v>12.195563261636002</v>
      </c>
      <c r="AH42" s="29">
        <f t="shared" si="40"/>
        <v>12.195563261636002</v>
      </c>
      <c r="AI42" s="29">
        <f t="shared" si="40"/>
        <v>12.195563261636002</v>
      </c>
      <c r="AJ42" s="29">
        <f t="shared" si="40"/>
        <v>4.2893140749100018</v>
      </c>
      <c r="AK42" s="29">
        <f t="shared" si="40"/>
        <v>12.561430159485083</v>
      </c>
      <c r="AL42" s="29">
        <f t="shared" si="40"/>
        <v>12.561430159485083</v>
      </c>
      <c r="AM42" s="29">
        <f t="shared" si="40"/>
        <v>12.561430159485083</v>
      </c>
      <c r="AN42" s="29">
        <f t="shared" si="41"/>
        <v>12.561430159485083</v>
      </c>
      <c r="AO42" s="29">
        <f>AJ42*(1+$AJ$35)</f>
        <v>4.4179934971573021</v>
      </c>
      <c r="AP42" s="30">
        <f t="shared" si="37"/>
        <v>12.938273064269636</v>
      </c>
      <c r="AQ42" s="30">
        <f t="shared" si="37"/>
        <v>12.938273064269636</v>
      </c>
      <c r="AR42" s="30">
        <f t="shared" si="37"/>
        <v>12.938273064269636</v>
      </c>
      <c r="AS42" s="30">
        <f t="shared" si="37"/>
        <v>12.938273064269636</v>
      </c>
      <c r="AT42" s="30">
        <f t="shared" si="37"/>
        <v>4.5505333020720213</v>
      </c>
      <c r="AU42" s="349">
        <f t="shared" si="38"/>
        <v>13.326421256197724</v>
      </c>
      <c r="AV42" s="349">
        <f t="shared" si="38"/>
        <v>13.326421256197724</v>
      </c>
      <c r="AW42" s="349">
        <f t="shared" si="38"/>
        <v>13.326421256197724</v>
      </c>
      <c r="AX42" s="349">
        <f t="shared" si="38"/>
        <v>13.326421256197724</v>
      </c>
      <c r="AY42" s="349">
        <f>AT42*(1+$AY$35)</f>
        <v>4.6870493011341825</v>
      </c>
      <c r="AZ42" s="503">
        <f t="shared" si="44"/>
        <v>13.726213893883656</v>
      </c>
      <c r="BA42" s="503">
        <f t="shared" ref="BA42:BA43" si="54">AV42*(1+$BD$35)</f>
        <v>13.726213893883656</v>
      </c>
      <c r="BB42" s="503">
        <f t="shared" ref="BB42:BC43" si="55">AW42*(1+$BD$35)-0.01</f>
        <v>13.716213893883657</v>
      </c>
      <c r="BC42" s="503">
        <f t="shared" si="55"/>
        <v>13.716213893883657</v>
      </c>
      <c r="BD42" s="503">
        <f>AY42*(1+$BD$35)</f>
        <v>4.8276607801682081</v>
      </c>
      <c r="BE42" s="503">
        <f t="shared" si="46"/>
        <v>14.138000310700166</v>
      </c>
      <c r="BF42" s="503">
        <f>BA42*(1+$BD$35)</f>
        <v>14.138000310700166</v>
      </c>
      <c r="BG42" s="503">
        <f>+BE42</f>
        <v>14.138000310700166</v>
      </c>
      <c r="BH42" s="503">
        <f t="shared" ref="BH42:BH43" si="56">BC42*(1+$BD$35)</f>
        <v>14.127700310700167</v>
      </c>
      <c r="BI42" s="503">
        <f>BD42*(1+$BI$35)</f>
        <v>4.9724906035732541</v>
      </c>
      <c r="BJ42" s="503">
        <f t="shared" si="52"/>
        <v>14.562140320021172</v>
      </c>
      <c r="BK42" s="503">
        <f t="shared" ref="BK42:BK43" si="57">BF42*(1+$BN$35)</f>
        <v>14.562140320021172</v>
      </c>
      <c r="BL42" s="503">
        <f>+BJ42</f>
        <v>14.562140320021172</v>
      </c>
      <c r="BM42" s="503">
        <f>+BL42</f>
        <v>14.562140320021172</v>
      </c>
      <c r="BN42" s="503">
        <f>BI42*(1+$BI$35)</f>
        <v>5.1216653216804522</v>
      </c>
      <c r="BO42" s="648"/>
      <c r="BP42" s="648"/>
      <c r="BQ42" s="648"/>
    </row>
    <row r="43" spans="1:69" x14ac:dyDescent="0.25">
      <c r="A43" s="17" t="s">
        <v>92</v>
      </c>
      <c r="B43" s="30"/>
      <c r="C43" s="30"/>
      <c r="D43" s="30"/>
      <c r="E43" s="30"/>
      <c r="F43" s="30"/>
      <c r="G43" s="24"/>
      <c r="H43" s="24"/>
      <c r="I43" s="24"/>
      <c r="J43" s="24"/>
      <c r="K43" s="24"/>
      <c r="L43" s="24"/>
      <c r="M43" s="24"/>
      <c r="N43" s="24"/>
      <c r="O43" s="24"/>
      <c r="P43" s="24"/>
      <c r="Q43" s="25">
        <f>Q39</f>
        <v>11.160667999999999</v>
      </c>
      <c r="R43" s="25">
        <f>R39</f>
        <v>11.160667999999999</v>
      </c>
      <c r="S43" s="25">
        <f>S39</f>
        <v>11.160667999999999</v>
      </c>
      <c r="T43" s="25">
        <f>T39</f>
        <v>11.160667999999999</v>
      </c>
      <c r="U43" s="25">
        <f>U39</f>
        <v>0</v>
      </c>
      <c r="V43" s="24">
        <f t="shared" si="35"/>
        <v>11.49548804</v>
      </c>
      <c r="W43" s="24">
        <f t="shared" si="35"/>
        <v>11.49548804</v>
      </c>
      <c r="X43" s="24">
        <f t="shared" si="35"/>
        <v>11.49548804</v>
      </c>
      <c r="Y43" s="24">
        <f t="shared" si="35"/>
        <v>11.49548804</v>
      </c>
      <c r="Z43" s="24">
        <f>U43*(1+$Z$35)</f>
        <v>0</v>
      </c>
      <c r="AA43" s="26">
        <f t="shared" si="53"/>
        <v>11.840352681200001</v>
      </c>
      <c r="AB43" s="26">
        <f t="shared" si="53"/>
        <v>11.840352681200001</v>
      </c>
      <c r="AC43" s="26">
        <f t="shared" si="53"/>
        <v>11.840352681200001</v>
      </c>
      <c r="AD43" s="26">
        <f t="shared" si="53"/>
        <v>11.840352681200001</v>
      </c>
      <c r="AE43" s="26">
        <f>Z43*(1+$AE$35)</f>
        <v>0</v>
      </c>
      <c r="AF43" s="29">
        <f t="shared" si="40"/>
        <v>12.195563261636002</v>
      </c>
      <c r="AG43" s="29">
        <f t="shared" si="40"/>
        <v>12.195563261636002</v>
      </c>
      <c r="AH43" s="29">
        <f t="shared" si="40"/>
        <v>12.195563261636002</v>
      </c>
      <c r="AI43" s="29">
        <f t="shared" si="40"/>
        <v>12.195563261636002</v>
      </c>
      <c r="AJ43" s="29">
        <f t="shared" si="40"/>
        <v>0</v>
      </c>
      <c r="AK43" s="29">
        <f t="shared" si="40"/>
        <v>12.561430159485083</v>
      </c>
      <c r="AL43" s="29">
        <f t="shared" si="40"/>
        <v>12.561430159485083</v>
      </c>
      <c r="AM43" s="29">
        <f t="shared" si="40"/>
        <v>12.561430159485083</v>
      </c>
      <c r="AN43" s="29">
        <f t="shared" si="41"/>
        <v>12.561430159485083</v>
      </c>
      <c r="AO43" s="29">
        <f t="shared" si="42"/>
        <v>0</v>
      </c>
      <c r="AP43" s="30">
        <f t="shared" si="37"/>
        <v>12.938273064269636</v>
      </c>
      <c r="AQ43" s="30">
        <f t="shared" si="37"/>
        <v>12.938273064269636</v>
      </c>
      <c r="AR43" s="30">
        <f t="shared" si="37"/>
        <v>12.938273064269636</v>
      </c>
      <c r="AS43" s="30">
        <f t="shared" si="37"/>
        <v>12.938273064269636</v>
      </c>
      <c r="AT43" s="30">
        <f t="shared" si="37"/>
        <v>0</v>
      </c>
      <c r="AU43" s="349">
        <f t="shared" si="38"/>
        <v>13.326421256197724</v>
      </c>
      <c r="AV43" s="349">
        <f t="shared" si="38"/>
        <v>13.326421256197724</v>
      </c>
      <c r="AW43" s="349">
        <f t="shared" si="38"/>
        <v>13.326421256197724</v>
      </c>
      <c r="AX43" s="349">
        <f t="shared" si="38"/>
        <v>13.326421256197724</v>
      </c>
      <c r="AY43" s="349">
        <f t="shared" si="38"/>
        <v>0</v>
      </c>
      <c r="AZ43" s="503">
        <f t="shared" si="44"/>
        <v>13.726213893883656</v>
      </c>
      <c r="BA43" s="503">
        <f t="shared" si="54"/>
        <v>13.726213893883656</v>
      </c>
      <c r="BB43" s="503">
        <f t="shared" si="55"/>
        <v>13.716213893883657</v>
      </c>
      <c r="BC43" s="503">
        <f t="shared" si="55"/>
        <v>13.716213893883657</v>
      </c>
      <c r="BD43" s="503">
        <f t="shared" ref="BD43" si="58">AY43*(1+$AY$35)</f>
        <v>0</v>
      </c>
      <c r="BE43" s="503">
        <f t="shared" si="46"/>
        <v>14.138000310700166</v>
      </c>
      <c r="BF43" s="503">
        <f>BA43*(1+$BD$35)</f>
        <v>14.138000310700166</v>
      </c>
      <c r="BG43" s="503">
        <f>+BE43</f>
        <v>14.138000310700166</v>
      </c>
      <c r="BH43" s="503">
        <f t="shared" si="56"/>
        <v>14.127700310700167</v>
      </c>
      <c r="BI43" s="503">
        <f t="shared" ref="BI43" si="59">BD43*(1+$AY$35)</f>
        <v>0</v>
      </c>
      <c r="BJ43" s="503">
        <f t="shared" si="52"/>
        <v>14.562140320021172</v>
      </c>
      <c r="BK43" s="503">
        <f t="shared" si="57"/>
        <v>14.562140320021172</v>
      </c>
      <c r="BL43" s="503">
        <f>+BJ43</f>
        <v>14.562140320021172</v>
      </c>
      <c r="BM43" s="503">
        <f>+BL43</f>
        <v>14.562140320021172</v>
      </c>
      <c r="BN43" s="503">
        <f t="shared" ref="BN43" si="60">BI43*(1+$AY$35)</f>
        <v>0</v>
      </c>
      <c r="BO43" s="648"/>
      <c r="BP43" s="648"/>
      <c r="BQ43" s="648"/>
    </row>
    <row r="45" spans="1:69" x14ac:dyDescent="0.25">
      <c r="A45" s="15" t="s">
        <v>409</v>
      </c>
      <c r="Z45" s="15" t="s">
        <v>409</v>
      </c>
      <c r="AQ45" s="272"/>
      <c r="AT45" s="272">
        <f>+AS40+AT42</f>
        <v>12.934733302072022</v>
      </c>
    </row>
    <row r="46" spans="1:69" ht="15.75" thickBot="1" x14ac:dyDescent="0.3">
      <c r="Z46" s="251"/>
      <c r="AH46" s="281"/>
      <c r="AI46" s="272"/>
      <c r="AJ46" s="272"/>
      <c r="AK46" s="280"/>
      <c r="AX46" s="272">
        <f>8.38*(1+3%)</f>
        <v>8.6314000000000011</v>
      </c>
    </row>
    <row r="47" spans="1:69" x14ac:dyDescent="0.25">
      <c r="A47" s="876" t="s">
        <v>80</v>
      </c>
      <c r="B47" s="863">
        <v>2013</v>
      </c>
      <c r="C47" s="863"/>
      <c r="D47" s="863"/>
      <c r="E47" s="863">
        <v>2014</v>
      </c>
      <c r="F47" s="863"/>
      <c r="G47" s="863"/>
      <c r="H47" s="863">
        <v>2015</v>
      </c>
      <c r="I47" s="863"/>
      <c r="J47" s="863"/>
      <c r="K47" s="863">
        <v>2016</v>
      </c>
      <c r="L47" s="863"/>
      <c r="M47" s="863"/>
      <c r="N47" s="863">
        <v>2017</v>
      </c>
      <c r="O47" s="863"/>
      <c r="P47" s="870"/>
      <c r="Q47" s="867">
        <v>2018</v>
      </c>
      <c r="R47" s="868"/>
      <c r="S47" s="869"/>
      <c r="T47" s="862">
        <v>2019</v>
      </c>
      <c r="U47" s="863"/>
      <c r="V47" s="870"/>
      <c r="W47" s="867">
        <v>2020</v>
      </c>
      <c r="X47" s="868"/>
      <c r="Y47" s="869"/>
      <c r="Z47" s="862">
        <v>2021</v>
      </c>
      <c r="AA47" s="863"/>
      <c r="AB47" s="863"/>
      <c r="AC47" s="867">
        <v>2022</v>
      </c>
      <c r="AD47" s="868"/>
      <c r="AE47" s="869"/>
      <c r="AF47" s="864">
        <v>2023</v>
      </c>
      <c r="AG47" s="865"/>
      <c r="AH47" s="865"/>
      <c r="AI47" s="881">
        <v>2024</v>
      </c>
      <c r="AJ47" s="882"/>
      <c r="AK47" s="882"/>
      <c r="AL47" s="864">
        <v>2025</v>
      </c>
      <c r="AM47" s="865"/>
      <c r="AN47" s="865"/>
      <c r="AV47" s="288"/>
      <c r="AX47">
        <v>4.6900000000000004</v>
      </c>
    </row>
    <row r="48" spans="1:69" ht="45" x14ac:dyDescent="0.25">
      <c r="A48" s="876"/>
      <c r="B48" s="22" t="s">
        <v>81</v>
      </c>
      <c r="C48" s="22" t="s">
        <v>82</v>
      </c>
      <c r="D48" s="22" t="s">
        <v>83</v>
      </c>
      <c r="E48" s="22" t="s">
        <v>81</v>
      </c>
      <c r="F48" s="22" t="s">
        <v>82</v>
      </c>
      <c r="G48" s="22" t="s">
        <v>83</v>
      </c>
      <c r="H48" s="22" t="s">
        <v>81</v>
      </c>
      <c r="I48" s="22" t="s">
        <v>82</v>
      </c>
      <c r="J48" s="22" t="s">
        <v>83</v>
      </c>
      <c r="K48" s="22" t="s">
        <v>81</v>
      </c>
      <c r="L48" s="22" t="s">
        <v>82</v>
      </c>
      <c r="M48" s="22" t="s">
        <v>83</v>
      </c>
      <c r="N48" s="22" t="s">
        <v>81</v>
      </c>
      <c r="O48" s="22" t="s">
        <v>82</v>
      </c>
      <c r="P48" s="253" t="s">
        <v>83</v>
      </c>
      <c r="Q48" s="256" t="s">
        <v>81</v>
      </c>
      <c r="R48" s="22" t="s">
        <v>82</v>
      </c>
      <c r="S48" s="257" t="s">
        <v>83</v>
      </c>
      <c r="T48" s="254" t="s">
        <v>81</v>
      </c>
      <c r="U48" s="22" t="s">
        <v>82</v>
      </c>
      <c r="V48" s="253" t="s">
        <v>83</v>
      </c>
      <c r="W48" s="256" t="s">
        <v>81</v>
      </c>
      <c r="X48" s="22" t="s">
        <v>82</v>
      </c>
      <c r="Y48" s="257" t="s">
        <v>83</v>
      </c>
      <c r="Z48" s="254" t="s">
        <v>81</v>
      </c>
      <c r="AA48" s="22" t="s">
        <v>82</v>
      </c>
      <c r="AB48" s="22" t="s">
        <v>83</v>
      </c>
      <c r="AC48" s="256" t="s">
        <v>81</v>
      </c>
      <c r="AD48" s="22" t="s">
        <v>82</v>
      </c>
      <c r="AE48" s="257" t="s">
        <v>83</v>
      </c>
      <c r="AF48" s="351" t="s">
        <v>81</v>
      </c>
      <c r="AG48" s="348" t="s">
        <v>82</v>
      </c>
      <c r="AH48" s="348" t="s">
        <v>83</v>
      </c>
      <c r="AI48" s="653" t="s">
        <v>81</v>
      </c>
      <c r="AJ48" s="654" t="s">
        <v>82</v>
      </c>
      <c r="AK48" s="654" t="s">
        <v>83</v>
      </c>
      <c r="AL48" s="351" t="s">
        <v>81</v>
      </c>
      <c r="AM48" s="348" t="s">
        <v>82</v>
      </c>
      <c r="AN48" s="348" t="s">
        <v>83</v>
      </c>
      <c r="AX48" s="272"/>
    </row>
    <row r="49" spans="1:44" x14ac:dyDescent="0.25">
      <c r="A49" s="17" t="s">
        <v>84</v>
      </c>
      <c r="B49" s="30">
        <v>0</v>
      </c>
      <c r="C49" s="30">
        <v>0</v>
      </c>
      <c r="D49" s="30">
        <v>0</v>
      </c>
      <c r="E49" s="24">
        <f>B49*(1+$B$5)</f>
        <v>0</v>
      </c>
      <c r="F49" s="24">
        <f t="shared" ref="F49:G56" si="61">C49*(1+$B$5)</f>
        <v>0</v>
      </c>
      <c r="G49" s="24">
        <f t="shared" si="61"/>
        <v>0</v>
      </c>
      <c r="H49" s="24">
        <f>E49*(1+$C$5)</f>
        <v>0</v>
      </c>
      <c r="I49" s="24">
        <f>F49*(1+$C$5)</f>
        <v>0</v>
      </c>
      <c r="J49" s="24">
        <f>G49*(1+$C$5)</f>
        <v>0</v>
      </c>
      <c r="K49" s="24">
        <f>H49*(1+$D$5)</f>
        <v>0</v>
      </c>
      <c r="L49" s="24">
        <f t="shared" ref="L49:L55" si="62">I49*(1+$D$5)</f>
        <v>0</v>
      </c>
      <c r="M49" s="24">
        <f>J49*(1+$D$5)</f>
        <v>0</v>
      </c>
      <c r="N49" s="25">
        <f t="shared" ref="N49:P57" si="63">K49*(1+$E$5)</f>
        <v>0</v>
      </c>
      <c r="O49" s="25">
        <f t="shared" si="63"/>
        <v>0</v>
      </c>
      <c r="P49" s="263">
        <f t="shared" si="63"/>
        <v>0</v>
      </c>
      <c r="Q49" s="265">
        <f t="shared" ref="Q49:S57" si="64">N49*(1+$F$5)</f>
        <v>0</v>
      </c>
      <c r="R49" s="26">
        <f t="shared" si="64"/>
        <v>0</v>
      </c>
      <c r="S49" s="266">
        <f t="shared" si="64"/>
        <v>0</v>
      </c>
      <c r="T49" s="264">
        <f t="shared" ref="T49:V56" si="65">Q49*(1+$G$5)</f>
        <v>0</v>
      </c>
      <c r="U49" s="27">
        <f t="shared" si="65"/>
        <v>0</v>
      </c>
      <c r="V49" s="255">
        <f t="shared" si="65"/>
        <v>0</v>
      </c>
      <c r="W49" s="258">
        <f t="shared" ref="W49:Y56" si="66">T49*(1+$H$5)</f>
        <v>0</v>
      </c>
      <c r="X49" s="27">
        <f t="shared" si="66"/>
        <v>0</v>
      </c>
      <c r="Y49" s="259">
        <f t="shared" si="66"/>
        <v>0</v>
      </c>
      <c r="Z49" s="375">
        <f t="shared" ref="Z49:AB56" si="67">W49*(1+$I$5)</f>
        <v>0</v>
      </c>
      <c r="AA49" s="30">
        <f t="shared" si="67"/>
        <v>0</v>
      </c>
      <c r="AB49" s="30">
        <f t="shared" si="67"/>
        <v>0</v>
      </c>
      <c r="AC49" s="258">
        <f t="shared" ref="AC49:AC57" si="68">Z49*(1+$J$5)</f>
        <v>0</v>
      </c>
      <c r="AD49" s="27">
        <f t="shared" ref="AD49:AD57" si="69">AA49*(1+$J$5)</f>
        <v>0</v>
      </c>
      <c r="AE49" s="259">
        <f t="shared" ref="AE49:AE57" si="70">AB49*(1+$J$5)</f>
        <v>0</v>
      </c>
      <c r="AF49" s="352">
        <f t="shared" ref="AF49:AF57" si="71">AC49*(1+$K$5)</f>
        <v>0</v>
      </c>
      <c r="AG49" s="349">
        <f t="shared" ref="AG49:AG57" si="72">AD49*(1+$K$5)</f>
        <v>0</v>
      </c>
      <c r="AH49" s="349">
        <f t="shared" ref="AH49:AH57" si="73">AE49*(1+$K$5)</f>
        <v>0</v>
      </c>
      <c r="AI49" s="655">
        <f t="shared" ref="AI49:AI57" si="74">AF49*(1+$L$5)</f>
        <v>0</v>
      </c>
      <c r="AJ49" s="24">
        <f t="shared" ref="AJ49:AJ57" si="75">AG49*(1+$L$5)</f>
        <v>0</v>
      </c>
      <c r="AK49" s="24">
        <f t="shared" ref="AK49:AK57" si="76">AH49*(1+$L$5)</f>
        <v>0</v>
      </c>
      <c r="AL49" s="352">
        <f>AI49*(1+$M$5)</f>
        <v>0</v>
      </c>
      <c r="AM49" s="349">
        <f>AJ49*(1+$M$5)</f>
        <v>0</v>
      </c>
      <c r="AN49" s="349">
        <f>AK49*(1+$M$5)</f>
        <v>0</v>
      </c>
      <c r="AP49" s="17" t="s">
        <v>84</v>
      </c>
      <c r="AQ49" s="359"/>
      <c r="AR49" s="360"/>
    </row>
    <row r="50" spans="1:44" x14ac:dyDescent="0.25">
      <c r="A50" s="17" t="s">
        <v>85</v>
      </c>
      <c r="B50" s="30">
        <v>78.87</v>
      </c>
      <c r="C50" s="30">
        <v>78.87</v>
      </c>
      <c r="D50" s="30">
        <v>0</v>
      </c>
      <c r="E50" s="24">
        <f t="shared" ref="E50:E56" si="77">B50*(1+$B$5)</f>
        <v>80.400078000000008</v>
      </c>
      <c r="F50" s="24">
        <f t="shared" si="61"/>
        <v>80.400078000000008</v>
      </c>
      <c r="G50" s="24">
        <f t="shared" si="61"/>
        <v>0</v>
      </c>
      <c r="H50" s="24">
        <f t="shared" ref="H50:J56" si="78">E50*(1+$C$5)</f>
        <v>83.342720854800007</v>
      </c>
      <c r="I50" s="24">
        <f t="shared" si="78"/>
        <v>83.342720854800007</v>
      </c>
      <c r="J50" s="24">
        <f t="shared" si="78"/>
        <v>0</v>
      </c>
      <c r="K50" s="24">
        <f>H50*(1+$D$5)-0.01</f>
        <v>88.975023056669968</v>
      </c>
      <c r="L50" s="24">
        <f>I50*(1+$D$5)-0.01</f>
        <v>88.975023056669968</v>
      </c>
      <c r="M50" s="24">
        <f t="shared" ref="M50:M56" si="79">J50*(1+$D$5)</f>
        <v>0</v>
      </c>
      <c r="N50" s="25">
        <f t="shared" si="63"/>
        <v>94.091086882428499</v>
      </c>
      <c r="O50" s="25">
        <f t="shared" si="63"/>
        <v>94.091086882428499</v>
      </c>
      <c r="P50" s="263">
        <f t="shared" si="63"/>
        <v>0</v>
      </c>
      <c r="Q50" s="265">
        <f t="shared" si="64"/>
        <v>97.939412335919812</v>
      </c>
      <c r="R50" s="26">
        <f t="shared" si="64"/>
        <v>97.939412335919812</v>
      </c>
      <c r="S50" s="266">
        <f t="shared" si="64"/>
        <v>0</v>
      </c>
      <c r="T50" s="264">
        <f>Q50*(1+$G$5)</f>
        <v>101.05388564820207</v>
      </c>
      <c r="U50" s="27">
        <f t="shared" si="65"/>
        <v>101.05388564820207</v>
      </c>
      <c r="V50" s="255">
        <f t="shared" si="65"/>
        <v>0</v>
      </c>
      <c r="W50" s="258">
        <f>T50*(1+$H$5)</f>
        <v>104.89393330283374</v>
      </c>
      <c r="X50" s="27">
        <f t="shared" si="66"/>
        <v>104.89393330283374</v>
      </c>
      <c r="Y50" s="259">
        <f t="shared" si="66"/>
        <v>0</v>
      </c>
      <c r="Z50" s="375">
        <f>W50*(1+$I$5)+0.01</f>
        <v>106.59272562900938</v>
      </c>
      <c r="AA50" s="30">
        <f>X50*(1+$I$5)+0.01</f>
        <v>106.59272562900938</v>
      </c>
      <c r="AB50" s="30">
        <f t="shared" si="67"/>
        <v>0</v>
      </c>
      <c r="AC50" s="258">
        <f t="shared" si="68"/>
        <v>112.5832368093597</v>
      </c>
      <c r="AD50" s="27">
        <f t="shared" si="69"/>
        <v>112.5832368093597</v>
      </c>
      <c r="AE50" s="259">
        <f t="shared" si="70"/>
        <v>0</v>
      </c>
      <c r="AF50" s="352">
        <f t="shared" si="71"/>
        <v>127.35415747874769</v>
      </c>
      <c r="AG50" s="349">
        <f t="shared" si="72"/>
        <v>127.35415747874769</v>
      </c>
      <c r="AH50" s="349">
        <f t="shared" si="73"/>
        <v>0</v>
      </c>
      <c r="AI50" s="655">
        <f t="shared" si="74"/>
        <v>139.17262329277548</v>
      </c>
      <c r="AJ50" s="24">
        <f t="shared" si="75"/>
        <v>139.17262329277548</v>
      </c>
      <c r="AK50" s="24">
        <f t="shared" si="76"/>
        <v>0</v>
      </c>
      <c r="AL50" s="352">
        <f t="shared" ref="AL50:AL57" si="80">AI50*(1+$M$5)</f>
        <v>146.40959970399982</v>
      </c>
      <c r="AM50" s="349">
        <f t="shared" ref="AM50:AM57" si="81">AJ50*(1+$M$5)</f>
        <v>146.40959970399982</v>
      </c>
      <c r="AN50" s="349">
        <f t="shared" ref="AN50:AN57" si="82">AK50*(1+$M$5)</f>
        <v>0</v>
      </c>
      <c r="AO50" s="358"/>
      <c r="AP50" s="17" t="s">
        <v>85</v>
      </c>
      <c r="AQ50" s="359"/>
      <c r="AR50" s="360"/>
    </row>
    <row r="51" spans="1:44" x14ac:dyDescent="0.25">
      <c r="A51" s="17" t="s">
        <v>86</v>
      </c>
      <c r="B51" s="30">
        <v>0</v>
      </c>
      <c r="C51" s="30">
        <v>0</v>
      </c>
      <c r="D51" s="30">
        <v>0</v>
      </c>
      <c r="E51" s="24">
        <f t="shared" si="77"/>
        <v>0</v>
      </c>
      <c r="F51" s="24">
        <f t="shared" si="61"/>
        <v>0</v>
      </c>
      <c r="G51" s="24">
        <f t="shared" si="61"/>
        <v>0</v>
      </c>
      <c r="H51" s="24">
        <f t="shared" si="78"/>
        <v>0</v>
      </c>
      <c r="I51" s="24">
        <f t="shared" si="78"/>
        <v>0</v>
      </c>
      <c r="J51" s="24">
        <f t="shared" si="78"/>
        <v>0</v>
      </c>
      <c r="K51" s="24">
        <f>H51*(1+$D$5)</f>
        <v>0</v>
      </c>
      <c r="L51" s="24">
        <f t="shared" si="62"/>
        <v>0</v>
      </c>
      <c r="M51" s="24">
        <f t="shared" si="79"/>
        <v>0</v>
      </c>
      <c r="N51" s="25">
        <f t="shared" si="63"/>
        <v>0</v>
      </c>
      <c r="O51" s="25">
        <f t="shared" si="63"/>
        <v>0</v>
      </c>
      <c r="P51" s="263">
        <f t="shared" si="63"/>
        <v>0</v>
      </c>
      <c r="Q51" s="265">
        <f t="shared" si="64"/>
        <v>0</v>
      </c>
      <c r="R51" s="26">
        <f t="shared" si="64"/>
        <v>0</v>
      </c>
      <c r="S51" s="266">
        <f t="shared" si="64"/>
        <v>0</v>
      </c>
      <c r="T51" s="264">
        <f t="shared" si="65"/>
        <v>0</v>
      </c>
      <c r="U51" s="27">
        <f t="shared" si="65"/>
        <v>0</v>
      </c>
      <c r="V51" s="255">
        <f t="shared" si="65"/>
        <v>0</v>
      </c>
      <c r="W51" s="258">
        <f t="shared" si="66"/>
        <v>0</v>
      </c>
      <c r="X51" s="27">
        <f t="shared" si="66"/>
        <v>0</v>
      </c>
      <c r="Y51" s="259">
        <f t="shared" si="66"/>
        <v>0</v>
      </c>
      <c r="Z51" s="375">
        <f t="shared" si="67"/>
        <v>0</v>
      </c>
      <c r="AA51" s="30">
        <f t="shared" si="67"/>
        <v>0</v>
      </c>
      <c r="AB51" s="30">
        <f t="shared" si="67"/>
        <v>0</v>
      </c>
      <c r="AC51" s="258">
        <f t="shared" si="68"/>
        <v>0</v>
      </c>
      <c r="AD51" s="27">
        <f t="shared" si="69"/>
        <v>0</v>
      </c>
      <c r="AE51" s="259">
        <f t="shared" si="70"/>
        <v>0</v>
      </c>
      <c r="AF51" s="352">
        <f t="shared" si="71"/>
        <v>0</v>
      </c>
      <c r="AG51" s="349">
        <f t="shared" si="72"/>
        <v>0</v>
      </c>
      <c r="AH51" s="349">
        <f t="shared" si="73"/>
        <v>0</v>
      </c>
      <c r="AI51" s="655">
        <f t="shared" si="74"/>
        <v>0</v>
      </c>
      <c r="AJ51" s="24">
        <f t="shared" si="75"/>
        <v>0</v>
      </c>
      <c r="AK51" s="24">
        <f t="shared" si="76"/>
        <v>0</v>
      </c>
      <c r="AL51" s="352">
        <f t="shared" si="80"/>
        <v>0</v>
      </c>
      <c r="AM51" s="349">
        <f t="shared" si="81"/>
        <v>0</v>
      </c>
      <c r="AN51" s="349">
        <f t="shared" si="82"/>
        <v>0</v>
      </c>
      <c r="AP51" s="17" t="s">
        <v>86</v>
      </c>
    </row>
    <row r="52" spans="1:44" x14ac:dyDescent="0.25">
      <c r="A52" s="17" t="s">
        <v>87</v>
      </c>
      <c r="B52" s="30">
        <v>78.87</v>
      </c>
      <c r="C52" s="30">
        <v>78.87</v>
      </c>
      <c r="D52" s="30">
        <v>0</v>
      </c>
      <c r="E52" s="24">
        <f t="shared" si="77"/>
        <v>80.400078000000008</v>
      </c>
      <c r="F52" s="24">
        <f t="shared" si="61"/>
        <v>80.400078000000008</v>
      </c>
      <c r="G52" s="24">
        <f t="shared" si="61"/>
        <v>0</v>
      </c>
      <c r="H52" s="24">
        <f t="shared" si="78"/>
        <v>83.342720854800007</v>
      </c>
      <c r="I52" s="24">
        <f t="shared" si="78"/>
        <v>83.342720854800007</v>
      </c>
      <c r="J52" s="24">
        <f t="shared" si="78"/>
        <v>0</v>
      </c>
      <c r="K52" s="24">
        <f>H52*(1+$D$5)-0.01</f>
        <v>88.975023056669968</v>
      </c>
      <c r="L52" s="24">
        <f>I52*(1+$D$5)-0.01</f>
        <v>88.975023056669968</v>
      </c>
      <c r="M52" s="24">
        <f t="shared" si="79"/>
        <v>0</v>
      </c>
      <c r="N52" s="25">
        <f t="shared" si="63"/>
        <v>94.091086882428499</v>
      </c>
      <c r="O52" s="25">
        <f t="shared" si="63"/>
        <v>94.091086882428499</v>
      </c>
      <c r="P52" s="263">
        <f t="shared" si="63"/>
        <v>0</v>
      </c>
      <c r="Q52" s="265">
        <f t="shared" si="64"/>
        <v>97.939412335919812</v>
      </c>
      <c r="R52" s="26">
        <f t="shared" si="64"/>
        <v>97.939412335919812</v>
      </c>
      <c r="S52" s="266">
        <f t="shared" si="64"/>
        <v>0</v>
      </c>
      <c r="T52" s="264">
        <f>Q52*(1+$G$5)</f>
        <v>101.05388564820207</v>
      </c>
      <c r="U52" s="27">
        <f t="shared" si="65"/>
        <v>101.05388564820207</v>
      </c>
      <c r="V52" s="255">
        <f t="shared" si="65"/>
        <v>0</v>
      </c>
      <c r="W52" s="258">
        <f t="shared" si="66"/>
        <v>104.89393330283374</v>
      </c>
      <c r="X52" s="27">
        <f t="shared" si="66"/>
        <v>104.89393330283374</v>
      </c>
      <c r="Y52" s="259">
        <f t="shared" si="66"/>
        <v>0</v>
      </c>
      <c r="Z52" s="375">
        <f>W52*(1+$I$5)+0.01</f>
        <v>106.59272562900938</v>
      </c>
      <c r="AA52" s="30">
        <f>X52*(1+$I$5)+0.01</f>
        <v>106.59272562900938</v>
      </c>
      <c r="AB52" s="30">
        <f t="shared" si="67"/>
        <v>0</v>
      </c>
      <c r="AC52" s="258">
        <f t="shared" si="68"/>
        <v>112.5832368093597</v>
      </c>
      <c r="AD52" s="27">
        <f t="shared" si="69"/>
        <v>112.5832368093597</v>
      </c>
      <c r="AE52" s="259">
        <f t="shared" si="70"/>
        <v>0</v>
      </c>
      <c r="AF52" s="352">
        <f t="shared" si="71"/>
        <v>127.35415747874769</v>
      </c>
      <c r="AG52" s="349">
        <f t="shared" si="72"/>
        <v>127.35415747874769</v>
      </c>
      <c r="AH52" s="349">
        <f t="shared" si="73"/>
        <v>0</v>
      </c>
      <c r="AI52" s="655">
        <f t="shared" si="74"/>
        <v>139.17262329277548</v>
      </c>
      <c r="AJ52" s="24">
        <f t="shared" si="75"/>
        <v>139.17262329277548</v>
      </c>
      <c r="AK52" s="24">
        <f t="shared" si="76"/>
        <v>0</v>
      </c>
      <c r="AL52" s="352">
        <f t="shared" si="80"/>
        <v>146.40959970399982</v>
      </c>
      <c r="AM52" s="349">
        <f t="shared" si="81"/>
        <v>146.40959970399982</v>
      </c>
      <c r="AN52" s="349">
        <f t="shared" si="82"/>
        <v>0</v>
      </c>
      <c r="AP52" s="17" t="s">
        <v>87</v>
      </c>
    </row>
    <row r="53" spans="1:44" x14ac:dyDescent="0.25">
      <c r="A53" s="17" t="s">
        <v>88</v>
      </c>
      <c r="B53" s="30">
        <v>58.03</v>
      </c>
      <c r="C53" s="30">
        <v>58.03</v>
      </c>
      <c r="D53" s="30">
        <v>58.03</v>
      </c>
      <c r="E53" s="24">
        <f t="shared" si="77"/>
        <v>59.155782000000009</v>
      </c>
      <c r="F53" s="24">
        <f t="shared" si="61"/>
        <v>59.155782000000009</v>
      </c>
      <c r="G53" s="24">
        <f t="shared" si="61"/>
        <v>59.155782000000009</v>
      </c>
      <c r="H53" s="24">
        <f t="shared" si="78"/>
        <v>61.320883621200011</v>
      </c>
      <c r="I53" s="24">
        <f t="shared" si="78"/>
        <v>61.320883621200011</v>
      </c>
      <c r="J53" s="24">
        <f t="shared" si="78"/>
        <v>61.320883621200011</v>
      </c>
      <c r="K53" s="24">
        <f>H53*(1+$D$5)</f>
        <v>65.472307442355259</v>
      </c>
      <c r="L53" s="24">
        <f t="shared" si="62"/>
        <v>65.472307442355259</v>
      </c>
      <c r="M53" s="24">
        <f t="shared" si="79"/>
        <v>65.472307442355259</v>
      </c>
      <c r="N53" s="25">
        <f t="shared" si="63"/>
        <v>69.236965120290691</v>
      </c>
      <c r="O53" s="25">
        <f t="shared" si="63"/>
        <v>69.236965120290691</v>
      </c>
      <c r="P53" s="263">
        <f t="shared" si="63"/>
        <v>69.236965120290691</v>
      </c>
      <c r="Q53" s="265">
        <f t="shared" si="64"/>
        <v>72.068756993710579</v>
      </c>
      <c r="R53" s="26">
        <f t="shared" si="64"/>
        <v>72.068756993710579</v>
      </c>
      <c r="S53" s="266">
        <f t="shared" si="64"/>
        <v>72.068756993710579</v>
      </c>
      <c r="T53" s="264">
        <f t="shared" si="65"/>
        <v>74.360543466110585</v>
      </c>
      <c r="U53" s="27">
        <f t="shared" si="65"/>
        <v>74.360543466110585</v>
      </c>
      <c r="V53" s="255">
        <f t="shared" si="65"/>
        <v>74.360543466110585</v>
      </c>
      <c r="W53" s="258">
        <f t="shared" si="66"/>
        <v>77.186244117822795</v>
      </c>
      <c r="X53" s="27">
        <f t="shared" si="66"/>
        <v>77.186244117822795</v>
      </c>
      <c r="Y53" s="259">
        <f t="shared" si="66"/>
        <v>77.186244117822795</v>
      </c>
      <c r="Z53" s="375">
        <f t="shared" si="67"/>
        <v>78.428942648119744</v>
      </c>
      <c r="AA53" s="30">
        <f t="shared" si="67"/>
        <v>78.428942648119744</v>
      </c>
      <c r="AB53" s="30">
        <f t="shared" si="67"/>
        <v>78.428942648119744</v>
      </c>
      <c r="AC53" s="258">
        <f t="shared" si="68"/>
        <v>82.836649224944082</v>
      </c>
      <c r="AD53" s="27">
        <f t="shared" si="69"/>
        <v>82.836649224944082</v>
      </c>
      <c r="AE53" s="259">
        <f t="shared" si="70"/>
        <v>82.836649224944082</v>
      </c>
      <c r="AF53" s="352">
        <f t="shared" si="71"/>
        <v>93.704817603256743</v>
      </c>
      <c r="AG53" s="349">
        <f t="shared" si="72"/>
        <v>93.704817603256743</v>
      </c>
      <c r="AH53" s="349">
        <f t="shared" si="73"/>
        <v>93.704817603256743</v>
      </c>
      <c r="AI53" s="655">
        <f t="shared" si="74"/>
        <v>102.40062467683897</v>
      </c>
      <c r="AJ53" s="24">
        <f t="shared" si="75"/>
        <v>102.40062467683897</v>
      </c>
      <c r="AK53" s="24">
        <f t="shared" si="76"/>
        <v>102.40062467683897</v>
      </c>
      <c r="AL53" s="352">
        <f t="shared" si="80"/>
        <v>107.72545716003461</v>
      </c>
      <c r="AM53" s="349">
        <f t="shared" si="81"/>
        <v>107.72545716003461</v>
      </c>
      <c r="AN53" s="349">
        <f t="shared" si="82"/>
        <v>107.72545716003461</v>
      </c>
      <c r="AP53" s="17" t="s">
        <v>88</v>
      </c>
    </row>
    <row r="54" spans="1:44" x14ac:dyDescent="0.25">
      <c r="A54" s="17" t="s">
        <v>89</v>
      </c>
      <c r="B54" s="30">
        <v>78.87</v>
      </c>
      <c r="C54" s="30">
        <v>78.87</v>
      </c>
      <c r="D54" s="30">
        <v>0</v>
      </c>
      <c r="E54" s="24">
        <f t="shared" si="77"/>
        <v>80.400078000000008</v>
      </c>
      <c r="F54" s="24">
        <f t="shared" si="61"/>
        <v>80.400078000000008</v>
      </c>
      <c r="G54" s="24">
        <f t="shared" si="61"/>
        <v>0</v>
      </c>
      <c r="H54" s="24">
        <f t="shared" si="78"/>
        <v>83.342720854800007</v>
      </c>
      <c r="I54" s="24">
        <f t="shared" si="78"/>
        <v>83.342720854800007</v>
      </c>
      <c r="J54" s="24">
        <f t="shared" si="78"/>
        <v>0</v>
      </c>
      <c r="K54" s="24">
        <f>H54*(1+$D$5)-0.01</f>
        <v>88.975023056669968</v>
      </c>
      <c r="L54" s="24">
        <f>I54*(1+$D$5)-0.01</f>
        <v>88.975023056669968</v>
      </c>
      <c r="M54" s="24">
        <f t="shared" si="79"/>
        <v>0</v>
      </c>
      <c r="N54" s="25">
        <f t="shared" si="63"/>
        <v>94.091086882428499</v>
      </c>
      <c r="O54" s="25">
        <f t="shared" si="63"/>
        <v>94.091086882428499</v>
      </c>
      <c r="P54" s="263">
        <f t="shared" si="63"/>
        <v>0</v>
      </c>
      <c r="Q54" s="265">
        <f t="shared" si="64"/>
        <v>97.939412335919812</v>
      </c>
      <c r="R54" s="26">
        <f t="shared" si="64"/>
        <v>97.939412335919812</v>
      </c>
      <c r="S54" s="266">
        <f t="shared" si="64"/>
        <v>0</v>
      </c>
      <c r="T54" s="264">
        <f t="shared" si="65"/>
        <v>101.05388564820207</v>
      </c>
      <c r="U54" s="27">
        <f t="shared" si="65"/>
        <v>101.05388564820207</v>
      </c>
      <c r="V54" s="255">
        <f t="shared" si="65"/>
        <v>0</v>
      </c>
      <c r="W54" s="258">
        <f t="shared" si="66"/>
        <v>104.89393330283374</v>
      </c>
      <c r="X54" s="27">
        <f t="shared" si="66"/>
        <v>104.89393330283374</v>
      </c>
      <c r="Y54" s="259">
        <f t="shared" si="66"/>
        <v>0</v>
      </c>
      <c r="Z54" s="375">
        <f>W54*(1+$I$5)+0.01</f>
        <v>106.59272562900938</v>
      </c>
      <c r="AA54" s="30">
        <f>X54*(1+$I$5)+0.01</f>
        <v>106.59272562900938</v>
      </c>
      <c r="AB54" s="30">
        <f t="shared" si="67"/>
        <v>0</v>
      </c>
      <c r="AC54" s="258">
        <f t="shared" si="68"/>
        <v>112.5832368093597</v>
      </c>
      <c r="AD54" s="27">
        <f t="shared" si="69"/>
        <v>112.5832368093597</v>
      </c>
      <c r="AE54" s="259">
        <f t="shared" si="70"/>
        <v>0</v>
      </c>
      <c r="AF54" s="352">
        <f t="shared" si="71"/>
        <v>127.35415747874769</v>
      </c>
      <c r="AG54" s="349">
        <f t="shared" si="72"/>
        <v>127.35415747874769</v>
      </c>
      <c r="AH54" s="349">
        <f t="shared" si="73"/>
        <v>0</v>
      </c>
      <c r="AI54" s="655">
        <f t="shared" si="74"/>
        <v>139.17262329277548</v>
      </c>
      <c r="AJ54" s="24">
        <f t="shared" si="75"/>
        <v>139.17262329277548</v>
      </c>
      <c r="AK54" s="24">
        <f t="shared" si="76"/>
        <v>0</v>
      </c>
      <c r="AL54" s="352">
        <f t="shared" si="80"/>
        <v>146.40959970399982</v>
      </c>
      <c r="AM54" s="349">
        <f t="shared" si="81"/>
        <v>146.40959970399982</v>
      </c>
      <c r="AN54" s="349">
        <f t="shared" si="82"/>
        <v>0</v>
      </c>
      <c r="AP54" s="17" t="s">
        <v>89</v>
      </c>
    </row>
    <row r="55" spans="1:44" x14ac:dyDescent="0.25">
      <c r="A55" s="17" t="s">
        <v>90</v>
      </c>
      <c r="B55" s="30">
        <v>0</v>
      </c>
      <c r="C55" s="30">
        <v>0</v>
      </c>
      <c r="D55" s="30">
        <v>0</v>
      </c>
      <c r="E55" s="24">
        <f t="shared" si="77"/>
        <v>0</v>
      </c>
      <c r="F55" s="24">
        <f t="shared" si="61"/>
        <v>0</v>
      </c>
      <c r="G55" s="24">
        <f t="shared" si="61"/>
        <v>0</v>
      </c>
      <c r="H55" s="24">
        <f t="shared" si="78"/>
        <v>0</v>
      </c>
      <c r="I55" s="24">
        <f t="shared" si="78"/>
        <v>0</v>
      </c>
      <c r="J55" s="24">
        <f t="shared" si="78"/>
        <v>0</v>
      </c>
      <c r="K55" s="24">
        <f>H55*(1+$D$5)</f>
        <v>0</v>
      </c>
      <c r="L55" s="24">
        <f t="shared" si="62"/>
        <v>0</v>
      </c>
      <c r="M55" s="24">
        <f t="shared" si="79"/>
        <v>0</v>
      </c>
      <c r="N55" s="25">
        <f t="shared" si="63"/>
        <v>0</v>
      </c>
      <c r="O55" s="25">
        <f t="shared" si="63"/>
        <v>0</v>
      </c>
      <c r="P55" s="263">
        <f t="shared" si="63"/>
        <v>0</v>
      </c>
      <c r="Q55" s="265">
        <f t="shared" si="64"/>
        <v>0</v>
      </c>
      <c r="R55" s="26">
        <f t="shared" si="64"/>
        <v>0</v>
      </c>
      <c r="S55" s="266">
        <f t="shared" si="64"/>
        <v>0</v>
      </c>
      <c r="T55" s="264">
        <f t="shared" si="65"/>
        <v>0</v>
      </c>
      <c r="U55" s="27">
        <f t="shared" si="65"/>
        <v>0</v>
      </c>
      <c r="V55" s="255">
        <f t="shared" si="65"/>
        <v>0</v>
      </c>
      <c r="W55" s="258">
        <f t="shared" si="66"/>
        <v>0</v>
      </c>
      <c r="X55" s="27">
        <f t="shared" si="66"/>
        <v>0</v>
      </c>
      <c r="Y55" s="259">
        <f t="shared" si="66"/>
        <v>0</v>
      </c>
      <c r="Z55" s="375">
        <f t="shared" si="67"/>
        <v>0</v>
      </c>
      <c r="AA55" s="30">
        <f t="shared" si="67"/>
        <v>0</v>
      </c>
      <c r="AB55" s="30">
        <f t="shared" si="67"/>
        <v>0</v>
      </c>
      <c r="AC55" s="258">
        <f t="shared" si="68"/>
        <v>0</v>
      </c>
      <c r="AD55" s="27">
        <f t="shared" si="69"/>
        <v>0</v>
      </c>
      <c r="AE55" s="259">
        <f t="shared" si="70"/>
        <v>0</v>
      </c>
      <c r="AF55" s="352">
        <f t="shared" si="71"/>
        <v>0</v>
      </c>
      <c r="AG55" s="349">
        <f t="shared" si="72"/>
        <v>0</v>
      </c>
      <c r="AH55" s="349">
        <f t="shared" si="73"/>
        <v>0</v>
      </c>
      <c r="AI55" s="655">
        <f t="shared" si="74"/>
        <v>0</v>
      </c>
      <c r="AJ55" s="24">
        <f t="shared" si="75"/>
        <v>0</v>
      </c>
      <c r="AK55" s="24">
        <f t="shared" si="76"/>
        <v>0</v>
      </c>
      <c r="AL55" s="352">
        <f t="shared" si="80"/>
        <v>0</v>
      </c>
      <c r="AM55" s="349">
        <f t="shared" si="81"/>
        <v>0</v>
      </c>
      <c r="AN55" s="349">
        <f t="shared" si="82"/>
        <v>0</v>
      </c>
      <c r="AP55" s="17" t="s">
        <v>90</v>
      </c>
    </row>
    <row r="56" spans="1:44" x14ac:dyDescent="0.25">
      <c r="A56" s="17" t="s">
        <v>91</v>
      </c>
      <c r="B56" s="30">
        <v>78.87</v>
      </c>
      <c r="C56" s="30">
        <v>78.87</v>
      </c>
      <c r="D56" s="30">
        <v>0</v>
      </c>
      <c r="E56" s="24">
        <f t="shared" si="77"/>
        <v>80.400078000000008</v>
      </c>
      <c r="F56" s="24">
        <f t="shared" si="61"/>
        <v>80.400078000000008</v>
      </c>
      <c r="G56" s="24">
        <f t="shared" si="61"/>
        <v>0</v>
      </c>
      <c r="H56" s="24">
        <f t="shared" si="78"/>
        <v>83.342720854800007</v>
      </c>
      <c r="I56" s="24">
        <f t="shared" si="78"/>
        <v>83.342720854800007</v>
      </c>
      <c r="J56" s="24">
        <f t="shared" si="78"/>
        <v>0</v>
      </c>
      <c r="K56" s="24">
        <f>H56*(1+$D$5)-0.01</f>
        <v>88.975023056669968</v>
      </c>
      <c r="L56" s="24">
        <f>I56*(1+$D$5)-0.01</f>
        <v>88.975023056669968</v>
      </c>
      <c r="M56" s="24">
        <f t="shared" si="79"/>
        <v>0</v>
      </c>
      <c r="N56" s="25">
        <f t="shared" si="63"/>
        <v>94.091086882428499</v>
      </c>
      <c r="O56" s="25">
        <f t="shared" si="63"/>
        <v>94.091086882428499</v>
      </c>
      <c r="P56" s="263">
        <f t="shared" si="63"/>
        <v>0</v>
      </c>
      <c r="Q56" s="265">
        <f t="shared" si="64"/>
        <v>97.939412335919812</v>
      </c>
      <c r="R56" s="26">
        <f t="shared" si="64"/>
        <v>97.939412335919812</v>
      </c>
      <c r="S56" s="266">
        <f t="shared" si="64"/>
        <v>0</v>
      </c>
      <c r="T56" s="264">
        <f t="shared" si="65"/>
        <v>101.05388564820207</v>
      </c>
      <c r="U56" s="27">
        <f t="shared" si="65"/>
        <v>101.05388564820207</v>
      </c>
      <c r="V56" s="255">
        <f t="shared" si="65"/>
        <v>0</v>
      </c>
      <c r="W56" s="258">
        <f t="shared" si="66"/>
        <v>104.89393330283374</v>
      </c>
      <c r="X56" s="27">
        <f t="shared" si="66"/>
        <v>104.89393330283374</v>
      </c>
      <c r="Y56" s="259">
        <f t="shared" si="66"/>
        <v>0</v>
      </c>
      <c r="Z56" s="375">
        <f>W56*(1+$I$5)+0.01</f>
        <v>106.59272562900938</v>
      </c>
      <c r="AA56" s="30">
        <f>X56*(1+$I$5)+0.01</f>
        <v>106.59272562900938</v>
      </c>
      <c r="AB56" s="30">
        <f t="shared" si="67"/>
        <v>0</v>
      </c>
      <c r="AC56" s="258">
        <f t="shared" si="68"/>
        <v>112.5832368093597</v>
      </c>
      <c r="AD56" s="27">
        <f t="shared" si="69"/>
        <v>112.5832368093597</v>
      </c>
      <c r="AE56" s="259">
        <f t="shared" si="70"/>
        <v>0</v>
      </c>
      <c r="AF56" s="352">
        <f t="shared" si="71"/>
        <v>127.35415747874769</v>
      </c>
      <c r="AG56" s="349">
        <f t="shared" si="72"/>
        <v>127.35415747874769</v>
      </c>
      <c r="AH56" s="349">
        <f t="shared" si="73"/>
        <v>0</v>
      </c>
      <c r="AI56" s="655">
        <f t="shared" si="74"/>
        <v>139.17262329277548</v>
      </c>
      <c r="AJ56" s="24">
        <f t="shared" si="75"/>
        <v>139.17262329277548</v>
      </c>
      <c r="AK56" s="24">
        <f t="shared" si="76"/>
        <v>0</v>
      </c>
      <c r="AL56" s="352">
        <f t="shared" si="80"/>
        <v>146.40959970399982</v>
      </c>
      <c r="AM56" s="349">
        <f t="shared" si="81"/>
        <v>146.40959970399982</v>
      </c>
      <c r="AN56" s="349">
        <f t="shared" si="82"/>
        <v>0</v>
      </c>
      <c r="AP56" s="17" t="s">
        <v>91</v>
      </c>
    </row>
    <row r="57" spans="1:44" ht="15.75" thickBot="1" x14ac:dyDescent="0.3">
      <c r="A57" s="17" t="s">
        <v>92</v>
      </c>
      <c r="B57" s="30"/>
      <c r="C57" s="30"/>
      <c r="D57" s="30"/>
      <c r="E57" s="24"/>
      <c r="F57" s="24"/>
      <c r="G57" s="24"/>
      <c r="H57" s="24"/>
      <c r="I57" s="24"/>
      <c r="J57" s="24"/>
      <c r="K57" s="24">
        <v>88.98</v>
      </c>
      <c r="L57" s="24">
        <v>88.98</v>
      </c>
      <c r="M57" s="24">
        <v>88.98</v>
      </c>
      <c r="N57" s="25">
        <f t="shared" si="63"/>
        <v>94.096350000000015</v>
      </c>
      <c r="O57" s="25">
        <f t="shared" si="63"/>
        <v>94.096350000000015</v>
      </c>
      <c r="P57" s="263">
        <f t="shared" si="63"/>
        <v>94.096350000000015</v>
      </c>
      <c r="Q57" s="267">
        <f t="shared" si="64"/>
        <v>97.944890715000014</v>
      </c>
      <c r="R57" s="268">
        <f t="shared" si="64"/>
        <v>97.944890715000014</v>
      </c>
      <c r="S57" s="269">
        <f t="shared" si="64"/>
        <v>97.944890715000014</v>
      </c>
      <c r="T57" s="264">
        <f>Q57*(1+$G$5)-0.01</f>
        <v>101.04953823973702</v>
      </c>
      <c r="U57" s="27">
        <f>R57*(1+$G$5)-0.01</f>
        <v>101.04953823973702</v>
      </c>
      <c r="V57" s="255">
        <f>S57*(1+$G$5)-0.01</f>
        <v>101.04953823973702</v>
      </c>
      <c r="W57" s="260">
        <f>T57*(1+$H$5)</f>
        <v>104.88942069284703</v>
      </c>
      <c r="X57" s="261">
        <f>U57*(1+$H$5)</f>
        <v>104.88942069284703</v>
      </c>
      <c r="Y57" s="262">
        <f>V57*(1+$H$5)</f>
        <v>104.88942069284703</v>
      </c>
      <c r="Z57" s="375">
        <f>W57*(1+$I$5)+0.01</f>
        <v>106.58814036600187</v>
      </c>
      <c r="AA57" s="30">
        <f>X57*(1+$I$5)+0.01</f>
        <v>106.58814036600187</v>
      </c>
      <c r="AB57" s="30">
        <f>Y57*(1+$I$5)+0.01</f>
        <v>106.58814036600187</v>
      </c>
      <c r="AC57" s="260">
        <f t="shared" si="68"/>
        <v>112.57839385457117</v>
      </c>
      <c r="AD57" s="261">
        <f t="shared" si="69"/>
        <v>112.57839385457117</v>
      </c>
      <c r="AE57" s="262">
        <f t="shared" si="70"/>
        <v>112.57839385457117</v>
      </c>
      <c r="AF57" s="352">
        <f t="shared" si="71"/>
        <v>127.34867912829091</v>
      </c>
      <c r="AG57" s="349">
        <f t="shared" si="72"/>
        <v>127.34867912829091</v>
      </c>
      <c r="AH57" s="349">
        <f t="shared" si="73"/>
        <v>127.34867912829091</v>
      </c>
      <c r="AI57" s="655">
        <f t="shared" si="74"/>
        <v>139.16663655139629</v>
      </c>
      <c r="AJ57" s="24">
        <f t="shared" si="75"/>
        <v>139.16663655139629</v>
      </c>
      <c r="AK57" s="24">
        <f t="shared" si="76"/>
        <v>139.16663655139629</v>
      </c>
      <c r="AL57" s="352">
        <f t="shared" si="80"/>
        <v>146.4033016520689</v>
      </c>
      <c r="AM57" s="349">
        <f t="shared" si="81"/>
        <v>146.4033016520689</v>
      </c>
      <c r="AN57" s="349">
        <f t="shared" si="82"/>
        <v>146.4033016520689</v>
      </c>
      <c r="AP57" s="17" t="s">
        <v>92</v>
      </c>
    </row>
    <row r="59" spans="1:44" x14ac:dyDescent="0.25">
      <c r="A59" s="15" t="s">
        <v>101</v>
      </c>
    </row>
    <row r="61" spans="1:44" x14ac:dyDescent="0.25">
      <c r="A61" s="876" t="s">
        <v>80</v>
      </c>
      <c r="B61" s="863">
        <v>2013</v>
      </c>
      <c r="C61" s="863"/>
      <c r="D61" s="863"/>
      <c r="E61" s="863">
        <v>2014</v>
      </c>
      <c r="F61" s="863"/>
      <c r="G61" s="863"/>
      <c r="H61" s="863">
        <v>2015</v>
      </c>
      <c r="I61" s="863"/>
      <c r="J61" s="863"/>
      <c r="K61" s="863">
        <v>2016</v>
      </c>
      <c r="L61" s="863"/>
      <c r="M61" s="863"/>
      <c r="N61" s="863">
        <v>2017</v>
      </c>
      <c r="O61" s="863"/>
      <c r="P61" s="863"/>
      <c r="Q61" s="863">
        <v>2018</v>
      </c>
      <c r="R61" s="863"/>
      <c r="S61" s="863"/>
    </row>
    <row r="62" spans="1:44" ht="45" x14ac:dyDescent="0.25">
      <c r="A62" s="876"/>
      <c r="B62" s="22" t="s">
        <v>81</v>
      </c>
      <c r="C62" s="22" t="s">
        <v>82</v>
      </c>
      <c r="D62" s="22" t="s">
        <v>83</v>
      </c>
      <c r="E62" s="22" t="s">
        <v>81</v>
      </c>
      <c r="F62" s="22" t="s">
        <v>82</v>
      </c>
      <c r="G62" s="22" t="s">
        <v>83</v>
      </c>
      <c r="H62" s="22" t="s">
        <v>81</v>
      </c>
      <c r="I62" s="22" t="s">
        <v>82</v>
      </c>
      <c r="J62" s="22" t="s">
        <v>83</v>
      </c>
      <c r="K62" s="22" t="s">
        <v>81</v>
      </c>
      <c r="L62" s="22" t="s">
        <v>82</v>
      </c>
      <c r="M62" s="22" t="s">
        <v>83</v>
      </c>
      <c r="N62" s="22" t="s">
        <v>81</v>
      </c>
      <c r="O62" s="22" t="s">
        <v>82</v>
      </c>
      <c r="P62" s="22" t="s">
        <v>83</v>
      </c>
      <c r="Q62" s="22" t="s">
        <v>81</v>
      </c>
      <c r="R62" s="22" t="s">
        <v>82</v>
      </c>
      <c r="S62" s="22" t="s">
        <v>83</v>
      </c>
    </row>
    <row r="63" spans="1:44" x14ac:dyDescent="0.25">
      <c r="A63" s="17" t="s">
        <v>84</v>
      </c>
      <c r="B63" s="6" t="s">
        <v>102</v>
      </c>
      <c r="C63" s="6" t="s">
        <v>102</v>
      </c>
      <c r="D63" s="6">
        <v>0</v>
      </c>
      <c r="E63" s="31" t="s">
        <v>102</v>
      </c>
      <c r="F63" s="31" t="s">
        <v>102</v>
      </c>
      <c r="G63" s="31">
        <f t="shared" ref="G63:G70" si="83">D63*(1+$B$5)</f>
        <v>0</v>
      </c>
      <c r="H63" s="32" t="s">
        <v>102</v>
      </c>
      <c r="I63" s="31" t="s">
        <v>102</v>
      </c>
      <c r="J63" s="31">
        <f>G63*(1+$B$5)</f>
        <v>0</v>
      </c>
      <c r="K63" s="32" t="s">
        <v>102</v>
      </c>
      <c r="L63" s="31" t="s">
        <v>102</v>
      </c>
      <c r="M63" s="32">
        <f t="shared" ref="M63:M70" si="84">J63*(1+$D$5)</f>
        <v>0</v>
      </c>
      <c r="N63" s="33" t="s">
        <v>102</v>
      </c>
      <c r="O63" s="34" t="s">
        <v>102</v>
      </c>
      <c r="P63" s="33">
        <f>M63*(1+$E$5)</f>
        <v>0</v>
      </c>
      <c r="Q63" s="35" t="s">
        <v>102</v>
      </c>
      <c r="R63" s="12" t="s">
        <v>102</v>
      </c>
      <c r="S63" s="35">
        <f t="shared" ref="S63:S71" si="85">P63*(1+$F$5)</f>
        <v>0</v>
      </c>
    </row>
    <row r="64" spans="1:44" x14ac:dyDescent="0.25">
      <c r="A64" s="17" t="s">
        <v>85</v>
      </c>
      <c r="B64" s="6">
        <v>240</v>
      </c>
      <c r="C64" s="6" t="s">
        <v>102</v>
      </c>
      <c r="D64" s="6">
        <v>0</v>
      </c>
      <c r="E64" s="32">
        <f>B64*(1+$B$5)</f>
        <v>244.65600000000001</v>
      </c>
      <c r="F64" s="31" t="s">
        <v>102</v>
      </c>
      <c r="G64" s="31">
        <f t="shared" si="83"/>
        <v>0</v>
      </c>
      <c r="H64" s="32">
        <f>E64*(1+$C$5)</f>
        <v>253.6104096</v>
      </c>
      <c r="I64" s="31" t="s">
        <v>102</v>
      </c>
      <c r="J64" s="31">
        <f>G64*(1+$B$5)</f>
        <v>0</v>
      </c>
      <c r="K64" s="32">
        <f>H64*(1+$D$5)</f>
        <v>270.77983432991999</v>
      </c>
      <c r="L64" s="31" t="s">
        <v>102</v>
      </c>
      <c r="M64" s="32">
        <f t="shared" si="84"/>
        <v>0</v>
      </c>
      <c r="N64" s="33">
        <f>K64*(1+$E$5)</f>
        <v>286.34967480389042</v>
      </c>
      <c r="O64" s="34" t="s">
        <v>102</v>
      </c>
      <c r="P64" s="33">
        <f t="shared" ref="P64:P71" si="86">M64*(1+$E$5)</f>
        <v>0</v>
      </c>
      <c r="Q64" s="35">
        <f>N64*(1+$F$5)</f>
        <v>298.0613765033695</v>
      </c>
      <c r="R64" s="12" t="s">
        <v>102</v>
      </c>
      <c r="S64" s="35">
        <f t="shared" si="85"/>
        <v>0</v>
      </c>
    </row>
    <row r="65" spans="1:19" x14ac:dyDescent="0.25">
      <c r="A65" s="17" t="s">
        <v>86</v>
      </c>
      <c r="B65" s="6" t="s">
        <v>102</v>
      </c>
      <c r="C65" s="6" t="s">
        <v>102</v>
      </c>
      <c r="D65" s="6">
        <v>0</v>
      </c>
      <c r="E65" s="31" t="s">
        <v>102</v>
      </c>
      <c r="F65" s="31" t="s">
        <v>102</v>
      </c>
      <c r="G65" s="31">
        <f t="shared" si="83"/>
        <v>0</v>
      </c>
      <c r="H65" s="31" t="s">
        <v>102</v>
      </c>
      <c r="I65" s="31" t="s">
        <v>102</v>
      </c>
      <c r="J65" s="31">
        <f>G65*(1+$B$5)</f>
        <v>0</v>
      </c>
      <c r="K65" s="31" t="s">
        <v>102</v>
      </c>
      <c r="L65" s="31" t="s">
        <v>102</v>
      </c>
      <c r="M65" s="32">
        <f t="shared" si="84"/>
        <v>0</v>
      </c>
      <c r="N65" s="34" t="s">
        <v>102</v>
      </c>
      <c r="O65" s="34" t="s">
        <v>102</v>
      </c>
      <c r="P65" s="33">
        <f t="shared" si="86"/>
        <v>0</v>
      </c>
      <c r="Q65" s="12" t="s">
        <v>102</v>
      </c>
      <c r="R65" s="12" t="s">
        <v>102</v>
      </c>
      <c r="S65" s="35">
        <f t="shared" si="85"/>
        <v>0</v>
      </c>
    </row>
    <row r="66" spans="1:19" x14ac:dyDescent="0.25">
      <c r="A66" s="17" t="s">
        <v>87</v>
      </c>
      <c r="B66" s="6">
        <v>240</v>
      </c>
      <c r="C66" s="6" t="s">
        <v>102</v>
      </c>
      <c r="D66" s="6">
        <v>0</v>
      </c>
      <c r="E66" s="32">
        <f>B66*(1+$B$5)</f>
        <v>244.65600000000001</v>
      </c>
      <c r="F66" s="31" t="s">
        <v>102</v>
      </c>
      <c r="G66" s="31">
        <f t="shared" si="83"/>
        <v>0</v>
      </c>
      <c r="H66" s="32">
        <f>E66*(1+$C$5)</f>
        <v>253.6104096</v>
      </c>
      <c r="I66" s="31" t="s">
        <v>102</v>
      </c>
      <c r="J66" s="31">
        <f>G66*(1+$B$5)</f>
        <v>0</v>
      </c>
      <c r="K66" s="32">
        <f>H66*(1+$D$5)</f>
        <v>270.77983432991999</v>
      </c>
      <c r="L66" s="31" t="s">
        <v>102</v>
      </c>
      <c r="M66" s="32">
        <f t="shared" si="84"/>
        <v>0</v>
      </c>
      <c r="N66" s="33">
        <f>K66*(1+$E$5)</f>
        <v>286.34967480389042</v>
      </c>
      <c r="O66" s="34" t="s">
        <v>102</v>
      </c>
      <c r="P66" s="33">
        <f t="shared" si="86"/>
        <v>0</v>
      </c>
      <c r="Q66" s="35">
        <f>N66*(1+$F$5)</f>
        <v>298.0613765033695</v>
      </c>
      <c r="R66" s="12" t="s">
        <v>102</v>
      </c>
      <c r="S66" s="35">
        <f t="shared" si="85"/>
        <v>0</v>
      </c>
    </row>
    <row r="67" spans="1:19" x14ac:dyDescent="0.25">
      <c r="A67" s="17" t="s">
        <v>88</v>
      </c>
      <c r="B67" s="6">
        <v>240</v>
      </c>
      <c r="C67" s="6" t="s">
        <v>102</v>
      </c>
      <c r="D67" s="6">
        <v>240</v>
      </c>
      <c r="E67" s="32">
        <v>326.39999999999998</v>
      </c>
      <c r="F67" s="31" t="s">
        <v>102</v>
      </c>
      <c r="G67" s="32">
        <v>326.39999999999998</v>
      </c>
      <c r="H67" s="32">
        <f>E67*(1+$C$5)</f>
        <v>338.34623999999997</v>
      </c>
      <c r="I67" s="31" t="s">
        <v>102</v>
      </c>
      <c r="J67" s="32">
        <f>G67*(1+$C$5)</f>
        <v>338.34623999999997</v>
      </c>
      <c r="K67" s="32">
        <f>H67*(1+$D$5)</f>
        <v>361.25228044800002</v>
      </c>
      <c r="L67" s="31" t="s">
        <v>102</v>
      </c>
      <c r="M67" s="32">
        <f t="shared" si="84"/>
        <v>361.25228044800002</v>
      </c>
      <c r="N67" s="33">
        <f>K67*(1+$E$5)</f>
        <v>382.02428657376004</v>
      </c>
      <c r="O67" s="34" t="s">
        <v>102</v>
      </c>
      <c r="P67" s="33">
        <f t="shared" si="86"/>
        <v>382.02428657376004</v>
      </c>
      <c r="Q67" s="35">
        <f>N67*(1+$F$5)</f>
        <v>397.64907989462682</v>
      </c>
      <c r="R67" s="12" t="s">
        <v>102</v>
      </c>
      <c r="S67" s="35">
        <f t="shared" si="85"/>
        <v>397.64907989462682</v>
      </c>
    </row>
    <row r="68" spans="1:19" x14ac:dyDescent="0.25">
      <c r="A68" s="17" t="s">
        <v>89</v>
      </c>
      <c r="B68" s="6" t="s">
        <v>102</v>
      </c>
      <c r="C68" s="6" t="s">
        <v>102</v>
      </c>
      <c r="D68" s="6">
        <v>0</v>
      </c>
      <c r="E68" s="31" t="s">
        <v>102</v>
      </c>
      <c r="F68" s="31" t="s">
        <v>102</v>
      </c>
      <c r="G68" s="31">
        <f t="shared" si="83"/>
        <v>0</v>
      </c>
      <c r="H68" s="31" t="s">
        <v>102</v>
      </c>
      <c r="I68" s="31" t="s">
        <v>102</v>
      </c>
      <c r="J68" s="31">
        <f>G68*(1+$B$5)</f>
        <v>0</v>
      </c>
      <c r="K68" s="31" t="s">
        <v>102</v>
      </c>
      <c r="L68" s="31" t="s">
        <v>102</v>
      </c>
      <c r="M68" s="32">
        <f t="shared" si="84"/>
        <v>0</v>
      </c>
      <c r="N68" s="34" t="s">
        <v>102</v>
      </c>
      <c r="O68" s="34" t="s">
        <v>102</v>
      </c>
      <c r="P68" s="33">
        <f t="shared" si="86"/>
        <v>0</v>
      </c>
      <c r="Q68" s="12" t="s">
        <v>102</v>
      </c>
      <c r="R68" s="12" t="s">
        <v>102</v>
      </c>
      <c r="S68" s="35">
        <f t="shared" si="85"/>
        <v>0</v>
      </c>
    </row>
    <row r="69" spans="1:19" x14ac:dyDescent="0.25">
      <c r="A69" s="17" t="s">
        <v>90</v>
      </c>
      <c r="B69" s="6" t="s">
        <v>102</v>
      </c>
      <c r="C69" s="6" t="s">
        <v>102</v>
      </c>
      <c r="D69" s="6">
        <v>0</v>
      </c>
      <c r="E69" s="31" t="s">
        <v>102</v>
      </c>
      <c r="F69" s="31" t="s">
        <v>102</v>
      </c>
      <c r="G69" s="31">
        <f t="shared" si="83"/>
        <v>0</v>
      </c>
      <c r="H69" s="31" t="s">
        <v>102</v>
      </c>
      <c r="I69" s="31" t="s">
        <v>102</v>
      </c>
      <c r="J69" s="31">
        <f>G69*(1+$B$5)</f>
        <v>0</v>
      </c>
      <c r="K69" s="31" t="s">
        <v>102</v>
      </c>
      <c r="L69" s="31" t="s">
        <v>102</v>
      </c>
      <c r="M69" s="32">
        <f t="shared" si="84"/>
        <v>0</v>
      </c>
      <c r="N69" s="34" t="s">
        <v>102</v>
      </c>
      <c r="O69" s="34" t="s">
        <v>102</v>
      </c>
      <c r="P69" s="33">
        <f t="shared" si="86"/>
        <v>0</v>
      </c>
      <c r="Q69" s="12" t="s">
        <v>102</v>
      </c>
      <c r="R69" s="12" t="s">
        <v>102</v>
      </c>
      <c r="S69" s="35">
        <f t="shared" si="85"/>
        <v>0</v>
      </c>
    </row>
    <row r="70" spans="1:19" x14ac:dyDescent="0.25">
      <c r="A70" s="17" t="s">
        <v>91</v>
      </c>
      <c r="B70" s="6">
        <v>240</v>
      </c>
      <c r="C70" s="6" t="s">
        <v>102</v>
      </c>
      <c r="D70" s="6">
        <v>0</v>
      </c>
      <c r="E70" s="32">
        <f>B70*(1+$B$5)</f>
        <v>244.65600000000001</v>
      </c>
      <c r="F70" s="31" t="s">
        <v>102</v>
      </c>
      <c r="G70" s="31">
        <f t="shared" si="83"/>
        <v>0</v>
      </c>
      <c r="H70" s="32">
        <f>E70*(1+$C$5)</f>
        <v>253.6104096</v>
      </c>
      <c r="I70" s="31" t="s">
        <v>102</v>
      </c>
      <c r="J70" s="31">
        <f>G70*(1+$B$5)</f>
        <v>0</v>
      </c>
      <c r="K70" s="32">
        <f>H70*(1+$D$5)</f>
        <v>270.77983432991999</v>
      </c>
      <c r="L70" s="31" t="s">
        <v>102</v>
      </c>
      <c r="M70" s="32">
        <f t="shared" si="84"/>
        <v>0</v>
      </c>
      <c r="N70" s="33">
        <f>K70*(1+$E$5)</f>
        <v>286.34967480389042</v>
      </c>
      <c r="O70" s="34" t="s">
        <v>102</v>
      </c>
      <c r="P70" s="33">
        <f t="shared" si="86"/>
        <v>0</v>
      </c>
      <c r="Q70" s="35">
        <f>N70*(1+$F$5)</f>
        <v>298.0613765033695</v>
      </c>
      <c r="R70" s="12" t="s">
        <v>102</v>
      </c>
      <c r="S70" s="35">
        <f t="shared" si="85"/>
        <v>0</v>
      </c>
    </row>
    <row r="71" spans="1:19" x14ac:dyDescent="0.25">
      <c r="A71" s="17" t="s">
        <v>92</v>
      </c>
      <c r="B71" s="30"/>
      <c r="C71" s="30"/>
      <c r="D71" s="30"/>
      <c r="E71" s="24"/>
      <c r="F71" s="24"/>
      <c r="G71" s="24"/>
      <c r="H71" s="24"/>
      <c r="I71" s="24"/>
      <c r="J71" s="24"/>
      <c r="K71" s="32">
        <f>285*(1+D6)</f>
        <v>307.60049999999995</v>
      </c>
      <c r="L71" s="31" t="s">
        <v>102</v>
      </c>
      <c r="M71" s="32">
        <v>0</v>
      </c>
      <c r="N71" s="33">
        <f>K71*(1+$E$5)</f>
        <v>325.28752874999998</v>
      </c>
      <c r="O71" s="34" t="s">
        <v>102</v>
      </c>
      <c r="P71" s="33">
        <f t="shared" si="86"/>
        <v>0</v>
      </c>
      <c r="Q71" s="35">
        <f>N71*(1+$F$5)</f>
        <v>338.59178867587497</v>
      </c>
      <c r="R71" s="12" t="s">
        <v>102</v>
      </c>
      <c r="S71" s="35">
        <f t="shared" si="85"/>
        <v>0</v>
      </c>
    </row>
    <row r="73" spans="1:19" x14ac:dyDescent="0.25">
      <c r="A73" t="s">
        <v>103</v>
      </c>
    </row>
    <row r="76" spans="1:19" x14ac:dyDescent="0.25">
      <c r="A76" s="15" t="s">
        <v>104</v>
      </c>
    </row>
    <row r="78" spans="1:19" x14ac:dyDescent="0.25">
      <c r="A78" s="876" t="s">
        <v>80</v>
      </c>
      <c r="B78" s="863">
        <v>2013</v>
      </c>
      <c r="C78" s="863"/>
      <c r="D78" s="863"/>
      <c r="E78" s="863">
        <v>2014</v>
      </c>
      <c r="F78" s="863"/>
      <c r="G78" s="863"/>
      <c r="H78" s="863">
        <v>2015</v>
      </c>
      <c r="I78" s="863"/>
      <c r="J78" s="863"/>
      <c r="K78" s="863">
        <v>2016</v>
      </c>
      <c r="L78" s="863"/>
      <c r="M78" s="863"/>
      <c r="N78" s="863">
        <v>2017</v>
      </c>
      <c r="O78" s="863"/>
      <c r="P78" s="863"/>
      <c r="Q78" s="863">
        <v>2018</v>
      </c>
      <c r="R78" s="863"/>
      <c r="S78" s="863"/>
    </row>
    <row r="79" spans="1:19" ht="45" x14ac:dyDescent="0.25">
      <c r="A79" s="876"/>
      <c r="B79" s="22" t="s">
        <v>81</v>
      </c>
      <c r="C79" s="22" t="s">
        <v>82</v>
      </c>
      <c r="D79" s="22" t="s">
        <v>83</v>
      </c>
      <c r="E79" s="22" t="s">
        <v>81</v>
      </c>
      <c r="F79" s="22" t="s">
        <v>82</v>
      </c>
      <c r="G79" s="22" t="s">
        <v>83</v>
      </c>
      <c r="H79" s="22" t="s">
        <v>81</v>
      </c>
      <c r="I79" s="22" t="s">
        <v>82</v>
      </c>
      <c r="J79" s="22" t="s">
        <v>83</v>
      </c>
      <c r="K79" s="22" t="s">
        <v>81</v>
      </c>
      <c r="L79" s="22" t="s">
        <v>82</v>
      </c>
      <c r="M79" s="22" t="s">
        <v>83</v>
      </c>
      <c r="N79" s="22" t="s">
        <v>81</v>
      </c>
      <c r="O79" s="22" t="s">
        <v>82</v>
      </c>
      <c r="P79" s="22" t="s">
        <v>83</v>
      </c>
      <c r="Q79" s="22" t="s">
        <v>81</v>
      </c>
      <c r="R79" s="22" t="s">
        <v>82</v>
      </c>
      <c r="S79" s="22" t="s">
        <v>83</v>
      </c>
    </row>
    <row r="80" spans="1:19" x14ac:dyDescent="0.25">
      <c r="A80" s="17" t="s">
        <v>84</v>
      </c>
      <c r="B80" s="6" t="s">
        <v>102</v>
      </c>
      <c r="C80" s="6" t="s">
        <v>102</v>
      </c>
      <c r="D80" s="6">
        <v>0</v>
      </c>
      <c r="E80" s="31" t="s">
        <v>102</v>
      </c>
      <c r="F80" s="31" t="s">
        <v>102</v>
      </c>
      <c r="G80" s="31">
        <f t="shared" ref="G80:G87" si="87">D80*(1+$B$5)</f>
        <v>0</v>
      </c>
      <c r="H80" s="31" t="s">
        <v>102</v>
      </c>
      <c r="I80" s="31" t="s">
        <v>102</v>
      </c>
      <c r="J80" s="31">
        <f t="shared" ref="J80:J87" si="88">G80*(1+$B$5)</f>
        <v>0</v>
      </c>
      <c r="K80" s="31" t="s">
        <v>102</v>
      </c>
      <c r="L80" s="31" t="s">
        <v>102</v>
      </c>
      <c r="M80" s="32">
        <f t="shared" ref="M80:M87" si="89">J80*(1+$D$5)</f>
        <v>0</v>
      </c>
      <c r="N80" s="34" t="s">
        <v>102</v>
      </c>
      <c r="O80" s="34" t="s">
        <v>102</v>
      </c>
      <c r="P80" s="33">
        <f>M80*(1+$E$5)</f>
        <v>0</v>
      </c>
      <c r="Q80" s="34" t="s">
        <v>102</v>
      </c>
      <c r="R80" s="34" t="s">
        <v>102</v>
      </c>
      <c r="S80" s="33">
        <f t="shared" ref="S80:S88" si="90">P80*(1+$F$5)</f>
        <v>0</v>
      </c>
    </row>
    <row r="81" spans="1:19" x14ac:dyDescent="0.25">
      <c r="A81" s="17" t="s">
        <v>85</v>
      </c>
      <c r="B81" s="6">
        <v>400</v>
      </c>
      <c r="C81" s="6" t="s">
        <v>102</v>
      </c>
      <c r="D81" s="6">
        <v>0</v>
      </c>
      <c r="E81" s="31">
        <f>B81*(1+$B$5)</f>
        <v>407.76000000000005</v>
      </c>
      <c r="F81" s="31" t="s">
        <v>102</v>
      </c>
      <c r="G81" s="31">
        <f t="shared" si="87"/>
        <v>0</v>
      </c>
      <c r="H81" s="32">
        <f>E81*(1+$C$5)</f>
        <v>422.68401600000004</v>
      </c>
      <c r="I81" s="32" t="s">
        <v>102</v>
      </c>
      <c r="J81" s="31">
        <f t="shared" si="88"/>
        <v>0</v>
      </c>
      <c r="K81" s="32">
        <f>H81*(1+$D$5)</f>
        <v>451.2997238832001</v>
      </c>
      <c r="L81" s="32" t="s">
        <v>102</v>
      </c>
      <c r="M81" s="32">
        <f t="shared" si="89"/>
        <v>0</v>
      </c>
      <c r="N81" s="33">
        <f>K81*(1+$E$5)</f>
        <v>477.24945800648413</v>
      </c>
      <c r="O81" s="33" t="s">
        <v>102</v>
      </c>
      <c r="P81" s="33">
        <f t="shared" ref="P81:P88" si="91">M81*(1+$E$5)</f>
        <v>0</v>
      </c>
      <c r="Q81" s="33">
        <f>N81*(1+$F$5)</f>
        <v>496.76896083894928</v>
      </c>
      <c r="R81" s="33" t="s">
        <v>102</v>
      </c>
      <c r="S81" s="33">
        <f t="shared" si="90"/>
        <v>0</v>
      </c>
    </row>
    <row r="82" spans="1:19" x14ac:dyDescent="0.25">
      <c r="A82" s="17" t="s">
        <v>86</v>
      </c>
      <c r="B82" s="6" t="s">
        <v>102</v>
      </c>
      <c r="C82" s="6" t="s">
        <v>102</v>
      </c>
      <c r="D82" s="6">
        <v>0</v>
      </c>
      <c r="E82" s="31" t="s">
        <v>102</v>
      </c>
      <c r="F82" s="31" t="s">
        <v>102</v>
      </c>
      <c r="G82" s="31">
        <f t="shared" si="87"/>
        <v>0</v>
      </c>
      <c r="H82" s="32" t="s">
        <v>102</v>
      </c>
      <c r="I82" s="32" t="s">
        <v>102</v>
      </c>
      <c r="J82" s="31">
        <f t="shared" si="88"/>
        <v>0</v>
      </c>
      <c r="K82" s="32" t="s">
        <v>102</v>
      </c>
      <c r="L82" s="32" t="s">
        <v>102</v>
      </c>
      <c r="M82" s="32">
        <f t="shared" si="89"/>
        <v>0</v>
      </c>
      <c r="N82" s="33" t="s">
        <v>102</v>
      </c>
      <c r="O82" s="33" t="s">
        <v>102</v>
      </c>
      <c r="P82" s="33">
        <f t="shared" si="91"/>
        <v>0</v>
      </c>
      <c r="Q82" s="33" t="s">
        <v>102</v>
      </c>
      <c r="R82" s="33" t="s">
        <v>102</v>
      </c>
      <c r="S82" s="33">
        <f t="shared" si="90"/>
        <v>0</v>
      </c>
    </row>
    <row r="83" spans="1:19" x14ac:dyDescent="0.25">
      <c r="A83" s="17" t="s">
        <v>87</v>
      </c>
      <c r="B83" s="6">
        <v>400</v>
      </c>
      <c r="C83" s="6" t="s">
        <v>102</v>
      </c>
      <c r="D83" s="6">
        <v>0</v>
      </c>
      <c r="E83" s="31">
        <f>B83*(1+$B$5)</f>
        <v>407.76000000000005</v>
      </c>
      <c r="F83" s="31" t="s">
        <v>102</v>
      </c>
      <c r="G83" s="31">
        <f t="shared" si="87"/>
        <v>0</v>
      </c>
      <c r="H83" s="32">
        <f>E83*(1+$C$5)</f>
        <v>422.68401600000004</v>
      </c>
      <c r="I83" s="32" t="s">
        <v>102</v>
      </c>
      <c r="J83" s="31">
        <f t="shared" si="88"/>
        <v>0</v>
      </c>
      <c r="K83" s="32">
        <f>H83*(1+$D$5)</f>
        <v>451.2997238832001</v>
      </c>
      <c r="L83" s="32" t="s">
        <v>102</v>
      </c>
      <c r="M83" s="32">
        <f t="shared" si="89"/>
        <v>0</v>
      </c>
      <c r="N83" s="33">
        <f>K83*(1+$E$5)</f>
        <v>477.24945800648413</v>
      </c>
      <c r="O83" s="33" t="s">
        <v>102</v>
      </c>
      <c r="P83" s="33">
        <f t="shared" si="91"/>
        <v>0</v>
      </c>
      <c r="Q83" s="33">
        <f>N83*(1+$F$5)</f>
        <v>496.76896083894928</v>
      </c>
      <c r="R83" s="33" t="s">
        <v>102</v>
      </c>
      <c r="S83" s="33">
        <f t="shared" si="90"/>
        <v>0</v>
      </c>
    </row>
    <row r="84" spans="1:19" x14ac:dyDescent="0.25">
      <c r="A84" s="17" t="s">
        <v>88</v>
      </c>
      <c r="B84" s="6">
        <v>400</v>
      </c>
      <c r="C84" s="6" t="s">
        <v>102</v>
      </c>
      <c r="D84" s="6">
        <v>400</v>
      </c>
      <c r="E84" s="31">
        <f>B84*(1+$B$5)</f>
        <v>407.76000000000005</v>
      </c>
      <c r="F84" s="31" t="s">
        <v>102</v>
      </c>
      <c r="G84" s="31">
        <f t="shared" si="87"/>
        <v>407.76000000000005</v>
      </c>
      <c r="H84" s="32">
        <f>E84*(1+$C$5)</f>
        <v>422.68401600000004</v>
      </c>
      <c r="I84" s="32" t="s">
        <v>102</v>
      </c>
      <c r="J84" s="32">
        <f>G84*(1+$C$5)</f>
        <v>422.68401600000004</v>
      </c>
      <c r="K84" s="32">
        <f>H84*(1+$D$5)</f>
        <v>451.2997238832001</v>
      </c>
      <c r="L84" s="32" t="s">
        <v>102</v>
      </c>
      <c r="M84" s="32">
        <f t="shared" si="89"/>
        <v>451.2997238832001</v>
      </c>
      <c r="N84" s="33">
        <f>K84*(1+$E$5)</f>
        <v>477.24945800648413</v>
      </c>
      <c r="O84" s="33" t="s">
        <v>102</v>
      </c>
      <c r="P84" s="33">
        <f t="shared" si="91"/>
        <v>477.24945800648413</v>
      </c>
      <c r="Q84" s="33">
        <f>N84*(1+$F$5)</f>
        <v>496.76896083894928</v>
      </c>
      <c r="R84" s="33" t="s">
        <v>102</v>
      </c>
      <c r="S84" s="33">
        <f t="shared" si="90"/>
        <v>496.76896083894928</v>
      </c>
    </row>
    <row r="85" spans="1:19" x14ac:dyDescent="0.25">
      <c r="A85" s="17" t="s">
        <v>89</v>
      </c>
      <c r="B85" s="6" t="s">
        <v>102</v>
      </c>
      <c r="C85" s="6" t="s">
        <v>102</v>
      </c>
      <c r="D85" s="6">
        <v>0</v>
      </c>
      <c r="E85" s="31" t="s">
        <v>102</v>
      </c>
      <c r="F85" s="31" t="s">
        <v>102</v>
      </c>
      <c r="G85" s="31">
        <f t="shared" si="87"/>
        <v>0</v>
      </c>
      <c r="H85" s="32" t="s">
        <v>102</v>
      </c>
      <c r="I85" s="32" t="s">
        <v>102</v>
      </c>
      <c r="J85" s="31">
        <f t="shared" si="88"/>
        <v>0</v>
      </c>
      <c r="K85" s="32" t="s">
        <v>102</v>
      </c>
      <c r="L85" s="32" t="s">
        <v>102</v>
      </c>
      <c r="M85" s="32">
        <f t="shared" si="89"/>
        <v>0</v>
      </c>
      <c r="N85" s="33" t="s">
        <v>102</v>
      </c>
      <c r="O85" s="33" t="s">
        <v>102</v>
      </c>
      <c r="P85" s="33">
        <f t="shared" si="91"/>
        <v>0</v>
      </c>
      <c r="Q85" s="33" t="s">
        <v>102</v>
      </c>
      <c r="R85" s="33" t="s">
        <v>102</v>
      </c>
      <c r="S85" s="33">
        <f t="shared" si="90"/>
        <v>0</v>
      </c>
    </row>
    <row r="86" spans="1:19" x14ac:dyDescent="0.25">
      <c r="A86" s="17" t="s">
        <v>90</v>
      </c>
      <c r="B86" s="6" t="s">
        <v>102</v>
      </c>
      <c r="C86" s="6" t="s">
        <v>102</v>
      </c>
      <c r="D86" s="6">
        <v>0</v>
      </c>
      <c r="E86" s="31" t="s">
        <v>102</v>
      </c>
      <c r="F86" s="31" t="s">
        <v>102</v>
      </c>
      <c r="G86" s="31">
        <f t="shared" si="87"/>
        <v>0</v>
      </c>
      <c r="H86" s="32" t="s">
        <v>102</v>
      </c>
      <c r="I86" s="32" t="s">
        <v>102</v>
      </c>
      <c r="J86" s="31">
        <f t="shared" si="88"/>
        <v>0</v>
      </c>
      <c r="K86" s="32" t="s">
        <v>102</v>
      </c>
      <c r="L86" s="32" t="s">
        <v>102</v>
      </c>
      <c r="M86" s="32">
        <f t="shared" si="89"/>
        <v>0</v>
      </c>
      <c r="N86" s="33" t="s">
        <v>102</v>
      </c>
      <c r="O86" s="33" t="s">
        <v>102</v>
      </c>
      <c r="P86" s="33">
        <f t="shared" si="91"/>
        <v>0</v>
      </c>
      <c r="Q86" s="33" t="s">
        <v>102</v>
      </c>
      <c r="R86" s="33" t="s">
        <v>102</v>
      </c>
      <c r="S86" s="33">
        <f t="shared" si="90"/>
        <v>0</v>
      </c>
    </row>
    <row r="87" spans="1:19" x14ac:dyDescent="0.25">
      <c r="A87" s="17" t="s">
        <v>91</v>
      </c>
      <c r="B87" s="6">
        <v>400</v>
      </c>
      <c r="C87" s="6" t="s">
        <v>102</v>
      </c>
      <c r="D87" s="6">
        <v>0</v>
      </c>
      <c r="E87" s="31">
        <f>B87*(1+$B$5)</f>
        <v>407.76000000000005</v>
      </c>
      <c r="F87" s="31" t="s">
        <v>102</v>
      </c>
      <c r="G87" s="31">
        <f t="shared" si="87"/>
        <v>0</v>
      </c>
      <c r="H87" s="32">
        <f>E87*(1+$C$5)</f>
        <v>422.68401600000004</v>
      </c>
      <c r="I87" s="32" t="s">
        <v>102</v>
      </c>
      <c r="J87" s="31">
        <f t="shared" si="88"/>
        <v>0</v>
      </c>
      <c r="K87" s="32">
        <f>H87*(1+$D$5)</f>
        <v>451.2997238832001</v>
      </c>
      <c r="L87" s="32" t="s">
        <v>102</v>
      </c>
      <c r="M87" s="32">
        <f t="shared" si="89"/>
        <v>0</v>
      </c>
      <c r="N87" s="33">
        <f>K87*(1+$E$5)</f>
        <v>477.24945800648413</v>
      </c>
      <c r="O87" s="33" t="s">
        <v>102</v>
      </c>
      <c r="P87" s="33">
        <f t="shared" si="91"/>
        <v>0</v>
      </c>
      <c r="Q87" s="33">
        <f>N87*(1+$F$5)</f>
        <v>496.76896083894928</v>
      </c>
      <c r="R87" s="33" t="s">
        <v>102</v>
      </c>
      <c r="S87" s="33">
        <f t="shared" si="90"/>
        <v>0</v>
      </c>
    </row>
    <row r="88" spans="1:19" x14ac:dyDescent="0.25">
      <c r="A88" s="17" t="s">
        <v>92</v>
      </c>
      <c r="B88" s="30"/>
      <c r="C88" s="30"/>
      <c r="D88" s="30"/>
      <c r="E88" s="24"/>
      <c r="F88" s="24"/>
      <c r="G88" s="24"/>
      <c r="H88" s="24"/>
      <c r="I88" s="24"/>
      <c r="J88" s="24"/>
      <c r="K88" s="32">
        <v>543.25</v>
      </c>
      <c r="L88" s="31" t="s">
        <v>102</v>
      </c>
      <c r="M88" s="32">
        <v>0</v>
      </c>
      <c r="N88" s="33">
        <f>K88*(1+$E$5)</f>
        <v>574.48687500000005</v>
      </c>
      <c r="O88" s="34" t="s">
        <v>102</v>
      </c>
      <c r="P88" s="33">
        <f t="shared" si="91"/>
        <v>0</v>
      </c>
      <c r="Q88" s="33">
        <f>N88*(1+$F$5)</f>
        <v>597.98338818750005</v>
      </c>
      <c r="R88" s="34" t="s">
        <v>102</v>
      </c>
      <c r="S88" s="33">
        <f t="shared" si="90"/>
        <v>0</v>
      </c>
    </row>
    <row r="90" spans="1:19" x14ac:dyDescent="0.25">
      <c r="A90" t="s">
        <v>105</v>
      </c>
    </row>
    <row r="163" spans="9:15" x14ac:dyDescent="0.25">
      <c r="M163" s="290"/>
      <c r="O163" s="244"/>
    </row>
    <row r="164" spans="9:15" x14ac:dyDescent="0.25">
      <c r="O164" s="244"/>
    </row>
    <row r="165" spans="9:15" x14ac:dyDescent="0.25">
      <c r="J165" t="s">
        <v>226</v>
      </c>
      <c r="K165" t="s">
        <v>473</v>
      </c>
      <c r="L165" t="s">
        <v>224</v>
      </c>
      <c r="M165" s="290"/>
      <c r="O165" s="244"/>
    </row>
    <row r="166" spans="9:15" x14ac:dyDescent="0.25">
      <c r="I166" t="s">
        <v>474</v>
      </c>
      <c r="J166">
        <v>5500</v>
      </c>
      <c r="K166" s="446">
        <v>0.95</v>
      </c>
      <c r="L166">
        <f>+J166*K166</f>
        <v>5225</v>
      </c>
      <c r="M166" t="s">
        <v>107</v>
      </c>
    </row>
    <row r="167" spans="9:15" x14ac:dyDescent="0.25">
      <c r="I167" t="s">
        <v>262</v>
      </c>
    </row>
  </sheetData>
  <mergeCells count="148">
    <mergeCell ref="BJ25:BN25"/>
    <mergeCell ref="BJ26:BK26"/>
    <mergeCell ref="BL26:BM26"/>
    <mergeCell ref="BN26:BN27"/>
    <mergeCell ref="BJ36:BN36"/>
    <mergeCell ref="BJ37:BK37"/>
    <mergeCell ref="BL37:BM37"/>
    <mergeCell ref="BN37:BN38"/>
    <mergeCell ref="AZ36:BD36"/>
    <mergeCell ref="AZ37:BA37"/>
    <mergeCell ref="BB37:BC37"/>
    <mergeCell ref="BD37:BD38"/>
    <mergeCell ref="BE36:BI36"/>
    <mergeCell ref="BE37:BF37"/>
    <mergeCell ref="BG37:BH37"/>
    <mergeCell ref="BI37:BI38"/>
    <mergeCell ref="BE25:BI25"/>
    <mergeCell ref="BE26:BF26"/>
    <mergeCell ref="BG26:BH26"/>
    <mergeCell ref="BI26:BI27"/>
    <mergeCell ref="AZ25:BD25"/>
    <mergeCell ref="AZ26:BA26"/>
    <mergeCell ref="BB26:BC26"/>
    <mergeCell ref="BD26:BD27"/>
    <mergeCell ref="AO26:AO27"/>
    <mergeCell ref="AF47:AH47"/>
    <mergeCell ref="AU25:AY25"/>
    <mergeCell ref="AU26:AV26"/>
    <mergeCell ref="AW26:AX26"/>
    <mergeCell ref="AY26:AY27"/>
    <mergeCell ref="AU36:AY36"/>
    <mergeCell ref="AU37:AV37"/>
    <mergeCell ref="AW37:AX37"/>
    <mergeCell ref="AY37:AY38"/>
    <mergeCell ref="AI47:AK47"/>
    <mergeCell ref="AL11:AN11"/>
    <mergeCell ref="T11:V11"/>
    <mergeCell ref="V36:Z36"/>
    <mergeCell ref="AC11:AE11"/>
    <mergeCell ref="AF11:AH11"/>
    <mergeCell ref="AC47:AE47"/>
    <mergeCell ref="AP37:AQ37"/>
    <mergeCell ref="AR37:AS37"/>
    <mergeCell ref="AT37:AT38"/>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25:A27"/>
    <mergeCell ref="B25:F25"/>
    <mergeCell ref="G25:K25"/>
    <mergeCell ref="L25:P25"/>
    <mergeCell ref="Q25:U25"/>
    <mergeCell ref="V25:Z25"/>
    <mergeCell ref="P26:P27"/>
    <mergeCell ref="Q26:R26"/>
    <mergeCell ref="S26:T26"/>
    <mergeCell ref="U26:U27"/>
    <mergeCell ref="V26:W26"/>
    <mergeCell ref="X26:Y26"/>
    <mergeCell ref="Z26:Z27"/>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A78:A79"/>
    <mergeCell ref="B78:D78"/>
    <mergeCell ref="E78:G78"/>
    <mergeCell ref="H78:J78"/>
    <mergeCell ref="K78:M78"/>
    <mergeCell ref="N78:P78"/>
    <mergeCell ref="Q78:S78"/>
    <mergeCell ref="A61:A62"/>
    <mergeCell ref="B61:D61"/>
    <mergeCell ref="E61:G61"/>
    <mergeCell ref="H61:J61"/>
    <mergeCell ref="K61:M61"/>
    <mergeCell ref="N61:P61"/>
    <mergeCell ref="Q61:S61"/>
    <mergeCell ref="AR11:AT11"/>
    <mergeCell ref="AL47:AN47"/>
    <mergeCell ref="AI11:AK11"/>
    <mergeCell ref="Q37:R37"/>
    <mergeCell ref="S37:T37"/>
    <mergeCell ref="U37:U38"/>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s>
  <pageMargins left="0.7" right="0.7" top="0.75" bottom="0.75" header="0.3" footer="0.3"/>
  <pageSetup orientation="portrait" r:id="rId1"/>
  <ignoredErrors>
    <ignoredError sqref="Z49 Z51 Z53 Z55"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0000"/>
  </sheetPr>
  <dimension ref="A1:K41"/>
  <sheetViews>
    <sheetView showGridLines="0" zoomScale="115" zoomScaleNormal="115" workbookViewId="0">
      <selection activeCell="C12" sqref="C12"/>
    </sheetView>
  </sheetViews>
  <sheetFormatPr baseColWidth="10" defaultColWidth="54.140625" defaultRowHeight="15" x14ac:dyDescent="0.25"/>
  <cols>
    <col min="1" max="1" width="50.85546875" customWidth="1"/>
    <col min="2" max="2" width="14.85546875" customWidth="1"/>
    <col min="3" max="3" width="13.85546875" customWidth="1"/>
    <col min="4" max="5" width="17.5703125" customWidth="1"/>
    <col min="6" max="6" width="11.85546875" customWidth="1"/>
    <col min="7" max="7" width="10.140625" customWidth="1"/>
    <col min="8" max="8" width="10.42578125" customWidth="1"/>
    <col min="9" max="9" width="19.140625" customWidth="1"/>
    <col min="10" max="10" width="10.140625" customWidth="1"/>
  </cols>
  <sheetData>
    <row r="1" spans="1:11" ht="33.950000000000003" customHeight="1" x14ac:dyDescent="0.25">
      <c r="A1" s="895" t="s">
        <v>381</v>
      </c>
      <c r="B1" s="896"/>
      <c r="C1" s="896"/>
      <c r="D1" s="42"/>
      <c r="E1" s="42"/>
    </row>
    <row r="2" spans="1:11" ht="18" x14ac:dyDescent="0.25">
      <c r="A2" s="897" t="s">
        <v>122</v>
      </c>
      <c r="B2" s="898"/>
      <c r="C2" s="898"/>
      <c r="D2" s="448" t="s">
        <v>477</v>
      </c>
      <c r="E2" s="42"/>
    </row>
    <row r="3" spans="1:11" ht="45" x14ac:dyDescent="0.25">
      <c r="A3" s="899" t="s">
        <v>123</v>
      </c>
      <c r="B3" s="902" t="s">
        <v>138</v>
      </c>
      <c r="C3" s="902" t="s">
        <v>139</v>
      </c>
      <c r="D3" s="43" t="s">
        <v>140</v>
      </c>
      <c r="E3" s="43" t="s">
        <v>140</v>
      </c>
      <c r="G3" s="301"/>
    </row>
    <row r="4" spans="1:11" x14ac:dyDescent="0.25">
      <c r="A4" s="900"/>
      <c r="B4" s="903"/>
      <c r="C4" s="904"/>
      <c r="D4" s="415">
        <v>0.1</v>
      </c>
      <c r="E4" s="416">
        <v>0.1</v>
      </c>
    </row>
    <row r="5" spans="1:11" ht="15.75" thickBot="1" x14ac:dyDescent="0.3">
      <c r="A5" s="901"/>
      <c r="B5" s="44"/>
      <c r="C5" s="38"/>
      <c r="D5" s="408"/>
      <c r="E5" s="409"/>
    </row>
    <row r="6" spans="1:11" ht="27.75" customHeight="1" thickTop="1" x14ac:dyDescent="0.25">
      <c r="A6" s="404" t="s">
        <v>125</v>
      </c>
      <c r="B6" s="417">
        <f>+'Calculo IP ZDF'!E24</f>
        <v>15994</v>
      </c>
      <c r="C6" s="417">
        <f>+'Calculo IP ZDF'!B24</f>
        <v>10456.1</v>
      </c>
      <c r="D6" s="329"/>
      <c r="E6" s="410"/>
      <c r="G6" s="242" t="s">
        <v>419</v>
      </c>
      <c r="H6" s="244"/>
      <c r="I6" s="304" t="s">
        <v>437</v>
      </c>
      <c r="J6" s="312">
        <v>0.06</v>
      </c>
    </row>
    <row r="7" spans="1:11" ht="28.5" x14ac:dyDescent="0.25">
      <c r="A7" s="405" t="s">
        <v>141</v>
      </c>
      <c r="B7" s="46"/>
      <c r="C7" s="47"/>
      <c r="D7" s="402">
        <f>+$C$6*0.9</f>
        <v>9410.49</v>
      </c>
      <c r="E7" s="402">
        <f>+$C$6*0.9</f>
        <v>9410.49</v>
      </c>
      <c r="G7" s="302">
        <f>C6*0.96</f>
        <v>10037.856</v>
      </c>
      <c r="H7" s="274" t="e">
        <f>+#REF!-G7</f>
        <v>#REF!</v>
      </c>
      <c r="I7" s="305">
        <f>+C6*(1-J6)</f>
        <v>9828.7340000000004</v>
      </c>
      <c r="J7" s="306">
        <f>+I7-D7</f>
        <v>418.2440000000006</v>
      </c>
      <c r="K7">
        <f>5023.9*0.94</f>
        <v>4722.4659999999994</v>
      </c>
    </row>
    <row r="8" spans="1:11" ht="36" customHeight="1" x14ac:dyDescent="0.25">
      <c r="A8" s="405" t="s">
        <v>142</v>
      </c>
      <c r="B8" s="46"/>
      <c r="C8" s="47"/>
      <c r="D8" s="402">
        <f>+$B$6*10%</f>
        <v>1599.4</v>
      </c>
      <c r="E8" s="402">
        <f>+$B$6*10%</f>
        <v>1599.4</v>
      </c>
      <c r="F8">
        <f>+B6*0.07</f>
        <v>1119.5800000000002</v>
      </c>
      <c r="G8" s="302">
        <f>+B6*4%</f>
        <v>639.76</v>
      </c>
      <c r="H8" s="274" t="e">
        <f>+#REF!-G8</f>
        <v>#REF!</v>
      </c>
      <c r="I8" s="305">
        <f>+B6*J6</f>
        <v>959.64</v>
      </c>
      <c r="J8" s="306">
        <f>+I8-D8</f>
        <v>-639.7600000000001</v>
      </c>
      <c r="K8">
        <f>10101.25*0.06</f>
        <v>606.07499999999993</v>
      </c>
    </row>
    <row r="9" spans="1:11" ht="28.5" x14ac:dyDescent="0.25">
      <c r="A9" s="405" t="s">
        <v>143</v>
      </c>
      <c r="B9" s="46"/>
      <c r="C9" s="47"/>
      <c r="D9" s="420">
        <f>+D7+D8</f>
        <v>11009.89</v>
      </c>
      <c r="E9" s="420">
        <f t="shared" ref="E9" si="0">+E7+E8</f>
        <v>11009.89</v>
      </c>
      <c r="G9" s="303">
        <f>+G7+G8</f>
        <v>10677.616</v>
      </c>
      <c r="H9" s="274" t="e">
        <f>+#REF!-G9</f>
        <v>#REF!</v>
      </c>
      <c r="I9" s="309">
        <f>+I7+I8</f>
        <v>10788.374</v>
      </c>
      <c r="J9" s="310">
        <f>+I9-D9</f>
        <v>-221.51599999999962</v>
      </c>
      <c r="K9">
        <f>+K7+K8</f>
        <v>5328.5409999999993</v>
      </c>
    </row>
    <row r="10" spans="1:11" ht="19.350000000000001" customHeight="1" x14ac:dyDescent="0.25">
      <c r="A10" s="406" t="s">
        <v>128</v>
      </c>
      <c r="B10" s="46"/>
      <c r="C10" s="847">
        <v>762.39</v>
      </c>
      <c r="D10" s="402">
        <f>+C10*0.9</f>
        <v>686.15099999999995</v>
      </c>
      <c r="E10" s="402">
        <f>+C10*0.9</f>
        <v>686.15099999999995</v>
      </c>
      <c r="F10" s="37"/>
      <c r="G10" s="308">
        <f>+C10*0.96</f>
        <v>731.89439999999991</v>
      </c>
      <c r="H10" s="274" t="e">
        <f>+G10-#REF!</f>
        <v>#REF!</v>
      </c>
      <c r="I10" s="311">
        <f>+C10*(1-J6)</f>
        <v>716.64659999999992</v>
      </c>
      <c r="J10" s="310">
        <f>+D10-I10</f>
        <v>-30.495599999999968</v>
      </c>
    </row>
    <row r="11" spans="1:11" ht="19.350000000000001" customHeight="1" x14ac:dyDescent="0.25">
      <c r="A11" s="405" t="s">
        <v>129</v>
      </c>
      <c r="B11" s="46"/>
      <c r="C11" s="399" t="s">
        <v>130</v>
      </c>
      <c r="D11" s="40"/>
      <c r="E11" s="411"/>
      <c r="F11" s="37"/>
      <c r="G11" s="244"/>
      <c r="H11" s="244"/>
      <c r="I11" s="311"/>
      <c r="J11" s="311"/>
    </row>
    <row r="12" spans="1:11" ht="19.350000000000001" customHeight="1" x14ac:dyDescent="0.25">
      <c r="A12" s="407" t="s">
        <v>131</v>
      </c>
      <c r="B12" s="46"/>
      <c r="C12" s="588">
        <v>197.93</v>
      </c>
      <c r="D12" s="402">
        <f>+C12*0.9</f>
        <v>178.137</v>
      </c>
      <c r="E12" s="402" t="e">
        <f>+#REF!*0.9</f>
        <v>#REF!</v>
      </c>
      <c r="F12" s="37"/>
      <c r="G12" s="244">
        <f>+C12*0.96</f>
        <v>190.0128</v>
      </c>
      <c r="H12" s="274" t="e">
        <f>+#REF!-G12</f>
        <v>#REF!</v>
      </c>
      <c r="I12" s="311">
        <f>+C12*(1-J6)</f>
        <v>186.05420000000001</v>
      </c>
      <c r="J12" s="310">
        <f>+D12-I12</f>
        <v>-7.9172000000000082</v>
      </c>
    </row>
    <row r="13" spans="1:11" ht="19.350000000000001" customHeight="1" x14ac:dyDescent="0.25">
      <c r="A13" s="405" t="s">
        <v>126</v>
      </c>
      <c r="B13" s="46"/>
      <c r="C13" s="403"/>
      <c r="D13" s="40"/>
      <c r="E13" s="411"/>
      <c r="F13" s="37"/>
    </row>
    <row r="14" spans="1:11" ht="30" hidden="1" x14ac:dyDescent="0.25">
      <c r="A14" s="45" t="s">
        <v>144</v>
      </c>
      <c r="B14" s="46"/>
      <c r="C14" s="47"/>
      <c r="D14" s="60"/>
      <c r="E14" s="412"/>
      <c r="F14" s="307" t="e">
        <f>+#REF!/C12</f>
        <v>#REF!</v>
      </c>
    </row>
    <row r="15" spans="1:11" ht="30" hidden="1" x14ac:dyDescent="0.25">
      <c r="A15" s="45" t="s">
        <v>145</v>
      </c>
      <c r="B15" s="46"/>
      <c r="C15" s="401"/>
      <c r="D15" s="60"/>
      <c r="E15" s="412"/>
      <c r="F15" s="37"/>
    </row>
    <row r="16" spans="1:11" hidden="1" x14ac:dyDescent="0.25">
      <c r="A16" s="45" t="s">
        <v>229</v>
      </c>
      <c r="B16" s="46"/>
      <c r="C16" s="47"/>
      <c r="D16" s="60"/>
      <c r="E16" s="412"/>
      <c r="F16" s="270"/>
    </row>
    <row r="17" spans="1:6" hidden="1" x14ac:dyDescent="0.25">
      <c r="A17" s="45" t="s">
        <v>146</v>
      </c>
      <c r="B17" s="46"/>
      <c r="C17" s="47" t="s">
        <v>133</v>
      </c>
      <c r="D17" s="60"/>
      <c r="E17" s="412"/>
      <c r="F17" s="37"/>
    </row>
    <row r="18" spans="1:6" hidden="1" x14ac:dyDescent="0.25">
      <c r="A18" s="45" t="s">
        <v>134</v>
      </c>
      <c r="B18" s="46"/>
      <c r="C18" s="47"/>
      <c r="D18" s="60"/>
      <c r="E18" s="412"/>
      <c r="F18" s="37"/>
    </row>
    <row r="19" spans="1:6" hidden="1" x14ac:dyDescent="0.25">
      <c r="A19" s="45" t="s">
        <v>147</v>
      </c>
      <c r="B19" s="46"/>
      <c r="C19" s="47" t="s">
        <v>148</v>
      </c>
      <c r="D19" s="60"/>
      <c r="E19" s="412"/>
      <c r="F19" s="37"/>
    </row>
    <row r="20" spans="1:6" ht="30" hidden="1" x14ac:dyDescent="0.25">
      <c r="A20" s="45" t="s">
        <v>149</v>
      </c>
      <c r="B20" s="46"/>
      <c r="C20" s="47" t="s">
        <v>148</v>
      </c>
      <c r="D20" s="60"/>
      <c r="E20" s="412"/>
      <c r="F20" s="37"/>
    </row>
    <row r="21" spans="1:6" hidden="1" x14ac:dyDescent="0.25">
      <c r="A21" s="45" t="s">
        <v>150</v>
      </c>
      <c r="B21" s="46"/>
      <c r="C21" s="39" t="s">
        <v>148</v>
      </c>
      <c r="D21" s="60"/>
      <c r="E21" s="412"/>
      <c r="F21" s="37"/>
    </row>
    <row r="22" spans="1:6" hidden="1" x14ac:dyDescent="0.25">
      <c r="A22" s="45" t="s">
        <v>151</v>
      </c>
      <c r="B22" s="46"/>
      <c r="C22" s="47" t="s">
        <v>148</v>
      </c>
      <c r="D22" s="60" t="s">
        <v>152</v>
      </c>
      <c r="E22" s="412"/>
      <c r="F22" s="37"/>
    </row>
    <row r="23" spans="1:6" ht="30" hidden="1" x14ac:dyDescent="0.25">
      <c r="A23" s="45" t="s">
        <v>136</v>
      </c>
      <c r="B23" s="46"/>
      <c r="C23" s="47" t="s">
        <v>148</v>
      </c>
      <c r="D23" s="48" t="s">
        <v>135</v>
      </c>
      <c r="E23" s="413"/>
      <c r="F23" s="37"/>
    </row>
    <row r="24" spans="1:6" ht="30.75" hidden="1" thickBot="1" x14ac:dyDescent="0.3">
      <c r="A24" s="49" t="s">
        <v>153</v>
      </c>
      <c r="B24" s="50"/>
      <c r="C24" s="51" t="s">
        <v>148</v>
      </c>
      <c r="D24" s="52" t="s">
        <v>133</v>
      </c>
      <c r="E24" s="414"/>
      <c r="F24" s="37"/>
    </row>
    <row r="25" spans="1:6" x14ac:dyDescent="0.25">
      <c r="A25" s="53"/>
      <c r="B25" s="53"/>
      <c r="C25" s="54"/>
      <c r="D25" s="53"/>
      <c r="E25" s="53"/>
    </row>
    <row r="26" spans="1:6" x14ac:dyDescent="0.25">
      <c r="A26" s="894"/>
      <c r="B26" s="894"/>
      <c r="C26" s="894"/>
      <c r="D26" s="55"/>
      <c r="E26" s="55"/>
    </row>
    <row r="27" spans="1:6" x14ac:dyDescent="0.25">
      <c r="A27" s="56"/>
      <c r="B27" s="56"/>
      <c r="C27" s="56"/>
      <c r="D27" s="55"/>
      <c r="E27" s="55"/>
    </row>
    <row r="28" spans="1:6" x14ac:dyDescent="0.25">
      <c r="A28" s="894"/>
      <c r="B28" s="894"/>
      <c r="C28" s="894"/>
      <c r="D28" s="55"/>
      <c r="E28" s="55"/>
    </row>
    <row r="29" spans="1:6" x14ac:dyDescent="0.25">
      <c r="A29" s="57"/>
      <c r="B29" s="57"/>
      <c r="C29" s="58"/>
      <c r="D29" s="55"/>
      <c r="E29" s="55"/>
    </row>
    <row r="30" spans="1:6" x14ac:dyDescent="0.25">
      <c r="A30" s="894"/>
      <c r="B30" s="894"/>
      <c r="C30" s="894"/>
      <c r="D30" s="55"/>
      <c r="E30" s="55"/>
    </row>
    <row r="31" spans="1:6" x14ac:dyDescent="0.25">
      <c r="A31" s="57"/>
      <c r="B31" s="57"/>
      <c r="C31" s="58"/>
      <c r="D31" s="55"/>
      <c r="E31" s="55"/>
    </row>
    <row r="32" spans="1:6" x14ac:dyDescent="0.25">
      <c r="A32" s="892"/>
      <c r="B32" s="892"/>
      <c r="C32" s="892"/>
      <c r="D32" s="59"/>
      <c r="E32" s="59"/>
    </row>
    <row r="33" spans="1:5" x14ac:dyDescent="0.25">
      <c r="A33" s="57"/>
      <c r="B33" s="57"/>
      <c r="C33" s="58"/>
      <c r="D33" s="55"/>
      <c r="E33" s="55"/>
    </row>
    <row r="34" spans="1:5" x14ac:dyDescent="0.25">
      <c r="A34" s="894"/>
      <c r="B34" s="894"/>
      <c r="C34" s="894"/>
      <c r="D34" s="55"/>
      <c r="E34" s="55"/>
    </row>
    <row r="35" spans="1:5" x14ac:dyDescent="0.25">
      <c r="A35" s="56"/>
      <c r="B35" s="56"/>
      <c r="C35" s="56"/>
      <c r="D35" s="55"/>
      <c r="E35" s="55"/>
    </row>
    <row r="36" spans="1:5" x14ac:dyDescent="0.25">
      <c r="A36" s="892"/>
      <c r="B36" s="892"/>
      <c r="C36" s="892"/>
      <c r="D36" s="892"/>
      <c r="E36" s="41"/>
    </row>
    <row r="37" spans="1:5" x14ac:dyDescent="0.25">
      <c r="A37" s="892"/>
      <c r="B37" s="892"/>
      <c r="C37" s="892"/>
      <c r="D37" s="41"/>
      <c r="E37" s="41"/>
    </row>
    <row r="38" spans="1:5" x14ac:dyDescent="0.25">
      <c r="A38" s="892"/>
      <c r="B38" s="892"/>
      <c r="C38" s="892"/>
      <c r="D38" s="41"/>
      <c r="E38" s="41"/>
    </row>
    <row r="39" spans="1:5" x14ac:dyDescent="0.25">
      <c r="A39" s="892"/>
      <c r="B39" s="892"/>
      <c r="C39" s="892"/>
      <c r="D39" s="53"/>
      <c r="E39" s="53"/>
    </row>
    <row r="40" spans="1:5" x14ac:dyDescent="0.25">
      <c r="A40" s="36"/>
      <c r="B40" s="36"/>
      <c r="C40" s="36"/>
      <c r="D40" s="53"/>
      <c r="E40" s="53"/>
    </row>
    <row r="41" spans="1:5" x14ac:dyDescent="0.25">
      <c r="A41" s="893"/>
      <c r="B41" s="893"/>
      <c r="C41" s="893"/>
      <c r="D41" s="53"/>
      <c r="E41" s="53"/>
    </row>
  </sheetData>
  <mergeCells count="15">
    <mergeCell ref="A26:C26"/>
    <mergeCell ref="A1:C1"/>
    <mergeCell ref="A2:C2"/>
    <mergeCell ref="A3:A5"/>
    <mergeCell ref="B3:B4"/>
    <mergeCell ref="C3:C4"/>
    <mergeCell ref="A38:C38"/>
    <mergeCell ref="A39:C39"/>
    <mergeCell ref="A41:C41"/>
    <mergeCell ref="A28:C28"/>
    <mergeCell ref="A30:C30"/>
    <mergeCell ref="A32:C32"/>
    <mergeCell ref="A34:C34"/>
    <mergeCell ref="A36:D36"/>
    <mergeCell ref="A37:C37"/>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0000"/>
  </sheetPr>
  <dimension ref="A1:O24"/>
  <sheetViews>
    <sheetView zoomScale="85" zoomScaleNormal="85" workbookViewId="0">
      <selection activeCell="D12" sqref="D12"/>
    </sheetView>
  </sheetViews>
  <sheetFormatPr baseColWidth="10" defaultColWidth="11.140625" defaultRowHeight="12.75" x14ac:dyDescent="0.2"/>
  <cols>
    <col min="1" max="1" width="48.140625" style="61" customWidth="1"/>
    <col min="2" max="2" width="21" style="61" customWidth="1"/>
    <col min="3" max="6" width="14.5703125" style="61" customWidth="1"/>
    <col min="7" max="7" width="11.140625" style="61"/>
    <col min="8" max="8" width="12.85546875" style="61" customWidth="1"/>
    <col min="9" max="9" width="11.140625" style="61"/>
    <col min="10" max="10" width="5.85546875" style="61" customWidth="1"/>
    <col min="11" max="11" width="10.85546875" style="61" customWidth="1"/>
    <col min="12" max="12" width="11.140625" style="61" customWidth="1"/>
    <col min="13" max="13" width="7.140625" style="61" customWidth="1"/>
    <col min="14" max="14" width="14.42578125" style="61" customWidth="1"/>
    <col min="15" max="16384" width="11.140625" style="61"/>
  </cols>
  <sheetData>
    <row r="1" spans="1:15" ht="34.5" customHeight="1" thickTop="1" x14ac:dyDescent="0.2">
      <c r="A1" s="905" t="s">
        <v>433</v>
      </c>
      <c r="B1" s="906"/>
      <c r="C1" s="906"/>
      <c r="D1" s="906"/>
      <c r="E1" s="906"/>
      <c r="F1" s="906"/>
    </row>
    <row r="2" spans="1:15" x14ac:dyDescent="0.2">
      <c r="A2" s="907" t="s">
        <v>122</v>
      </c>
      <c r="B2" s="908"/>
      <c r="C2" s="908"/>
      <c r="D2" s="908"/>
      <c r="E2" s="908"/>
      <c r="F2" s="908"/>
    </row>
    <row r="3" spans="1:15" ht="39.6" customHeight="1" x14ac:dyDescent="0.2">
      <c r="A3" s="909" t="s">
        <v>123</v>
      </c>
      <c r="B3" s="62" t="s">
        <v>154</v>
      </c>
      <c r="C3" s="912" t="s">
        <v>475</v>
      </c>
      <c r="D3" s="912" t="s">
        <v>476</v>
      </c>
      <c r="E3" s="63" t="s">
        <v>367</v>
      </c>
      <c r="F3" s="63" t="s">
        <v>372</v>
      </c>
      <c r="H3" s="61">
        <f>+B6*0.1</f>
        <v>2075.893</v>
      </c>
    </row>
    <row r="4" spans="1:15" ht="19.7" customHeight="1" x14ac:dyDescent="0.2">
      <c r="A4" s="910"/>
      <c r="B4" s="64">
        <v>1</v>
      </c>
      <c r="C4" s="913"/>
      <c r="D4" s="913"/>
      <c r="E4" s="65">
        <v>0.02</v>
      </c>
      <c r="F4" s="65">
        <v>0.1</v>
      </c>
    </row>
    <row r="5" spans="1:15" ht="13.5" thickBot="1" x14ac:dyDescent="0.25">
      <c r="A5" s="911"/>
      <c r="B5" s="66" t="s">
        <v>487</v>
      </c>
      <c r="C5" s="66" t="str">
        <f>+B5</f>
        <v>Ecopetrol</v>
      </c>
      <c r="D5" s="66" t="str">
        <f>+C5</f>
        <v>Ecopetrol</v>
      </c>
      <c r="E5" s="67" t="str">
        <f>+B5</f>
        <v>Ecopetrol</v>
      </c>
      <c r="F5" s="67" t="str">
        <f>+B5</f>
        <v>Ecopetrol</v>
      </c>
    </row>
    <row r="6" spans="1:15" ht="18.95" customHeight="1" thickTop="1" x14ac:dyDescent="0.2">
      <c r="A6" s="68" t="s">
        <v>125</v>
      </c>
      <c r="B6" s="418">
        <f>+'Calculo IP ZDF'!D24</f>
        <v>20758.93</v>
      </c>
      <c r="C6" s="419">
        <f>+'Calculo IP ZDF'!C24</f>
        <v>5452.64</v>
      </c>
      <c r="D6" s="419">
        <f>+C6</f>
        <v>5452.64</v>
      </c>
      <c r="E6" s="330"/>
      <c r="F6" s="330"/>
      <c r="H6" s="245" t="s">
        <v>429</v>
      </c>
      <c r="I6" s="313">
        <v>0.1</v>
      </c>
      <c r="K6" s="316" t="s">
        <v>437</v>
      </c>
      <c r="L6" s="317">
        <v>0.05</v>
      </c>
      <c r="N6" s="316" t="s">
        <v>430</v>
      </c>
      <c r="O6" s="317">
        <v>0.12</v>
      </c>
    </row>
    <row r="7" spans="1:15" ht="23.1" customHeight="1" x14ac:dyDescent="0.2">
      <c r="A7" s="69" t="s">
        <v>156</v>
      </c>
      <c r="B7" s="331"/>
      <c r="C7" s="332"/>
      <c r="D7" s="332"/>
      <c r="E7" s="397">
        <f>+ROUND(D6*0.98,2)</f>
        <v>5343.59</v>
      </c>
      <c r="F7" s="397">
        <f>+C6*0.9</f>
        <v>4907.3760000000002</v>
      </c>
      <c r="G7" s="252"/>
      <c r="H7" s="314">
        <f>+D6*(1-I6)</f>
        <v>4907.3760000000002</v>
      </c>
      <c r="I7" s="315">
        <f>+H7-F7</f>
        <v>0</v>
      </c>
      <c r="K7" s="318">
        <f>+C6*(1-L6)</f>
        <v>5180.0079999999998</v>
      </c>
      <c r="L7" s="319" t="e">
        <f>+K7-#REF!</f>
        <v>#REF!</v>
      </c>
      <c r="N7" s="318">
        <f>+C6*(1-O6)</f>
        <v>4798.3232000000007</v>
      </c>
      <c r="O7" s="319" t="e">
        <f>+N7-#REF!</f>
        <v>#REF!</v>
      </c>
    </row>
    <row r="8" spans="1:15" ht="23.1" customHeight="1" x14ac:dyDescent="0.2">
      <c r="A8" s="69" t="s">
        <v>157</v>
      </c>
      <c r="B8" s="332"/>
      <c r="C8" s="332"/>
      <c r="D8" s="332"/>
      <c r="E8" s="397">
        <f>+B6*0.02</f>
        <v>415.17860000000002</v>
      </c>
      <c r="F8" s="397">
        <f>+B6*0.1</f>
        <v>2075.893</v>
      </c>
      <c r="G8" s="252"/>
      <c r="H8" s="315">
        <f>+B6*I6</f>
        <v>2075.893</v>
      </c>
      <c r="I8" s="315">
        <f>+H8-F8</f>
        <v>0</v>
      </c>
      <c r="K8" s="319">
        <f>+B6*L6</f>
        <v>1037.9465</v>
      </c>
      <c r="L8" s="319" t="e">
        <f>+K8-#REF!</f>
        <v>#REF!</v>
      </c>
      <c r="N8" s="319">
        <f>+B6*O6</f>
        <v>2491.0715999999998</v>
      </c>
      <c r="O8" s="319" t="e">
        <f>+N8-#REF!</f>
        <v>#REF!</v>
      </c>
    </row>
    <row r="9" spans="1:15" ht="23.1" customHeight="1" x14ac:dyDescent="0.2">
      <c r="A9" s="69" t="s">
        <v>158</v>
      </c>
      <c r="B9" s="332"/>
      <c r="C9" s="332"/>
      <c r="D9" s="332"/>
      <c r="E9" s="400">
        <f>+E7+E8</f>
        <v>5758.7686000000003</v>
      </c>
      <c r="F9" s="400">
        <f t="shared" ref="F9" si="0">+F7+F8</f>
        <v>6983.2690000000002</v>
      </c>
      <c r="G9" s="252"/>
      <c r="H9" s="315">
        <f>+H7+H8</f>
        <v>6983.2690000000002</v>
      </c>
      <c r="I9" s="315">
        <f>+H9-F9</f>
        <v>0</v>
      </c>
      <c r="K9" s="319">
        <f>+K7+K8</f>
        <v>6217.9544999999998</v>
      </c>
      <c r="L9" s="319" t="e">
        <f>+K9-#REF!</f>
        <v>#REF!</v>
      </c>
      <c r="N9" s="319">
        <f>+N7+N8</f>
        <v>7289.3948</v>
      </c>
      <c r="O9" s="319" t="e">
        <f>+N9-#REF!</f>
        <v>#REF!</v>
      </c>
    </row>
    <row r="10" spans="1:15" ht="23.1" customHeight="1" x14ac:dyDescent="0.2">
      <c r="A10" s="149" t="s">
        <v>128</v>
      </c>
      <c r="B10" s="332"/>
      <c r="C10" s="589">
        <v>729.71</v>
      </c>
      <c r="D10" s="589">
        <f>+C10</f>
        <v>729.71</v>
      </c>
      <c r="E10" s="607">
        <v>715.12</v>
      </c>
      <c r="F10" s="607">
        <v>656.74</v>
      </c>
      <c r="H10" s="245">
        <f>+C10*0.9</f>
        <v>656.73900000000003</v>
      </c>
      <c r="I10" s="315">
        <f>+H10-F10</f>
        <v>-9.9999999997635314E-4</v>
      </c>
      <c r="K10" s="246">
        <f>+C10*(1-L6)</f>
        <v>693.22450000000003</v>
      </c>
      <c r="L10" s="320" t="e">
        <f>+K10-#REF!</f>
        <v>#REF!</v>
      </c>
      <c r="N10" s="328">
        <f>+C10*(1-O6)</f>
        <v>642.14480000000003</v>
      </c>
      <c r="O10" s="246"/>
    </row>
    <row r="11" spans="1:15" ht="23.1" customHeight="1" x14ac:dyDescent="0.2">
      <c r="A11" s="69" t="s">
        <v>129</v>
      </c>
      <c r="B11" s="332"/>
      <c r="C11" s="395" t="s">
        <v>130</v>
      </c>
      <c r="D11" s="395" t="s">
        <v>130</v>
      </c>
      <c r="E11" s="397" t="s">
        <v>130</v>
      </c>
      <c r="F11" s="397" t="s">
        <v>130</v>
      </c>
      <c r="H11" s="245"/>
      <c r="I11" s="245"/>
      <c r="K11" s="246"/>
      <c r="L11" s="246"/>
      <c r="N11" s="246"/>
      <c r="O11" s="246"/>
    </row>
    <row r="12" spans="1:15" ht="23.1" customHeight="1" x14ac:dyDescent="0.2">
      <c r="A12" s="150" t="s">
        <v>131</v>
      </c>
      <c r="B12" s="332"/>
      <c r="C12" s="589">
        <v>223.69</v>
      </c>
      <c r="D12" s="589">
        <f>+C12</f>
        <v>223.69</v>
      </c>
      <c r="E12" s="397">
        <f>+C12*(1-E4)</f>
        <v>219.21619999999999</v>
      </c>
      <c r="F12" s="397">
        <f>+D12*(1-F4)</f>
        <v>201.321</v>
      </c>
      <c r="G12" s="61">
        <f>+D12*0.89</f>
        <v>199.08410000000001</v>
      </c>
      <c r="H12" s="245">
        <f>+C12*(1-I6)</f>
        <v>201.321</v>
      </c>
      <c r="I12" s="315">
        <f>+F12-H12</f>
        <v>0</v>
      </c>
      <c r="K12" s="246">
        <f>+C12*(1-L6)</f>
        <v>212.50549999999998</v>
      </c>
      <c r="L12" s="320" t="e">
        <f>+#REF!-K12</f>
        <v>#REF!</v>
      </c>
      <c r="N12" s="246">
        <f>+D12*(1-O6)</f>
        <v>196.84719999999999</v>
      </c>
      <c r="O12" s="320" t="e">
        <f>+#REF!-N12</f>
        <v>#REF!</v>
      </c>
    </row>
    <row r="13" spans="1:15" ht="23.1" customHeight="1" x14ac:dyDescent="0.2">
      <c r="A13" s="69" t="s">
        <v>159</v>
      </c>
      <c r="B13" s="395"/>
      <c r="C13" s="395" t="s">
        <v>127</v>
      </c>
      <c r="D13" s="395" t="s">
        <v>127</v>
      </c>
      <c r="E13" s="397" t="s">
        <v>127</v>
      </c>
      <c r="F13" s="397" t="s">
        <v>127</v>
      </c>
      <c r="H13" s="245"/>
      <c r="I13" s="245"/>
      <c r="K13" s="246"/>
      <c r="L13" s="246"/>
      <c r="N13" s="246"/>
      <c r="O13" s="246"/>
    </row>
    <row r="14" spans="1:15" ht="21.6" customHeight="1" x14ac:dyDescent="0.2">
      <c r="A14" s="69" t="s">
        <v>160</v>
      </c>
      <c r="B14" s="395" t="s">
        <v>148</v>
      </c>
      <c r="C14" s="395"/>
      <c r="D14" s="395"/>
      <c r="E14" s="397" t="s">
        <v>132</v>
      </c>
      <c r="F14" s="397" t="s">
        <v>132</v>
      </c>
      <c r="H14" s="245"/>
      <c r="I14" s="245"/>
      <c r="K14" s="246"/>
      <c r="L14" s="246"/>
      <c r="N14" s="246"/>
      <c r="O14" s="246"/>
    </row>
    <row r="15" spans="1:15" ht="21.6" hidden="1" customHeight="1" x14ac:dyDescent="0.2">
      <c r="A15" s="71" t="s">
        <v>229</v>
      </c>
      <c r="B15" s="395"/>
      <c r="C15" s="395"/>
      <c r="D15" s="395"/>
      <c r="E15" s="397"/>
      <c r="F15" s="397"/>
      <c r="H15" s="245"/>
      <c r="I15" s="245"/>
      <c r="K15" s="246"/>
      <c r="L15" s="246"/>
      <c r="N15" s="246"/>
      <c r="O15" s="246"/>
    </row>
    <row r="16" spans="1:15" ht="21.6" hidden="1" customHeight="1" x14ac:dyDescent="0.2">
      <c r="A16" s="69" t="s">
        <v>146</v>
      </c>
      <c r="B16" s="70"/>
      <c r="C16" s="70"/>
      <c r="D16" s="70"/>
      <c r="E16" s="397"/>
      <c r="F16" s="397"/>
    </row>
    <row r="17" spans="1:7" ht="21.6" hidden="1" customHeight="1" x14ac:dyDescent="0.2">
      <c r="A17" s="69" t="s">
        <v>147</v>
      </c>
      <c r="B17" s="72"/>
      <c r="C17" s="73"/>
      <c r="D17" s="73"/>
      <c r="E17" s="398" t="s">
        <v>148</v>
      </c>
      <c r="F17" s="399" t="s">
        <v>135</v>
      </c>
    </row>
    <row r="18" spans="1:7" ht="21.6" hidden="1" customHeight="1" x14ac:dyDescent="0.2">
      <c r="A18" s="69" t="s">
        <v>149</v>
      </c>
      <c r="B18" s="72"/>
      <c r="C18" s="72"/>
      <c r="D18" s="72"/>
      <c r="E18" s="398" t="s">
        <v>148</v>
      </c>
      <c r="F18" s="398" t="s">
        <v>133</v>
      </c>
    </row>
    <row r="19" spans="1:7" ht="21.6" hidden="1" customHeight="1" x14ac:dyDescent="0.2">
      <c r="A19" s="69" t="s">
        <v>150</v>
      </c>
      <c r="B19" s="72"/>
      <c r="C19" s="72"/>
      <c r="D19" s="72"/>
      <c r="E19" s="398" t="s">
        <v>148</v>
      </c>
      <c r="F19" s="397" t="s">
        <v>135</v>
      </c>
    </row>
    <row r="20" spans="1:7" ht="21.6" hidden="1" customHeight="1" x14ac:dyDescent="0.2">
      <c r="A20" s="69" t="s">
        <v>161</v>
      </c>
      <c r="B20" s="72"/>
      <c r="C20" s="72"/>
      <c r="D20" s="72"/>
      <c r="E20" s="398" t="s">
        <v>148</v>
      </c>
      <c r="F20" s="397" t="s">
        <v>135</v>
      </c>
    </row>
    <row r="21" spans="1:7" ht="21.6" customHeight="1" x14ac:dyDescent="0.2">
      <c r="A21" s="74" t="s">
        <v>134</v>
      </c>
      <c r="B21" s="70"/>
      <c r="C21" s="70"/>
      <c r="D21" s="70"/>
      <c r="E21" s="397"/>
      <c r="F21" s="397"/>
    </row>
    <row r="22" spans="1:7" ht="26.25" thickBot="1" x14ac:dyDescent="0.25">
      <c r="A22" s="75" t="s">
        <v>153</v>
      </c>
      <c r="B22" s="76"/>
      <c r="C22" s="76"/>
      <c r="D22" s="76"/>
      <c r="E22" s="396" t="s">
        <v>148</v>
      </c>
      <c r="F22" s="396"/>
    </row>
    <row r="23" spans="1:7" ht="13.5" thickTop="1" x14ac:dyDescent="0.2"/>
    <row r="24" spans="1:7" x14ac:dyDescent="0.2">
      <c r="E24" s="447"/>
      <c r="F24" s="447"/>
      <c r="G24" s="447"/>
    </row>
  </sheetData>
  <mergeCells count="5">
    <mergeCell ref="A1:F1"/>
    <mergeCell ref="A2:F2"/>
    <mergeCell ref="A3:A5"/>
    <mergeCell ref="C3:C4"/>
    <mergeCell ref="D3:D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K45"/>
  <sheetViews>
    <sheetView showGridLines="0" zoomScale="85" zoomScaleNormal="85" workbookViewId="0">
      <selection activeCell="B14" sqref="B14"/>
    </sheetView>
  </sheetViews>
  <sheetFormatPr baseColWidth="10" defaultRowHeight="15" x14ac:dyDescent="0.25"/>
  <cols>
    <col min="2" max="2" width="49.42578125" customWidth="1"/>
    <col min="3" max="3" width="16" customWidth="1"/>
    <col min="4" max="4" width="12.5703125" customWidth="1"/>
    <col min="5" max="7" width="14.140625" customWidth="1"/>
    <col min="8" max="8" width="17.85546875" customWidth="1"/>
    <col min="9" max="9" width="14.42578125" customWidth="1"/>
    <col min="10" max="10" width="15.5703125" customWidth="1"/>
  </cols>
  <sheetData>
    <row r="1" spans="1:11" x14ac:dyDescent="0.25">
      <c r="A1" s="77"/>
      <c r="B1" s="101" t="str">
        <f>+'Calculo IP ZDF'!A62</f>
        <v>Vigencia: 22 de Marzo de 2025; 00:00 horas</v>
      </c>
      <c r="C1" s="243" t="str">
        <f>+B1</f>
        <v>Vigencia: 22 de Marzo de 2025; 00:00 horas</v>
      </c>
      <c r="D1" s="243"/>
      <c r="E1" s="101"/>
      <c r="F1" s="77"/>
      <c r="G1" s="77"/>
      <c r="H1" s="77"/>
    </row>
    <row r="2" spans="1:11" ht="15.75" thickBot="1" x14ac:dyDescent="0.3">
      <c r="A2" s="77" t="s">
        <v>162</v>
      </c>
      <c r="B2" s="102"/>
      <c r="C2" s="102"/>
      <c r="D2" s="591"/>
      <c r="E2" s="289"/>
      <c r="F2" s="102"/>
      <c r="G2" s="289"/>
      <c r="H2" s="590"/>
    </row>
    <row r="3" spans="1:11" ht="15" customHeight="1" thickTop="1" x14ac:dyDescent="0.25">
      <c r="A3" s="103"/>
      <c r="B3" s="104" t="s">
        <v>202</v>
      </c>
      <c r="C3" s="918" t="s">
        <v>163</v>
      </c>
      <c r="D3" s="919"/>
      <c r="E3" s="919"/>
      <c r="F3" s="919"/>
      <c r="G3" s="920"/>
      <c r="H3" s="919" t="s">
        <v>675</v>
      </c>
      <c r="I3" s="919"/>
    </row>
    <row r="4" spans="1:11" ht="26.25" thickBot="1" x14ac:dyDescent="0.3">
      <c r="A4" s="105"/>
      <c r="B4" s="389" t="s">
        <v>460</v>
      </c>
      <c r="C4" s="921"/>
      <c r="D4" s="922"/>
      <c r="E4" s="922"/>
      <c r="F4" s="922"/>
      <c r="G4" s="923"/>
      <c r="H4" s="922"/>
      <c r="I4" s="922"/>
      <c r="K4" s="15"/>
    </row>
    <row r="5" spans="1:11" ht="26.25" thickTop="1" x14ac:dyDescent="0.25">
      <c r="A5" s="924" t="s">
        <v>164</v>
      </c>
      <c r="B5" s="926" t="s">
        <v>165</v>
      </c>
      <c r="C5" s="930" t="s">
        <v>222</v>
      </c>
      <c r="D5" s="596" t="s">
        <v>96</v>
      </c>
      <c r="E5" s="928" t="s">
        <v>455</v>
      </c>
      <c r="F5" s="596" t="s">
        <v>368</v>
      </c>
      <c r="G5" s="597" t="s">
        <v>496</v>
      </c>
      <c r="H5" s="595" t="s">
        <v>486</v>
      </c>
      <c r="I5" s="597" t="s">
        <v>496</v>
      </c>
    </row>
    <row r="6" spans="1:11" ht="25.5" x14ac:dyDescent="0.25">
      <c r="A6" s="924"/>
      <c r="B6" s="926"/>
      <c r="C6" s="931"/>
      <c r="D6" s="291" t="s">
        <v>244</v>
      </c>
      <c r="E6" s="929"/>
      <c r="F6" s="121">
        <v>0.02</v>
      </c>
      <c r="G6" s="107">
        <v>0.1</v>
      </c>
      <c r="H6" s="291" t="s">
        <v>244</v>
      </c>
      <c r="I6" s="107">
        <v>0.1</v>
      </c>
    </row>
    <row r="7" spans="1:11" ht="15.75" thickBot="1" x14ac:dyDescent="0.3">
      <c r="A7" s="925"/>
      <c r="B7" s="927"/>
      <c r="C7" s="604" t="s">
        <v>166</v>
      </c>
      <c r="D7" s="606" t="s">
        <v>166</v>
      </c>
      <c r="E7" s="606" t="s">
        <v>166</v>
      </c>
      <c r="F7" s="606" t="s">
        <v>166</v>
      </c>
      <c r="G7" s="605" t="s">
        <v>166</v>
      </c>
      <c r="H7" s="604" t="s">
        <v>166</v>
      </c>
      <c r="I7" s="605" t="s">
        <v>166</v>
      </c>
    </row>
    <row r="8" spans="1:11" ht="15.75" thickTop="1" x14ac:dyDescent="0.25">
      <c r="A8" s="80" t="s">
        <v>167</v>
      </c>
      <c r="B8" s="86" t="s">
        <v>168</v>
      </c>
      <c r="C8" s="600">
        <f>+'Calculo IP ZDF'!B28</f>
        <v>10456.1</v>
      </c>
      <c r="D8" s="601">
        <f>+'Calculo IP ZDF'!$H$28</f>
        <v>11009.89</v>
      </c>
      <c r="E8" s="602">
        <f>+'Calculo IP ZDF'!C28</f>
        <v>5268.8860320000003</v>
      </c>
      <c r="F8" s="602">
        <f>+'Calculo IP ZDF'!F28</f>
        <v>5578.69</v>
      </c>
      <c r="G8" s="603">
        <f>+'Calculo IP ZDF'!M28</f>
        <v>6817.8904288000003</v>
      </c>
      <c r="H8" s="600">
        <f>+'IMPUESTO AL CARBONO GMR'!D9</f>
        <v>11009.89</v>
      </c>
      <c r="I8" s="603">
        <f>+BIODIESEL!F9</f>
        <v>6983.2690000000002</v>
      </c>
    </row>
    <row r="9" spans="1:11" x14ac:dyDescent="0.25">
      <c r="A9" s="80" t="s">
        <v>169</v>
      </c>
      <c r="B9" s="86" t="s">
        <v>170</v>
      </c>
      <c r="C9" s="90" t="s">
        <v>171</v>
      </c>
      <c r="D9" s="109" t="s">
        <v>171</v>
      </c>
      <c r="E9" s="109" t="s">
        <v>171</v>
      </c>
      <c r="F9" s="109" t="s">
        <v>171</v>
      </c>
      <c r="G9" s="598" t="s">
        <v>171</v>
      </c>
      <c r="H9" s="90">
        <f>+'IMPUESTO AL CARBONO GMR'!D10</f>
        <v>686.15099999999995</v>
      </c>
      <c r="I9" s="598">
        <f>+BIODIESEL!F10</f>
        <v>656.74</v>
      </c>
    </row>
    <row r="10" spans="1:11" x14ac:dyDescent="0.25">
      <c r="A10" s="80"/>
      <c r="B10" s="86" t="s">
        <v>129</v>
      </c>
      <c r="C10" s="90" t="s">
        <v>171</v>
      </c>
      <c r="D10" s="109" t="s">
        <v>171</v>
      </c>
      <c r="E10" s="109" t="s">
        <v>171</v>
      </c>
      <c r="F10" s="109" t="s">
        <v>171</v>
      </c>
      <c r="G10" s="598" t="s">
        <v>171</v>
      </c>
      <c r="H10" s="90" t="s">
        <v>130</v>
      </c>
      <c r="I10" s="598" t="s">
        <v>130</v>
      </c>
    </row>
    <row r="11" spans="1:11" x14ac:dyDescent="0.25">
      <c r="A11" s="80"/>
      <c r="B11" s="86" t="s">
        <v>131</v>
      </c>
      <c r="C11" s="90" t="s">
        <v>201</v>
      </c>
      <c r="D11" s="109" t="s">
        <v>201</v>
      </c>
      <c r="E11" s="109" t="s">
        <v>201</v>
      </c>
      <c r="F11" s="109" t="s">
        <v>201</v>
      </c>
      <c r="G11" s="598" t="s">
        <v>201</v>
      </c>
      <c r="H11" s="90" t="s">
        <v>201</v>
      </c>
      <c r="I11" s="598" t="s">
        <v>201</v>
      </c>
    </row>
    <row r="12" spans="1:11" x14ac:dyDescent="0.25">
      <c r="A12" s="80" t="s">
        <v>172</v>
      </c>
      <c r="B12" s="86" t="s">
        <v>292</v>
      </c>
      <c r="C12" s="370" t="s">
        <v>200</v>
      </c>
      <c r="D12" s="369" t="s">
        <v>200</v>
      </c>
      <c r="E12" s="369" t="s">
        <v>200</v>
      </c>
      <c r="F12" s="110" t="s">
        <v>200</v>
      </c>
      <c r="G12" s="656" t="s">
        <v>200</v>
      </c>
      <c r="H12" s="370" t="s">
        <v>200</v>
      </c>
      <c r="I12" s="599" t="s">
        <v>200</v>
      </c>
    </row>
    <row r="13" spans="1:11" x14ac:dyDescent="0.25">
      <c r="A13" s="80" t="s">
        <v>174</v>
      </c>
      <c r="B13" s="86" t="s">
        <v>175</v>
      </c>
      <c r="C13" s="82">
        <f>+RUBROS!$AL$13</f>
        <v>30.560765344237307</v>
      </c>
      <c r="D13" s="108">
        <f>+RUBROS!$AL$13</f>
        <v>30.560765344237307</v>
      </c>
      <c r="E13" s="108">
        <f>+RUBROS!$AL$13</f>
        <v>30.560765344237307</v>
      </c>
      <c r="F13" s="108">
        <f>+RUBROS!$AL$13</f>
        <v>30.560765344237307</v>
      </c>
      <c r="G13" s="656">
        <f>+RUBROS!$AL$13</f>
        <v>30.560765344237307</v>
      </c>
      <c r="H13" s="82">
        <f>+RUBROS!$AM$13</f>
        <v>30.560765344237307</v>
      </c>
      <c r="I13" s="82">
        <f>+RUBROS!$AM$13</f>
        <v>30.560765344237307</v>
      </c>
    </row>
    <row r="14" spans="1:11" x14ac:dyDescent="0.25">
      <c r="A14" s="80" t="s">
        <v>178</v>
      </c>
      <c r="B14" s="86" t="s">
        <v>179</v>
      </c>
      <c r="C14" s="82">
        <f>+RUBROS!$BJ$39</f>
        <v>14.562140320021172</v>
      </c>
      <c r="D14" s="108">
        <f>+RUBROS!$BJ$39</f>
        <v>14.562140320021172</v>
      </c>
      <c r="E14" s="108">
        <f>+RUBROS!$BJ$39</f>
        <v>14.562140320021172</v>
      </c>
      <c r="F14" s="108">
        <f>+RUBROS!$BJ$39</f>
        <v>14.562140320021172</v>
      </c>
      <c r="G14" s="656">
        <f>+RUBROS!$BJ$39</f>
        <v>14.562140320021172</v>
      </c>
      <c r="H14" s="82">
        <f>+RUBROS!$BJ$39</f>
        <v>14.562140320021172</v>
      </c>
      <c r="I14" s="83">
        <f>+RUBROS!$BJ$39</f>
        <v>14.562140320021172</v>
      </c>
    </row>
    <row r="15" spans="1:11" x14ac:dyDescent="0.25">
      <c r="A15" s="87" t="s">
        <v>181</v>
      </c>
      <c r="B15" s="112" t="s">
        <v>182</v>
      </c>
      <c r="C15" s="88">
        <f t="shared" ref="C15:H15" si="0">SUM(C8:C14)</f>
        <v>10501.222905664257</v>
      </c>
      <c r="D15" s="113">
        <f t="shared" si="0"/>
        <v>11055.012905664258</v>
      </c>
      <c r="E15" s="113">
        <f t="shared" si="0"/>
        <v>5314.0089376642591</v>
      </c>
      <c r="F15" s="113">
        <f t="shared" si="0"/>
        <v>5623.8129056642583</v>
      </c>
      <c r="G15" s="89">
        <f>SUM(G8:G14)</f>
        <v>6863.0133344642591</v>
      </c>
      <c r="H15" s="88">
        <f t="shared" si="0"/>
        <v>11741.163905664256</v>
      </c>
      <c r="I15" s="89">
        <f>+I8+I9+I13+I14</f>
        <v>7685.1319056642587</v>
      </c>
    </row>
    <row r="16" spans="1:11" ht="16.350000000000001" customHeight="1" x14ac:dyDescent="0.25">
      <c r="A16" s="80" t="s">
        <v>203</v>
      </c>
      <c r="B16" s="86" t="s">
        <v>204</v>
      </c>
      <c r="C16" s="82" t="s">
        <v>211</v>
      </c>
      <c r="D16" s="108" t="s">
        <v>211</v>
      </c>
      <c r="E16" s="108" t="s">
        <v>211</v>
      </c>
      <c r="F16" s="108" t="s">
        <v>211</v>
      </c>
      <c r="G16" s="83" t="s">
        <v>211</v>
      </c>
      <c r="H16" s="82" t="s">
        <v>211</v>
      </c>
      <c r="I16" s="83" t="s">
        <v>211</v>
      </c>
    </row>
    <row r="17" spans="1:10" ht="16.350000000000001" customHeight="1" x14ac:dyDescent="0.25">
      <c r="A17" s="80" t="s">
        <v>183</v>
      </c>
      <c r="B17" s="86" t="s">
        <v>205</v>
      </c>
      <c r="C17" s="82" t="s">
        <v>213</v>
      </c>
      <c r="D17" s="108" t="s">
        <v>213</v>
      </c>
      <c r="E17" s="108" t="s">
        <v>213</v>
      </c>
      <c r="F17" s="108" t="s">
        <v>213</v>
      </c>
      <c r="G17" s="83" t="s">
        <v>213</v>
      </c>
      <c r="H17" s="82" t="s">
        <v>213</v>
      </c>
      <c r="I17" s="83" t="s">
        <v>213</v>
      </c>
    </row>
    <row r="18" spans="1:10" ht="16.350000000000001" customHeight="1" x14ac:dyDescent="0.25">
      <c r="A18" s="80" t="s">
        <v>206</v>
      </c>
      <c r="B18" s="86" t="s">
        <v>207</v>
      </c>
      <c r="C18" s="114" t="s">
        <v>215</v>
      </c>
      <c r="D18" s="111" t="s">
        <v>215</v>
      </c>
      <c r="E18" s="111" t="s">
        <v>215</v>
      </c>
      <c r="F18" s="111" t="s">
        <v>215</v>
      </c>
      <c r="G18" s="85" t="s">
        <v>215</v>
      </c>
      <c r="H18" s="114" t="s">
        <v>215</v>
      </c>
      <c r="I18" s="85" t="s">
        <v>215</v>
      </c>
    </row>
    <row r="19" spans="1:10" ht="16.350000000000001" customHeight="1" x14ac:dyDescent="0.25">
      <c r="A19" s="80" t="s">
        <v>187</v>
      </c>
      <c r="B19" s="86" t="s">
        <v>134</v>
      </c>
      <c r="C19" s="82" t="s">
        <v>217</v>
      </c>
      <c r="D19" s="108" t="s">
        <v>217</v>
      </c>
      <c r="E19" s="108" t="s">
        <v>217</v>
      </c>
      <c r="F19" s="108" t="s">
        <v>217</v>
      </c>
      <c r="G19" s="83" t="s">
        <v>217</v>
      </c>
      <c r="H19" s="82" t="s">
        <v>217</v>
      </c>
      <c r="I19" s="83" t="s">
        <v>217</v>
      </c>
    </row>
    <row r="20" spans="1:10" ht="16.350000000000001" customHeight="1" x14ac:dyDescent="0.25">
      <c r="A20" s="87" t="s">
        <v>189</v>
      </c>
      <c r="B20" s="112" t="s">
        <v>208</v>
      </c>
      <c r="C20" s="88">
        <f t="shared" ref="C20:F20" si="1">+C15</f>
        <v>10501.222905664257</v>
      </c>
      <c r="D20" s="113">
        <f t="shared" ref="D20" si="2">+D15</f>
        <v>11055.012905664258</v>
      </c>
      <c r="E20" s="113">
        <f t="shared" ref="E20" si="3">+E15</f>
        <v>5314.0089376642591</v>
      </c>
      <c r="F20" s="113">
        <f t="shared" si="1"/>
        <v>5623.8129056642583</v>
      </c>
      <c r="G20" s="89">
        <f>+G15</f>
        <v>6863.0133344642591</v>
      </c>
      <c r="H20" s="88">
        <f t="shared" ref="H20" si="4">+H15</f>
        <v>11741.163905664256</v>
      </c>
      <c r="I20" s="89">
        <f t="shared" ref="I20" si="5">+I15</f>
        <v>7685.1319056642587</v>
      </c>
    </row>
    <row r="21" spans="1:10" ht="16.350000000000001" customHeight="1" x14ac:dyDescent="0.25">
      <c r="A21" s="80" t="s">
        <v>191</v>
      </c>
      <c r="B21" s="86" t="s">
        <v>150</v>
      </c>
      <c r="C21" s="82" t="s">
        <v>213</v>
      </c>
      <c r="D21" s="108" t="s">
        <v>213</v>
      </c>
      <c r="E21" s="108" t="s">
        <v>213</v>
      </c>
      <c r="F21" s="108" t="s">
        <v>213</v>
      </c>
      <c r="G21" s="83" t="s">
        <v>213</v>
      </c>
      <c r="H21" s="82" t="s">
        <v>213</v>
      </c>
      <c r="I21" s="83" t="s">
        <v>213</v>
      </c>
    </row>
    <row r="22" spans="1:10" ht="16.350000000000001" customHeight="1" x14ac:dyDescent="0.25">
      <c r="A22" s="80" t="s">
        <v>192</v>
      </c>
      <c r="B22" s="81" t="s">
        <v>193</v>
      </c>
      <c r="C22" s="114" t="s">
        <v>218</v>
      </c>
      <c r="D22" s="111" t="s">
        <v>218</v>
      </c>
      <c r="E22" s="111" t="s">
        <v>218</v>
      </c>
      <c r="F22" s="111" t="s">
        <v>194</v>
      </c>
      <c r="G22" s="85" t="s">
        <v>194</v>
      </c>
      <c r="H22" s="114" t="s">
        <v>218</v>
      </c>
      <c r="I22" s="85" t="s">
        <v>194</v>
      </c>
    </row>
    <row r="23" spans="1:10" ht="16.350000000000001" customHeight="1" x14ac:dyDescent="0.25">
      <c r="A23" s="80" t="s">
        <v>195</v>
      </c>
      <c r="B23" s="86" t="s">
        <v>196</v>
      </c>
      <c r="C23" s="114" t="s">
        <v>220</v>
      </c>
      <c r="D23" s="111" t="s">
        <v>220</v>
      </c>
      <c r="E23" s="111" t="s">
        <v>220</v>
      </c>
      <c r="F23" s="111" t="s">
        <v>220</v>
      </c>
      <c r="G23" s="85" t="s">
        <v>220</v>
      </c>
      <c r="H23" s="114" t="s">
        <v>220</v>
      </c>
      <c r="I23" s="85" t="s">
        <v>220</v>
      </c>
    </row>
    <row r="24" spans="1:10" ht="16.350000000000001" customHeight="1" thickBot="1" x14ac:dyDescent="0.3">
      <c r="A24" s="91" t="s">
        <v>197</v>
      </c>
      <c r="B24" s="92" t="s">
        <v>198</v>
      </c>
      <c r="C24" s="93"/>
      <c r="D24" s="95"/>
      <c r="E24" s="115"/>
      <c r="F24" s="115"/>
      <c r="G24" s="657"/>
      <c r="H24" s="93"/>
      <c r="I24" s="94"/>
    </row>
    <row r="25" spans="1:10" ht="15.75" thickTop="1" x14ac:dyDescent="0.25">
      <c r="A25" s="96"/>
      <c r="B25" s="97" t="s">
        <v>493</v>
      </c>
      <c r="C25" s="97"/>
      <c r="D25" s="97"/>
      <c r="E25" s="97"/>
      <c r="F25" s="98"/>
      <c r="G25" s="98"/>
      <c r="H25" s="98"/>
    </row>
    <row r="26" spans="1:10" x14ac:dyDescent="0.25">
      <c r="A26" s="99"/>
      <c r="B26" s="116" t="s">
        <v>209</v>
      </c>
      <c r="C26" s="116"/>
      <c r="D26" s="116"/>
      <c r="E26" s="116"/>
      <c r="F26" s="116"/>
      <c r="G26" s="116"/>
      <c r="H26" s="116"/>
    </row>
    <row r="27" spans="1:10" x14ac:dyDescent="0.25">
      <c r="A27" s="99" t="s">
        <v>148</v>
      </c>
      <c r="B27" s="914"/>
      <c r="C27" s="914"/>
      <c r="D27" s="914"/>
      <c r="E27" s="914"/>
      <c r="F27" s="914"/>
      <c r="G27" s="914"/>
      <c r="H27" s="914"/>
    </row>
    <row r="28" spans="1:10" ht="39.200000000000003" customHeight="1" x14ac:dyDescent="0.25">
      <c r="A28" s="118" t="s">
        <v>173</v>
      </c>
      <c r="B28" s="914" t="s">
        <v>461</v>
      </c>
      <c r="C28" s="914"/>
      <c r="D28" s="914"/>
      <c r="E28" s="914"/>
      <c r="F28" s="914"/>
      <c r="G28" s="914"/>
      <c r="H28" s="914"/>
    </row>
    <row r="29" spans="1:10" ht="28.5" customHeight="1" x14ac:dyDescent="0.25">
      <c r="A29" s="119" t="s">
        <v>200</v>
      </c>
      <c r="B29" s="915" t="s">
        <v>250</v>
      </c>
      <c r="C29" s="915"/>
      <c r="D29" s="915"/>
      <c r="E29" s="915"/>
      <c r="F29" s="915"/>
      <c r="G29" s="915"/>
      <c r="H29" s="915"/>
      <c r="I29" s="915"/>
      <c r="J29" s="915"/>
    </row>
    <row r="30" spans="1:10" ht="58.7" customHeight="1" x14ac:dyDescent="0.25">
      <c r="A30" s="119" t="s">
        <v>130</v>
      </c>
      <c r="B30" s="915" t="s">
        <v>306</v>
      </c>
      <c r="C30" s="915"/>
      <c r="D30" s="915"/>
      <c r="E30" s="915"/>
      <c r="F30" s="915"/>
      <c r="G30" s="915"/>
      <c r="H30" s="915"/>
    </row>
    <row r="31" spans="1:10" ht="61.5" customHeight="1" x14ac:dyDescent="0.25">
      <c r="A31" s="119" t="s">
        <v>201</v>
      </c>
      <c r="B31" s="932" t="s">
        <v>373</v>
      </c>
      <c r="C31" s="933"/>
      <c r="D31" s="933"/>
      <c r="E31" s="933"/>
      <c r="F31" s="933"/>
      <c r="G31" s="933"/>
      <c r="H31" s="933"/>
    </row>
    <row r="32" spans="1:10" ht="39.950000000000003" customHeight="1" x14ac:dyDescent="0.25">
      <c r="A32" s="99"/>
      <c r="B32" s="914" t="s">
        <v>450</v>
      </c>
      <c r="C32" s="914"/>
      <c r="D32" s="914"/>
      <c r="E32" s="914"/>
      <c r="F32" s="914"/>
      <c r="G32" s="914"/>
      <c r="H32" s="914"/>
    </row>
    <row r="33" spans="1:8" x14ac:dyDescent="0.25">
      <c r="A33" s="99" t="s">
        <v>102</v>
      </c>
      <c r="B33" s="914" t="s">
        <v>210</v>
      </c>
      <c r="C33" s="914"/>
      <c r="D33" s="914"/>
      <c r="E33" s="914"/>
      <c r="F33" s="914"/>
      <c r="G33" s="914"/>
      <c r="H33" s="914"/>
    </row>
    <row r="34" spans="1:8" ht="29.25" customHeight="1" x14ac:dyDescent="0.25">
      <c r="A34" s="99" t="s">
        <v>211</v>
      </c>
      <c r="B34" s="915" t="s">
        <v>212</v>
      </c>
      <c r="C34" s="915"/>
      <c r="D34" s="915"/>
      <c r="E34" s="915"/>
      <c r="F34" s="915"/>
      <c r="G34" s="915"/>
      <c r="H34" s="915"/>
    </row>
    <row r="35" spans="1:8" x14ac:dyDescent="0.25">
      <c r="A35" s="99" t="s">
        <v>213</v>
      </c>
      <c r="B35" s="914" t="s">
        <v>214</v>
      </c>
      <c r="C35" s="914"/>
      <c r="D35" s="914"/>
      <c r="E35" s="914"/>
      <c r="F35" s="914"/>
      <c r="G35" s="914"/>
      <c r="H35" s="914"/>
    </row>
    <row r="36" spans="1:8" ht="43.5" customHeight="1" x14ac:dyDescent="0.25">
      <c r="A36" s="117" t="s">
        <v>215</v>
      </c>
      <c r="B36" s="915" t="s">
        <v>216</v>
      </c>
      <c r="C36" s="915"/>
      <c r="D36" s="915"/>
      <c r="E36" s="915"/>
      <c r="F36" s="915"/>
      <c r="G36" s="915"/>
      <c r="H36" s="915"/>
    </row>
    <row r="37" spans="1:8" x14ac:dyDescent="0.25">
      <c r="A37" s="117" t="s">
        <v>217</v>
      </c>
      <c r="B37" s="914" t="s">
        <v>420</v>
      </c>
      <c r="C37" s="914"/>
      <c r="D37" s="914"/>
      <c r="E37" s="914"/>
      <c r="F37" s="914"/>
      <c r="G37" s="914"/>
      <c r="H37" s="914"/>
    </row>
    <row r="38" spans="1:8" x14ac:dyDescent="0.25">
      <c r="A38" s="99" t="s">
        <v>218</v>
      </c>
      <c r="B38" s="914" t="s">
        <v>219</v>
      </c>
      <c r="C38" s="914"/>
      <c r="D38" s="914"/>
      <c r="E38" s="914"/>
      <c r="F38" s="914"/>
      <c r="G38" s="914"/>
      <c r="H38" s="914"/>
    </row>
    <row r="39" spans="1:8" ht="30.2" customHeight="1" x14ac:dyDescent="0.25">
      <c r="A39" s="99" t="s">
        <v>220</v>
      </c>
      <c r="B39" s="915" t="s">
        <v>221</v>
      </c>
      <c r="C39" s="915"/>
      <c r="D39" s="915"/>
      <c r="E39" s="915"/>
      <c r="F39" s="915"/>
      <c r="G39" s="915"/>
      <c r="H39" s="915"/>
    </row>
    <row r="40" spans="1:8" x14ac:dyDescent="0.25">
      <c r="A40" s="77"/>
      <c r="B40" s="77"/>
      <c r="C40" s="77"/>
      <c r="D40" s="77"/>
      <c r="E40" s="77"/>
      <c r="F40" s="77"/>
      <c r="G40" s="77"/>
      <c r="H40" s="77"/>
    </row>
    <row r="41" spans="1:8" x14ac:dyDescent="0.25">
      <c r="A41" s="118" t="s">
        <v>173</v>
      </c>
      <c r="B41" s="914" t="s">
        <v>412</v>
      </c>
      <c r="C41" s="914"/>
      <c r="D41" s="914"/>
      <c r="E41" s="914"/>
      <c r="F41" s="914"/>
      <c r="G41" s="914"/>
      <c r="H41" s="914"/>
    </row>
    <row r="42" spans="1:8" hidden="1" x14ac:dyDescent="0.25">
      <c r="A42" s="119" t="s">
        <v>130</v>
      </c>
      <c r="B42" s="120" t="s">
        <v>199</v>
      </c>
      <c r="C42" s="77"/>
      <c r="D42" s="77"/>
      <c r="E42" s="77"/>
      <c r="F42" s="77"/>
      <c r="G42" s="77"/>
      <c r="H42" s="77"/>
    </row>
    <row r="43" spans="1:8" ht="39.75" hidden="1" customHeight="1" x14ac:dyDescent="0.25">
      <c r="A43" s="119" t="s">
        <v>201</v>
      </c>
      <c r="B43" s="915" t="s">
        <v>223</v>
      </c>
      <c r="C43" s="915"/>
      <c r="D43" s="915"/>
      <c r="E43" s="915"/>
      <c r="F43" s="915"/>
      <c r="G43" s="915"/>
      <c r="H43" s="915"/>
    </row>
    <row r="44" spans="1:8" x14ac:dyDescent="0.25">
      <c r="A44" s="119"/>
      <c r="B44" s="914" t="s">
        <v>148</v>
      </c>
      <c r="C44" s="914"/>
      <c r="D44" s="914"/>
      <c r="E44" s="914"/>
      <c r="F44" s="914"/>
      <c r="G44" s="914"/>
      <c r="H44" s="914"/>
    </row>
    <row r="45" spans="1:8" ht="100.5" customHeight="1" x14ac:dyDescent="0.25">
      <c r="A45" s="916" t="s">
        <v>438</v>
      </c>
      <c r="B45" s="917"/>
      <c r="C45" s="917"/>
      <c r="D45" s="917"/>
      <c r="E45" s="917"/>
      <c r="F45" s="917"/>
      <c r="G45" s="917"/>
      <c r="H45" s="917"/>
    </row>
  </sheetData>
  <sheetProtection algorithmName="SHA-512" hashValue="lfcA+MacpmhPkBV0IyLFMGXgnisZzHrTQnGDpVVGIM8ljQxJCnkMMlWHtzn0hWnvOGmRXQEGvXAoiYnioYcnvQ==" saltValue="QFK2WceWo0/D13KTb1d9Kg==" spinCount="100000" sheet="1" objects="1" scenarios="1"/>
  <mergeCells count="24">
    <mergeCell ref="I29:J29"/>
    <mergeCell ref="B33:H33"/>
    <mergeCell ref="C5:C6"/>
    <mergeCell ref="B31:H31"/>
    <mergeCell ref="B32:H32"/>
    <mergeCell ref="B28:H28"/>
    <mergeCell ref="B30:H30"/>
    <mergeCell ref="B29:H29"/>
    <mergeCell ref="C3:G4"/>
    <mergeCell ref="A5:A7"/>
    <mergeCell ref="B5:B7"/>
    <mergeCell ref="B27:H27"/>
    <mergeCell ref="E5:E6"/>
    <mergeCell ref="H3:I4"/>
    <mergeCell ref="B41:H41"/>
    <mergeCell ref="B43:H43"/>
    <mergeCell ref="B44:H44"/>
    <mergeCell ref="A45:H45"/>
    <mergeCell ref="B34:H34"/>
    <mergeCell ref="B35:H35"/>
    <mergeCell ref="B36:H36"/>
    <mergeCell ref="B37:H37"/>
    <mergeCell ref="B38:H38"/>
    <mergeCell ref="B39:H39"/>
  </mergeCells>
  <hyperlinks>
    <hyperlink ref="B26" location="AMAZONAS!A46" display="Ver Nota Informativa" xr:uid="{00000000-0004-0000-0800-000000000000}"/>
  </hyperlinks>
  <pageMargins left="0.7" right="0.7" top="0.75" bottom="0.75" header="0.3" footer="0.3"/>
  <pageSetup orientation="portrait" r:id="rId1"/>
  <ignoredErrors>
    <ignoredError sqref="A29:A30 A41:A43" numberStoredAsText="1"/>
    <ignoredError sqref="C20 F15 F20"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K42"/>
  <sheetViews>
    <sheetView showGridLines="0" zoomScale="85" zoomScaleNormal="85" workbookViewId="0">
      <selection activeCell="H14" sqref="H14"/>
    </sheetView>
  </sheetViews>
  <sheetFormatPr baseColWidth="10" defaultRowHeight="15" x14ac:dyDescent="0.25"/>
  <cols>
    <col min="2" max="2" width="44.85546875" customWidth="1"/>
    <col min="3" max="3" width="12.140625" customWidth="1"/>
    <col min="4" max="4" width="12.7109375" customWidth="1"/>
    <col min="5" max="5" width="13" customWidth="1"/>
    <col min="6" max="6" width="12.5703125" customWidth="1"/>
    <col min="7" max="7" width="15.7109375" customWidth="1"/>
  </cols>
  <sheetData>
    <row r="1" spans="1:8" x14ac:dyDescent="0.25">
      <c r="A1" s="77"/>
      <c r="B1" s="77" t="str">
        <f>+AMAZONAS!C1</f>
        <v>Vigencia: 22 de Marzo de 2025; 00:00 horas</v>
      </c>
      <c r="F1" s="122"/>
    </row>
    <row r="2" spans="1:8" ht="15.75" thickBot="1" x14ac:dyDescent="0.3">
      <c r="A2" s="77" t="s">
        <v>162</v>
      </c>
      <c r="B2" s="77"/>
      <c r="D2" s="592"/>
    </row>
    <row r="3" spans="1:8" ht="15.95" customHeight="1" thickTop="1" x14ac:dyDescent="0.25">
      <c r="A3" s="125"/>
      <c r="B3" s="126" t="s">
        <v>230</v>
      </c>
      <c r="C3" s="938" t="s">
        <v>163</v>
      </c>
      <c r="D3" s="939"/>
      <c r="E3" s="939"/>
      <c r="F3" s="939"/>
      <c r="G3" s="934" t="s">
        <v>676</v>
      </c>
      <c r="H3" s="935"/>
    </row>
    <row r="4" spans="1:8" ht="32.1" customHeight="1" x14ac:dyDescent="0.25">
      <c r="A4" s="78"/>
      <c r="B4" s="389" t="s">
        <v>459</v>
      </c>
      <c r="C4" s="940"/>
      <c r="D4" s="941"/>
      <c r="E4" s="941"/>
      <c r="F4" s="941"/>
      <c r="G4" s="936"/>
      <c r="H4" s="937"/>
    </row>
    <row r="5" spans="1:8" ht="30.6" customHeight="1" x14ac:dyDescent="0.25">
      <c r="A5" s="924" t="s">
        <v>164</v>
      </c>
      <c r="B5" s="926" t="s">
        <v>165</v>
      </c>
      <c r="C5" s="942" t="s">
        <v>222</v>
      </c>
      <c r="D5" s="106" t="s">
        <v>466</v>
      </c>
      <c r="E5" s="106" t="s">
        <v>367</v>
      </c>
      <c r="F5" s="152" t="s">
        <v>497</v>
      </c>
      <c r="G5" s="516" t="s">
        <v>466</v>
      </c>
      <c r="H5" s="517" t="s">
        <v>497</v>
      </c>
    </row>
    <row r="6" spans="1:8" ht="21" customHeight="1" x14ac:dyDescent="0.25">
      <c r="A6" s="924"/>
      <c r="B6" s="926"/>
      <c r="C6" s="931"/>
      <c r="D6" s="121">
        <v>0.1</v>
      </c>
      <c r="E6" s="121">
        <v>0.02</v>
      </c>
      <c r="F6" s="513">
        <v>0.1</v>
      </c>
      <c r="G6" s="520">
        <v>0.1</v>
      </c>
      <c r="H6" s="553">
        <v>0.1</v>
      </c>
    </row>
    <row r="7" spans="1:8" ht="15.75" thickBot="1" x14ac:dyDescent="0.3">
      <c r="A7" s="925"/>
      <c r="B7" s="927"/>
      <c r="C7" s="650" t="s">
        <v>166</v>
      </c>
      <c r="D7" s="658" t="s">
        <v>166</v>
      </c>
      <c r="E7" s="658" t="s">
        <v>166</v>
      </c>
      <c r="F7" s="651" t="s">
        <v>166</v>
      </c>
      <c r="G7" s="659" t="s">
        <v>166</v>
      </c>
      <c r="H7" s="660" t="s">
        <v>166</v>
      </c>
    </row>
    <row r="8" spans="1:8" ht="15.75" thickTop="1" x14ac:dyDescent="0.25">
      <c r="A8" s="80" t="s">
        <v>167</v>
      </c>
      <c r="B8" s="86" t="s">
        <v>168</v>
      </c>
      <c r="C8" s="674">
        <f>+'Calculo IP ZDF'!B29</f>
        <v>10456.1</v>
      </c>
      <c r="D8" s="675">
        <f>+'Calculo IP ZDF'!H29</f>
        <v>11009.89</v>
      </c>
      <c r="E8" s="675">
        <f>+'Calculo IP ZDF'!F29</f>
        <v>4462.95</v>
      </c>
      <c r="F8" s="675">
        <f>+'Calculo IP ZDF'!M29</f>
        <v>5793.2303199999997</v>
      </c>
      <c r="G8" s="675">
        <f>+'IMPUESTO AL CARBONO GMR'!E9</f>
        <v>11009.89</v>
      </c>
      <c r="H8" s="676">
        <f>+BIODIESEL!F9</f>
        <v>6983.2690000000002</v>
      </c>
    </row>
    <row r="9" spans="1:8" x14ac:dyDescent="0.25">
      <c r="A9" s="80" t="s">
        <v>169</v>
      </c>
      <c r="B9" s="86" t="s">
        <v>453</v>
      </c>
      <c r="C9" s="677" t="s">
        <v>171</v>
      </c>
      <c r="D9" s="678" t="s">
        <v>171</v>
      </c>
      <c r="E9" s="678" t="s">
        <v>171</v>
      </c>
      <c r="F9" s="679" t="s">
        <v>171</v>
      </c>
      <c r="G9" s="679">
        <f>+'IMPUESTO AL CARBONO GMR'!E10</f>
        <v>686.15099999999995</v>
      </c>
      <c r="H9" s="680" t="s">
        <v>171</v>
      </c>
    </row>
    <row r="10" spans="1:8" x14ac:dyDescent="0.25">
      <c r="A10" s="80"/>
      <c r="B10" s="86" t="s">
        <v>129</v>
      </c>
      <c r="C10" s="677" t="s">
        <v>171</v>
      </c>
      <c r="D10" s="678" t="s">
        <v>171</v>
      </c>
      <c r="E10" s="678" t="s">
        <v>171</v>
      </c>
      <c r="F10" s="679" t="s">
        <v>171</v>
      </c>
      <c r="G10" s="679" t="s">
        <v>130</v>
      </c>
      <c r="H10" s="680" t="s">
        <v>171</v>
      </c>
    </row>
    <row r="11" spans="1:8" x14ac:dyDescent="0.25">
      <c r="A11" s="80"/>
      <c r="B11" s="86" t="s">
        <v>131</v>
      </c>
      <c r="C11" s="677">
        <f>+'IMPUESTO AL CARBONO GMR'!C12</f>
        <v>197.93</v>
      </c>
      <c r="D11" s="678">
        <f>+$C$11*(1-D6)</f>
        <v>178.137</v>
      </c>
      <c r="E11" s="678">
        <f>+BIODIESEL!E12</f>
        <v>219.21619999999999</v>
      </c>
      <c r="F11" s="678">
        <f>+BIODIESEL!F12</f>
        <v>201.321</v>
      </c>
      <c r="G11" s="678">
        <f>+$C$11*(1-G6)</f>
        <v>178.137</v>
      </c>
      <c r="H11" s="680">
        <f>+F11</f>
        <v>201.321</v>
      </c>
    </row>
    <row r="12" spans="1:8" x14ac:dyDescent="0.25">
      <c r="A12" s="80" t="s">
        <v>172</v>
      </c>
      <c r="B12" s="86" t="s">
        <v>292</v>
      </c>
      <c r="C12" s="677" t="s">
        <v>200</v>
      </c>
      <c r="D12" s="681" t="s">
        <v>200</v>
      </c>
      <c r="E12" s="682" t="s">
        <v>200</v>
      </c>
      <c r="F12" s="683" t="s">
        <v>200</v>
      </c>
      <c r="G12" s="683" t="s">
        <v>200</v>
      </c>
      <c r="H12" s="680" t="s">
        <v>200</v>
      </c>
    </row>
    <row r="13" spans="1:8" x14ac:dyDescent="0.25">
      <c r="A13" s="80" t="s">
        <v>174</v>
      </c>
      <c r="B13" s="86" t="s">
        <v>175</v>
      </c>
      <c r="C13" s="677">
        <f>+RUBROS!$AL$14</f>
        <v>14.131844167840523</v>
      </c>
      <c r="D13" s="681">
        <f>+RUBROS!$AL$14</f>
        <v>14.131844167840523</v>
      </c>
      <c r="E13" s="681">
        <f>+RUBROS!$AL$14</f>
        <v>14.131844167840523</v>
      </c>
      <c r="F13" s="681">
        <f>+RUBROS!$AL$14</f>
        <v>14.131844167840523</v>
      </c>
      <c r="G13" s="681">
        <f>+RUBROS!$AM$14</f>
        <v>30.560765344237307</v>
      </c>
      <c r="H13" s="680">
        <f>+RUBROS!$AM$14</f>
        <v>30.560765344237307</v>
      </c>
    </row>
    <row r="14" spans="1:8" x14ac:dyDescent="0.25">
      <c r="A14" s="80" t="s">
        <v>176</v>
      </c>
      <c r="B14" s="86" t="s">
        <v>177</v>
      </c>
      <c r="C14" s="677">
        <f>+RUBROS!$AL$50</f>
        <v>146.40959970399982</v>
      </c>
      <c r="D14" s="681">
        <f>+RUBROS!$AL$50</f>
        <v>146.40959970399982</v>
      </c>
      <c r="E14" s="681">
        <f>+RUBROS!$AL$50</f>
        <v>146.40959970399982</v>
      </c>
      <c r="F14" s="681">
        <f>+RUBROS!$AL$50</f>
        <v>146.40959970399982</v>
      </c>
      <c r="G14" s="681">
        <f>+RUBROS!$AM$50</f>
        <v>146.40959970399982</v>
      </c>
      <c r="H14" s="684">
        <f>+RUBROS!$AM$50</f>
        <v>146.40959970399982</v>
      </c>
    </row>
    <row r="15" spans="1:8" x14ac:dyDescent="0.25">
      <c r="A15" s="80" t="s">
        <v>178</v>
      </c>
      <c r="B15" s="86" t="s">
        <v>179</v>
      </c>
      <c r="C15" s="677">
        <f>+RUBROS!$BJ$28</f>
        <v>14.562140320021172</v>
      </c>
      <c r="D15" s="681">
        <f>+RUBROS!$BJ$28</f>
        <v>14.562140320021172</v>
      </c>
      <c r="E15" s="681">
        <f>+RUBROS!$BJ$28</f>
        <v>14.562140320021172</v>
      </c>
      <c r="F15" s="681">
        <f>+RUBROS!$BJ$28</f>
        <v>14.562140320021172</v>
      </c>
      <c r="G15" s="681">
        <f>+RUBROS!$BJ$28</f>
        <v>14.562140320021172</v>
      </c>
      <c r="H15" s="684">
        <f>+RUBROS!$BJ$28</f>
        <v>14.562140320021172</v>
      </c>
    </row>
    <row r="16" spans="1:8" hidden="1" x14ac:dyDescent="0.25">
      <c r="A16" s="80"/>
      <c r="B16" s="86" t="s">
        <v>180</v>
      </c>
      <c r="C16" s="677"/>
      <c r="D16" s="681"/>
      <c r="E16" s="683"/>
      <c r="F16" s="683"/>
      <c r="G16" s="682"/>
      <c r="H16" s="685"/>
    </row>
    <row r="17" spans="1:11" x14ac:dyDescent="0.25">
      <c r="A17" s="87" t="s">
        <v>181</v>
      </c>
      <c r="B17" s="112" t="s">
        <v>182</v>
      </c>
      <c r="C17" s="686">
        <f>SUM(C8:C16)</f>
        <v>10829.133584191863</v>
      </c>
      <c r="D17" s="687">
        <f t="shared" ref="D17:H17" si="0">SUM(D8:D16)</f>
        <v>11363.130584191862</v>
      </c>
      <c r="E17" s="688">
        <f t="shared" si="0"/>
        <v>4857.2697841918607</v>
      </c>
      <c r="F17" s="688">
        <f t="shared" si="0"/>
        <v>6169.6549041918606</v>
      </c>
      <c r="G17" s="688">
        <f t="shared" si="0"/>
        <v>12065.710505368257</v>
      </c>
      <c r="H17" s="689">
        <f t="shared" si="0"/>
        <v>7376.1225053682583</v>
      </c>
    </row>
    <row r="18" spans="1:11" x14ac:dyDescent="0.25">
      <c r="A18" s="80" t="s">
        <v>183</v>
      </c>
      <c r="B18" s="86" t="s">
        <v>184</v>
      </c>
      <c r="C18" s="677" t="s">
        <v>213</v>
      </c>
      <c r="D18" s="681" t="s">
        <v>213</v>
      </c>
      <c r="E18" s="683" t="s">
        <v>213</v>
      </c>
      <c r="F18" s="683" t="s">
        <v>213</v>
      </c>
      <c r="G18" s="683" t="s">
        <v>213</v>
      </c>
      <c r="H18" s="680" t="s">
        <v>213</v>
      </c>
    </row>
    <row r="19" spans="1:11" x14ac:dyDescent="0.25">
      <c r="A19" s="80" t="s">
        <v>185</v>
      </c>
      <c r="B19" s="86" t="s">
        <v>186</v>
      </c>
      <c r="C19" s="677" t="s">
        <v>211</v>
      </c>
      <c r="D19" s="681" t="s">
        <v>211</v>
      </c>
      <c r="E19" s="682" t="s">
        <v>211</v>
      </c>
      <c r="F19" s="682" t="s">
        <v>211</v>
      </c>
      <c r="G19" s="683" t="s">
        <v>211</v>
      </c>
      <c r="H19" s="680" t="s">
        <v>211</v>
      </c>
    </row>
    <row r="20" spans="1:11" x14ac:dyDescent="0.25">
      <c r="A20" s="80" t="s">
        <v>187</v>
      </c>
      <c r="B20" s="86" t="s">
        <v>188</v>
      </c>
      <c r="C20" s="677" t="s">
        <v>215</v>
      </c>
      <c r="D20" s="681" t="s">
        <v>215</v>
      </c>
      <c r="E20" s="683" t="s">
        <v>215</v>
      </c>
      <c r="F20" s="683" t="s">
        <v>215</v>
      </c>
      <c r="G20" s="683" t="s">
        <v>215</v>
      </c>
      <c r="H20" s="680" t="s">
        <v>215</v>
      </c>
    </row>
    <row r="21" spans="1:11" x14ac:dyDescent="0.25">
      <c r="A21" s="87" t="s">
        <v>189</v>
      </c>
      <c r="B21" s="112" t="s">
        <v>190</v>
      </c>
      <c r="C21" s="686">
        <f t="shared" ref="C21" si="1">+C17</f>
        <v>10829.133584191863</v>
      </c>
      <c r="D21" s="687">
        <f t="shared" ref="D21" si="2">+D17</f>
        <v>11363.130584191862</v>
      </c>
      <c r="E21" s="687">
        <f t="shared" ref="E21" si="3">+E17</f>
        <v>4857.2697841918607</v>
      </c>
      <c r="F21" s="687">
        <f t="shared" ref="F21" si="4">+F17</f>
        <v>6169.6549041918606</v>
      </c>
      <c r="G21" s="687">
        <f t="shared" ref="G21" si="5">+G17</f>
        <v>12065.710505368257</v>
      </c>
      <c r="H21" s="690">
        <f t="shared" ref="H21" si="6">+H17</f>
        <v>7376.1225053682583</v>
      </c>
    </row>
    <row r="22" spans="1:11" x14ac:dyDescent="0.25">
      <c r="A22" s="80" t="s">
        <v>191</v>
      </c>
      <c r="B22" s="86" t="s">
        <v>150</v>
      </c>
      <c r="C22" s="677" t="s">
        <v>213</v>
      </c>
      <c r="D22" s="681" t="s">
        <v>213</v>
      </c>
      <c r="E22" s="683" t="s">
        <v>213</v>
      </c>
      <c r="F22" s="683" t="s">
        <v>213</v>
      </c>
      <c r="G22" s="683" t="s">
        <v>213</v>
      </c>
      <c r="H22" s="680" t="s">
        <v>213</v>
      </c>
    </row>
    <row r="23" spans="1:11" x14ac:dyDescent="0.25">
      <c r="A23" s="80" t="s">
        <v>192</v>
      </c>
      <c r="B23" s="81" t="s">
        <v>193</v>
      </c>
      <c r="C23" s="677" t="s">
        <v>217</v>
      </c>
      <c r="D23" s="681" t="s">
        <v>217</v>
      </c>
      <c r="E23" s="683" t="s">
        <v>217</v>
      </c>
      <c r="F23" s="683" t="s">
        <v>194</v>
      </c>
      <c r="G23" s="683" t="s">
        <v>217</v>
      </c>
      <c r="H23" s="680" t="s">
        <v>194</v>
      </c>
    </row>
    <row r="24" spans="1:11" ht="15.75" thickBot="1" x14ac:dyDescent="0.3">
      <c r="A24" s="80" t="s">
        <v>195</v>
      </c>
      <c r="B24" s="86" t="s">
        <v>196</v>
      </c>
      <c r="C24" s="691" t="s">
        <v>218</v>
      </c>
      <c r="D24" s="692" t="s">
        <v>218</v>
      </c>
      <c r="E24" s="693" t="s">
        <v>218</v>
      </c>
      <c r="F24" s="693" t="s">
        <v>218</v>
      </c>
      <c r="G24" s="694" t="s">
        <v>218</v>
      </c>
      <c r="H24" s="695" t="s">
        <v>218</v>
      </c>
    </row>
    <row r="25" spans="1:11" ht="16.5" thickTop="1" thickBot="1" x14ac:dyDescent="0.3">
      <c r="A25" s="91" t="s">
        <v>197</v>
      </c>
      <c r="B25" s="92" t="s">
        <v>198</v>
      </c>
      <c r="C25" s="669"/>
      <c r="D25" s="670"/>
      <c r="E25" s="671"/>
      <c r="F25" s="671"/>
      <c r="G25" s="672"/>
      <c r="H25" s="673"/>
    </row>
    <row r="26" spans="1:11" ht="15.75" thickTop="1" x14ac:dyDescent="0.25"/>
    <row r="27" spans="1:11" x14ac:dyDescent="0.25">
      <c r="A27" s="99"/>
      <c r="B27" s="116" t="s">
        <v>209</v>
      </c>
      <c r="C27" s="140"/>
      <c r="D27" s="140"/>
      <c r="E27" s="140"/>
      <c r="F27" s="140"/>
      <c r="G27" s="124"/>
      <c r="H27" s="124"/>
      <c r="I27" s="124"/>
      <c r="J27" s="124"/>
      <c r="K27" s="124"/>
    </row>
    <row r="28" spans="1:11" x14ac:dyDescent="0.25">
      <c r="A28" s="99"/>
      <c r="B28" s="116"/>
      <c r="C28" s="140"/>
      <c r="D28" s="140"/>
      <c r="E28" s="140"/>
      <c r="F28" s="140"/>
      <c r="G28" s="124"/>
      <c r="H28" s="124"/>
      <c r="I28" s="124"/>
      <c r="J28" s="124"/>
      <c r="K28" s="124"/>
    </row>
    <row r="29" spans="1:11" ht="27" customHeight="1" x14ac:dyDescent="0.25">
      <c r="A29" s="99" t="s">
        <v>173</v>
      </c>
      <c r="B29" s="933" t="str">
        <f>+AMAZONAS!B28</f>
        <v>De acuerdo con lo establecido en la Resoluccion 91349 de 2014 del MME para combustible de origen nacional o importado a ser distribuido en zonas de frontera, aplica la tarifa de marcación o remarcación vigente a la fecha según corresponda</v>
      </c>
      <c r="C29" s="933"/>
      <c r="D29" s="933"/>
      <c r="E29" s="933"/>
      <c r="F29" s="933"/>
      <c r="G29" s="933"/>
      <c r="H29" s="141"/>
      <c r="I29" s="141"/>
      <c r="J29" s="141"/>
      <c r="K29" s="141"/>
    </row>
    <row r="30" spans="1:11" ht="25.5" customHeight="1" x14ac:dyDescent="0.25">
      <c r="A30" s="99" t="s">
        <v>200</v>
      </c>
      <c r="B30" s="933" t="s">
        <v>250</v>
      </c>
      <c r="C30" s="933"/>
      <c r="D30" s="933"/>
      <c r="E30" s="933"/>
      <c r="F30" s="933"/>
      <c r="G30" s="933"/>
      <c r="H30" s="124"/>
      <c r="I30" s="124"/>
      <c r="J30" s="124"/>
      <c r="K30" s="124"/>
    </row>
    <row r="31" spans="1:11" ht="51.95" customHeight="1" x14ac:dyDescent="0.25">
      <c r="A31" s="99" t="s">
        <v>130</v>
      </c>
      <c r="B31" s="933" t="s">
        <v>306</v>
      </c>
      <c r="C31" s="933"/>
      <c r="D31" s="933"/>
      <c r="E31" s="933"/>
      <c r="F31" s="933"/>
      <c r="G31" s="933"/>
      <c r="H31" s="124"/>
      <c r="I31" s="124"/>
      <c r="J31" s="124"/>
      <c r="K31" s="124"/>
    </row>
    <row r="32" spans="1:11" x14ac:dyDescent="0.25">
      <c r="A32" s="99"/>
      <c r="B32" s="116"/>
      <c r="C32" s="140"/>
      <c r="D32" s="140"/>
      <c r="E32" s="140"/>
      <c r="F32" s="140"/>
      <c r="G32" s="124"/>
      <c r="H32" s="124"/>
      <c r="I32" s="124"/>
      <c r="J32" s="124"/>
      <c r="K32" s="124"/>
    </row>
    <row r="33" spans="1:11" ht="21.2" customHeight="1" x14ac:dyDescent="0.25">
      <c r="A33" s="99"/>
      <c r="B33" s="933"/>
      <c r="C33" s="933"/>
      <c r="D33" s="933"/>
      <c r="E33" s="933"/>
      <c r="F33" s="933"/>
      <c r="G33" s="933"/>
      <c r="H33" s="124"/>
      <c r="I33" s="124"/>
      <c r="J33" s="124"/>
      <c r="K33" s="124"/>
    </row>
    <row r="34" spans="1:11" ht="15" customHeight="1" x14ac:dyDescent="0.25">
      <c r="A34" s="117" t="s">
        <v>102</v>
      </c>
      <c r="B34" s="914" t="s">
        <v>210</v>
      </c>
      <c r="C34" s="914"/>
      <c r="D34" s="914"/>
      <c r="E34" s="914"/>
      <c r="F34" s="914"/>
      <c r="G34" s="914"/>
      <c r="H34" s="124"/>
      <c r="I34" s="124"/>
      <c r="J34" s="124"/>
      <c r="K34" s="124"/>
    </row>
    <row r="35" spans="1:11" ht="15" customHeight="1" x14ac:dyDescent="0.25">
      <c r="A35" s="117" t="s">
        <v>211</v>
      </c>
      <c r="B35" s="933" t="s">
        <v>239</v>
      </c>
      <c r="C35" s="933"/>
      <c r="D35" s="933"/>
      <c r="E35" s="933"/>
      <c r="F35" s="933"/>
      <c r="G35" s="933"/>
      <c r="H35" s="124"/>
      <c r="I35" s="124"/>
      <c r="J35" s="124"/>
      <c r="K35" s="124"/>
    </row>
    <row r="36" spans="1:11" ht="15" customHeight="1" x14ac:dyDescent="0.25">
      <c r="A36" s="99" t="s">
        <v>213</v>
      </c>
      <c r="B36" s="933" t="s">
        <v>214</v>
      </c>
      <c r="C36" s="933"/>
      <c r="D36" s="933"/>
      <c r="E36" s="933"/>
      <c r="F36" s="933"/>
      <c r="G36" s="933"/>
      <c r="H36" s="914"/>
      <c r="I36" s="914"/>
      <c r="J36" s="914"/>
      <c r="K36" s="914"/>
    </row>
    <row r="37" spans="1:11" ht="19.7" customHeight="1" x14ac:dyDescent="0.25">
      <c r="A37" s="99" t="s">
        <v>215</v>
      </c>
      <c r="B37" s="914" t="s">
        <v>420</v>
      </c>
      <c r="C37" s="914"/>
      <c r="D37" s="914"/>
      <c r="E37" s="914"/>
      <c r="F37" s="914"/>
      <c r="G37" s="914"/>
      <c r="H37" s="100"/>
      <c r="I37" s="100"/>
      <c r="J37" s="100"/>
      <c r="K37" s="100"/>
    </row>
    <row r="38" spans="1:11" ht="24" customHeight="1" x14ac:dyDescent="0.25">
      <c r="A38" s="117" t="s">
        <v>217</v>
      </c>
      <c r="B38" s="933" t="s">
        <v>219</v>
      </c>
      <c r="C38" s="933"/>
      <c r="D38" s="933"/>
      <c r="E38" s="933"/>
      <c r="F38" s="933"/>
      <c r="G38" s="933"/>
      <c r="H38" s="124"/>
      <c r="I38" s="124"/>
      <c r="J38" s="124"/>
      <c r="K38" s="124"/>
    </row>
    <row r="39" spans="1:11" ht="26.45" customHeight="1" x14ac:dyDescent="0.25">
      <c r="A39" s="117" t="s">
        <v>218</v>
      </c>
      <c r="B39" s="933" t="s">
        <v>237</v>
      </c>
      <c r="C39" s="933"/>
      <c r="D39" s="933"/>
      <c r="E39" s="933"/>
      <c r="F39" s="933"/>
      <c r="G39" s="933"/>
      <c r="H39" s="124"/>
      <c r="I39" s="124"/>
      <c r="J39" s="124"/>
      <c r="K39" s="124"/>
    </row>
    <row r="40" spans="1:11" ht="27.2" customHeight="1" x14ac:dyDescent="0.25">
      <c r="A40" s="117"/>
      <c r="B40" s="914" t="s">
        <v>421</v>
      </c>
      <c r="C40" s="914"/>
      <c r="D40" s="914"/>
      <c r="E40" s="914"/>
      <c r="F40" s="914"/>
      <c r="G40" s="914"/>
      <c r="H40" s="124"/>
      <c r="I40" s="124"/>
      <c r="J40" s="124"/>
      <c r="K40" s="124"/>
    </row>
    <row r="42" spans="1:11" ht="87.95" customHeight="1" x14ac:dyDescent="0.25">
      <c r="A42" s="917" t="s">
        <v>137</v>
      </c>
      <c r="B42" s="917"/>
      <c r="C42" s="917"/>
      <c r="D42" s="917"/>
      <c r="E42" s="917"/>
      <c r="F42" s="917"/>
      <c r="G42" s="917"/>
    </row>
  </sheetData>
  <sheetProtection algorithmName="SHA-512" hashValue="XOvhwjxRaReB5dd2FXhwoELbV5ptXwFxWE7NxKMCXVmfqfuBi1aeo23+O7IjNOsUQT71gGPEBjauKjO79ikONw==" saltValue="y+t5XJB4fdlX1Fr9kLKBwg==" spinCount="100000" sheet="1" objects="1" scenarios="1"/>
  <mergeCells count="18">
    <mergeCell ref="B30:G30"/>
    <mergeCell ref="B33:G33"/>
    <mergeCell ref="B31:G31"/>
    <mergeCell ref="B29:G29"/>
    <mergeCell ref="H36:K36"/>
    <mergeCell ref="A42:G42"/>
    <mergeCell ref="B34:G34"/>
    <mergeCell ref="B35:G35"/>
    <mergeCell ref="B38:G38"/>
    <mergeCell ref="B39:G39"/>
    <mergeCell ref="B36:G36"/>
    <mergeCell ref="B40:G40"/>
    <mergeCell ref="B37:G37"/>
    <mergeCell ref="G3:H4"/>
    <mergeCell ref="C3:F4"/>
    <mergeCell ref="A5:A7"/>
    <mergeCell ref="B5:B7"/>
    <mergeCell ref="C5:C6"/>
  </mergeCells>
  <hyperlinks>
    <hyperlink ref="B27" location="ARAUCA!A42" display="Ver Nota Informativa" xr:uid="{00000000-0004-0000-0900-000000000000}"/>
  </hyperlinks>
  <pageMargins left="0.7" right="0.7" top="0.75" bottom="0.75" header="0.3" footer="0.3"/>
  <pageSetup orientation="portrait" r:id="rId1"/>
  <ignoredErrors>
    <ignoredError sqref="C21 C25" formula="1"/>
  </ignoredErrors>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vt:i4>
      </vt:variant>
    </vt:vector>
  </HeadingPairs>
  <TitlesOfParts>
    <vt:vector size="23" baseType="lpstr">
      <vt:lpstr>Tma</vt:lpstr>
      <vt:lpstr>SP</vt:lpstr>
      <vt:lpstr>Calculo IP ZDF</vt:lpstr>
      <vt:lpstr>PROPORCIONALIDADES</vt:lpstr>
      <vt:lpstr>RUBROS</vt:lpstr>
      <vt:lpstr>IMPUESTO AL CARBONO GMR</vt:lpstr>
      <vt:lpstr>BIODIESEL</vt:lpstr>
      <vt:lpstr>AMAZONAS</vt:lpstr>
      <vt:lpstr>ARAUCA</vt:lpstr>
      <vt:lpstr>BOYACA</vt:lpstr>
      <vt:lpstr>CESAR</vt:lpstr>
      <vt:lpstr>CHOCO</vt:lpstr>
      <vt:lpstr>NARIÑO</vt:lpstr>
      <vt:lpstr>GUAINIA</vt:lpstr>
      <vt:lpstr>LA GUAJIRA</vt:lpstr>
      <vt:lpstr>NORTE SANTANDER</vt:lpstr>
      <vt:lpstr>PUTUMAYO</vt:lpstr>
      <vt:lpstr>VAUPES</vt:lpstr>
      <vt:lpstr>VICHADA</vt:lpstr>
      <vt:lpstr>BI ECP </vt:lpstr>
      <vt:lpstr>BI REFICAR</vt:lpstr>
      <vt:lpstr>ELECTROCOMBUSTIBLE</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Helber Froilan Martinez Puerto</cp:lastModifiedBy>
  <dcterms:created xsi:type="dcterms:W3CDTF">2019-03-31T15:51:33Z</dcterms:created>
  <dcterms:modified xsi:type="dcterms:W3CDTF">2025-03-22T03:20:34Z</dcterms:modified>
</cp:coreProperties>
</file>