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codeName="ThisWorkbook"/>
  <mc:AlternateContent xmlns:mc="http://schemas.openxmlformats.org/markup-compatibility/2006">
    <mc:Choice Requires="x15">
      <x15ac:absPath xmlns:x15ac="http://schemas.microsoft.com/office/spreadsheetml/2010/11/ac" url="D:\GRE_PUBLICACIONES\HISTORICOS 2022\Zonas de Frontera\"/>
    </mc:Choice>
  </mc:AlternateContent>
  <xr:revisionPtr revIDLastSave="0" documentId="13_ncr:1_{7BF9AD2F-33D7-4DF2-B7C3-8478BA38A75C}" xr6:coauthVersionLast="47" xr6:coauthVersionMax="47" xr10:uidLastSave="{00000000-0000-0000-0000-000000000000}"/>
  <workbookProtection workbookAlgorithmName="SHA-512" workbookHashValue="XASiGjv0CYlQPco3xAy3Nw8KKT/Gmdj/i7UIKpGgCZcuWq5PC/GVvHKxeVpoGVYC7cGngE1xsEXLTbsq3E3KSw==" workbookSaltValue="Hl4eUur9yco1AVeUBHJM+Q==" workbookSpinCount="100000" lockStructure="1"/>
  <bookViews>
    <workbookView xWindow="-108" yWindow="-108" windowWidth="23256" windowHeight="12576" tabRatio="965" firstSheet="8" activeTab="9"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GUAINIA" sheetId="17" r:id="rId14"/>
    <sheet name="LA GUAJIRA" sheetId="19" r:id="rId15"/>
    <sheet name="NARIÑO" sheetId="20" r:id="rId16"/>
    <sheet name="NORTE SANTANDER" sheetId="21" r:id="rId17"/>
    <sheet name="PUTUMAYO" sheetId="34" r:id="rId18"/>
    <sheet name="VAUPES" sheetId="23" r:id="rId19"/>
    <sheet name="VICHADA" sheetId="28" r:id="rId20"/>
    <sheet name="ELECTROCOMBUSTIBLE" sheetId="24" r:id="rId21"/>
    <sheet name="BI ECP " sheetId="30" state="hidden" r:id="rId22"/>
    <sheet name="BI REFICAR" sheetId="29" state="hidden" r:id="rId23"/>
  </sheets>
  <externalReferences>
    <externalReference r:id="rId24"/>
    <externalReference r:id="rId25"/>
    <externalReference r:id="rId26"/>
    <externalReference r:id="rId27"/>
    <externalReference r:id="rId28"/>
    <externalReference r:id="rId29"/>
  </externalReferences>
  <definedNames>
    <definedName name="\A" localSheetId="2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#REF!</definedName>
    <definedName name="\L" localSheetId="2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#REF!</definedName>
    <definedName name="\P" localSheetId="2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#REF!</definedName>
    <definedName name="_xlnm._FilterDatabase" localSheetId="21" hidden="1">'BI ECP '!$A$1:$V$46</definedName>
    <definedName name="_xlnm._FilterDatabase" localSheetId="22" hidden="1">'BI REFICAR'!$A$1:$Y$22</definedName>
    <definedName name="a" localSheetId="2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18">[1]TARIF2002!#REF!</definedName>
    <definedName name="a" localSheetId="19">[1]TARIF2002!#REF!</definedName>
    <definedName name="a">[1]TARIF2002!#REF!</definedName>
    <definedName name="A_IMPRESIÓN_IM" localSheetId="2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#REF!</definedName>
    <definedName name="aa" localSheetId="21">#REF!</definedName>
    <definedName name="aa" localSheetId="17">#REF!</definedName>
    <definedName name="aa" localSheetId="18">#REF!</definedName>
    <definedName name="aa" localSheetId="19">#REF!</definedName>
    <definedName name="aa">#REF!</definedName>
    <definedName name="ADI" localSheetId="21">#REF!</definedName>
    <definedName name="ADI" localSheetId="12">#REF!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18">#REF!</definedName>
    <definedName name="ADI" localSheetId="19">#REF!</definedName>
    <definedName name="ADI">#REF!</definedName>
    <definedName name="B102T5">RUBROS!$B$102</definedName>
    <definedName name="base" localSheetId="21">#REF!</definedName>
    <definedName name="base" localSheetId="12">#REF!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18">#REF!</definedName>
    <definedName name="base" localSheetId="19">#REF!</definedName>
    <definedName name="base">#REF!</definedName>
    <definedName name="base_VaR" localSheetId="21">#REF!</definedName>
    <definedName name="base_VaR" localSheetId="12">#REF!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18">#REF!</definedName>
    <definedName name="base_VaR" localSheetId="19">#REF!</definedName>
    <definedName name="base_VaR">#REF!</definedName>
    <definedName name="cc" localSheetId="21">#REF!</definedName>
    <definedName name="cc" localSheetId="17">#REF!</definedName>
    <definedName name="cc" localSheetId="18">#REF!</definedName>
    <definedName name="cc" localSheetId="19">#REF!</definedName>
    <definedName name="cc">#REF!</definedName>
    <definedName name="CONTADO" localSheetId="21">#REF!</definedName>
    <definedName name="CONTADO" localSheetId="12">#REF!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18">#REF!</definedName>
    <definedName name="CONTADO" localSheetId="19">#REF!</definedName>
    <definedName name="CONTADO">#REF!</definedName>
    <definedName name="CREDITO" localSheetId="21">#REF!</definedName>
    <definedName name="CREDITO" localSheetId="12">#REF!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18">#REF!</definedName>
    <definedName name="CREDITO" localSheetId="19">#REF!</definedName>
    <definedName name="CREDITO">#REF!</definedName>
    <definedName name="DAT" localSheetId="21">#REF!</definedName>
    <definedName name="DAT" localSheetId="12">#REF!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18">#REF!</definedName>
    <definedName name="DAT" localSheetId="19">#REF!</definedName>
    <definedName name="DAT">#REF!</definedName>
    <definedName name="dd" localSheetId="21">#REF!</definedName>
    <definedName name="dd" localSheetId="17">#REF!</definedName>
    <definedName name="dd" localSheetId="18">#REF!</definedName>
    <definedName name="dd" localSheetId="19">#REF!</definedName>
    <definedName name="dd">#REF!</definedName>
    <definedName name="E_03" localSheetId="21">#REF!</definedName>
    <definedName name="E_03" localSheetId="12">#REF!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18">#REF!</definedName>
    <definedName name="E_03" localSheetId="19">#REF!</definedName>
    <definedName name="E_03">#REF!</definedName>
    <definedName name="ee" localSheetId="21">#REF!</definedName>
    <definedName name="ee" localSheetId="17">#REF!</definedName>
    <definedName name="ee" localSheetId="18">#REF!</definedName>
    <definedName name="ee" localSheetId="19">#REF!</definedName>
    <definedName name="ee">#REF!</definedName>
    <definedName name="ERR" localSheetId="2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18">[2]TARIF2002!#REF!</definedName>
    <definedName name="ERR" localSheetId="19">[2]TARIF2002!#REF!</definedName>
    <definedName name="ERR">[2]TARIF2002!#REF!</definedName>
    <definedName name="ERROR" localSheetId="21">#REF!</definedName>
    <definedName name="ERROR" localSheetId="12">#REF!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18">#REF!</definedName>
    <definedName name="ERROR" localSheetId="19">#REF!</definedName>
    <definedName name="ERROR">#REF!</definedName>
    <definedName name="ERROR1" localSheetId="21">#REF!</definedName>
    <definedName name="ERROR1" localSheetId="12">#REF!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18">#REF!</definedName>
    <definedName name="ERROR1" localSheetId="19">#REF!</definedName>
    <definedName name="ERROR1">#REF!</definedName>
    <definedName name="ERROR2" localSheetId="21">#REF!</definedName>
    <definedName name="ERROR2" localSheetId="12">#REF!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18">#REF!</definedName>
    <definedName name="ERROR2" localSheetId="19">#REF!</definedName>
    <definedName name="ERROR2">#REF!</definedName>
    <definedName name="ERROR3" localSheetId="2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18">[2]TARIF2002!#REF!</definedName>
    <definedName name="ERROR3" localSheetId="19">[2]TARIF2002!#REF!</definedName>
    <definedName name="ERROR3">[2]TARIF2002!#REF!</definedName>
    <definedName name="ERROR5" localSheetId="2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18">[2]TARIF2002!#REF!</definedName>
    <definedName name="ERROR5" localSheetId="19">[2]TARIF2002!#REF!</definedName>
    <definedName name="ERROR5">[2]TARIF2002!#REF!</definedName>
    <definedName name="fdffda" localSheetId="21">#REF!</definedName>
    <definedName name="fdffda" localSheetId="17">#REF!</definedName>
    <definedName name="fdffda" localSheetId="18">#REF!</definedName>
    <definedName name="fdffda" localSheetId="19">#REF!</definedName>
    <definedName name="fdffda">#REF!</definedName>
    <definedName name="ff" localSheetId="21">#REF!</definedName>
    <definedName name="ff" localSheetId="17">#REF!</definedName>
    <definedName name="ff" localSheetId="18">#REF!</definedName>
    <definedName name="ff" localSheetId="19">#REF!</definedName>
    <definedName name="ff">#REF!</definedName>
    <definedName name="fff" localSheetId="21">#REF!</definedName>
    <definedName name="fff" localSheetId="17">#REF!</definedName>
    <definedName name="fff" localSheetId="18">#REF!</definedName>
    <definedName name="fff" localSheetId="19">#REF!</definedName>
    <definedName name="fff">#REF!</definedName>
    <definedName name="ffg" localSheetId="21">#REF!</definedName>
    <definedName name="ffg" localSheetId="17">#REF!</definedName>
    <definedName name="ffg" localSheetId="18">#REF!</definedName>
    <definedName name="ffg" localSheetId="19">#REF!</definedName>
    <definedName name="ffg">#REF!</definedName>
    <definedName name="gggg" localSheetId="21">#REF!</definedName>
    <definedName name="gggg" localSheetId="17">#REF!</definedName>
    <definedName name="gggg" localSheetId="18">#REF!</definedName>
    <definedName name="gggg" localSheetId="19">#REF!</definedName>
    <definedName name="gggg">#REF!</definedName>
    <definedName name="ggggg" localSheetId="21">[2]TARIF2002!#REF!</definedName>
    <definedName name="ggggg" localSheetId="17">[2]TARIF2002!#REF!</definedName>
    <definedName name="ggggg" localSheetId="18">[2]TARIF2002!#REF!</definedName>
    <definedName name="ggggg" localSheetId="19">[2]TARIF2002!#REF!</definedName>
    <definedName name="ggggg">[2]TARIF2002!#REF!</definedName>
    <definedName name="GHGDHDH" localSheetId="21">[2]TARIF2002!#REF!</definedName>
    <definedName name="GHGDHDH" localSheetId="17">[2]TARIF2002!#REF!</definedName>
    <definedName name="GHGDHDH" localSheetId="19">[2]TARIF2002!#REF!</definedName>
    <definedName name="GHGDHDH">[2]TARIF2002!#REF!</definedName>
    <definedName name="GHGHDH" localSheetId="21">[2]TARIF2002!#REF!</definedName>
    <definedName name="GHGHDH" localSheetId="17">[2]TARIF2002!#REF!</definedName>
    <definedName name="GHGHDH" localSheetId="19">[2]TARIF2002!#REF!</definedName>
    <definedName name="GHGHDH">[2]TARIF2002!#REF!</definedName>
    <definedName name="GHGHH" localSheetId="21">[2]TARIF2002!#REF!</definedName>
    <definedName name="GHGHH" localSheetId="17">[2]TARIF2002!#REF!</definedName>
    <definedName name="GHGHH" localSheetId="19">[2]TARIF2002!#REF!</definedName>
    <definedName name="GHGHH">[2]TARIF2002!#REF!</definedName>
    <definedName name="GHHDHDFH" localSheetId="21">#REF!</definedName>
    <definedName name="GHHDHDFH" localSheetId="17">#REF!</definedName>
    <definedName name="GHHDHDFH" localSheetId="19">#REF!</definedName>
    <definedName name="GHHDHDFH">#REF!</definedName>
    <definedName name="HDGHH" localSheetId="21">[2]TARIF2002!#REF!</definedName>
    <definedName name="HDGHH" localSheetId="17">[2]TARIF2002!#REF!</definedName>
    <definedName name="HDGHH" localSheetId="19">[2]TARIF2002!#REF!</definedName>
    <definedName name="HDGHH">[2]TARIF2002!#REF!</definedName>
    <definedName name="HFDGHH" localSheetId="21">[2]TARIF2002!#REF!</definedName>
    <definedName name="HFDGHH" localSheetId="17">[2]TARIF2002!#REF!</definedName>
    <definedName name="HFDGHH" localSheetId="19">[2]TARIF2002!#REF!</definedName>
    <definedName name="HFDGHH">[2]TARIF2002!#REF!</definedName>
    <definedName name="HGFHFH" localSheetId="21">#REF!</definedName>
    <definedName name="HGFHFH" localSheetId="17">#REF!</definedName>
    <definedName name="HGFHFH" localSheetId="19">#REF!</definedName>
    <definedName name="HGFHFH">#REF!</definedName>
    <definedName name="HGFHGFHGFH" localSheetId="21">#REF!</definedName>
    <definedName name="HGFHGFHGFH" localSheetId="17">#REF!</definedName>
    <definedName name="HGFHGFHGFH" localSheetId="19">#REF!</definedName>
    <definedName name="HGFHGFHGFH">#REF!</definedName>
    <definedName name="HGFHGH" localSheetId="21">[2]TARIF2002!#REF!</definedName>
    <definedName name="HGFHGH" localSheetId="17">[2]TARIF2002!#REF!</definedName>
    <definedName name="HGFHGH" localSheetId="19">[2]TARIF2002!#REF!</definedName>
    <definedName name="HGFHGH">[2]TARIF2002!#REF!</definedName>
    <definedName name="HGFHH" localSheetId="21">#REF!</definedName>
    <definedName name="HGFHH" localSheetId="17">#REF!</definedName>
    <definedName name="HGFHH" localSheetId="19">#REF!</definedName>
    <definedName name="HGFHH">#REF!</definedName>
    <definedName name="HGFHSHFH" localSheetId="21">#REF!</definedName>
    <definedName name="HGFHSHFH" localSheetId="17">#REF!</definedName>
    <definedName name="HGFHSHFH" localSheetId="19">#REF!</definedName>
    <definedName name="HGFHSHFH">#REF!</definedName>
    <definedName name="HGHDGHDH" localSheetId="21">[2]TARIF2002!#REF!</definedName>
    <definedName name="HGHDGHDH" localSheetId="17">[2]TARIF2002!#REF!</definedName>
    <definedName name="HGHDGHDH" localSheetId="19">[2]TARIF2002!#REF!</definedName>
    <definedName name="HGHDGHDH">[2]TARIF2002!#REF!</definedName>
    <definedName name="HGHGDFH" localSheetId="21">#REF!</definedName>
    <definedName name="HGHGDFH" localSheetId="17">#REF!</definedName>
    <definedName name="HGHGDFH" localSheetId="19">#REF!</definedName>
    <definedName name="HGHGDFH">#REF!</definedName>
    <definedName name="HGHGH" localSheetId="21">[2]TARIF2002!#REF!</definedName>
    <definedName name="HGHGH" localSheetId="17">[2]TARIF2002!#REF!</definedName>
    <definedName name="HGHGH" localSheetId="19">[2]TARIF2002!#REF!</definedName>
    <definedName name="HGHGH">[2]TARIF2002!#REF!</definedName>
    <definedName name="HGHGHH" localSheetId="21">[3]TARIF2002!#REF!</definedName>
    <definedName name="HGHGHH" localSheetId="17">[3]TARIF2002!#REF!</definedName>
    <definedName name="HGHGHH" localSheetId="19">[3]TARIF2002!#REF!</definedName>
    <definedName name="HGHGHH">[3]TARIF2002!#REF!</definedName>
    <definedName name="hhhh" localSheetId="21">[2]TARIF2002!#REF!</definedName>
    <definedName name="hhhh" localSheetId="17">[2]TARIF2002!#REF!</definedName>
    <definedName name="hhhh" localSheetId="18">[2]TARIF2002!#REF!</definedName>
    <definedName name="hhhh" localSheetId="19">[2]TARIF2002!#REF!</definedName>
    <definedName name="hhhh">[2]TARIF2002!#REF!</definedName>
    <definedName name="hkkkk" localSheetId="21">[2]TARIF2002!#REF!</definedName>
    <definedName name="hkkkk" localSheetId="17">[2]TARIF2002!#REF!</definedName>
    <definedName name="hkkkk" localSheetId="18">[2]TARIF2002!#REF!</definedName>
    <definedName name="hkkkk" localSheetId="19">[2]TARIF2002!#REF!</definedName>
    <definedName name="hkkkk">[2]TARIF2002!#REF!</definedName>
    <definedName name="j" localSheetId="2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#REF!</definedName>
    <definedName name="JA" localSheetId="2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#REF!</definedName>
    <definedName name="jjj" localSheetId="21">[3]TARIF2002!#REF!</definedName>
    <definedName name="jjj" localSheetId="17">[3]TARIF2002!#REF!</definedName>
    <definedName name="jjj" localSheetId="18">[3]TARIF2002!#REF!</definedName>
    <definedName name="jjj" localSheetId="19">[3]TARIF2002!#REF!</definedName>
    <definedName name="jjj">[3]TARIF2002!#REF!</definedName>
    <definedName name="kkhkhk" localSheetId="21">[2]TARIF2002!#REF!</definedName>
    <definedName name="kkhkhk" localSheetId="17">[2]TARIF2002!#REF!</definedName>
    <definedName name="kkhkhk" localSheetId="18">[2]TARIF2002!#REF!</definedName>
    <definedName name="kkhkhk" localSheetId="19">[2]TARIF2002!#REF!</definedName>
    <definedName name="kkhkhk">[2]TARIF2002!#REF!</definedName>
    <definedName name="MATRIZRICS">'[4]RICS NUEVA HOJA DIARIA'!$A$1:$AB$42</definedName>
    <definedName name="MES" localSheetId="21">#REF!</definedName>
    <definedName name="MES" localSheetId="12">#REF!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18">#REF!</definedName>
    <definedName name="MES" localSheetId="19">#REF!</definedName>
    <definedName name="MES">#REF!</definedName>
    <definedName name="NTE" localSheetId="21">#REF!</definedName>
    <definedName name="NTE" localSheetId="12">#REF!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18">#REF!</definedName>
    <definedName name="NTE" localSheetId="19">#REF!</definedName>
    <definedName name="NTE">#REF!</definedName>
    <definedName name="Q" localSheetId="2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18">[3]TARIF2002!#REF!</definedName>
    <definedName name="Q" localSheetId="19">[3]TARIF2002!#REF!</definedName>
    <definedName name="Q">[3]TARIF2002!#REF!</definedName>
    <definedName name="QE" localSheetId="2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18">[2]TARIF2002!#REF!</definedName>
    <definedName name="QE" localSheetId="19">[2]TARIF2002!#REF!</definedName>
    <definedName name="QE">[2]TARIF2002!#REF!</definedName>
    <definedName name="QE_TE" localSheetId="2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18">[2]TARIF2002!#REF!</definedName>
    <definedName name="QE_TE" localSheetId="19">[2]TARIF2002!#REF!</definedName>
    <definedName name="QE_TE">[2]TARIF2002!#REF!</definedName>
    <definedName name="QI" localSheetId="2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18">[2]TARIF2002!#REF!</definedName>
    <definedName name="QI" localSheetId="19">[2]TARIF2002!#REF!</definedName>
    <definedName name="QI">[2]TARIF2002!#REF!</definedName>
    <definedName name="QI_TI" localSheetId="2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18">[2]TARIF2002!#REF!</definedName>
    <definedName name="QI_TI" localSheetId="19">[2]TARIF2002!#REF!</definedName>
    <definedName name="QI_TI">[2]TARIF2002!#REF!</definedName>
    <definedName name="QN" localSheetId="2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18">[2]TARIF2002!#REF!</definedName>
    <definedName name="QN" localSheetId="19">[2]TARIF2002!#REF!</definedName>
    <definedName name="QN">[2]TARIF2002!#REF!</definedName>
    <definedName name="QN_QI" localSheetId="2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18">[2]TARIF2002!#REF!</definedName>
    <definedName name="QN_QI" localSheetId="19">[2]TARIF2002!#REF!</definedName>
    <definedName name="QN_QI">[2]TARIF2002!#REF!</definedName>
    <definedName name="QNS" localSheetId="2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18">[3]TARIF2002!#REF!</definedName>
    <definedName name="QNS" localSheetId="19">[3]TARIF2002!#REF!</definedName>
    <definedName name="QNS">[3]TARIF2002!#REF!</definedName>
    <definedName name="REG" localSheetId="21">#REF!</definedName>
    <definedName name="REG" localSheetId="12">#REF!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18">#REF!</definedName>
    <definedName name="REG" localSheetId="19">#REF!</definedName>
    <definedName name="REG">#REF!</definedName>
    <definedName name="REGULAR" localSheetId="21">#REF!</definedName>
    <definedName name="REGULAR" localSheetId="12">#REF!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18">#REF!</definedName>
    <definedName name="REGULAR" localSheetId="19">#REF!</definedName>
    <definedName name="REGULAR">#REF!</definedName>
    <definedName name="SOL" localSheetId="21">#REF!</definedName>
    <definedName name="SOL" localSheetId="12">#REF!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18">#REF!</definedName>
    <definedName name="SOL" localSheetId="19">#REF!</definedName>
    <definedName name="SOL">#REF!</definedName>
    <definedName name="TE" localSheetId="2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18">[2]TARIF2002!#REF!</definedName>
    <definedName name="TE" localSheetId="19">[2]TARIF2002!#REF!</definedName>
    <definedName name="TE">[2]TARIF2002!#REF!</definedName>
    <definedName name="TI" localSheetId="2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18">[2]TARIF2002!#REF!</definedName>
    <definedName name="TI" localSheetId="19">[2]TARIF2002!#REF!</definedName>
    <definedName name="TI">[2]TARIF2002!#REF!</definedName>
    <definedName name="TITU" localSheetId="21">#REF!</definedName>
    <definedName name="TITU" localSheetId="12">#REF!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18">#REF!</definedName>
    <definedName name="TITU" localSheetId="19">#REF!</definedName>
    <definedName name="TITU">#REF!</definedName>
    <definedName name="TOT" localSheetId="21">#REF!</definedName>
    <definedName name="TOT" localSheetId="12">#REF!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18">#REF!</definedName>
    <definedName name="TOT" localSheetId="19">#REF!</definedName>
    <definedName name="TOT">#REF!</definedName>
    <definedName name="VAPUES" localSheetId="21">#REF!</definedName>
    <definedName name="VAPUES" localSheetId="17">#REF!</definedName>
    <definedName name="VAPUES" localSheetId="19">#REF!</definedName>
    <definedName name="VAPUES">#REF!</definedName>
    <definedName name="VAUPES2" localSheetId="21">#REF!</definedName>
    <definedName name="VAUPES2" localSheetId="12">#REF!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18">#REF!</definedName>
    <definedName name="VAUPES2" localSheetId="19">#REF!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 i="10" l="1"/>
  <c r="E11" i="19"/>
  <c r="E60" i="19"/>
  <c r="I58" i="19"/>
  <c r="E57" i="19"/>
  <c r="H41" i="3" l="1"/>
  <c r="D32" i="28" s="1"/>
  <c r="I33" i="28"/>
  <c r="I32" i="28"/>
  <c r="I9" i="28"/>
  <c r="I8" i="28"/>
  <c r="D8" i="28"/>
  <c r="I9" i="23"/>
  <c r="I8" i="23"/>
  <c r="H39" i="3"/>
  <c r="D8" i="23"/>
  <c r="I8" i="19"/>
  <c r="G8" i="10"/>
  <c r="I9" i="17"/>
  <c r="I8" i="17"/>
  <c r="H34" i="3"/>
  <c r="D8" i="17" s="1"/>
  <c r="I9" i="19"/>
  <c r="G9" i="10"/>
  <c r="H29" i="3"/>
  <c r="D8" i="10" s="1"/>
  <c r="E8" i="19"/>
  <c r="H35" i="3"/>
  <c r="I8" i="12"/>
  <c r="I9" i="12"/>
  <c r="F11" i="12"/>
  <c r="F8" i="12"/>
  <c r="H8" i="9"/>
  <c r="K9" i="9"/>
  <c r="K8" i="9"/>
  <c r="K28" i="3"/>
  <c r="K24" i="34"/>
  <c r="K20" i="34"/>
  <c r="K15" i="34"/>
  <c r="K14" i="34"/>
  <c r="K9" i="34"/>
  <c r="K6" i="34"/>
  <c r="K5" i="34"/>
  <c r="L15" i="20"/>
  <c r="L14" i="20"/>
  <c r="L13" i="20"/>
  <c r="M13" i="20"/>
  <c r="L11" i="20"/>
  <c r="L9" i="20"/>
  <c r="L6" i="20"/>
  <c r="L5" i="20"/>
  <c r="G13" i="20"/>
  <c r="G11" i="20"/>
  <c r="L14" i="15"/>
  <c r="L13" i="15"/>
  <c r="L12" i="15"/>
  <c r="L9" i="15"/>
  <c r="J8" i="12"/>
  <c r="J9" i="12"/>
  <c r="J10" i="12"/>
  <c r="J11" i="12"/>
  <c r="J13" i="12"/>
  <c r="J15" i="12"/>
  <c r="J16" i="12"/>
  <c r="J20" i="12" s="1"/>
  <c r="J22" i="12"/>
  <c r="J23" i="12"/>
  <c r="L29" i="12"/>
  <c r="L30" i="12"/>
  <c r="K32" i="12"/>
  <c r="K40" i="12" s="1"/>
  <c r="K44" i="12" s="1"/>
  <c r="K33" i="12"/>
  <c r="O33" i="12"/>
  <c r="K35" i="12"/>
  <c r="L35" i="12"/>
  <c r="O35" i="12" s="1"/>
  <c r="L37" i="12"/>
  <c r="K38" i="12"/>
  <c r="O38" i="12"/>
  <c r="L42" i="12"/>
  <c r="K46" i="12"/>
  <c r="O46" i="12"/>
  <c r="K47" i="12"/>
  <c r="J52" i="12"/>
  <c r="K55" i="12"/>
  <c r="K63" i="12" s="1"/>
  <c r="K67" i="12" s="1"/>
  <c r="J56" i="12"/>
  <c r="K56" i="12"/>
  <c r="J57" i="12"/>
  <c r="K57" i="12"/>
  <c r="K58" i="12"/>
  <c r="J60" i="12"/>
  <c r="K60" i="12"/>
  <c r="K62" i="12"/>
  <c r="K69" i="12"/>
  <c r="J70" i="12"/>
  <c r="K70" i="12"/>
  <c r="J76" i="12"/>
  <c r="K79" i="12"/>
  <c r="J80" i="12"/>
  <c r="K80" i="12"/>
  <c r="J81" i="12"/>
  <c r="K81" i="12"/>
  <c r="K82" i="12"/>
  <c r="J84" i="12"/>
  <c r="K84" i="12"/>
  <c r="K86" i="12"/>
  <c r="K87" i="12"/>
  <c r="K91" i="12" s="1"/>
  <c r="K93" i="12"/>
  <c r="J94" i="12"/>
  <c r="K94" i="12"/>
  <c r="K15" i="11"/>
  <c r="K14" i="11"/>
  <c r="K11" i="11"/>
  <c r="K10" i="11"/>
  <c r="K9" i="11"/>
  <c r="K6" i="11"/>
  <c r="K5" i="11"/>
  <c r="G13" i="11"/>
  <c r="H10" i="7"/>
  <c r="G11" i="11"/>
  <c r="F24" i="9"/>
  <c r="F23" i="9"/>
  <c r="F22" i="9"/>
  <c r="F14" i="9"/>
  <c r="F13" i="9"/>
  <c r="F12" i="9"/>
  <c r="F11" i="9"/>
  <c r="M7" i="5"/>
  <c r="M9" i="5" s="1"/>
  <c r="M8" i="5"/>
  <c r="F8" i="5"/>
  <c r="I8" i="7"/>
  <c r="J8" i="7"/>
  <c r="J7" i="7"/>
  <c r="I7" i="7"/>
  <c r="J13" i="28"/>
  <c r="I13" i="28"/>
  <c r="C13" i="28"/>
  <c r="C13" i="23"/>
  <c r="C14" i="34"/>
  <c r="G14" i="34" s="1"/>
  <c r="C14" i="21"/>
  <c r="C13" i="21"/>
  <c r="M14" i="20"/>
  <c r="K14" i="20"/>
  <c r="C14" i="20"/>
  <c r="AA54" i="2"/>
  <c r="K13" i="20"/>
  <c r="C13" i="20"/>
  <c r="J14" i="19"/>
  <c r="I14" i="19"/>
  <c r="C14" i="19"/>
  <c r="J13" i="19"/>
  <c r="I13" i="19"/>
  <c r="C13" i="19"/>
  <c r="C15" i="17"/>
  <c r="J14" i="17"/>
  <c r="I14" i="17"/>
  <c r="C14" i="17"/>
  <c r="K13" i="15"/>
  <c r="C13" i="15"/>
  <c r="G13" i="15" s="1"/>
  <c r="C38" i="12"/>
  <c r="L38" i="12" s="1"/>
  <c r="C37" i="12"/>
  <c r="H13" i="12"/>
  <c r="C13" i="12"/>
  <c r="J14" i="11"/>
  <c r="I14" i="11"/>
  <c r="C14" i="11"/>
  <c r="AU28" i="2"/>
  <c r="G14" i="10"/>
  <c r="C14" i="10"/>
  <c r="J13" i="9"/>
  <c r="I13" i="9"/>
  <c r="G13" i="10"/>
  <c r="C13" i="10"/>
  <c r="C13" i="9"/>
  <c r="E10" i="7"/>
  <c r="J9" i="7" l="1"/>
  <c r="I9" i="7"/>
  <c r="J55" i="12"/>
  <c r="J79" i="12"/>
  <c r="J12" i="7"/>
  <c r="I12" i="7"/>
  <c r="H11" i="20" s="1"/>
  <c r="H12" i="7"/>
  <c r="D12" i="7"/>
  <c r="E12" i="7"/>
  <c r="J10" i="7"/>
  <c r="I10" i="7"/>
  <c r="D10" i="7"/>
  <c r="D12" i="5"/>
  <c r="D10" i="5"/>
  <c r="AC13" i="2"/>
  <c r="O7" i="7"/>
  <c r="H8" i="7"/>
  <c r="H7" i="7"/>
  <c r="L9" i="34"/>
  <c r="L8" i="34"/>
  <c r="M9" i="20"/>
  <c r="M8" i="20"/>
  <c r="M9" i="15"/>
  <c r="M8" i="15"/>
  <c r="K12" i="7"/>
  <c r="L9" i="11"/>
  <c r="L8" i="11"/>
  <c r="E8" i="7"/>
  <c r="D8" i="5"/>
  <c r="J23" i="34"/>
  <c r="J22" i="34"/>
  <c r="J19" i="34"/>
  <c r="J18" i="34"/>
  <c r="J6" i="34"/>
  <c r="H9" i="7" l="1"/>
  <c r="H11" i="11"/>
  <c r="K6" i="20"/>
  <c r="K6" i="15"/>
  <c r="J23" i="11"/>
  <c r="J22" i="11"/>
  <c r="J6" i="11"/>
  <c r="J6" i="9"/>
  <c r="AX41" i="2"/>
  <c r="AX40" i="2"/>
  <c r="AW41" i="2"/>
  <c r="AW40" i="2"/>
  <c r="AV41" i="2"/>
  <c r="AV40" i="2"/>
  <c r="C13" i="7"/>
  <c r="D13" i="7" s="1"/>
  <c r="E13" i="7" s="1"/>
  <c r="F13" i="7" s="1"/>
  <c r="H13" i="7" s="1"/>
  <c r="J13" i="7" s="1"/>
  <c r="D13" i="5"/>
  <c r="E8" i="4"/>
  <c r="C14" i="28"/>
  <c r="C14" i="23"/>
  <c r="C15" i="34"/>
  <c r="G15" i="34" s="1"/>
  <c r="C15" i="21"/>
  <c r="C15" i="20"/>
  <c r="G15" i="20" s="1"/>
  <c r="C15" i="19"/>
  <c r="C16" i="17"/>
  <c r="C14" i="15"/>
  <c r="G14" i="15" s="1"/>
  <c r="C14" i="12"/>
  <c r="C15" i="11"/>
  <c r="G15" i="11" s="1"/>
  <c r="C15" i="10"/>
  <c r="C14" i="9"/>
  <c r="AP28" i="2"/>
  <c r="AY42" i="2"/>
  <c r="AC40" i="2"/>
  <c r="AC41" i="2"/>
  <c r="AD40" i="2"/>
  <c r="AD41" i="2"/>
  <c r="AL40" i="2"/>
  <c r="F12" i="7"/>
  <c r="D10" i="24" s="1"/>
  <c r="F10" i="7"/>
  <c r="F8" i="7"/>
  <c r="F7" i="7"/>
  <c r="H25" i="3"/>
  <c r="H24" i="3"/>
  <c r="B36" i="3"/>
  <c r="L3" i="7"/>
  <c r="L8" i="15" l="1"/>
  <c r="O32" i="12"/>
  <c r="K8" i="11"/>
  <c r="K17" i="11" s="1"/>
  <c r="K21" i="11" s="1"/>
  <c r="L8" i="20"/>
  <c r="L17" i="20" s="1"/>
  <c r="L21" i="20" s="1"/>
  <c r="K8" i="34"/>
  <c r="K17" i="34" s="1"/>
  <c r="K21" i="34" s="1"/>
  <c r="H36" i="3"/>
  <c r="I36" i="3"/>
  <c r="E8" i="20" s="1"/>
  <c r="H26" i="3"/>
  <c r="F9" i="7"/>
  <c r="D8" i="24" s="1"/>
  <c r="I47" i="28" l="1"/>
  <c r="I46" i="28"/>
  <c r="I45" i="28"/>
  <c r="H47" i="28"/>
  <c r="H45" i="28"/>
  <c r="I38" i="28"/>
  <c r="I37" i="28"/>
  <c r="I36" i="28"/>
  <c r="I34" i="28"/>
  <c r="I23" i="28"/>
  <c r="I22" i="28"/>
  <c r="I21" i="28"/>
  <c r="H21" i="28"/>
  <c r="I14" i="28"/>
  <c r="H14" i="28"/>
  <c r="I12" i="28"/>
  <c r="D39" i="28"/>
  <c r="D37" i="28"/>
  <c r="D36" i="28"/>
  <c r="D34" i="28"/>
  <c r="D33" i="28"/>
  <c r="D14" i="28"/>
  <c r="D38" i="28" s="1"/>
  <c r="D13" i="28"/>
  <c r="D12" i="28"/>
  <c r="I23" i="23"/>
  <c r="I22" i="23"/>
  <c r="I21" i="23"/>
  <c r="H22" i="23"/>
  <c r="H21" i="23"/>
  <c r="H19" i="23"/>
  <c r="I19" i="23"/>
  <c r="I18" i="23"/>
  <c r="I17" i="23"/>
  <c r="I14" i="23"/>
  <c r="I13" i="23"/>
  <c r="I12" i="23"/>
  <c r="H12" i="23"/>
  <c r="D21" i="23"/>
  <c r="D17" i="23"/>
  <c r="I73" i="19"/>
  <c r="I72" i="19"/>
  <c r="I71" i="19"/>
  <c r="I69" i="19"/>
  <c r="I68" i="19"/>
  <c r="I67" i="19"/>
  <c r="H67" i="19"/>
  <c r="I61" i="19"/>
  <c r="E73" i="19"/>
  <c r="E72" i="19"/>
  <c r="E71" i="19"/>
  <c r="E69" i="19"/>
  <c r="E68" i="19"/>
  <c r="E67" i="19"/>
  <c r="E61" i="19"/>
  <c r="I60" i="19"/>
  <c r="I24" i="19"/>
  <c r="I23" i="19"/>
  <c r="I20" i="19"/>
  <c r="I19" i="19"/>
  <c r="I18" i="19"/>
  <c r="I22" i="19" s="1"/>
  <c r="H18" i="19"/>
  <c r="I12" i="19"/>
  <c r="E24" i="19"/>
  <c r="E23" i="19"/>
  <c r="E20" i="19"/>
  <c r="E19" i="19"/>
  <c r="E18" i="19"/>
  <c r="E22" i="19" s="1"/>
  <c r="I11" i="19"/>
  <c r="I23" i="17"/>
  <c r="I24" i="17"/>
  <c r="I20" i="17"/>
  <c r="I16" i="17"/>
  <c r="I15" i="17"/>
  <c r="I25" i="17"/>
  <c r="I12" i="17"/>
  <c r="I11" i="17"/>
  <c r="I10" i="17"/>
  <c r="D23" i="17"/>
  <c r="D19" i="17"/>
  <c r="D11" i="17" l="1"/>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1" i="2"/>
  <c r="AY40" i="2"/>
  <c r="AY39" i="2"/>
  <c r="AX43" i="2"/>
  <c r="AX42" i="2"/>
  <c r="AX46" i="2"/>
  <c r="AX39" i="2"/>
  <c r="AW43" i="2"/>
  <c r="AW42" i="2"/>
  <c r="AW39" i="2"/>
  <c r="AV43" i="2"/>
  <c r="AV42" i="2"/>
  <c r="AV39" i="2"/>
  <c r="AU43" i="2"/>
  <c r="AU42" i="2"/>
  <c r="AU41" i="2"/>
  <c r="AU40" i="2"/>
  <c r="AU39" i="2"/>
  <c r="AU32" i="2"/>
  <c r="AU31" i="2"/>
  <c r="AU30" i="2"/>
  <c r="AU29" i="2"/>
  <c r="AD21" i="2"/>
  <c r="AD20" i="2"/>
  <c r="AD19" i="2"/>
  <c r="AD18" i="2"/>
  <c r="AD17" i="2"/>
  <c r="AD16" i="2"/>
  <c r="AD15" i="2"/>
  <c r="AC21" i="2"/>
  <c r="AC20" i="2"/>
  <c r="AC19" i="2"/>
  <c r="AC18" i="2"/>
  <c r="AC17" i="2"/>
  <c r="AC16" i="2"/>
  <c r="AC15" i="2"/>
  <c r="AC14" i="2"/>
  <c r="AD14" i="2"/>
  <c r="AD13" i="2"/>
  <c r="J9" i="28"/>
  <c r="J9" i="23"/>
  <c r="F60" i="19"/>
  <c r="G8" i="7"/>
  <c r="G12" i="7"/>
  <c r="J11" i="19" s="1"/>
  <c r="G10" i="7"/>
  <c r="H9" i="10" s="1"/>
  <c r="E11" i="10"/>
  <c r="H6" i="23"/>
  <c r="H6" i="19"/>
  <c r="H9" i="17"/>
  <c r="H6" i="17"/>
  <c r="G11" i="10"/>
  <c r="G6" i="10"/>
  <c r="E10" i="5"/>
  <c r="H9" i="23" s="1"/>
  <c r="E12" i="5"/>
  <c r="D11" i="19" s="1"/>
  <c r="H11" i="19" s="1"/>
  <c r="E8" i="5"/>
  <c r="H30" i="28"/>
  <c r="H6" i="28"/>
  <c r="F10" i="5"/>
  <c r="F12" i="5"/>
  <c r="C36" i="3"/>
  <c r="C29" i="3"/>
  <c r="J36" i="3" l="1"/>
  <c r="K36" i="3"/>
  <c r="G8" i="20" s="1"/>
  <c r="K11" i="20"/>
  <c r="D11" i="12"/>
  <c r="H11" i="12"/>
  <c r="E11" i="20"/>
  <c r="E11" i="11"/>
  <c r="J11" i="11"/>
  <c r="D11" i="20"/>
  <c r="I11" i="11"/>
  <c r="D11" i="11"/>
  <c r="H9" i="19"/>
  <c r="H9" i="12"/>
  <c r="J9" i="34"/>
  <c r="J9" i="9"/>
  <c r="K9" i="15"/>
  <c r="J9" i="11"/>
  <c r="K9" i="20"/>
  <c r="H9" i="28"/>
  <c r="I9" i="34"/>
  <c r="J9" i="20"/>
  <c r="J9" i="15"/>
  <c r="I9" i="11"/>
  <c r="I9" i="9"/>
  <c r="H33" i="28"/>
  <c r="H11" i="10"/>
  <c r="J9" i="17"/>
  <c r="J9" i="19"/>
  <c r="I6" i="9"/>
  <c r="I6" i="34"/>
  <c r="J6" i="20"/>
  <c r="J6" i="15"/>
  <c r="H6" i="12"/>
  <c r="I6" i="11"/>
  <c r="AA52" i="2" l="1"/>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5" i="2"/>
  <c r="Z13" i="2"/>
  <c r="O12" i="7" l="1"/>
  <c r="P12" i="7" s="1"/>
  <c r="O10" i="7"/>
  <c r="P10" i="7" s="1"/>
  <c r="R10" i="7"/>
  <c r="O8" i="7"/>
  <c r="P8" i="7" s="1"/>
  <c r="O9" i="7" l="1"/>
  <c r="B28" i="3"/>
  <c r="I28" i="3" s="1"/>
  <c r="H28" i="3" l="1"/>
  <c r="E8" i="9"/>
  <c r="G28" i="3"/>
  <c r="J30" i="28"/>
  <c r="J29" i="28"/>
  <c r="W50" i="2" l="1"/>
  <c r="J6" i="28"/>
  <c r="J5" i="28"/>
  <c r="J6" i="23"/>
  <c r="J5" i="23"/>
  <c r="J6" i="19"/>
  <c r="J5" i="19"/>
  <c r="J6" i="17"/>
  <c r="J5" i="17"/>
  <c r="H6" i="10" l="1"/>
  <c r="H5" i="10"/>
  <c r="L5" i="11"/>
  <c r="H33" i="12"/>
  <c r="D35" i="12"/>
  <c r="G9" i="21"/>
  <c r="G11" i="21"/>
  <c r="D11" i="21"/>
  <c r="L10" i="7"/>
  <c r="M10" i="7" s="1"/>
  <c r="D6" i="7"/>
  <c r="R12" i="7"/>
  <c r="S12" i="7" s="1"/>
  <c r="L12" i="7"/>
  <c r="M12" i="7" s="1"/>
  <c r="R8" i="7"/>
  <c r="S8" i="7" s="1"/>
  <c r="R7" i="7"/>
  <c r="S7" i="7" s="1"/>
  <c r="L8" i="7"/>
  <c r="M8" i="7" s="1"/>
  <c r="K12" i="5"/>
  <c r="L12" i="5" s="1"/>
  <c r="K10" i="5"/>
  <c r="L10" i="5" s="1"/>
  <c r="K8" i="5"/>
  <c r="L8" i="5" s="1"/>
  <c r="I10" i="5"/>
  <c r="J10" i="5" s="1"/>
  <c r="I12" i="5"/>
  <c r="J12" i="5" s="1"/>
  <c r="H14" i="5"/>
  <c r="E7" i="7" l="1"/>
  <c r="E9" i="7" s="1"/>
  <c r="G7" i="7"/>
  <c r="L7" i="7"/>
  <c r="M7" i="7" s="1"/>
  <c r="R9" i="7"/>
  <c r="S9" i="7" s="1"/>
  <c r="G9" i="7" l="1"/>
  <c r="P7" i="7"/>
  <c r="H8" i="5"/>
  <c r="H48" i="19"/>
  <c r="G48" i="19"/>
  <c r="F48" i="19"/>
  <c r="E48" i="19"/>
  <c r="D48" i="19"/>
  <c r="D47" i="19"/>
  <c r="G47" i="19" s="1"/>
  <c r="C46" i="19"/>
  <c r="H44" i="19"/>
  <c r="G44" i="19"/>
  <c r="F44" i="19"/>
  <c r="E44" i="19"/>
  <c r="D44" i="19"/>
  <c r="H43" i="19"/>
  <c r="G43" i="19"/>
  <c r="F43" i="19"/>
  <c r="E43" i="19"/>
  <c r="D43" i="19"/>
  <c r="H42" i="19"/>
  <c r="H46" i="19" s="1"/>
  <c r="D42" i="19"/>
  <c r="D46" i="19" s="1"/>
  <c r="C39" i="19"/>
  <c r="G39" i="19" s="1"/>
  <c r="H39" i="19" s="1"/>
  <c r="C38" i="19"/>
  <c r="F38" i="19" s="1"/>
  <c r="C37" i="19"/>
  <c r="D37" i="19" s="1"/>
  <c r="G36" i="19"/>
  <c r="F36" i="19"/>
  <c r="E36" i="19"/>
  <c r="D36" i="19"/>
  <c r="H35" i="19"/>
  <c r="F35" i="19"/>
  <c r="E35" i="19"/>
  <c r="D35" i="19"/>
  <c r="C35" i="19"/>
  <c r="G35" i="19" s="1"/>
  <c r="H34" i="19"/>
  <c r="H33" i="19"/>
  <c r="G33" i="19"/>
  <c r="H32" i="19"/>
  <c r="F32" i="19"/>
  <c r="F30" i="19"/>
  <c r="H30" i="19" s="1"/>
  <c r="F29" i="19"/>
  <c r="H29" i="19" s="1"/>
  <c r="F11" i="19"/>
  <c r="C11" i="19"/>
  <c r="I94" i="12"/>
  <c r="H94" i="12"/>
  <c r="G94" i="12"/>
  <c r="E94" i="12"/>
  <c r="D94" i="12"/>
  <c r="G93" i="12"/>
  <c r="D93" i="12"/>
  <c r="H90" i="12"/>
  <c r="E90" i="12"/>
  <c r="G90" i="12" s="1"/>
  <c r="I89" i="12"/>
  <c r="J89" i="12" s="1"/>
  <c r="K89" i="12" s="1"/>
  <c r="H89" i="12"/>
  <c r="G89" i="12"/>
  <c r="E89" i="12"/>
  <c r="D89" i="12"/>
  <c r="E88" i="12"/>
  <c r="D88" i="12"/>
  <c r="C85" i="12"/>
  <c r="C84" i="12"/>
  <c r="H83" i="12"/>
  <c r="G83" i="12"/>
  <c r="E83" i="12"/>
  <c r="D83" i="12"/>
  <c r="J83" i="12" s="1"/>
  <c r="I82" i="12"/>
  <c r="H82" i="12"/>
  <c r="G82" i="12"/>
  <c r="J82" i="12" s="1"/>
  <c r="J87" i="12" s="1"/>
  <c r="J91" i="12" s="1"/>
  <c r="E82" i="12"/>
  <c r="D82" i="12"/>
  <c r="C82" i="12"/>
  <c r="I81" i="12"/>
  <c r="C81" i="12"/>
  <c r="I80" i="12"/>
  <c r="C80" i="12"/>
  <c r="G77" i="12"/>
  <c r="J77" i="12" s="1"/>
  <c r="I58" i="12"/>
  <c r="H58" i="12"/>
  <c r="G58" i="12"/>
  <c r="J58" i="12" s="1"/>
  <c r="E58" i="12"/>
  <c r="D58" i="12"/>
  <c r="C58" i="12"/>
  <c r="I56" i="12"/>
  <c r="C61" i="12"/>
  <c r="C60" i="12"/>
  <c r="C44" i="3"/>
  <c r="D44" i="3" s="1"/>
  <c r="E44" i="3"/>
  <c r="B44" i="3"/>
  <c r="C32" i="19" s="1"/>
  <c r="E43" i="3"/>
  <c r="C43" i="3"/>
  <c r="J43" i="3" s="1"/>
  <c r="C42" i="3"/>
  <c r="J42" i="3" s="1"/>
  <c r="E42" i="3"/>
  <c r="B43" i="3"/>
  <c r="G43" i="3" s="1"/>
  <c r="D79" i="12" s="1"/>
  <c r="B42" i="3"/>
  <c r="C55" i="12" s="1"/>
  <c r="I70" i="12"/>
  <c r="H70" i="12"/>
  <c r="G70" i="12"/>
  <c r="E70" i="12"/>
  <c r="D70" i="12"/>
  <c r="G69" i="12"/>
  <c r="D69" i="12"/>
  <c r="H66" i="12"/>
  <c r="E66" i="12"/>
  <c r="G66" i="12" s="1"/>
  <c r="I65" i="12"/>
  <c r="J65" i="12" s="1"/>
  <c r="K65" i="12" s="1"/>
  <c r="H65" i="12"/>
  <c r="G65" i="12"/>
  <c r="E65" i="12"/>
  <c r="D65" i="12"/>
  <c r="E64" i="12"/>
  <c r="D64" i="12"/>
  <c r="H59" i="12"/>
  <c r="G59" i="12"/>
  <c r="E59" i="12"/>
  <c r="D59" i="12"/>
  <c r="J59" i="12" s="1"/>
  <c r="C57" i="12"/>
  <c r="C56" i="12"/>
  <c r="G53" i="12"/>
  <c r="J53" i="12" s="1"/>
  <c r="E92" i="12" l="1"/>
  <c r="K88" i="12"/>
  <c r="J63" i="12"/>
  <c r="J67" i="12" s="1"/>
  <c r="K59" i="12"/>
  <c r="I59" i="12" s="1"/>
  <c r="K83" i="12"/>
  <c r="I83" i="12" s="1"/>
  <c r="H64" i="12"/>
  <c r="K64" i="12"/>
  <c r="F57" i="19"/>
  <c r="H8" i="10"/>
  <c r="J8" i="19"/>
  <c r="J8" i="17"/>
  <c r="J8" i="28"/>
  <c r="J8" i="23"/>
  <c r="P9" i="7"/>
  <c r="E13" i="19"/>
  <c r="E14" i="19"/>
  <c r="I15" i="19"/>
  <c r="E15" i="19"/>
  <c r="F37" i="19"/>
  <c r="G37" i="19"/>
  <c r="G61" i="12"/>
  <c r="G85" i="12"/>
  <c r="C41" i="19"/>
  <c r="C45" i="19" s="1"/>
  <c r="H38" i="19"/>
  <c r="F44" i="3"/>
  <c r="E32" i="19" s="1"/>
  <c r="H88" i="12"/>
  <c r="E84" i="12"/>
  <c r="H85" i="12"/>
  <c r="G88" i="12"/>
  <c r="M43" i="3"/>
  <c r="G79" i="12" s="1"/>
  <c r="E42" i="19"/>
  <c r="E46" i="19" s="1"/>
  <c r="C79" i="12"/>
  <c r="C87" i="12" s="1"/>
  <c r="C91" i="12" s="1"/>
  <c r="G42" i="3"/>
  <c r="D55" i="12" s="1"/>
  <c r="D43" i="3"/>
  <c r="F43" i="3" s="1"/>
  <c r="E79" i="12" s="1"/>
  <c r="H55" i="12"/>
  <c r="H79" i="12"/>
  <c r="M42" i="3"/>
  <c r="G55" i="12" s="1"/>
  <c r="G44" i="3"/>
  <c r="D32" i="19" s="1"/>
  <c r="E37" i="19"/>
  <c r="G38" i="19"/>
  <c r="H37" i="19"/>
  <c r="D39" i="19"/>
  <c r="E39" i="19"/>
  <c r="H36" i="19"/>
  <c r="H41" i="19" s="1"/>
  <c r="H45" i="19" s="1"/>
  <c r="D38" i="19"/>
  <c r="F39" i="19"/>
  <c r="E38" i="19"/>
  <c r="C92" i="12"/>
  <c r="D92" i="12"/>
  <c r="G92" i="12"/>
  <c r="I84" i="12"/>
  <c r="D84" i="12"/>
  <c r="I85" i="12"/>
  <c r="C90" i="12"/>
  <c r="I90" i="12" s="1"/>
  <c r="K90" i="12" s="1"/>
  <c r="J90" i="12" s="1"/>
  <c r="D90" i="12"/>
  <c r="G84" i="12"/>
  <c r="D85" i="12"/>
  <c r="H84" i="12"/>
  <c r="E85" i="12"/>
  <c r="G64" i="12"/>
  <c r="E68" i="12"/>
  <c r="C68" i="12" s="1"/>
  <c r="E60" i="12"/>
  <c r="C63" i="12"/>
  <c r="C67" i="12" s="1"/>
  <c r="J44" i="3"/>
  <c r="D42" i="3"/>
  <c r="F42" i="3" s="1"/>
  <c r="E55" i="12" s="1"/>
  <c r="H68" i="12"/>
  <c r="I69" i="12"/>
  <c r="H61" i="12"/>
  <c r="D60" i="12"/>
  <c r="I61" i="12"/>
  <c r="C66" i="12"/>
  <c r="I66" i="12" s="1"/>
  <c r="K66" i="12" s="1"/>
  <c r="J66" i="12" s="1"/>
  <c r="D66" i="12"/>
  <c r="G60" i="12"/>
  <c r="D61" i="12"/>
  <c r="H60" i="12"/>
  <c r="E61" i="12"/>
  <c r="J64" i="12" l="1"/>
  <c r="K68" i="12"/>
  <c r="J68" i="12" s="1"/>
  <c r="J85" i="12"/>
  <c r="K85" i="12"/>
  <c r="I64" i="12"/>
  <c r="K92" i="12"/>
  <c r="J92" i="12" s="1"/>
  <c r="J88" i="12"/>
  <c r="J61" i="12"/>
  <c r="K61" i="12"/>
  <c r="F41" i="19"/>
  <c r="F45" i="19" s="1"/>
  <c r="I93" i="12"/>
  <c r="H92" i="12"/>
  <c r="G87" i="12"/>
  <c r="G91" i="12" s="1"/>
  <c r="D87" i="12"/>
  <c r="D91" i="12" s="1"/>
  <c r="G68" i="12"/>
  <c r="D68" i="12"/>
  <c r="H87" i="12"/>
  <c r="H91" i="12" s="1"/>
  <c r="D41" i="19"/>
  <c r="D45" i="19" s="1"/>
  <c r="F42" i="19"/>
  <c r="F46" i="19" s="1"/>
  <c r="E41" i="19"/>
  <c r="E45" i="19" s="1"/>
  <c r="E87" i="12"/>
  <c r="E91" i="12" s="1"/>
  <c r="I88" i="12"/>
  <c r="E63" i="12"/>
  <c r="E67" i="12" s="1"/>
  <c r="H63" i="12"/>
  <c r="H67" i="12" s="1"/>
  <c r="I60" i="12"/>
  <c r="J11" i="20"/>
  <c r="G42" i="19" l="1"/>
  <c r="G46" i="19" s="1"/>
  <c r="I68" i="12"/>
  <c r="I92" i="12"/>
  <c r="I8" i="5" l="1"/>
  <c r="J8" i="5" s="1"/>
  <c r="C6" i="5" l="1"/>
  <c r="W9" i="2"/>
  <c r="D7" i="5" l="1"/>
  <c r="D9" i="5" s="1"/>
  <c r="I79" i="12" s="1"/>
  <c r="I87" i="12" s="1"/>
  <c r="I91" i="12" s="1"/>
  <c r="F7" i="5"/>
  <c r="F9" i="5" s="1"/>
  <c r="H8" i="12" s="1"/>
  <c r="G32" i="19"/>
  <c r="I55" i="12"/>
  <c r="I16" i="23"/>
  <c r="I20" i="23" s="1"/>
  <c r="I17" i="19"/>
  <c r="I21" i="19" s="1"/>
  <c r="I18" i="17"/>
  <c r="I22" i="17" s="1"/>
  <c r="K7" i="5"/>
  <c r="E7" i="5"/>
  <c r="E9" i="5" s="1"/>
  <c r="H32" i="12"/>
  <c r="G8" i="21"/>
  <c r="I7" i="5"/>
  <c r="J7" i="5" s="1"/>
  <c r="E9" i="38"/>
  <c r="E11" i="38" s="1"/>
  <c r="E13" i="38" s="1"/>
  <c r="O12" i="38"/>
  <c r="J11" i="38"/>
  <c r="K11" i="38" s="1"/>
  <c r="L11" i="38" s="1"/>
  <c r="M11" i="38" s="1"/>
  <c r="N11" i="38" s="1"/>
  <c r="O11" i="38" s="1"/>
  <c r="P11" i="38" s="1"/>
  <c r="J10" i="38"/>
  <c r="K10" i="38" s="1"/>
  <c r="L10" i="38" s="1"/>
  <c r="M10" i="38" s="1"/>
  <c r="N10" i="38" s="1"/>
  <c r="O10" i="38" s="1"/>
  <c r="P10" i="38" s="1"/>
  <c r="I11" i="38"/>
  <c r="I10" i="38"/>
  <c r="I9" i="38"/>
  <c r="J9" i="38" s="1"/>
  <c r="K9" i="38" s="1"/>
  <c r="L9" i="38" s="1"/>
  <c r="M9" i="38" s="1"/>
  <c r="N9" i="38" s="1"/>
  <c r="O9" i="38" s="1"/>
  <c r="P9" i="38" s="1"/>
  <c r="J8" i="34" l="1"/>
  <c r="K8" i="20"/>
  <c r="J8" i="9"/>
  <c r="K8" i="15"/>
  <c r="J8" i="11"/>
  <c r="I57" i="19"/>
  <c r="I8" i="34"/>
  <c r="J8" i="20"/>
  <c r="J8" i="15"/>
  <c r="I8" i="11"/>
  <c r="I8" i="9"/>
  <c r="H8" i="19"/>
  <c r="H8" i="28"/>
  <c r="H8" i="17"/>
  <c r="H8" i="23"/>
  <c r="H32" i="28"/>
  <c r="L7" i="5"/>
  <c r="K9" i="5"/>
  <c r="L9" i="5" s="1"/>
  <c r="I9" i="5" l="1"/>
  <c r="J9" i="5" s="1"/>
  <c r="L9" i="7" l="1"/>
  <c r="M9" i="7" s="1"/>
  <c r="D8" i="9" l="1"/>
  <c r="B1" i="34"/>
  <c r="V12" i="30" l="1"/>
  <c r="V15" i="30" s="1"/>
  <c r="V25" i="30" s="1"/>
  <c r="V28" i="30" s="1"/>
  <c r="V37" i="30" s="1"/>
  <c r="V2" i="30"/>
  <c r="F24" i="34" l="1"/>
  <c r="H24" i="34" s="1"/>
  <c r="I24" i="34" s="1"/>
  <c r="C24" i="34"/>
  <c r="I23" i="34"/>
  <c r="C23" i="34"/>
  <c r="I22" i="34"/>
  <c r="D22" i="34"/>
  <c r="F20" i="34"/>
  <c r="H20" i="34" s="1"/>
  <c r="L20" i="34" s="1"/>
  <c r="C20" i="34"/>
  <c r="I19" i="34"/>
  <c r="C19" i="34"/>
  <c r="I18" i="34"/>
  <c r="H18" i="34"/>
  <c r="F18" i="34"/>
  <c r="D18" i="34"/>
  <c r="E18" i="34" s="1"/>
  <c r="H13" i="34"/>
  <c r="L13" i="34" s="1"/>
  <c r="C13" i="34"/>
  <c r="I12" i="34"/>
  <c r="J12" i="34" s="1"/>
  <c r="C12" i="34"/>
  <c r="C11" i="34"/>
  <c r="L10" i="34"/>
  <c r="I10" i="34"/>
  <c r="J10" i="34" s="1"/>
  <c r="C10" i="34"/>
  <c r="C9" i="34"/>
  <c r="L24" i="34" l="1"/>
  <c r="J24" i="34"/>
  <c r="F22" i="34"/>
  <c r="H22" i="34" s="1"/>
  <c r="E22" i="34"/>
  <c r="H11" i="34"/>
  <c r="L11" i="34" s="1"/>
  <c r="C11" i="23"/>
  <c r="D11" i="23" s="1"/>
  <c r="D11" i="34"/>
  <c r="F11" i="34"/>
  <c r="I20" i="34"/>
  <c r="J20" i="34" s="1"/>
  <c r="B1" i="10"/>
  <c r="I11" i="34" l="1"/>
  <c r="E11" i="34"/>
  <c r="J11" i="34" s="1"/>
  <c r="U2" i="30"/>
  <c r="Y41" i="30" l="1"/>
  <c r="L29" i="2" l="1"/>
  <c r="B29" i="10"/>
  <c r="B29" i="11" s="1"/>
  <c r="B103" i="12" s="1"/>
  <c r="B29" i="15" s="1"/>
  <c r="B30" i="17" s="1"/>
  <c r="B78" i="19" s="1"/>
  <c r="B29" i="20" l="1"/>
  <c r="B29" i="21" s="1"/>
  <c r="B53" i="28"/>
  <c r="M5" i="30"/>
  <c r="O46" i="30"/>
  <c r="M44" i="30"/>
  <c r="M45" i="30" s="1"/>
  <c r="M46" i="30" s="1"/>
  <c r="B29" i="34" l="1"/>
  <c r="E11" i="23"/>
  <c r="C12" i="17"/>
  <c r="G11" i="17"/>
  <c r="F11" i="17"/>
  <c r="E11" i="17"/>
  <c r="C10" i="17"/>
  <c r="H11" i="9"/>
  <c r="G11" i="9"/>
  <c r="D11" i="9"/>
  <c r="E11" i="9" s="1"/>
  <c r="J11" i="9" s="1"/>
  <c r="C11" i="20"/>
  <c r="H11" i="23" l="1"/>
  <c r="F11" i="23"/>
  <c r="J11" i="23"/>
  <c r="C11" i="28"/>
  <c r="C11" i="15"/>
  <c r="L11" i="15" s="1"/>
  <c r="L16" i="15" s="1"/>
  <c r="L20" i="15" s="1"/>
  <c r="J11" i="28" l="1"/>
  <c r="D11" i="28"/>
  <c r="D35" i="28" s="1"/>
  <c r="I11" i="28"/>
  <c r="G11" i="28"/>
  <c r="F11" i="15"/>
  <c r="D11" i="15"/>
  <c r="I11" i="15"/>
  <c r="H11" i="15"/>
  <c r="E11" i="28"/>
  <c r="F11" i="28"/>
  <c r="H11" i="28"/>
  <c r="E11" i="15" l="1"/>
  <c r="K11" i="15"/>
  <c r="I35" i="28"/>
  <c r="I40" i="28" s="1"/>
  <c r="I44" i="28" s="1"/>
  <c r="I16" i="28"/>
  <c r="I20" i="28" s="1"/>
  <c r="K6" i="9"/>
  <c r="K5" i="9"/>
  <c r="P43" i="30" l="1"/>
  <c r="Y43" i="30" s="1"/>
  <c r="G60" i="19" l="1"/>
  <c r="G57" i="19"/>
  <c r="F55" i="19"/>
  <c r="F54" i="19"/>
  <c r="G11" i="19"/>
  <c r="L6" i="11"/>
  <c r="F6" i="10"/>
  <c r="F5" i="10"/>
  <c r="J60" i="19" l="1"/>
  <c r="J58" i="19"/>
  <c r="J57" i="19"/>
  <c r="I6" i="12" l="1"/>
  <c r="O30" i="12" s="1"/>
  <c r="G6" i="17"/>
  <c r="M6" i="15"/>
  <c r="I5" i="12"/>
  <c r="O29" i="12" s="1"/>
  <c r="G6" i="19" l="1"/>
  <c r="M5" i="15"/>
  <c r="G5" i="17"/>
  <c r="J55" i="19" l="1"/>
  <c r="H6" i="20"/>
  <c r="G56" i="19"/>
  <c r="G5" i="19"/>
  <c r="M13" i="29"/>
  <c r="M12" i="29"/>
  <c r="F6" i="21" l="1"/>
  <c r="M6" i="20"/>
  <c r="H5" i="20"/>
  <c r="G54" i="19"/>
  <c r="J54" i="19" s="1"/>
  <c r="H6" i="34" l="1"/>
  <c r="L6" i="34" s="1"/>
  <c r="H6" i="21"/>
  <c r="F5" i="21"/>
  <c r="M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H5" i="34" l="1"/>
  <c r="L5" i="34" s="1"/>
  <c r="M11" i="29"/>
  <c r="M21" i="29" s="1"/>
  <c r="M22" i="29" s="1"/>
  <c r="U12" i="30"/>
  <c r="U13" i="30" s="1"/>
  <c r="U14" i="30" s="1"/>
  <c r="M9" i="29"/>
  <c r="M19" i="29" s="1"/>
  <c r="M14" i="29"/>
  <c r="M10" i="29"/>
  <c r="M20" i="29" s="1"/>
  <c r="M15" i="29"/>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J36" i="28"/>
  <c r="G36" i="28"/>
  <c r="G34" i="28"/>
  <c r="G33" i="28"/>
  <c r="F36" i="28"/>
  <c r="F34" i="28"/>
  <c r="F33" i="28"/>
  <c r="E36" i="28"/>
  <c r="E34" i="28"/>
  <c r="E33" i="28"/>
  <c r="F47" i="28"/>
  <c r="G47" i="28" s="1"/>
  <c r="J47" i="28" s="1"/>
  <c r="C47" i="28"/>
  <c r="H46" i="28"/>
  <c r="C46" i="28"/>
  <c r="E45" i="28"/>
  <c r="F45" i="28" s="1"/>
  <c r="G45" i="28" s="1"/>
  <c r="F43" i="28"/>
  <c r="G43" i="28" s="1"/>
  <c r="J43" i="28" s="1"/>
  <c r="C43" i="28"/>
  <c r="H42" i="28"/>
  <c r="C42" i="28"/>
  <c r="H41" i="28"/>
  <c r="G41" i="28"/>
  <c r="F41" i="28"/>
  <c r="E41" i="28"/>
  <c r="J32" i="28"/>
  <c r="F23" i="28"/>
  <c r="G23" i="28" s="1"/>
  <c r="H23" i="28" s="1"/>
  <c r="J23" i="28" s="1"/>
  <c r="C23" i="28"/>
  <c r="H22" i="28"/>
  <c r="C22" i="28"/>
  <c r="E21" i="28"/>
  <c r="F21" i="28" s="1"/>
  <c r="G21" i="28" s="1"/>
  <c r="F19" i="28"/>
  <c r="G19" i="28" s="1"/>
  <c r="J19" i="28" s="1"/>
  <c r="C19" i="28"/>
  <c r="H18" i="28"/>
  <c r="C18" i="28"/>
  <c r="H17" i="28"/>
  <c r="G17" i="28"/>
  <c r="F17" i="28"/>
  <c r="E17" i="28"/>
  <c r="G39" i="28"/>
  <c r="H12" i="28"/>
  <c r="H36" i="28" s="1"/>
  <c r="C12" i="28"/>
  <c r="C36" i="28" s="1"/>
  <c r="J35" i="28"/>
  <c r="H35" i="28"/>
  <c r="G35" i="28"/>
  <c r="F35" i="28"/>
  <c r="E35" i="28"/>
  <c r="C35" i="28"/>
  <c r="J10" i="28"/>
  <c r="J34" i="28" s="1"/>
  <c r="H10" i="28"/>
  <c r="H34" i="28" s="1"/>
  <c r="C10" i="28"/>
  <c r="C34" i="28" s="1"/>
  <c r="J33" i="28"/>
  <c r="C9" i="28"/>
  <c r="C33" i="28" s="1"/>
  <c r="B1" i="28"/>
  <c r="U25" i="30" l="1"/>
  <c r="U26" i="30" s="1"/>
  <c r="U27" i="30" s="1"/>
  <c r="C39" i="28"/>
  <c r="H43" i="28"/>
  <c r="H39" i="28"/>
  <c r="E39" i="28"/>
  <c r="H19" i="28"/>
  <c r="F39" i="28"/>
  <c r="U28" i="30" l="1"/>
  <c r="U29" i="30" s="1"/>
  <c r="U30" i="30" s="1"/>
  <c r="U31" i="30" s="1"/>
  <c r="U32" i="30" s="1"/>
  <c r="U33" i="30" s="1"/>
  <c r="U34" i="30" s="1"/>
  <c r="U35" i="30" s="1"/>
  <c r="U36" i="30" s="1"/>
  <c r="J39" i="28"/>
  <c r="U37" i="30" l="1"/>
  <c r="U38" i="30" s="1"/>
  <c r="U39" i="30" s="1"/>
  <c r="U40" i="30" s="1"/>
  <c r="U41" i="30" s="1"/>
  <c r="U42" i="30" s="1"/>
  <c r="U43" i="30" s="1"/>
  <c r="U44" i="30" s="1"/>
  <c r="U45" i="30" s="1"/>
  <c r="U46" i="30" s="1"/>
  <c r="F57" i="20"/>
  <c r="D57" i="20"/>
  <c r="H57" i="20" s="1"/>
  <c r="H56" i="20"/>
  <c r="D56" i="20"/>
  <c r="F56" i="20" s="1"/>
  <c r="C35" i="12" l="1"/>
  <c r="H50" i="20" l="1"/>
  <c r="F50" i="20"/>
  <c r="K10" i="9"/>
  <c r="K12" i="9"/>
  <c r="I12" i="9"/>
  <c r="H12" i="9"/>
  <c r="G12" i="9"/>
  <c r="D12" i="9"/>
  <c r="B10" i="24"/>
  <c r="B11" i="24"/>
  <c r="B8" i="24"/>
  <c r="C8" i="24"/>
  <c r="C10" i="24"/>
  <c r="C11" i="24"/>
  <c r="D11" i="24" s="1"/>
  <c r="A5" i="24"/>
  <c r="F23" i="23"/>
  <c r="H23" i="23" s="1"/>
  <c r="J23" i="23" s="1"/>
  <c r="C23" i="23"/>
  <c r="D23" i="23" s="1"/>
  <c r="C22" i="23"/>
  <c r="D22" i="23" s="1"/>
  <c r="E21" i="23"/>
  <c r="F21" i="23" s="1"/>
  <c r="F19" i="23"/>
  <c r="C19" i="23"/>
  <c r="D19" i="23" s="1"/>
  <c r="H18" i="23"/>
  <c r="C18" i="23"/>
  <c r="D18" i="23" s="1"/>
  <c r="H17" i="23"/>
  <c r="F17" i="23"/>
  <c r="E17" i="23"/>
  <c r="C12" i="23"/>
  <c r="D12" i="23" s="1"/>
  <c r="J10" i="23"/>
  <c r="H10" i="23"/>
  <c r="C10" i="23"/>
  <c r="C9" i="23"/>
  <c r="B1" i="23"/>
  <c r="H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C11" i="21"/>
  <c r="H10" i="21"/>
  <c r="G10" i="21"/>
  <c r="C10" i="21"/>
  <c r="H9" i="21"/>
  <c r="C9" i="21"/>
  <c r="H8" i="21"/>
  <c r="B1" i="21"/>
  <c r="E12" i="9" l="1"/>
  <c r="J12" i="9"/>
  <c r="G20" i="21"/>
  <c r="D50" i="20"/>
  <c r="C50" i="20"/>
  <c r="B43" i="20"/>
  <c r="C58" i="20" l="1"/>
  <c r="D58" i="20"/>
  <c r="M24" i="20" l="1"/>
  <c r="J24" i="20"/>
  <c r="I24" i="20"/>
  <c r="H24" i="20"/>
  <c r="F24" i="20"/>
  <c r="D24" i="20"/>
  <c r="H23" i="20"/>
  <c r="D23" i="20"/>
  <c r="I20" i="20"/>
  <c r="F20" i="20"/>
  <c r="I19" i="20"/>
  <c r="J19" i="20" s="1"/>
  <c r="H19" i="20"/>
  <c r="F19" i="20"/>
  <c r="D19" i="20"/>
  <c r="E19" i="20" s="1"/>
  <c r="F18" i="20"/>
  <c r="F22" i="20" s="1"/>
  <c r="D18" i="20"/>
  <c r="E18" i="20" s="1"/>
  <c r="I12" i="20"/>
  <c r="J12" i="20" s="1"/>
  <c r="K12" i="20" s="1"/>
  <c r="H12" i="20"/>
  <c r="F12" i="20"/>
  <c r="D12" i="20"/>
  <c r="I11" i="20"/>
  <c r="M11" i="20"/>
  <c r="F11" i="20"/>
  <c r="C10" i="20"/>
  <c r="C9" i="20"/>
  <c r="B1" i="20"/>
  <c r="H68" i="19"/>
  <c r="J68" i="19" s="1"/>
  <c r="C60" i="19"/>
  <c r="H58" i="19"/>
  <c r="D57" i="19"/>
  <c r="H57" i="19" s="1"/>
  <c r="C57" i="19"/>
  <c r="C22" i="19"/>
  <c r="J20" i="19"/>
  <c r="G20" i="19"/>
  <c r="F20" i="19"/>
  <c r="D20" i="19"/>
  <c r="J19" i="19"/>
  <c r="H19" i="19"/>
  <c r="J18" i="19"/>
  <c r="J22" i="19" s="1"/>
  <c r="H12" i="19"/>
  <c r="C73" i="19"/>
  <c r="J72" i="19"/>
  <c r="G72" i="19"/>
  <c r="C72" i="19"/>
  <c r="C71" i="19"/>
  <c r="J71" i="19" s="1"/>
  <c r="G68" i="19"/>
  <c r="F68" i="19"/>
  <c r="D68" i="19"/>
  <c r="D67" i="19"/>
  <c r="F67" i="19" s="1"/>
  <c r="C61" i="19"/>
  <c r="G61" i="19" s="1"/>
  <c r="D60" i="19"/>
  <c r="H60" i="19" s="1"/>
  <c r="J24" i="19"/>
  <c r="J73" i="19" s="1"/>
  <c r="H24" i="19"/>
  <c r="H73" i="19" s="1"/>
  <c r="G24" i="19"/>
  <c r="G73" i="19" s="1"/>
  <c r="F24" i="19"/>
  <c r="F73" i="19" s="1"/>
  <c r="D24" i="19"/>
  <c r="D73" i="19" s="1"/>
  <c r="F72" i="19"/>
  <c r="D23" i="19"/>
  <c r="H23" i="19" s="1"/>
  <c r="G19" i="19"/>
  <c r="F19" i="19"/>
  <c r="D19" i="19"/>
  <c r="D18" i="19"/>
  <c r="D22" i="19" s="1"/>
  <c r="G12" i="19"/>
  <c r="F12" i="19"/>
  <c r="D12" i="19"/>
  <c r="B1" i="19"/>
  <c r="F25" i="17"/>
  <c r="G25" i="17" s="1"/>
  <c r="H25" i="17" s="1"/>
  <c r="J25" i="17" s="1"/>
  <c r="C25" i="17"/>
  <c r="H24" i="17"/>
  <c r="C24" i="17"/>
  <c r="H23" i="17"/>
  <c r="E23" i="17"/>
  <c r="F23" i="17" s="1"/>
  <c r="G23" i="17" s="1"/>
  <c r="F21" i="17"/>
  <c r="G21" i="17" s="1"/>
  <c r="J21" i="17" s="1"/>
  <c r="C21" i="17"/>
  <c r="H20" i="17"/>
  <c r="C20" i="17"/>
  <c r="H19" i="17"/>
  <c r="G19" i="17"/>
  <c r="F19" i="17"/>
  <c r="E19" i="17"/>
  <c r="G13" i="17"/>
  <c r="J13" i="17" s="1"/>
  <c r="C13" i="17"/>
  <c r="H12" i="17"/>
  <c r="J11" i="17"/>
  <c r="H11" i="17"/>
  <c r="J10" i="17"/>
  <c r="H10" i="17"/>
  <c r="C9" i="17"/>
  <c r="B1" i="17"/>
  <c r="J18" i="15"/>
  <c r="M19" i="20" l="1"/>
  <c r="K19" i="20"/>
  <c r="E24" i="20"/>
  <c r="K24" i="20"/>
  <c r="M12" i="20"/>
  <c r="E12" i="20"/>
  <c r="J23" i="20"/>
  <c r="E23" i="20"/>
  <c r="K23" i="20" s="1"/>
  <c r="J12" i="19"/>
  <c r="E12" i="19"/>
  <c r="H59" i="19"/>
  <c r="J59" i="19" s="1"/>
  <c r="G34" i="19"/>
  <c r="G41" i="19" s="1"/>
  <c r="G45" i="19" s="1"/>
  <c r="F18" i="19"/>
  <c r="G18" i="19" s="1"/>
  <c r="D71" i="19"/>
  <c r="D22" i="20"/>
  <c r="C22" i="20"/>
  <c r="D20" i="20"/>
  <c r="K20" i="20" s="1"/>
  <c r="C20" i="20"/>
  <c r="H22" i="20"/>
  <c r="E22" i="20" s="1"/>
  <c r="I18" i="20"/>
  <c r="J18" i="20" s="1"/>
  <c r="H18" i="20"/>
  <c r="H20" i="20"/>
  <c r="E20" i="20" s="1"/>
  <c r="J67" i="19"/>
  <c r="G67" i="19"/>
  <c r="G71" i="19" s="1"/>
  <c r="G22" i="19"/>
  <c r="H22" i="19"/>
  <c r="H61" i="19"/>
  <c r="F71" i="19"/>
  <c r="H71" i="19"/>
  <c r="F22" i="19"/>
  <c r="D61" i="19"/>
  <c r="J61" i="19" s="1"/>
  <c r="F61" i="19"/>
  <c r="H72" i="19"/>
  <c r="D72" i="19"/>
  <c r="H21" i="17"/>
  <c r="J12" i="15"/>
  <c r="M23" i="15"/>
  <c r="J23" i="15"/>
  <c r="I23" i="15"/>
  <c r="H23" i="15"/>
  <c r="F23" i="15"/>
  <c r="D23" i="15"/>
  <c r="H22" i="15"/>
  <c r="D22" i="15"/>
  <c r="I19" i="15"/>
  <c r="F19" i="15"/>
  <c r="D19" i="15" s="1"/>
  <c r="I18" i="15"/>
  <c r="M18" i="15" s="1"/>
  <c r="H18" i="15"/>
  <c r="F18" i="15"/>
  <c r="D18" i="15"/>
  <c r="F17" i="15"/>
  <c r="I17" i="15" s="1"/>
  <c r="M17" i="15" s="1"/>
  <c r="D17" i="15"/>
  <c r="E17" i="15" s="1"/>
  <c r="I12" i="15"/>
  <c r="H12" i="15"/>
  <c r="F12" i="15"/>
  <c r="D12" i="15"/>
  <c r="K12" i="15" s="1"/>
  <c r="M11" i="15"/>
  <c r="J11" i="15"/>
  <c r="C10" i="15"/>
  <c r="C9" i="15"/>
  <c r="B1" i="15"/>
  <c r="C47" i="12"/>
  <c r="I23" i="12"/>
  <c r="O47" i="12" s="1"/>
  <c r="H23" i="12"/>
  <c r="H47" i="12" s="1"/>
  <c r="G23" i="12"/>
  <c r="G47" i="12" s="1"/>
  <c r="F23" i="12"/>
  <c r="L47" i="12" s="1"/>
  <c r="E23" i="12"/>
  <c r="F47" i="12" s="1"/>
  <c r="D23" i="12"/>
  <c r="D47" i="12" s="1"/>
  <c r="G46" i="12"/>
  <c r="F46" i="12"/>
  <c r="C46" i="12"/>
  <c r="D22" i="12"/>
  <c r="E17" i="12"/>
  <c r="J17" i="12" s="1"/>
  <c r="J21" i="12" s="1"/>
  <c r="D17" i="12"/>
  <c r="F41" i="12"/>
  <c r="D41" i="12"/>
  <c r="C45" i="12"/>
  <c r="G42" i="12"/>
  <c r="F42" i="12"/>
  <c r="D42" i="12"/>
  <c r="H42" i="12" s="1"/>
  <c r="O42" i="12" s="1"/>
  <c r="K42" i="12" s="1"/>
  <c r="G18" i="12"/>
  <c r="F18" i="12"/>
  <c r="H18" i="12" s="1"/>
  <c r="E18" i="12"/>
  <c r="D18" i="12"/>
  <c r="C36" i="12"/>
  <c r="G12" i="12"/>
  <c r="F12" i="12"/>
  <c r="E12" i="12"/>
  <c r="J12" i="12" s="1"/>
  <c r="D12" i="12"/>
  <c r="G35" i="12"/>
  <c r="F35" i="12"/>
  <c r="H35" i="12"/>
  <c r="C34" i="12"/>
  <c r="C33" i="12"/>
  <c r="B1" i="12"/>
  <c r="G11" i="12"/>
  <c r="I11" i="12"/>
  <c r="E11" i="12"/>
  <c r="C11" i="12"/>
  <c r="B1" i="11"/>
  <c r="F22" i="12"/>
  <c r="L46" i="12" s="1"/>
  <c r="G19" i="12"/>
  <c r="E19" i="12"/>
  <c r="D19" i="12" s="1"/>
  <c r="I57" i="12"/>
  <c r="I63" i="12" s="1"/>
  <c r="I67" i="12" s="1"/>
  <c r="C10" i="12"/>
  <c r="C9" i="12"/>
  <c r="L11" i="11"/>
  <c r="F11" i="11"/>
  <c r="C11" i="11"/>
  <c r="F24" i="11"/>
  <c r="H24" i="11" s="1"/>
  <c r="I24" i="11" s="1"/>
  <c r="C24" i="11"/>
  <c r="I23" i="11"/>
  <c r="C23" i="11"/>
  <c r="I22" i="11"/>
  <c r="D22" i="11"/>
  <c r="F20" i="11"/>
  <c r="H20" i="11" s="1"/>
  <c r="L20" i="11" s="1"/>
  <c r="C20" i="11"/>
  <c r="I19" i="11"/>
  <c r="J19" i="11" s="1"/>
  <c r="C19" i="11"/>
  <c r="I18" i="11"/>
  <c r="J18" i="11" s="1"/>
  <c r="H18" i="11"/>
  <c r="F18" i="11"/>
  <c r="D18" i="11"/>
  <c r="E18" i="11" s="1"/>
  <c r="H13" i="11"/>
  <c r="L13" i="11" s="1"/>
  <c r="C13" i="11"/>
  <c r="I12" i="11"/>
  <c r="J12" i="11" s="1"/>
  <c r="C12" i="11"/>
  <c r="L10" i="11"/>
  <c r="I10" i="11"/>
  <c r="J10" i="11" s="1"/>
  <c r="C10" i="11"/>
  <c r="C9" i="11"/>
  <c r="F11" i="10"/>
  <c r="C11" i="10"/>
  <c r="M18" i="20" l="1"/>
  <c r="K18" i="20"/>
  <c r="E18" i="15"/>
  <c r="K18" i="15"/>
  <c r="E19" i="15"/>
  <c r="K19" i="15"/>
  <c r="E23" i="15"/>
  <c r="K23" i="15"/>
  <c r="L41" i="12"/>
  <c r="K41" i="12"/>
  <c r="G36" i="12"/>
  <c r="L36" i="12"/>
  <c r="L24" i="11"/>
  <c r="J24" i="11"/>
  <c r="M12" i="15"/>
  <c r="E12" i="15"/>
  <c r="J22" i="15"/>
  <c r="E22" i="15"/>
  <c r="K22" i="15" s="1"/>
  <c r="F22" i="11"/>
  <c r="H22" i="11" s="1"/>
  <c r="E22" i="11"/>
  <c r="H22" i="12"/>
  <c r="D46" i="12"/>
  <c r="H12" i="12"/>
  <c r="I18" i="12"/>
  <c r="J18" i="12" s="1"/>
  <c r="H58" i="20"/>
  <c r="F58" i="20"/>
  <c r="I22" i="20"/>
  <c r="J22" i="20" s="1"/>
  <c r="J20" i="20"/>
  <c r="M20" i="20" s="1"/>
  <c r="C69" i="19"/>
  <c r="H20" i="19"/>
  <c r="J17" i="15"/>
  <c r="K17" i="15" s="1"/>
  <c r="H17" i="15"/>
  <c r="F21" i="15"/>
  <c r="D21" i="15" s="1"/>
  <c r="I21" i="15"/>
  <c r="J21" i="15" s="1"/>
  <c r="K21" i="15" s="1"/>
  <c r="H19" i="15"/>
  <c r="C19" i="15"/>
  <c r="D36" i="12"/>
  <c r="O36" i="12" s="1"/>
  <c r="F36" i="12"/>
  <c r="K36" i="12" s="1"/>
  <c r="G41" i="12"/>
  <c r="F45" i="12"/>
  <c r="L45" i="12" s="1"/>
  <c r="C19" i="12"/>
  <c r="H34" i="12"/>
  <c r="H41" i="12"/>
  <c r="H17" i="12"/>
  <c r="F19" i="12"/>
  <c r="F17" i="12"/>
  <c r="E21" i="12"/>
  <c r="G17" i="12"/>
  <c r="I20" i="11"/>
  <c r="J20" i="11" s="1"/>
  <c r="M22" i="20" l="1"/>
  <c r="K22" i="20"/>
  <c r="K34" i="12"/>
  <c r="O34" i="12"/>
  <c r="K45" i="12"/>
  <c r="O45" i="12" s="1"/>
  <c r="O41" i="12"/>
  <c r="G45" i="12"/>
  <c r="C21" i="15"/>
  <c r="M21" i="15" s="1"/>
  <c r="H36" i="12"/>
  <c r="J69" i="19"/>
  <c r="F69" i="19"/>
  <c r="D69" i="19"/>
  <c r="G69" i="19"/>
  <c r="H69" i="19"/>
  <c r="H21" i="15"/>
  <c r="E21" i="15" s="1"/>
  <c r="J19" i="15"/>
  <c r="M19" i="15" s="1"/>
  <c r="H46" i="12"/>
  <c r="H19" i="12"/>
  <c r="J19" i="12" s="1"/>
  <c r="C43" i="12"/>
  <c r="I21" i="12"/>
  <c r="I17" i="12"/>
  <c r="D45" i="12"/>
  <c r="H45" i="12"/>
  <c r="G21" i="12"/>
  <c r="F21" i="12"/>
  <c r="D21" i="12"/>
  <c r="C21" i="12"/>
  <c r="I19" i="12" l="1"/>
  <c r="H21" i="12"/>
  <c r="G43" i="12"/>
  <c r="F43" i="12"/>
  <c r="L43" i="12" s="1"/>
  <c r="H43" i="12"/>
  <c r="K43" i="12" s="1"/>
  <c r="O43" i="12" s="1"/>
  <c r="D43" i="12"/>
  <c r="I12" i="12"/>
  <c r="K11" i="9" l="1"/>
  <c r="I11" i="9"/>
  <c r="E24" i="10" l="1"/>
  <c r="F24" i="10" s="1"/>
  <c r="G24" i="10" s="1"/>
  <c r="H24" i="10" s="1"/>
  <c r="E20" i="10"/>
  <c r="F20" i="10" s="1"/>
  <c r="G23" i="10"/>
  <c r="D23" i="9"/>
  <c r="D22" i="10"/>
  <c r="E22" i="10" s="1"/>
  <c r="F22" i="10" s="1"/>
  <c r="F18" i="10"/>
  <c r="E18" i="10"/>
  <c r="D18" i="10"/>
  <c r="G12" i="10"/>
  <c r="H10" i="10"/>
  <c r="G10" i="10"/>
  <c r="C24" i="10"/>
  <c r="C23" i="10"/>
  <c r="G22" i="10"/>
  <c r="C20" i="10"/>
  <c r="G19" i="10"/>
  <c r="C19" i="10"/>
  <c r="G18" i="10"/>
  <c r="C12" i="10"/>
  <c r="C10" i="10"/>
  <c r="C9" i="10"/>
  <c r="E23" i="9" l="1"/>
  <c r="J23" i="9"/>
  <c r="C41" i="3"/>
  <c r="P41" i="3" s="1"/>
  <c r="F32" i="28" s="1"/>
  <c r="E30" i="3"/>
  <c r="E34" i="3"/>
  <c r="E38" i="3"/>
  <c r="E28" i="3"/>
  <c r="E29" i="3"/>
  <c r="E41" i="3"/>
  <c r="E31" i="3"/>
  <c r="E35" i="3"/>
  <c r="P20" i="29" s="1"/>
  <c r="E39" i="3"/>
  <c r="E37" i="3"/>
  <c r="E32" i="3"/>
  <c r="E36" i="3"/>
  <c r="E40" i="3"/>
  <c r="E33" i="3"/>
  <c r="B41" i="3"/>
  <c r="B29" i="3"/>
  <c r="B38" i="3"/>
  <c r="I38" i="3" s="1"/>
  <c r="C38" i="3"/>
  <c r="C32" i="3"/>
  <c r="C30" i="3"/>
  <c r="C39" i="3"/>
  <c r="P39" i="3" s="1"/>
  <c r="F8" i="23" s="1"/>
  <c r="C34" i="3"/>
  <c r="P34" i="3" s="1"/>
  <c r="F8" i="17" s="1"/>
  <c r="H20" i="10"/>
  <c r="G20" i="10"/>
  <c r="C28" i="3"/>
  <c r="F8" i="9" s="1"/>
  <c r="F16" i="9" s="1"/>
  <c r="F21" i="9" s="1"/>
  <c r="B39" i="3"/>
  <c r="B34" i="3"/>
  <c r="B32" i="3"/>
  <c r="D32" i="12" s="1"/>
  <c r="B30" i="3"/>
  <c r="I30" i="3" s="1"/>
  <c r="C40" i="3"/>
  <c r="C37" i="3"/>
  <c r="C35" i="3"/>
  <c r="P35" i="3" s="1"/>
  <c r="F8" i="19" s="1"/>
  <c r="C33" i="3"/>
  <c r="C31" i="3"/>
  <c r="B40" i="3"/>
  <c r="I40" i="3" s="1"/>
  <c r="B37" i="3"/>
  <c r="B35" i="3"/>
  <c r="E17" i="19" s="1"/>
  <c r="E21" i="19" s="1"/>
  <c r="B33" i="3"/>
  <c r="I33" i="3" s="1"/>
  <c r="B31" i="3"/>
  <c r="I31" i="3" s="1"/>
  <c r="J32" i="3" l="1"/>
  <c r="L32" i="12" s="1"/>
  <c r="K32" i="3"/>
  <c r="J30" i="3"/>
  <c r="K30" i="3"/>
  <c r="G8" i="11" s="1"/>
  <c r="J38" i="3"/>
  <c r="K38" i="3"/>
  <c r="G8" i="34" s="1"/>
  <c r="G17" i="34" s="1"/>
  <c r="G21" i="34" s="1"/>
  <c r="J33" i="3"/>
  <c r="H8" i="15" s="1"/>
  <c r="K33" i="3"/>
  <c r="G8" i="15" s="1"/>
  <c r="G16" i="15" s="1"/>
  <c r="G20" i="15" s="1"/>
  <c r="J31" i="3"/>
  <c r="K31" i="3"/>
  <c r="D28" i="3"/>
  <c r="F28" i="3" s="1"/>
  <c r="J28" i="3"/>
  <c r="H38" i="3"/>
  <c r="D8" i="34" s="1"/>
  <c r="E8" i="34"/>
  <c r="H31" i="3"/>
  <c r="D8" i="12"/>
  <c r="H30" i="3"/>
  <c r="D8" i="11" s="1"/>
  <c r="E8" i="11"/>
  <c r="H33" i="3"/>
  <c r="D8" i="15" s="1"/>
  <c r="E8" i="15"/>
  <c r="O29" i="3"/>
  <c r="O34" i="3"/>
  <c r="E8" i="17" s="1"/>
  <c r="O39" i="3"/>
  <c r="E8" i="23" s="1"/>
  <c r="O41" i="3"/>
  <c r="E32" i="28" s="1"/>
  <c r="D40" i="28"/>
  <c r="D44" i="28" s="1"/>
  <c r="H40" i="3"/>
  <c r="D16" i="28"/>
  <c r="D20" i="28" s="1"/>
  <c r="J40" i="3"/>
  <c r="G8" i="28" s="1"/>
  <c r="P40" i="3"/>
  <c r="F8" i="28" s="1"/>
  <c r="J29" i="3"/>
  <c r="F8" i="10" s="1"/>
  <c r="P29" i="3"/>
  <c r="E8" i="10" s="1"/>
  <c r="O35" i="3"/>
  <c r="D8" i="19" s="1"/>
  <c r="O40" i="3"/>
  <c r="E8" i="28" s="1"/>
  <c r="G37" i="3"/>
  <c r="D8" i="21"/>
  <c r="G34" i="3"/>
  <c r="G39" i="3"/>
  <c r="G29" i="3"/>
  <c r="G41" i="3"/>
  <c r="D8" i="20"/>
  <c r="G40" i="3"/>
  <c r="G38" i="3"/>
  <c r="G30" i="3"/>
  <c r="G35" i="3"/>
  <c r="C8" i="19"/>
  <c r="J37" i="3"/>
  <c r="F8" i="21" s="1"/>
  <c r="D37" i="3"/>
  <c r="D38" i="3"/>
  <c r="P12" i="30" s="1"/>
  <c r="Y12" i="30" s="1"/>
  <c r="J34" i="3"/>
  <c r="D34" i="3"/>
  <c r="G36" i="3"/>
  <c r="J39" i="3"/>
  <c r="D39" i="3"/>
  <c r="D36" i="3"/>
  <c r="D33" i="3"/>
  <c r="D32" i="3"/>
  <c r="J35" i="3"/>
  <c r="G8" i="19" s="1"/>
  <c r="D35" i="3"/>
  <c r="P15" i="29" s="1"/>
  <c r="M31" i="3"/>
  <c r="D31" i="3"/>
  <c r="H8" i="11"/>
  <c r="M30" i="3"/>
  <c r="J41" i="3"/>
  <c r="G32" i="28" s="1"/>
  <c r="D41" i="3"/>
  <c r="G31" i="3"/>
  <c r="G33" i="3"/>
  <c r="G32"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C8" i="28"/>
  <c r="C32" i="28"/>
  <c r="G32" i="12"/>
  <c r="K48" i="1"/>
  <c r="C8" i="15"/>
  <c r="G8" i="12"/>
  <c r="C8" i="17"/>
  <c r="I8" i="15"/>
  <c r="C8" i="9"/>
  <c r="C8" i="20"/>
  <c r="C8" i="21"/>
  <c r="C8" i="11"/>
  <c r="C8" i="23"/>
  <c r="I8" i="20"/>
  <c r="C8" i="12"/>
  <c r="C32" i="12"/>
  <c r="D63" i="12" l="1"/>
  <c r="D67" i="12" s="1"/>
  <c r="G63" i="12"/>
  <c r="G67" i="12" s="1"/>
  <c r="H8" i="34"/>
  <c r="H8" i="20"/>
  <c r="P2" i="30"/>
  <c r="Y2" i="30" s="1"/>
  <c r="P11" i="30"/>
  <c r="Y11" i="30" s="1"/>
  <c r="P13" i="30"/>
  <c r="Y13" i="30" s="1"/>
  <c r="P4" i="30"/>
  <c r="Y4" i="30" s="1"/>
  <c r="F33" i="3"/>
  <c r="F8" i="15" s="1"/>
  <c r="P3" i="30"/>
  <c r="Y3" i="30" s="1"/>
  <c r="P14" i="30"/>
  <c r="Y14" i="30" s="1"/>
  <c r="F41" i="3"/>
  <c r="P44" i="30"/>
  <c r="Y44" i="30" s="1"/>
  <c r="F39" i="3"/>
  <c r="F37" i="3"/>
  <c r="E8" i="21" s="1"/>
  <c r="F8" i="11"/>
  <c r="F38" i="3"/>
  <c r="P5" i="30"/>
  <c r="Y5" i="30" s="1"/>
  <c r="P12" i="29"/>
  <c r="P7" i="30"/>
  <c r="Y7" i="30" s="1"/>
  <c r="P14" i="29"/>
  <c r="P8" i="30"/>
  <c r="Y8" i="30" s="1"/>
  <c r="F34" i="3"/>
  <c r="F40" i="3"/>
  <c r="P6" i="30"/>
  <c r="Y6" i="30" s="1"/>
  <c r="P13" i="29"/>
  <c r="P9" i="30"/>
  <c r="P16" i="29"/>
  <c r="F31" i="3"/>
  <c r="E8" i="12" s="1"/>
  <c r="F36" i="3"/>
  <c r="F32" i="3"/>
  <c r="F35" i="3"/>
  <c r="G8" i="17"/>
  <c r="G24" i="9"/>
  <c r="H24" i="9" s="1"/>
  <c r="H23" i="9"/>
  <c r="G20" i="9"/>
  <c r="H20" i="9" s="1"/>
  <c r="G19" i="9"/>
  <c r="H19" i="9" s="1"/>
  <c r="G18" i="9"/>
  <c r="C18" i="9" s="1"/>
  <c r="G17" i="9"/>
  <c r="C20" i="9" l="1"/>
  <c r="F8" i="34"/>
  <c r="G8" i="9"/>
  <c r="P10" i="30"/>
  <c r="Y10" i="30" s="1"/>
  <c r="Y9" i="30"/>
  <c r="F8" i="20"/>
  <c r="F32" i="12"/>
  <c r="D20" i="9"/>
  <c r="I20" i="9"/>
  <c r="K20" i="9"/>
  <c r="K19" i="9"/>
  <c r="I19" i="9"/>
  <c r="D19" i="9"/>
  <c r="I24" i="9"/>
  <c r="D24" i="9"/>
  <c r="K24" i="9"/>
  <c r="H17" i="9"/>
  <c r="C17" i="9"/>
  <c r="G22" i="9"/>
  <c r="I23" i="9"/>
  <c r="C24" i="9"/>
  <c r="H18" i="9"/>
  <c r="B5" i="7"/>
  <c r="H5" i="7" s="1"/>
  <c r="A1" i="6"/>
  <c r="E20" i="9" l="1"/>
  <c r="J20" i="9"/>
  <c r="E24" i="9"/>
  <c r="J24" i="9"/>
  <c r="E19" i="9"/>
  <c r="J19" i="9"/>
  <c r="E5" i="7"/>
  <c r="K18" i="9"/>
  <c r="K22" i="9" s="1"/>
  <c r="I18" i="9"/>
  <c r="J18" i="9" s="1"/>
  <c r="J22" i="9" s="1"/>
  <c r="K17" i="9"/>
  <c r="I17" i="9"/>
  <c r="D18" i="9"/>
  <c r="D17" i="9"/>
  <c r="H22" i="9"/>
  <c r="D22" i="9" s="1"/>
  <c r="C22" i="9"/>
  <c r="F5" i="7"/>
  <c r="C5" i="7"/>
  <c r="I5" i="7" s="1"/>
  <c r="E17" i="9" l="1"/>
  <c r="J17" i="9"/>
  <c r="I22" i="9"/>
  <c r="E22" i="9" s="1"/>
  <c r="E18" i="9"/>
  <c r="D5" i="7"/>
  <c r="J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D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H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D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H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H14" i="17" s="1"/>
  <c r="G16" i="2"/>
  <c r="J16" i="2" s="1"/>
  <c r="M16" i="2" s="1"/>
  <c r="P16" i="2" s="1"/>
  <c r="S16" i="2" s="1"/>
  <c r="V16" i="2" s="1"/>
  <c r="Y16" i="2" s="1"/>
  <c r="F16" i="2"/>
  <c r="E16" i="2"/>
  <c r="H16" i="2" s="1"/>
  <c r="K16" i="2" s="1"/>
  <c r="N16" i="2" s="1"/>
  <c r="Q16" i="2" s="1"/>
  <c r="T16" i="2" s="1"/>
  <c r="W16" i="2" s="1"/>
  <c r="D14" i="17" s="1"/>
  <c r="D18" i="17" s="1"/>
  <c r="D22" i="17" s="1"/>
  <c r="G15" i="2"/>
  <c r="J15" i="2" s="1"/>
  <c r="M15" i="2" s="1"/>
  <c r="P15" i="2" s="1"/>
  <c r="S15" i="2" s="1"/>
  <c r="V15" i="2" s="1"/>
  <c r="Y15" i="2" s="1"/>
  <c r="F15" i="2"/>
  <c r="I15" i="2" s="1"/>
  <c r="L15" i="2" s="1"/>
  <c r="O15" i="2" s="1"/>
  <c r="R15" i="2" s="1"/>
  <c r="U15" i="2" s="1"/>
  <c r="X15" i="2" s="1"/>
  <c r="E15" i="2"/>
  <c r="H15" i="2" s="1"/>
  <c r="K15" i="2" s="1"/>
  <c r="N15" i="2" s="1"/>
  <c r="Q15" i="2" s="1"/>
  <c r="T15" i="2" s="1"/>
  <c r="W15" i="2" s="1"/>
  <c r="D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F14" i="11" l="1"/>
  <c r="E14" i="11"/>
  <c r="AT45" i="2"/>
  <c r="D13" i="23"/>
  <c r="C39" i="12"/>
  <c r="L39" i="12" s="1"/>
  <c r="L40" i="12" s="1"/>
  <c r="L44" i="12" s="1"/>
  <c r="F14" i="12"/>
  <c r="G14" i="12"/>
  <c r="D14" i="12"/>
  <c r="H14" i="12"/>
  <c r="J14" i="12" s="1"/>
  <c r="E14" i="12"/>
  <c r="E14" i="17"/>
  <c r="G14" i="17"/>
  <c r="F14" i="17"/>
  <c r="C18" i="17"/>
  <c r="C22" i="17" s="1"/>
  <c r="J13" i="20"/>
  <c r="L14" i="11"/>
  <c r="C37" i="28"/>
  <c r="E13" i="28"/>
  <c r="C16" i="28"/>
  <c r="C20" i="28" s="1"/>
  <c r="C62" i="19"/>
  <c r="G13" i="19"/>
  <c r="F13" i="19"/>
  <c r="H13" i="19"/>
  <c r="D13" i="19"/>
  <c r="C17" i="19"/>
  <c r="C21" i="19" s="1"/>
  <c r="D13" i="10"/>
  <c r="AF40" i="2"/>
  <c r="AK40" i="2" s="1"/>
  <c r="AP40" i="2" s="1"/>
  <c r="AA40" i="2"/>
  <c r="H37" i="12"/>
  <c r="O37" i="12" s="1"/>
  <c r="K14" i="9"/>
  <c r="H14" i="9"/>
  <c r="I14" i="9"/>
  <c r="J14" i="9" s="1"/>
  <c r="J16" i="9" s="1"/>
  <c r="J21" i="9" s="1"/>
  <c r="G14" i="9"/>
  <c r="D14" i="9"/>
  <c r="E14" i="9" s="1"/>
  <c r="AH40" i="2"/>
  <c r="AM40" i="2" s="1"/>
  <c r="C64" i="19"/>
  <c r="F15" i="19"/>
  <c r="D15" i="19"/>
  <c r="H15" i="19"/>
  <c r="J15" i="19" s="1"/>
  <c r="G15" i="19"/>
  <c r="F14" i="21"/>
  <c r="E14" i="21"/>
  <c r="G14" i="21"/>
  <c r="H14" i="21" s="1"/>
  <c r="D14" i="21"/>
  <c r="F14" i="28"/>
  <c r="F38" i="28" s="1"/>
  <c r="C38" i="28"/>
  <c r="H38" i="28"/>
  <c r="G14" i="28"/>
  <c r="G38" i="28" s="1"/>
  <c r="E14" i="28"/>
  <c r="E38" i="28" s="1"/>
  <c r="J14" i="28"/>
  <c r="J38" i="28" s="1"/>
  <c r="AF29" i="2"/>
  <c r="AK29" i="2" s="1"/>
  <c r="AP29" i="2" s="1"/>
  <c r="D15" i="11" s="1"/>
  <c r="AA29" i="2"/>
  <c r="G15" i="17"/>
  <c r="F15" i="17"/>
  <c r="E15" i="17"/>
  <c r="H15" i="17"/>
  <c r="J15" i="17"/>
  <c r="AA41" i="2"/>
  <c r="AF41" i="2" s="1"/>
  <c r="AK41" i="2" s="1"/>
  <c r="AP41" i="2" s="1"/>
  <c r="H37" i="28"/>
  <c r="H40" i="28" s="1"/>
  <c r="H44" i="28" s="1"/>
  <c r="J16" i="17"/>
  <c r="H16" i="17"/>
  <c r="F16" i="17"/>
  <c r="G16" i="17"/>
  <c r="E16" i="17"/>
  <c r="D14" i="19"/>
  <c r="G14" i="19"/>
  <c r="F14" i="19"/>
  <c r="H14" i="19"/>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K37" i="12" l="1"/>
  <c r="O40" i="12"/>
  <c r="O44" i="12" s="1"/>
  <c r="H14" i="11"/>
  <c r="G14" i="11"/>
  <c r="G17" i="11" s="1"/>
  <c r="G21" i="11" s="1"/>
  <c r="I63" i="19"/>
  <c r="E63" i="19"/>
  <c r="E62" i="19"/>
  <c r="I62" i="19"/>
  <c r="D17" i="11"/>
  <c r="D21" i="11" s="1"/>
  <c r="E15" i="11"/>
  <c r="E17" i="11"/>
  <c r="E21" i="11" s="1"/>
  <c r="I64" i="19"/>
  <c r="I66" i="19" s="1"/>
  <c r="I70" i="19" s="1"/>
  <c r="E64" i="19"/>
  <c r="E66" i="19" s="1"/>
  <c r="E70" i="19" s="1"/>
  <c r="C40" i="28"/>
  <c r="C44" i="28" s="1"/>
  <c r="H18" i="17"/>
  <c r="H22" i="17" s="1"/>
  <c r="D17" i="19"/>
  <c r="D21" i="19" s="1"/>
  <c r="D14" i="23"/>
  <c r="D16" i="23" s="1"/>
  <c r="D20" i="23" s="1"/>
  <c r="E13" i="10"/>
  <c r="H64" i="19"/>
  <c r="J64" i="19" s="1"/>
  <c r="G64" i="19"/>
  <c r="D64" i="19"/>
  <c r="F64" i="19"/>
  <c r="D14" i="10"/>
  <c r="D17" i="10" s="1"/>
  <c r="D21" i="10" s="1"/>
  <c r="E14" i="10"/>
  <c r="F14" i="10"/>
  <c r="F13" i="28"/>
  <c r="E37" i="28"/>
  <c r="E40" i="28" s="1"/>
  <c r="E44" i="28" s="1"/>
  <c r="E16" i="28"/>
  <c r="E20" i="28" s="1"/>
  <c r="F18" i="17"/>
  <c r="F22" i="17" s="1"/>
  <c r="K13" i="9"/>
  <c r="K16" i="9" s="1"/>
  <c r="K21" i="9" s="1"/>
  <c r="I16" i="9"/>
  <c r="I21" i="9" s="1"/>
  <c r="H15" i="11"/>
  <c r="H17" i="11" s="1"/>
  <c r="H21" i="11" s="1"/>
  <c r="D14" i="20"/>
  <c r="J14" i="20"/>
  <c r="H17" i="19"/>
  <c r="H21" i="19" s="1"/>
  <c r="H13" i="10"/>
  <c r="E18" i="17"/>
  <c r="E22" i="17" s="1"/>
  <c r="D39" i="12"/>
  <c r="G39" i="12"/>
  <c r="F39" i="12"/>
  <c r="H39" i="12"/>
  <c r="F37" i="12"/>
  <c r="D37" i="12"/>
  <c r="G37" i="12"/>
  <c r="G18" i="17"/>
  <c r="G22" i="17" s="1"/>
  <c r="F17" i="19"/>
  <c r="F21" i="19" s="1"/>
  <c r="F15" i="11"/>
  <c r="F17" i="11" s="1"/>
  <c r="F21" i="11" s="1"/>
  <c r="F14" i="15"/>
  <c r="H14" i="15"/>
  <c r="J14" i="15"/>
  <c r="I14" i="15"/>
  <c r="D14" i="15"/>
  <c r="E14" i="15" s="1"/>
  <c r="E15" i="21"/>
  <c r="H15" i="21"/>
  <c r="F15" i="21"/>
  <c r="G15" i="21"/>
  <c r="D15" i="21"/>
  <c r="I15" i="11"/>
  <c r="J15" i="11" s="1"/>
  <c r="J17" i="11" s="1"/>
  <c r="J21" i="11" s="1"/>
  <c r="H13" i="9"/>
  <c r="H16" i="9" s="1"/>
  <c r="H21" i="9" s="1"/>
  <c r="G13" i="9"/>
  <c r="G16" i="9" s="1"/>
  <c r="G21" i="9" s="1"/>
  <c r="D13" i="9"/>
  <c r="C16" i="9"/>
  <c r="C21" i="9" s="1"/>
  <c r="H16" i="28"/>
  <c r="H20" i="28" s="1"/>
  <c r="G17" i="19"/>
  <c r="G21" i="19" s="1"/>
  <c r="J18" i="17"/>
  <c r="J22" i="17" s="1"/>
  <c r="F15" i="10"/>
  <c r="E15" i="10"/>
  <c r="G15" i="10"/>
  <c r="H15" i="10" s="1"/>
  <c r="D15" i="10"/>
  <c r="G13" i="12"/>
  <c r="G16" i="12" s="1"/>
  <c r="G20" i="12" s="1"/>
  <c r="F13" i="12"/>
  <c r="D13" i="12"/>
  <c r="E13" i="12"/>
  <c r="E16" i="12" s="1"/>
  <c r="E20" i="12" s="1"/>
  <c r="C16" i="12"/>
  <c r="C20" i="12" s="1"/>
  <c r="J37" i="28"/>
  <c r="J40" i="28" s="1"/>
  <c r="J44" i="28" s="1"/>
  <c r="J16" i="28"/>
  <c r="J20" i="28" s="1"/>
  <c r="J17" i="19"/>
  <c r="J21" i="19" s="1"/>
  <c r="D13" i="20"/>
  <c r="E13" i="20" s="1"/>
  <c r="I13" i="20"/>
  <c r="F13" i="20"/>
  <c r="H13" i="20"/>
  <c r="C17" i="20"/>
  <c r="C21" i="20" s="1"/>
  <c r="F62" i="19"/>
  <c r="D62" i="19"/>
  <c r="G62" i="19"/>
  <c r="H62" i="19"/>
  <c r="J62" i="19" s="1"/>
  <c r="C66" i="19"/>
  <c r="C70" i="19" s="1"/>
  <c r="I14" i="34"/>
  <c r="H14" i="34"/>
  <c r="F14" i="34"/>
  <c r="D14" i="34"/>
  <c r="C17" i="34"/>
  <c r="C21" i="34" s="1"/>
  <c r="H38" i="12"/>
  <c r="H63" i="19"/>
  <c r="J63" i="19"/>
  <c r="F63" i="19"/>
  <c r="G63" i="19"/>
  <c r="D63" i="19"/>
  <c r="J13" i="15"/>
  <c r="D13" i="15"/>
  <c r="M13" i="15"/>
  <c r="I13" i="15"/>
  <c r="H13" i="15"/>
  <c r="F13" i="15"/>
  <c r="C16" i="15"/>
  <c r="C20" i="15" s="1"/>
  <c r="C17" i="10"/>
  <c r="C21" i="10" s="1"/>
  <c r="I14" i="12"/>
  <c r="E13" i="23"/>
  <c r="H13" i="23"/>
  <c r="M14" i="15" l="1"/>
  <c r="K14" i="15"/>
  <c r="K16" i="15" s="1"/>
  <c r="K20" i="15" s="1"/>
  <c r="K39" i="12"/>
  <c r="O39" i="12"/>
  <c r="I17" i="11"/>
  <c r="I21" i="11" s="1"/>
  <c r="L15" i="11"/>
  <c r="L17" i="11" s="1"/>
  <c r="L21" i="11" s="1"/>
  <c r="E14" i="34"/>
  <c r="J14" i="34"/>
  <c r="H17" i="10"/>
  <c r="H21" i="10" s="1"/>
  <c r="F14" i="20"/>
  <c r="E14" i="20"/>
  <c r="D16" i="15"/>
  <c r="D20" i="15" s="1"/>
  <c r="E13" i="15"/>
  <c r="E16" i="15" s="1"/>
  <c r="E20" i="15" s="1"/>
  <c r="H16" i="15"/>
  <c r="H20" i="15" s="1"/>
  <c r="D16" i="9"/>
  <c r="D21" i="9" s="1"/>
  <c r="E13" i="9"/>
  <c r="E16" i="9" s="1"/>
  <c r="E21" i="9" s="1"/>
  <c r="J16" i="15"/>
  <c r="J20" i="15" s="1"/>
  <c r="D16" i="12"/>
  <c r="D20" i="12" s="1"/>
  <c r="I13" i="12"/>
  <c r="I16" i="12" s="1"/>
  <c r="I20" i="12" s="1"/>
  <c r="H16" i="12"/>
  <c r="H20" i="12" s="1"/>
  <c r="M16" i="15"/>
  <c r="M20" i="15" s="1"/>
  <c r="F16" i="12"/>
  <c r="F20" i="12" s="1"/>
  <c r="C40" i="12"/>
  <c r="C44" i="12" s="1"/>
  <c r="D66" i="19"/>
  <c r="D70" i="19" s="1"/>
  <c r="G17" i="10"/>
  <c r="G21" i="10" s="1"/>
  <c r="F14" i="23"/>
  <c r="J14" i="23"/>
  <c r="H14" i="23"/>
  <c r="H16" i="23" s="1"/>
  <c r="H20" i="23" s="1"/>
  <c r="E14" i="23"/>
  <c r="E16" i="23" s="1"/>
  <c r="E20" i="23" s="1"/>
  <c r="C16" i="23"/>
  <c r="C20" i="23" s="1"/>
  <c r="G66" i="19"/>
  <c r="G70" i="19" s="1"/>
  <c r="D13" i="21"/>
  <c r="G13" i="21"/>
  <c r="C17" i="21"/>
  <c r="C21" i="21" s="1"/>
  <c r="J13" i="23"/>
  <c r="F16" i="15"/>
  <c r="F20" i="15" s="1"/>
  <c r="F66" i="19"/>
  <c r="F70" i="19" s="1"/>
  <c r="F13" i="23"/>
  <c r="J66" i="19"/>
  <c r="J70" i="19" s="1"/>
  <c r="G13" i="28"/>
  <c r="F37" i="28"/>
  <c r="F40" i="28" s="1"/>
  <c r="F44" i="28" s="1"/>
  <c r="F16" i="28"/>
  <c r="F20" i="28" s="1"/>
  <c r="H66" i="19"/>
  <c r="H70" i="19" s="1"/>
  <c r="D15" i="20"/>
  <c r="J15" i="20"/>
  <c r="K15" i="20" s="1"/>
  <c r="K17" i="20" s="1"/>
  <c r="K21" i="20" s="1"/>
  <c r="I15" i="20"/>
  <c r="H15" i="20"/>
  <c r="F15" i="20"/>
  <c r="F13" i="10"/>
  <c r="F17" i="10" s="1"/>
  <c r="F21" i="10" s="1"/>
  <c r="E17" i="10"/>
  <c r="E21" i="10" s="1"/>
  <c r="L14" i="34"/>
  <c r="I16" i="15"/>
  <c r="I20" i="15" s="1"/>
  <c r="G38" i="12"/>
  <c r="G40" i="12" s="1"/>
  <c r="G44" i="12" s="1"/>
  <c r="D38" i="12"/>
  <c r="D40" i="12" s="1"/>
  <c r="D44" i="12" s="1"/>
  <c r="F38" i="12"/>
  <c r="F40" i="12" s="1"/>
  <c r="F44" i="12" s="1"/>
  <c r="F15" i="34"/>
  <c r="F17" i="34" s="1"/>
  <c r="F21" i="34" s="1"/>
  <c r="D15" i="34"/>
  <c r="J15" i="34" s="1"/>
  <c r="L15" i="34"/>
  <c r="I15" i="34"/>
  <c r="I17" i="34" s="1"/>
  <c r="I21" i="34" s="1"/>
  <c r="H15" i="34"/>
  <c r="H17" i="34" s="1"/>
  <c r="H21" i="34" s="1"/>
  <c r="J17" i="34" l="1"/>
  <c r="J21" i="34" s="1"/>
  <c r="H14" i="20"/>
  <c r="I14" i="20" s="1"/>
  <c r="I17" i="20" s="1"/>
  <c r="I21" i="20" s="1"/>
  <c r="G14" i="20"/>
  <c r="G17" i="20" s="1"/>
  <c r="G21" i="20" s="1"/>
  <c r="H17" i="20"/>
  <c r="H21" i="20" s="1"/>
  <c r="F17" i="20"/>
  <c r="F21" i="20" s="1"/>
  <c r="D17" i="34"/>
  <c r="D21" i="34" s="1"/>
  <c r="E15" i="34"/>
  <c r="E17" i="34" s="1"/>
  <c r="E21" i="34" s="1"/>
  <c r="D17" i="20"/>
  <c r="D21" i="20" s="1"/>
  <c r="E15" i="20"/>
  <c r="E17" i="20" s="1"/>
  <c r="E21" i="20" s="1"/>
  <c r="J16" i="23"/>
  <c r="J20" i="23" s="1"/>
  <c r="H40" i="12"/>
  <c r="H44" i="12" s="1"/>
  <c r="H13" i="21"/>
  <c r="H17" i="21" s="1"/>
  <c r="H21" i="21" s="1"/>
  <c r="G17" i="21"/>
  <c r="G21" i="21" s="1"/>
  <c r="F16" i="23"/>
  <c r="F20" i="23" s="1"/>
  <c r="G37" i="28"/>
  <c r="G40" i="28" s="1"/>
  <c r="G44" i="28" s="1"/>
  <c r="G16" i="28"/>
  <c r="G20" i="28" s="1"/>
  <c r="E13" i="21"/>
  <c r="D17" i="21"/>
  <c r="D21" i="21" s="1"/>
  <c r="L17" i="34"/>
  <c r="L21" i="34" s="1"/>
  <c r="M15" i="20"/>
  <c r="M17" i="20" s="1"/>
  <c r="M21" i="20" s="1"/>
  <c r="J17" i="20"/>
  <c r="J21" i="20" s="1"/>
  <c r="F13" i="21" l="1"/>
  <c r="F17" i="21" s="1"/>
  <c r="F21" i="21" s="1"/>
  <c r="E17" i="21"/>
  <c r="E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O27" authorId="0" shapeId="0" xr:uid="{4F7B621E-63D5-48B5-8621-A5A267EFC692}">
      <text>
        <r>
          <rPr>
            <b/>
            <sz val="8"/>
            <color indexed="81"/>
            <rFont val="Tahoma"/>
            <family val="2"/>
          </rPr>
          <t>De acuerdo con la Resolución 40261 Tabla 2</t>
        </r>
      </text>
    </comment>
    <comment ref="P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<sst xmlns="http://schemas.openxmlformats.org/spreadsheetml/2006/main" count="3356" uniqueCount="530">
  <si>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</si>
  <si>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</si>
  <si>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</si>
  <si>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</si>
  <si>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</si>
  <si>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</si>
  <si>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</si>
  <si>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</si>
  <si>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</si>
  <si>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</si>
  <si>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</si>
  <si>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</si>
  <si>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</si>
  <si>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</si>
  <si>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</si>
  <si>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</si>
  <si>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</si>
  <si>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</si>
  <si>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</si>
  <si>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</si>
  <si>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</si>
  <si>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</si>
  <si>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</si>
  <si>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</si>
  <si>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</si>
  <si>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</si>
  <si>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</si>
  <si>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</si>
  <si>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</si>
  <si>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</si>
  <si>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</si>
  <si>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</si>
  <si>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</si>
  <si>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</si>
  <si>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</si>
  <si>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</si>
  <si>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</si>
  <si>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</si>
  <si>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</si>
  <si>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</si>
  <si>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</si>
  <si>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</si>
  <si>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</si>
  <si>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</si>
  <si>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</si>
  <si>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</si>
  <si>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</si>
  <si>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</si>
  <si>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</si>
  <si>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</si>
  <si>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</si>
  <si>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</si>
  <si>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</si>
  <si>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</si>
  <si>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</si>
  <si>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</si>
  <si>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</si>
  <si>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</si>
  <si>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</si>
  <si>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</si>
  <si>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</si>
  <si>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</si>
  <si>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</si>
  <si>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</si>
  <si>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</si>
  <si>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</si>
  <si>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</si>
  <si>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</si>
  <si>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</si>
  <si>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</si>
  <si>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</si>
  <si>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</si>
  <si>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</si>
  <si>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</si>
  <si>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</si>
  <si>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</si>
  <si>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</si>
  <si>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</si>
  <si>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</si>
  <si>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</si>
  <si>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</si>
  <si>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</si>
  <si>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</si>
  <si>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</si>
  <si>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</si>
  <si>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</si>
  <si>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</si>
  <si>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</si>
  <si>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</si>
  <si>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</si>
  <si>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</si>
  <si>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</si>
  <si>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</si>
  <si>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</si>
  <si>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</si>
  <si>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</si>
  <si>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</si>
  <si>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</si>
  <si>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</si>
  <si>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</si>
  <si>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</si>
  <si>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</si>
  <si>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</si>
  <si>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</si>
  <si>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</si>
  <si>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</si>
  <si>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</si>
  <si>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</si>
  <si>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</si>
  <si>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</si>
  <si>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</si>
  <si>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</si>
  <si>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</si>
  <si>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</si>
  <si>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</si>
  <si>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</si>
  <si>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</si>
  <si>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</si>
  <si>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</si>
  <si>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</si>
  <si>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</si>
  <si>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</si>
  <si>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</si>
  <si>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</si>
  <si>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</si>
  <si>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</si>
  <si>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</si>
  <si>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</si>
  <si>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</si>
  <si>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</si>
  <si>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</si>
  <si>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</si>
  <si>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</si>
  <si>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</si>
  <si>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</si>
  <si>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</si>
  <si>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</si>
  <si>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</si>
  <si>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</si>
  <si>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</si>
  <si>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</si>
  <si>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</si>
  <si>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</si>
  <si>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</si>
  <si>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</si>
  <si>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</si>
  <si>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</si>
  <si>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</si>
  <si>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</si>
  <si>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</si>
  <si>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</si>
  <si>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</si>
  <si>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</si>
  <si>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</si>
  <si>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</si>
  <si>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</si>
  <si>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</si>
  <si>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</si>
  <si>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</si>
  <si>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</si>
  <si>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</si>
  <si>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</si>
  <si>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</si>
  <si>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</si>
  <si>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</si>
  <si>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</si>
  <si>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</si>
  <si>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</si>
  <si>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</si>
  <si>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</si>
  <si>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</si>
  <si>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</si>
  <si>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</si>
  <si>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</si>
  <si>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</si>
  <si>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</si>
  <si>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</si>
  <si>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</si>
  <si>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</si>
  <si>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</si>
  <si>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</si>
  <si>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</si>
  <si>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</si>
  <si>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</si>
  <si>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</si>
  <si>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</si>
  <si>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</si>
  <si>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</si>
  <si>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</si>
  <si>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</si>
  <si>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</si>
  <si>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</si>
  <si>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</si>
  <si>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</si>
  <si>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</si>
  <si>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</si>
  <si>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</si>
  <si>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</si>
  <si>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</si>
  <si>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</si>
  <si>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</si>
  <si>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</si>
  <si>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</si>
  <si>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</si>
  <si>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</si>
  <si>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</si>
  <si>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</si>
  <si>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</si>
  <si>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</si>
  <si>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</si>
  <si>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</si>
  <si>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</si>
  <si>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</si>
  <si>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</si>
  <si>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</si>
  <si>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</si>
  <si>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</si>
  <si>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</si>
  <si>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</si>
  <si>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</si>
  <si>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</si>
  <si>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</si>
  <si>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</si>
  <si>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</si>
  <si>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</si>
  <si>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</si>
  <si>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</si>
  <si>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</si>
  <si>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</si>
  <si>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</si>
  <si>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</si>
  <si>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</si>
  <si>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</si>
  <si>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</si>
  <si>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</si>
  <si>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</si>
  <si>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</si>
  <si>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</si>
  <si>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</si>
  <si>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</si>
  <si>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</si>
  <si>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</si>
  <si>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</si>
  <si>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</si>
  <si>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</si>
  <si>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</si>
  <si>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</si>
  <si>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</si>
  <si>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</si>
  <si>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</si>
  <si>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</si>
  <si>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</si>
  <si>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</si>
  <si>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</si>
  <si>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</si>
  <si>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</si>
  <si>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</si>
  <si>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</si>
  <si>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</si>
  <si>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</si>
  <si>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</si>
  <si>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</si>
  <si>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</si>
  <si>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</si>
  <si>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</si>
  <si>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</si>
  <si>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</si>
  <si>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</si>
  <si>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</si>
  <si>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</si>
  <si>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</si>
  <si>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</si>
  <si>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</si>
  <si>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</si>
  <si>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</si>
  <si>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</si>
  <si>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</si>
  <si>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</si>
  <si>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</si>
  <si>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</si>
  <si>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</si>
  <si>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</si>
  <si>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</si>
  <si>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</si>
  <si>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</si>
  <si>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</si>
  <si>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</si>
  <si>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</si>
  <si>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</si>
  <si>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</si>
  <si>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</si>
  <si>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</si>
  <si>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</si>
  <si>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</si>
  <si>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</si>
  <si>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</si>
  <si>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</si>
  <si>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</si>
  <si>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</si>
  <si>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</si>
  <si>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</si>
  <si>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</si>
  <si>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</si>
  <si>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</si>
  <si>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</si>
  <si>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</si>
  <si>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</si>
  <si>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</si>
  <si>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</si>
  <si>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</si>
  <si>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</si>
  <si>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</si>
  <si>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</si>
  <si>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</si>
  <si>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</si>
  <si>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</si>
  <si>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</si>
  <si>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</si>
  <si>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</si>
  <si>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</si>
  <si>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</si>
  <si>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</si>
  <si>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</si>
  <si>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</si>
  <si>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</si>
  <si>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</si>
  <si>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</si>
  <si>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</si>
  <si>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</si>
  <si>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</si>
  <si>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</si>
  <si>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</si>
  <si>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</si>
  <si>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</si>
  <si>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</si>
  <si>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PLANTA DE ABASTO: Puerto Carreño</t>
  </si>
  <si>
    <t>DEPARTAMENTO VJCHADA (Puerto Carreño)</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</si>
  <si>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</si>
  <si>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</si>
  <si>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</si>
  <si>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</si>
  <si>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</si>
  <si>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</si>
  <si>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</si>
  <si>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</si>
  <si>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</si>
  <si>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</si>
  <si>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</si>
  <si>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</si>
  <si>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</si>
  <si>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</si>
  <si>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</si>
  <si>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</si>
  <si>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</si>
  <si>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</si>
  <si>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</si>
  <si>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</si>
  <si>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</si>
  <si>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</si>
  <si>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</si>
  <si>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</si>
  <si>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</si>
  <si>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</si>
  <si>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</si>
  <si>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</si>
  <si>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</si>
  <si>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</si>
  <si>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</si>
  <si>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</si>
  <si>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</si>
  <si>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</si>
  <si>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</si>
  <si>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</si>
  <si>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</si>
  <si>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</si>
  <si>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</si>
  <si>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</si>
  <si>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</si>
  <si>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</si>
  <si>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</si>
  <si>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</si>
  <si>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</si>
  <si>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</si>
  <si>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</si>
  <si>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</si>
  <si>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</si>
  <si>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</si>
  <si>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</si>
  <si>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</si>
  <si>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</si>
  <si>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</si>
  <si>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</si>
  <si>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</si>
  <si>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</si>
  <si>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</si>
  <si>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</si>
  <si>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</si>
  <si>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</si>
  <si>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</si>
  <si>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</si>
  <si>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</si>
  <si>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</si>
  <si>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</si>
  <si>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</si>
  <si>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</si>
  <si>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</si>
  <si>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</si>
  <si>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</si>
  <si>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</si>
  <si>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</si>
  <si>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</si>
  <si>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</si>
  <si>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</si>
  <si>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De acuerdo con lo establecido en la Resolución MME 91349 de 2014</t>
  </si>
  <si>
    <t>OJO!!!!</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</si>
  <si>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</si>
  <si>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</si>
  <si>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</si>
  <si>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</si>
  <si>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</si>
  <si>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</si>
  <si>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</si>
  <si>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</si>
  <si>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OJO</t>
  </si>
  <si>
    <t>16 DE DICIEMBRE 2020</t>
  </si>
  <si>
    <t>Punto medio meta inflación Banrep 2021</t>
  </si>
  <si>
    <t>OK actualizada</t>
  </si>
  <si>
    <t>Se ajusta el 1 Feb 21</t>
  </si>
  <si>
    <t>Pdte</t>
  </si>
  <si>
    <t>Se actualiza el 1 feb 20</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</si>
  <si>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</si>
  <si>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</si>
  <si>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</si>
  <si>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</si>
  <si>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</si>
  <si>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</si>
  <si>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</si>
  <si>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</si>
  <si>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</si>
  <si>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</si>
  <si>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</si>
  <si>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</si>
  <si>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</si>
  <si>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</si>
  <si>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</si>
  <si>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</si>
  <si>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</si>
  <si>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</si>
  <si>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</si>
  <si>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</si>
  <si>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</si>
  <si>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t>Z62: IP NARIÑO</t>
  </si>
  <si>
    <t>Z01: Nacional</t>
  </si>
  <si>
    <t>Z05: Dev Imp Carbono</t>
  </si>
  <si>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</si>
  <si>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</si>
  <si>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</si>
  <si>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</si>
  <si>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</si>
  <si>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</si>
  <si>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</si>
  <si>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</si>
  <si>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</si>
  <si>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</si>
  <si>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</si>
  <si>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</si>
  <si>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</si>
  <si>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</si>
  <si>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</si>
  <si>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</si>
  <si>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</si>
  <si>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</si>
  <si>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</si>
  <si>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</si>
  <si>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r>
      <t>GAS CORRIENTE OXIGENADA</t>
    </r>
    <r>
      <rPr>
        <b/>
        <sz val="11"/>
        <color theme="1"/>
        <rFont val="Calibri"/>
        <family val="2"/>
        <scheme val="minor"/>
      </rPr>
      <t xml:space="preserve"> E4</t>
    </r>
  </si>
  <si>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</si>
  <si>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</si>
  <si>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</si>
  <si>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r>
      <t xml:space="preserve">ORIGEN: Refinería de Cartagena y Barrancabermeja
 PLANTA DE ABASTO: Plantas autorizadas por el plan de abastecimiento ubicadas en Cartagena y Barranquilla </t>
    </r>
    <r>
      <rPr>
        <b/>
        <vertAlign val="superscript"/>
        <sz val="10"/>
        <color theme="0"/>
        <rFont val="Calibri"/>
        <family val="2"/>
      </rPr>
      <t xml:space="preserve"> (municipios de Acandí, Unguía y Riosucio)                         
Planta de Abasto Buenaventura ( muricipio de Jurado)</t>
    </r>
  </si>
  <si>
    <t xml:space="preserve">De acuerdo con lo establecido en la Resolución 40111 de MME </t>
  </si>
  <si>
    <t>ORIGEN: Refinería de Cartagena
PLANTA DE ABASTO:Ayatawocoop  y Discowacoop- ubicadas en el municipio de Maicao; abastecidas desde Galapa  y Baranoa</t>
  </si>
  <si>
    <t>CHOCO</t>
  </si>
  <si>
    <t>GUAJIRA</t>
  </si>
  <si>
    <t>CDF CESAR RIO DE ORO</t>
  </si>
  <si>
    <t>ELECTROCOMBUSTIBLE (EC0)</t>
  </si>
  <si>
    <t>ELECTROCOMBUSTIBLE (EC2)</t>
  </si>
  <si>
    <t>CHEQUEO B10</t>
  </si>
  <si>
    <t>CHEQUEO B12</t>
  </si>
  <si>
    <t>B10 A B12 resolución 40111</t>
  </si>
  <si>
    <t>DE ACUERDO CON LA RESOLUCIÓN 40261 EN AGOSTO DEBE SER EL 8%, SEPTIEMBRE ES 6%, OCTUBRRE 6%</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</si>
  <si>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</si>
  <si>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</si>
  <si>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Z75 (ECP) / Z51 (MNAL)</t>
  </si>
  <si>
    <t xml:space="preserve">ORIGEN: Refinería de Cartagena       PLANTA DE ABASTO: Galapa - Baranoa, Lizama,  Ayacucho, Cartagena ,  Baranquilla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</si>
  <si>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</si>
  <si>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</si>
  <si>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</si>
  <si>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</si>
  <si>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</si>
  <si>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</si>
  <si>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DEPARTAMENTO DE CESAR (casco urbano Rió de Oro)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</si>
  <si>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</si>
  <si>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</si>
  <si>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</si>
  <si>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</si>
  <si>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</si>
  <si>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</si>
  <si>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</si>
  <si>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r>
      <t>GAS CORRIENTE OXIGENADA</t>
    </r>
    <r>
      <rPr>
        <b/>
        <sz val="12"/>
        <color theme="1"/>
        <rFont val="Calibri"/>
        <family val="2"/>
        <scheme val="minor"/>
      </rPr>
      <t xml:space="preserve"> </t>
    </r>
    <r>
      <rPr>
        <b/>
        <sz val="16"/>
        <color rgb="FFFF0000"/>
        <rFont val="Calibri"/>
        <family val="2"/>
        <scheme val="minor"/>
      </rPr>
      <t>E5</t>
    </r>
  </si>
  <si>
    <t>Oxigena 5%</t>
  </si>
  <si>
    <t>EC3</t>
  </si>
  <si>
    <t>ELECTROCOMBUSTIBLE (EC3)</t>
  </si>
  <si>
    <t>Biodiesel B3</t>
  </si>
  <si>
    <t>Oxigenada 6%</t>
  </si>
  <si>
    <r>
      <t>GAS CORRIENTE OXIGENADA</t>
    </r>
    <r>
      <rPr>
        <b/>
        <sz val="12"/>
        <rFont val="Calibri"/>
        <family val="2"/>
        <scheme val="minor"/>
      </rPr>
      <t xml:space="preserve"> </t>
    </r>
    <r>
      <rPr>
        <b/>
        <sz val="16"/>
        <rFont val="Calibri"/>
        <family val="2"/>
        <scheme val="minor"/>
      </rPr>
      <t>E6</t>
    </r>
  </si>
  <si>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</si>
  <si>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</si>
  <si>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</si>
  <si>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</si>
  <si>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</si>
  <si>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</si>
  <si>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</si>
  <si>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</si>
  <si>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01.02.2022</t>
  </si>
  <si>
    <t>25.03.2022</t>
  </si>
  <si>
    <t xml:space="preserve">Acpm  </t>
  </si>
  <si>
    <t>B10 ZDF</t>
  </si>
  <si>
    <t>RESOLUCION VIGENTE 40096 VIGENTE A PARTIR DEL 12 MAR 2022</t>
  </si>
  <si>
    <t>Vigencia: 12 de Marzo de 2022; 00:00 horas</t>
  </si>
  <si>
    <t>Vigencia: 12 de marzo de 2022; 00:00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</si>
</sst>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0"/>
    <numFmt numFmtId="177" formatCode="0.00000"/>
    <numFmt numFmtId="178" formatCode="_-* #,##0.000_-;\-* #,##0.000_-;_-* &quot;-&quot;_-;_-@_-"/>
    <numFmt numFmtId="179" formatCode="&quot;Oxigenada&quot;\ 0\%"/>
    <numFmt numFmtId="180" formatCode="_-* #,##0.0000000_-;\-* #,##0.0000000_-;_-* &quot;-&quot;_-;_-@_-"/>
  </numFmts>
  <fonts count="96"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2"/>
      <color theme="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s>
  <fills count="35">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3" fillId="0" borderId="0"/>
    <xf numFmtId="41" fontId="1" fillId="0" borderId="0" applyFont="0" applyFill="0" applyBorder="0" applyAlignment="0" applyProtection="0"/>
    <xf numFmtId="0" fontId="92" fillId="0" borderId="0" applyNumberFormat="0" applyFill="0" applyBorder="0" applyAlignment="0" applyProtection="0"/>
    <xf numFmtId="9" fontId="9" fillId="0" borderId="0" applyFont="0" applyFill="0" applyBorder="0" applyAlignment="0" applyProtection="0"/>
  </cellStyleXfs>
  <cellXfs count="918">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0" borderId="51" xfId="4" applyNumberFormat="1" applyFont="1" applyBorder="1" applyAlignment="1" applyProtection="1">
      <alignment horizontal="left"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0" fontId="18" fillId="22" borderId="30" xfId="0" applyFont="1" applyFill="1" applyBorder="1" applyAlignment="1" applyProtection="1">
      <alignment horizontal="left" vertical="center" wrapText="1"/>
      <protection hidden="1"/>
    </xf>
    <xf numFmtId="0" fontId="18" fillId="8" borderId="30" xfId="0" applyFont="1" applyFill="1" applyBorder="1" applyAlignment="1" applyProtection="1">
      <alignment horizontal="left" vertical="center" wrapText="1"/>
      <protection hidden="1"/>
    </xf>
    <xf numFmtId="167" fontId="30" fillId="8" borderId="51" xfId="4" applyNumberFormat="1" applyFont="1" applyFill="1" applyBorder="1" applyAlignment="1" applyProtection="1">
      <alignment horizontal="left" vertical="center" wrapText="1"/>
      <protection hidden="1"/>
    </xf>
    <xf numFmtId="167" fontId="30" fillId="3" borderId="51" xfId="4" applyNumberFormat="1" applyFont="1" applyFill="1" applyBorder="1" applyAlignment="1" applyProtection="1">
      <alignment horizontal="left"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3" borderId="24" xfId="8" applyFont="1" applyFill="1" applyBorder="1" applyAlignment="1" applyProtection="1">
      <alignment horizontal="center" vertical="center" wrapText="1"/>
      <protection hidden="1"/>
    </xf>
    <xf numFmtId="43" fontId="35" fillId="23"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3"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4" borderId="76" xfId="3" applyFont="1" applyFill="1" applyBorder="1" applyAlignment="1" applyProtection="1">
      <alignment horizontal="center" vertical="center" wrapText="1"/>
      <protection hidden="1"/>
    </xf>
    <xf numFmtId="0" fontId="36" fillId="24" borderId="77" xfId="3" applyFont="1" applyFill="1" applyBorder="1" applyAlignment="1" applyProtection="1">
      <alignment horizontal="center" vertical="center" wrapText="1"/>
      <protection hidden="1"/>
    </xf>
    <xf numFmtId="168" fontId="48" fillId="24" borderId="68" xfId="3" quotePrefix="1" applyNumberFormat="1" applyFont="1" applyFill="1" applyBorder="1" applyAlignment="1" applyProtection="1">
      <alignment horizontal="center" vertical="center" wrapText="1"/>
      <protection hidden="1"/>
    </xf>
    <xf numFmtId="9" fontId="48" fillId="24" borderId="25" xfId="7" applyFont="1" applyFill="1" applyBorder="1" applyAlignment="1" applyProtection="1">
      <alignment horizontal="center" vertical="center" wrapText="1"/>
      <protection hidden="1"/>
    </xf>
    <xf numFmtId="0" fontId="36" fillId="24" borderId="68" xfId="3" applyFont="1" applyFill="1" applyBorder="1" applyAlignment="1" applyProtection="1">
      <alignment horizontal="center" vertical="center" wrapText="1"/>
      <protection hidden="1"/>
    </xf>
    <xf numFmtId="0" fontId="36" fillId="24"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43" fontId="49"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50" fillId="0" borderId="0" xfId="0" applyFont="1" applyAlignment="1" applyProtection="1">
      <alignment horizontal="centerContinuous"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0" fillId="0" borderId="0" xfId="0" quotePrefix="1" applyFont="1" applyAlignment="1" applyProtection="1">
      <alignment horizontal="left" vertical="center"/>
      <protection hidden="1"/>
    </xf>
    <xf numFmtId="4" fontId="50" fillId="0" borderId="0" xfId="10" applyNumberFormat="1" applyFont="1" applyFill="1" applyBorder="1" applyAlignment="1" applyProtection="1">
      <alignment horizontal="center" vertical="center"/>
      <protection hidden="1"/>
    </xf>
    <xf numFmtId="0" fontId="54" fillId="0" borderId="0" xfId="2" applyFont="1" applyFill="1" applyBorder="1" applyAlignment="1" applyProtection="1">
      <alignment vertical="center"/>
      <protection hidden="1"/>
    </xf>
    <xf numFmtId="0" fontId="54" fillId="0" borderId="0" xfId="2" applyFont="1" applyFill="1" applyBorder="1" applyAlignment="1" applyProtection="1">
      <alignment vertical="center" wrapText="1"/>
      <protection hidden="1"/>
    </xf>
    <xf numFmtId="0" fontId="55" fillId="0" borderId="0" xfId="0" applyFont="1" applyFill="1" applyAlignment="1" applyProtection="1">
      <alignment vertical="center"/>
      <protection hidden="1"/>
    </xf>
    <xf numFmtId="4" fontId="56" fillId="0" borderId="0" xfId="1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57" fillId="0" borderId="0" xfId="2" applyFont="1" applyFill="1" applyBorder="1" applyAlignment="1" applyProtection="1">
      <alignment vertical="center"/>
      <protection hidden="1"/>
    </xf>
    <xf numFmtId="2" fontId="50" fillId="0" borderId="30" xfId="0" applyNumberFormat="1" applyFont="1" applyFill="1" applyBorder="1" applyAlignment="1" applyProtection="1">
      <alignment vertical="center"/>
      <protection hidden="1"/>
    </xf>
    <xf numFmtId="2" fontId="50" fillId="0" borderId="24" xfId="0" applyNumberFormat="1" applyFont="1" applyFill="1" applyBorder="1" applyAlignment="1" applyProtection="1">
      <alignment horizontal="center" vertical="center"/>
      <protection hidden="1"/>
    </xf>
    <xf numFmtId="4" fontId="50" fillId="0" borderId="24" xfId="0" applyNumberFormat="1" applyFont="1" applyFill="1" applyBorder="1" applyAlignment="1" applyProtection="1">
      <alignment horizontal="center" vertical="center"/>
      <protection hidden="1"/>
    </xf>
    <xf numFmtId="4" fontId="50" fillId="0" borderId="25" xfId="0" applyNumberFormat="1" applyFont="1" applyFill="1" applyBorder="1" applyAlignment="1" applyProtection="1">
      <alignment horizontal="center" vertical="center"/>
      <protection hidden="1"/>
    </xf>
    <xf numFmtId="4" fontId="50" fillId="0" borderId="24" xfId="0" quotePrefix="1" applyNumberFormat="1" applyFont="1" applyFill="1" applyBorder="1" applyAlignment="1" applyProtection="1">
      <alignment horizontal="center" vertical="center"/>
      <protection hidden="1"/>
    </xf>
    <xf numFmtId="4"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horizontal="left" vertical="center"/>
      <protection hidden="1"/>
    </xf>
    <xf numFmtId="3" fontId="50" fillId="0" borderId="24" xfId="0" quotePrefix="1" applyNumberFormat="1" applyFont="1" applyFill="1" applyBorder="1" applyAlignment="1" applyProtection="1">
      <alignment horizontal="center" vertical="center"/>
      <protection hidden="1"/>
    </xf>
    <xf numFmtId="3"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vertical="center"/>
      <protection hidden="1"/>
    </xf>
    <xf numFmtId="2" fontId="50" fillId="0" borderId="31" xfId="0" applyNumberFormat="1" applyFont="1" applyBorder="1" applyAlignment="1" applyProtection="1">
      <alignment horizontal="left" vertical="center"/>
      <protection hidden="1"/>
    </xf>
    <xf numFmtId="3" fontId="50" fillId="0" borderId="27" xfId="0" quotePrefix="1" applyNumberFormat="1" applyFont="1" applyFill="1" applyBorder="1" applyAlignment="1" applyProtection="1">
      <alignment horizontal="center" vertical="center"/>
      <protection hidden="1"/>
    </xf>
    <xf numFmtId="3" fontId="50"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8"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59" fillId="0" borderId="0" xfId="0" applyFont="1"/>
    <xf numFmtId="0" fontId="60"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1" fillId="0" borderId="0" xfId="0" applyFont="1"/>
    <xf numFmtId="10" fontId="62" fillId="8" borderId="1" xfId="0" applyNumberFormat="1" applyFont="1" applyFill="1" applyBorder="1" applyAlignment="1">
      <alignment horizontal="center"/>
    </xf>
    <xf numFmtId="0" fontId="62" fillId="8" borderId="1" xfId="0" applyFont="1" applyFill="1" applyBorder="1" applyAlignment="1">
      <alignment horizontal="center"/>
    </xf>
    <xf numFmtId="0" fontId="6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5" fillId="5" borderId="1" xfId="1" applyNumberFormat="1" applyFont="1" applyFill="1" applyBorder="1" applyAlignment="1">
      <alignment horizontal="center" vertical="center" wrapText="1"/>
    </xf>
    <xf numFmtId="0" fontId="66" fillId="0" borderId="0" xfId="0" applyFont="1" applyFill="1" applyBorder="1"/>
    <xf numFmtId="0" fontId="66" fillId="0" borderId="0" xfId="0" applyNumberFormat="1" applyFont="1" applyFill="1" applyBorder="1"/>
    <xf numFmtId="4" fontId="66" fillId="0" borderId="0" xfId="0" applyNumberFormat="1" applyFont="1" applyFill="1" applyBorder="1"/>
    <xf numFmtId="171" fontId="66" fillId="0" borderId="0" xfId="0" applyNumberFormat="1" applyFont="1" applyFill="1" applyBorder="1"/>
    <xf numFmtId="171" fontId="66" fillId="3" borderId="0" xfId="0" applyNumberFormat="1" applyFont="1" applyFill="1" applyBorder="1"/>
    <xf numFmtId="0" fontId="67" fillId="3" borderId="0" xfId="0" applyNumberFormat="1" applyFont="1" applyFill="1"/>
    <xf numFmtId="43" fontId="66" fillId="0" borderId="0" xfId="0" applyNumberFormat="1" applyFont="1" applyFill="1" applyBorder="1"/>
    <xf numFmtId="164" fontId="0" fillId="0" borderId="1" xfId="1" applyNumberFormat="1" applyFont="1" applyFill="1" applyBorder="1"/>
    <xf numFmtId="0" fontId="64" fillId="0" borderId="1" xfId="0" applyFont="1" applyBorder="1"/>
    <xf numFmtId="164" fontId="0" fillId="5" borderId="1" xfId="1" applyNumberFormat="1" applyFont="1" applyFill="1" applyBorder="1"/>
    <xf numFmtId="164" fontId="6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4" fillId="0" borderId="1" xfId="0" applyFont="1" applyBorder="1" applyAlignment="1">
      <alignment horizontal="right"/>
    </xf>
    <xf numFmtId="0" fontId="66" fillId="8" borderId="0" xfId="0" applyFont="1" applyFill="1" applyBorder="1"/>
    <xf numFmtId="43" fontId="66" fillId="8" borderId="0" xfId="0" applyNumberFormat="1" applyFont="1" applyFill="1" applyBorder="1"/>
    <xf numFmtId="0" fontId="67" fillId="8" borderId="0" xfId="0" applyNumberFormat="1" applyFont="1" applyFill="1" applyAlignment="1">
      <alignment horizontal="center"/>
    </xf>
    <xf numFmtId="0" fontId="66" fillId="8" borderId="0" xfId="0" applyNumberFormat="1" applyFont="1" applyFill="1" applyBorder="1"/>
    <xf numFmtId="171" fontId="66" fillId="8" borderId="0" xfId="0" applyNumberFormat="1" applyFont="1" applyFill="1" applyBorder="1"/>
    <xf numFmtId="0" fontId="67" fillId="8" borderId="0" xfId="0" applyNumberFormat="1" applyFont="1" applyFill="1"/>
    <xf numFmtId="4" fontId="66" fillId="8" borderId="0" xfId="0" applyNumberFormat="1" applyFont="1" applyFill="1" applyBorder="1"/>
    <xf numFmtId="0" fontId="0" fillId="26" borderId="1" xfId="0" applyFill="1" applyBorder="1" applyAlignment="1">
      <alignment horizontal="center"/>
    </xf>
    <xf numFmtId="0" fontId="66" fillId="3" borderId="0" xfId="0" applyFont="1" applyFill="1" applyBorder="1"/>
    <xf numFmtId="4" fontId="68"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4"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4"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7"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69" fillId="19" borderId="0" xfId="0" applyFont="1" applyFill="1" applyBorder="1"/>
    <xf numFmtId="0" fontId="70"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2" fillId="19" borderId="1" xfId="1" applyNumberFormat="1" applyFont="1" applyFill="1" applyBorder="1"/>
    <xf numFmtId="43" fontId="68" fillId="0" borderId="0" xfId="0" applyNumberFormat="1" applyFont="1" applyFill="1" applyBorder="1"/>
    <xf numFmtId="0" fontId="68" fillId="0" borderId="0" xfId="0" applyFont="1" applyFill="1" applyBorder="1"/>
    <xf numFmtId="0" fontId="73" fillId="3" borderId="0" xfId="0" applyNumberFormat="1" applyFont="1" applyFill="1"/>
    <xf numFmtId="0" fontId="68" fillId="0" borderId="0" xfId="0" applyNumberFormat="1" applyFont="1" applyFill="1" applyBorder="1"/>
    <xf numFmtId="171" fontId="68" fillId="3" borderId="0" xfId="0" applyNumberFormat="1" applyFont="1" applyFill="1" applyBorder="1"/>
    <xf numFmtId="0" fontId="72" fillId="0" borderId="1" xfId="0" applyFont="1" applyBorder="1"/>
    <xf numFmtId="2" fontId="72" fillId="0" borderId="1" xfId="0" applyNumberFormat="1" applyFont="1" applyBorder="1"/>
    <xf numFmtId="43" fontId="66" fillId="3" borderId="0" xfId="0" applyNumberFormat="1" applyFont="1" applyFill="1" applyBorder="1"/>
    <xf numFmtId="0" fontId="66" fillId="3" borderId="0" xfId="0" applyNumberFormat="1" applyFont="1" applyFill="1" applyBorder="1"/>
    <xf numFmtId="4" fontId="66"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4" fillId="3" borderId="0" xfId="0" applyFont="1" applyFill="1" applyAlignment="1">
      <alignment horizontal="right"/>
    </xf>
    <xf numFmtId="0" fontId="36" fillId="0" borderId="0" xfId="3" applyFont="1" applyFill="1" applyAlignment="1" applyProtection="1">
      <alignment horizontal="left" vertical="center"/>
      <protection hidden="1"/>
    </xf>
    <xf numFmtId="4" fontId="68" fillId="3" borderId="0" xfId="0" applyNumberFormat="1" applyFont="1" applyFill="1" applyBorder="1"/>
    <xf numFmtId="0" fontId="0" fillId="3" borderId="0" xfId="0" applyFill="1"/>
    <xf numFmtId="0" fontId="33" fillId="3" borderId="0" xfId="0" applyFont="1" applyFill="1"/>
    <xf numFmtId="0" fontId="75" fillId="14" borderId="44" xfId="0" applyFont="1" applyFill="1" applyBorder="1" applyAlignment="1" applyProtection="1">
      <alignment horizontal="center" vertical="center" wrapText="1"/>
      <protection hidden="1"/>
    </xf>
    <xf numFmtId="9" fontId="76" fillId="14" borderId="44" xfId="0" quotePrefix="1" applyNumberFormat="1" applyFont="1" applyFill="1" applyBorder="1" applyAlignment="1" applyProtection="1">
      <alignment horizontal="center" vertical="center" wrapText="1"/>
      <protection hidden="1"/>
    </xf>
    <xf numFmtId="15" fontId="76" fillId="14" borderId="49" xfId="0" quotePrefix="1" applyNumberFormat="1" applyFont="1" applyFill="1" applyBorder="1" applyAlignment="1" applyProtection="1">
      <alignment horizontal="center" vertical="center" wrapText="1"/>
      <protection hidden="1"/>
    </xf>
    <xf numFmtId="43" fontId="75" fillId="15" borderId="44" xfId="4" applyFont="1" applyFill="1" applyBorder="1" applyAlignment="1" applyProtection="1">
      <alignment horizontal="center" vertical="center" wrapText="1"/>
      <protection hidden="1"/>
    </xf>
    <xf numFmtId="167" fontId="75" fillId="15" borderId="44" xfId="4" applyNumberFormat="1" applyFont="1" applyFill="1" applyBorder="1" applyAlignment="1" applyProtection="1">
      <alignment horizontal="center" vertical="center" wrapText="1"/>
      <protection hidden="1"/>
    </xf>
    <xf numFmtId="43" fontId="75" fillId="15" borderId="49" xfId="4" applyFont="1" applyFill="1" applyBorder="1" applyAlignment="1" applyProtection="1">
      <alignment horizontal="center" vertical="center" wrapText="1"/>
      <protection hidden="1"/>
    </xf>
    <xf numFmtId="0" fontId="33" fillId="27" borderId="0" xfId="0" applyFont="1" applyFill="1"/>
    <xf numFmtId="0" fontId="77" fillId="19" borderId="0" xfId="0" applyFont="1" applyFill="1" applyBorder="1"/>
    <xf numFmtId="0" fontId="66" fillId="7" borderId="0" xfId="0" applyFont="1" applyFill="1" applyBorder="1"/>
    <xf numFmtId="172" fontId="51"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58" fillId="0" borderId="1" xfId="0" applyNumberFormat="1" applyFont="1" applyFill="1" applyBorder="1"/>
    <xf numFmtId="10" fontId="0" fillId="28" borderId="1" xfId="0" applyNumberFormat="1" applyFill="1" applyBorder="1"/>
    <xf numFmtId="0" fontId="72" fillId="0" borderId="0" xfId="0" applyFont="1"/>
    <xf numFmtId="2" fontId="33"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2" fontId="0" fillId="27" borderId="11" xfId="0" applyNumberFormat="1" applyFill="1" applyBorder="1"/>
    <xf numFmtId="0" fontId="0" fillId="13" borderId="0" xfId="0" applyFill="1"/>
    <xf numFmtId="0" fontId="78" fillId="0" borderId="0" xfId="0" applyFont="1" applyBorder="1" applyAlignment="1" applyProtection="1">
      <alignment vertical="center"/>
      <protection hidden="1"/>
    </xf>
    <xf numFmtId="0" fontId="64" fillId="0" borderId="0" xfId="0" applyFont="1"/>
    <xf numFmtId="2" fontId="0" fillId="0" borderId="0" xfId="0" applyNumberFormat="1"/>
    <xf numFmtId="0" fontId="36" fillId="12" borderId="24" xfId="3" applyFont="1" applyFill="1" applyBorder="1" applyAlignment="1" applyProtection="1">
      <alignment horizontal="center" vertical="center" wrapText="1"/>
      <protection hidden="1"/>
    </xf>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5" fontId="0" fillId="0" borderId="0" xfId="0" applyNumberFormat="1"/>
    <xf numFmtId="177" fontId="0" fillId="0" borderId="0" xfId="0" applyNumberFormat="1"/>
    <xf numFmtId="174" fontId="72" fillId="3" borderId="1" xfId="0" applyNumberFormat="1" applyFont="1" applyFill="1" applyBorder="1"/>
    <xf numFmtId="2" fontId="72" fillId="3" borderId="1" xfId="0" applyNumberFormat="1" applyFont="1" applyFill="1" applyBorder="1"/>
    <xf numFmtId="0" fontId="79" fillId="0" borderId="0" xfId="0" applyFont="1"/>
    <xf numFmtId="9" fontId="79" fillId="0" borderId="0" xfId="0" applyNumberFormat="1" applyFont="1"/>
    <xf numFmtId="0" fontId="79" fillId="0" borderId="0" xfId="0" applyFont="1" applyAlignment="1">
      <alignment horizontal="center"/>
    </xf>
    <xf numFmtId="176" fontId="79" fillId="0" borderId="0" xfId="0" applyNumberFormat="1" applyFont="1"/>
    <xf numFmtId="0" fontId="80" fillId="0" borderId="94" xfId="0" applyFont="1" applyBorder="1" applyAlignment="1">
      <alignment horizontal="left" vertical="center"/>
    </xf>
    <xf numFmtId="0" fontId="0" fillId="27" borderId="93" xfId="0" applyFill="1" applyBorder="1" applyAlignment="1">
      <alignment vertical="center" wrapText="1"/>
    </xf>
    <xf numFmtId="175" fontId="0" fillId="7" borderId="88" xfId="0" applyNumberFormat="1" applyFill="1" applyBorder="1"/>
    <xf numFmtId="174" fontId="0" fillId="0" borderId="0" xfId="0" applyNumberFormat="1"/>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164" fontId="0" fillId="0" borderId="1" xfId="1" applyNumberFormat="1" applyFont="1" applyFill="1" applyBorder="1" applyAlignment="1">
      <alignment horizontal="center"/>
    </xf>
    <xf numFmtId="0" fontId="85" fillId="0" borderId="1" xfId="0" applyFont="1" applyFill="1" applyBorder="1"/>
    <xf numFmtId="164" fontId="85" fillId="0" borderId="1" xfId="1" applyNumberFormat="1" applyFont="1" applyFill="1" applyBorder="1"/>
    <xf numFmtId="43" fontId="85" fillId="0" borderId="0" xfId="0" applyNumberFormat="1" applyFont="1" applyFill="1" applyBorder="1" applyAlignment="1">
      <alignment horizontal="center"/>
    </xf>
    <xf numFmtId="43" fontId="85" fillId="0" borderId="0" xfId="0" applyNumberFormat="1" applyFont="1" applyFill="1"/>
    <xf numFmtId="0" fontId="85" fillId="0" borderId="0" xfId="0" applyFont="1" applyFill="1"/>
    <xf numFmtId="171" fontId="66" fillId="19" borderId="0" xfId="0" applyNumberFormat="1" applyFont="1" applyFill="1" applyBorder="1"/>
    <xf numFmtId="0" fontId="66" fillId="19" borderId="0" xfId="0" applyFont="1" applyFill="1" applyBorder="1"/>
    <xf numFmtId="43" fontId="66" fillId="19" borderId="0" xfId="0" applyNumberFormat="1" applyFont="1" applyFill="1" applyBorder="1"/>
    <xf numFmtId="0" fontId="66" fillId="22" borderId="0" xfId="0" applyFont="1" applyFill="1" applyBorder="1"/>
    <xf numFmtId="43" fontId="66" fillId="22" borderId="0" xfId="0" applyNumberFormat="1" applyFont="1" applyFill="1" applyBorder="1"/>
    <xf numFmtId="171" fontId="66" fillId="22" borderId="0" xfId="0" applyNumberFormat="1" applyFont="1" applyFill="1" applyBorder="1"/>
    <xf numFmtId="43" fontId="66" fillId="25" borderId="0" xfId="0" applyNumberFormat="1" applyFont="1" applyFill="1" applyBorder="1"/>
    <xf numFmtId="0" fontId="66" fillId="25" borderId="0" xfId="0" applyFont="1" applyFill="1" applyBorder="1"/>
    <xf numFmtId="0" fontId="66" fillId="15" borderId="0" xfId="0" applyFont="1" applyFill="1" applyBorder="1"/>
    <xf numFmtId="43" fontId="66" fillId="15" borderId="0" xfId="0" applyNumberFormat="1" applyFont="1" applyFill="1" applyBorder="1"/>
    <xf numFmtId="171" fontId="66" fillId="15" borderId="0" xfId="0" applyNumberFormat="1" applyFont="1" applyFill="1" applyBorder="1"/>
    <xf numFmtId="0" fontId="58" fillId="0" borderId="0" xfId="0" applyFont="1"/>
    <xf numFmtId="165" fontId="15" fillId="3" borderId="0" xfId="0" applyNumberFormat="1" applyFont="1" applyFill="1" applyBorder="1" applyAlignment="1" applyProtection="1">
      <alignment vertical="center"/>
      <protection hidden="1"/>
    </xf>
    <xf numFmtId="43" fontId="15" fillId="3" borderId="0" xfId="0" applyNumberFormat="1" applyFont="1" applyFill="1" applyBorder="1" applyAlignment="1" applyProtection="1">
      <alignment vertical="center"/>
      <protection hidden="1"/>
    </xf>
    <xf numFmtId="0" fontId="15"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5" fillId="0" borderId="0" xfId="0" applyNumberFormat="1" applyFont="1" applyBorder="1" applyAlignment="1" applyProtection="1">
      <alignment vertical="center"/>
      <protection hidden="1"/>
    </xf>
    <xf numFmtId="2" fontId="0" fillId="3" borderId="0" xfId="0" applyNumberFormat="1" applyFill="1"/>
    <xf numFmtId="43" fontId="15"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33" fillId="3" borderId="0" xfId="0" applyNumberFormat="1" applyFont="1" applyFill="1"/>
    <xf numFmtId="2" fontId="33" fillId="3" borderId="0" xfId="0" applyNumberFormat="1" applyFont="1" applyFill="1"/>
    <xf numFmtId="43" fontId="33" fillId="3" borderId="0" xfId="0" applyNumberFormat="1" applyFont="1" applyFill="1"/>
    <xf numFmtId="0" fontId="33" fillId="19" borderId="0" xfId="0" applyFont="1" applyFill="1"/>
    <xf numFmtId="9" fontId="33" fillId="19" borderId="0" xfId="0" applyNumberFormat="1" applyFont="1" applyFill="1"/>
    <xf numFmtId="2" fontId="33" fillId="19" borderId="0" xfId="0" applyNumberFormat="1" applyFont="1" applyFill="1"/>
    <xf numFmtId="43" fontId="33" fillId="19" borderId="0" xfId="0" applyNumberFormat="1" applyFont="1" applyFill="1"/>
    <xf numFmtId="43" fontId="33" fillId="27" borderId="0" xfId="0" applyNumberFormat="1" applyFont="1" applyFill="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169" fontId="36" fillId="12" borderId="24" xfId="3" quotePrefix="1" applyNumberFormat="1" applyFont="1" applyFill="1" applyBorder="1" applyAlignment="1" applyProtection="1">
      <alignment horizontal="center" vertical="center" wrapText="1"/>
      <protection hidden="1"/>
    </xf>
    <xf numFmtId="9" fontId="18" fillId="12" borderId="23" xfId="5" quotePrefix="1" applyFont="1" applyFill="1" applyBorder="1" applyAlignment="1" applyProtection="1">
      <alignment horizontal="center" vertical="center" wrapText="1"/>
      <protection hidden="1"/>
    </xf>
    <xf numFmtId="179" fontId="36" fillId="12" borderId="24" xfId="3" quotePrefix="1" applyNumberFormat="1" applyFont="1" applyFill="1" applyBorder="1" applyAlignment="1" applyProtection="1">
      <alignment horizontal="center" vertical="center" wrapText="1"/>
      <protection hidden="1"/>
    </xf>
    <xf numFmtId="0" fontId="86" fillId="0" borderId="0" xfId="0" applyFont="1" applyFill="1" applyBorder="1"/>
    <xf numFmtId="43" fontId="86" fillId="19" borderId="0" xfId="0" applyNumberFormat="1" applyFont="1" applyFill="1" applyBorder="1"/>
    <xf numFmtId="0" fontId="86" fillId="0" borderId="0" xfId="0" applyNumberFormat="1" applyFont="1" applyFill="1" applyBorder="1"/>
    <xf numFmtId="171" fontId="86" fillId="0" borderId="0" xfId="0" applyNumberFormat="1" applyFont="1" applyFill="1" applyBorder="1"/>
    <xf numFmtId="0" fontId="10" fillId="0" borderId="0" xfId="0" applyFont="1" applyFill="1"/>
    <xf numFmtId="0" fontId="0" fillId="0" borderId="0" xfId="0" applyFill="1"/>
    <xf numFmtId="0" fontId="10" fillId="0" borderId="84" xfId="0" applyFont="1" applyFill="1" applyBorder="1" applyAlignment="1">
      <alignment horizontal="left"/>
    </xf>
    <xf numFmtId="164" fontId="65" fillId="20" borderId="1" xfId="1" applyNumberFormat="1" applyFont="1" applyFill="1" applyBorder="1" applyAlignment="1">
      <alignment horizontal="center" vertical="center" wrapText="1"/>
    </xf>
    <xf numFmtId="43" fontId="33" fillId="0" borderId="1" xfId="0" applyNumberFormat="1" applyFont="1" applyBorder="1" applyAlignment="1">
      <alignment horizont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164" fontId="88" fillId="29" borderId="1" xfId="1" applyNumberFormat="1" applyFont="1" applyFill="1" applyBorder="1" applyAlignment="1">
      <alignment horizontal="center" vertical="center" wrapText="1"/>
    </xf>
    <xf numFmtId="164" fontId="88" fillId="19" borderId="1" xfId="1" applyNumberFormat="1" applyFont="1" applyFill="1" applyBorder="1" applyAlignment="1">
      <alignment horizontal="center" vertical="center" wrapText="1"/>
    </xf>
    <xf numFmtId="164" fontId="8" fillId="0" borderId="0" xfId="1" applyNumberFormat="1" applyFont="1" applyBorder="1"/>
    <xf numFmtId="167" fontId="75" fillId="15" borderId="0" xfId="4" applyNumberFormat="1" applyFont="1" applyFill="1" applyBorder="1" applyAlignment="1" applyProtection="1">
      <alignment horizontal="center" vertical="center" wrapText="1"/>
      <protection hidden="1"/>
    </xf>
    <xf numFmtId="2" fontId="33" fillId="2" borderId="0" xfId="0" applyNumberFormat="1" applyFont="1" applyFill="1"/>
    <xf numFmtId="173" fontId="36" fillId="12" borderId="24" xfId="3" quotePrefix="1" applyNumberFormat="1" applyFont="1" applyFill="1" applyBorder="1" applyAlignment="1" applyProtection="1">
      <alignment horizontal="center" vertical="center" wrapText="1"/>
      <protection hidden="1"/>
    </xf>
    <xf numFmtId="164" fontId="8" fillId="20" borderId="1" xfId="1" applyNumberFormat="1" applyFont="1" applyFill="1" applyBorder="1"/>
    <xf numFmtId="166" fontId="18" fillId="30" borderId="22" xfId="4" applyNumberFormat="1" applyFont="1" applyFill="1" applyBorder="1" applyAlignment="1" applyProtection="1">
      <alignment horizontal="center" vertical="center" wrapText="1"/>
      <protection hidden="1"/>
    </xf>
    <xf numFmtId="43" fontId="18" fillId="30" borderId="25" xfId="4" applyFont="1" applyFill="1" applyBorder="1" applyAlignment="1" applyProtection="1">
      <alignment horizontal="center" vertical="center" wrapText="1"/>
      <protection hidden="1"/>
    </xf>
    <xf numFmtId="43" fontId="18" fillId="30" borderId="25" xfId="4" applyFont="1" applyFill="1" applyBorder="1" applyAlignment="1" applyProtection="1">
      <alignment horizontal="right" vertical="center" wrapText="1"/>
      <protection hidden="1"/>
    </xf>
    <xf numFmtId="0" fontId="18" fillId="30" borderId="37" xfId="0" applyFont="1" applyFill="1" applyBorder="1" applyAlignment="1" applyProtection="1">
      <alignment horizontal="left" vertical="center" wrapText="1"/>
      <protection hidden="1"/>
    </xf>
    <xf numFmtId="43" fontId="18" fillId="30" borderId="24" xfId="4" applyFont="1" applyFill="1" applyBorder="1" applyAlignment="1" applyProtection="1">
      <alignment horizontal="right" vertical="center" wrapText="1"/>
      <protection hidden="1"/>
    </xf>
    <xf numFmtId="43" fontId="18" fillId="30" borderId="24" xfId="4" applyNumberFormat="1" applyFont="1" applyFill="1" applyBorder="1" applyAlignment="1" applyProtection="1">
      <alignment horizontal="right" vertical="center" wrapText="1"/>
      <protection hidden="1"/>
    </xf>
    <xf numFmtId="43" fontId="18" fillId="30" borderId="24" xfId="4" applyNumberFormat="1" applyFont="1" applyFill="1" applyBorder="1" applyAlignment="1" applyProtection="1">
      <alignment horizontal="center" vertical="center" wrapText="1"/>
      <protection hidden="1"/>
    </xf>
    <xf numFmtId="0" fontId="15" fillId="30" borderId="24" xfId="0" applyFont="1" applyFill="1" applyBorder="1" applyAlignment="1" applyProtection="1">
      <alignment vertical="center"/>
      <protection hidden="1"/>
    </xf>
    <xf numFmtId="43" fontId="18" fillId="30" borderId="24" xfId="4" applyFont="1" applyFill="1" applyBorder="1" applyAlignment="1" applyProtection="1">
      <alignment vertical="center" wrapText="1"/>
      <protection hidden="1"/>
    </xf>
    <xf numFmtId="167" fontId="30" fillId="30" borderId="47" xfId="4" applyNumberFormat="1" applyFont="1" applyFill="1" applyBorder="1" applyAlignment="1" applyProtection="1">
      <alignment horizontal="center" vertical="center" wrapText="1"/>
      <protection hidden="1"/>
    </xf>
    <xf numFmtId="167" fontId="75" fillId="30" borderId="47" xfId="4" applyNumberFormat="1" applyFont="1" applyFill="1" applyBorder="1" applyAlignment="1" applyProtection="1">
      <alignment horizontal="center" vertical="center" wrapText="1"/>
      <protection hidden="1"/>
    </xf>
    <xf numFmtId="43" fontId="30" fillId="30" borderId="44" xfId="4" applyFont="1" applyFill="1" applyBorder="1" applyAlignment="1" applyProtection="1">
      <alignment horizontal="center" wrapText="1"/>
      <protection hidden="1"/>
    </xf>
    <xf numFmtId="43" fontId="30" fillId="30" borderId="44" xfId="4" applyFont="1" applyFill="1" applyBorder="1" applyAlignment="1" applyProtection="1">
      <alignment horizontal="center" vertical="center" wrapText="1"/>
      <protection hidden="1"/>
    </xf>
    <xf numFmtId="43" fontId="75" fillId="30" borderId="44" xfId="4" applyFont="1" applyFill="1" applyBorder="1" applyAlignment="1" applyProtection="1">
      <alignment horizontal="center" vertical="center" wrapText="1"/>
      <protection hidden="1"/>
    </xf>
    <xf numFmtId="43" fontId="18" fillId="30" borderId="44" xfId="4" applyNumberFormat="1" applyFont="1" applyFill="1" applyBorder="1" applyAlignment="1" applyProtection="1">
      <alignment horizontal="center" vertical="center" wrapText="1"/>
      <protection hidden="1"/>
    </xf>
    <xf numFmtId="43" fontId="41" fillId="30" borderId="44" xfId="4" applyFont="1" applyFill="1" applyBorder="1" applyAlignment="1" applyProtection="1">
      <alignment horizontal="center"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8" fillId="0" borderId="24" xfId="4" quotePrefix="1" applyFont="1" applyFill="1" applyBorder="1" applyAlignment="1" applyProtection="1">
      <alignment horizontal="center" vertical="center" wrapText="1"/>
      <protection hidden="1"/>
    </xf>
    <xf numFmtId="43" fontId="18" fillId="28" borderId="24" xfId="4" applyFont="1" applyFill="1" applyBorder="1" applyAlignment="1" applyProtection="1">
      <alignment horizontal="center" vertical="center" wrapText="1"/>
      <protection hidden="1"/>
    </xf>
    <xf numFmtId="2" fontId="20" fillId="28" borderId="24" xfId="0" applyNumberFormat="1" applyFont="1" applyFill="1" applyBorder="1" applyAlignment="1" applyProtection="1">
      <alignment horizontal="right" vertical="center" wrapText="1"/>
      <protection hidden="1"/>
    </xf>
    <xf numFmtId="43" fontId="18" fillId="28" borderId="24" xfId="4" applyFont="1" applyFill="1" applyBorder="1" applyAlignment="1" applyProtection="1">
      <alignment vertical="center" wrapText="1"/>
      <protection hidden="1"/>
    </xf>
    <xf numFmtId="43" fontId="18" fillId="28" borderId="24" xfId="4" quotePrefix="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vertical="center" wrapText="1"/>
      <protection hidden="1"/>
    </xf>
    <xf numFmtId="43" fontId="18" fillId="28" borderId="23" xfId="4" applyFont="1" applyFill="1" applyBorder="1" applyAlignment="1" applyProtection="1">
      <alignment horizontal="right" vertical="center" wrapText="1"/>
      <protection hidden="1"/>
    </xf>
    <xf numFmtId="43" fontId="18" fillId="28" borderId="25" xfId="4" applyFont="1" applyFill="1" applyBorder="1" applyAlignment="1" applyProtection="1">
      <alignment horizontal="center" vertical="center" wrapText="1"/>
      <protection hidden="1"/>
    </xf>
    <xf numFmtId="43" fontId="30" fillId="28" borderId="47" xfId="4" applyFont="1" applyFill="1" applyBorder="1" applyAlignment="1" applyProtection="1">
      <alignment horizontal="center" vertical="center" wrapText="1"/>
      <protection hidden="1"/>
    </xf>
    <xf numFmtId="43" fontId="18" fillId="28" borderId="47" xfId="4" applyFont="1" applyFill="1" applyBorder="1" applyAlignment="1" applyProtection="1">
      <alignment horizontal="center" vertical="center" wrapText="1"/>
      <protection hidden="1"/>
    </xf>
    <xf numFmtId="43" fontId="30" fillId="28" borderId="44" xfId="4" applyFont="1" applyFill="1" applyBorder="1" applyAlignment="1" applyProtection="1">
      <alignment horizontal="center" vertical="center" wrapText="1"/>
      <protection hidden="1"/>
    </xf>
    <xf numFmtId="43" fontId="41" fillId="28" borderId="44" xfId="4"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2" fontId="66" fillId="3" borderId="0" xfId="0" applyNumberFormat="1" applyFont="1" applyFill="1" applyBorder="1"/>
    <xf numFmtId="0" fontId="84" fillId="3" borderId="0" xfId="0" applyFont="1" applyFill="1"/>
    <xf numFmtId="171" fontId="90" fillId="28" borderId="1" xfId="0" applyNumberFormat="1" applyFont="1" applyFill="1" applyBorder="1" applyAlignment="1">
      <alignment horizontal="center"/>
    </xf>
    <xf numFmtId="43" fontId="18" fillId="3" borderId="25" xfId="4" applyFont="1" applyFill="1" applyBorder="1" applyAlignment="1" applyProtection="1">
      <alignment horizontal="center" vertical="center" wrapText="1"/>
      <protection hidden="1"/>
    </xf>
    <xf numFmtId="43" fontId="18" fillId="3" borderId="25"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5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175"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60" xfId="0" applyNumberFormat="1" applyFont="1" applyBorder="1" applyAlignment="1" applyProtection="1">
      <alignment horizontal="center" vertical="center" wrapText="1"/>
      <protection hidden="1"/>
    </xf>
    <xf numFmtId="43" fontId="35" fillId="0" borderId="33" xfId="0" applyNumberFormat="1" applyFont="1" applyBorder="1" applyAlignment="1" applyProtection="1">
      <alignment horizontal="center" vertical="center" wrapText="1"/>
      <protection hidden="1"/>
    </xf>
    <xf numFmtId="43" fontId="35" fillId="17" borderId="37" xfId="8" quotePrefix="1" applyFont="1" applyFill="1" applyBorder="1" applyAlignment="1" applyProtection="1">
      <alignment horizontal="center" vertical="center" wrapText="1"/>
      <protection hidden="1"/>
    </xf>
    <xf numFmtId="43" fontId="35" fillId="17" borderId="37" xfId="8" applyFont="1" applyFill="1" applyBorder="1" applyAlignment="1" applyProtection="1">
      <alignment horizontal="center" vertical="center" wrapText="1"/>
      <protection hidden="1"/>
    </xf>
    <xf numFmtId="43" fontId="35" fillId="17" borderId="59" xfId="8" applyFont="1" applyFill="1" applyBorder="1" applyAlignment="1" applyProtection="1">
      <alignment horizontal="center" vertical="center" wrapText="1"/>
      <protection hidden="1"/>
    </xf>
    <xf numFmtId="43" fontId="35" fillId="17" borderId="21" xfId="8" applyFont="1" applyFill="1" applyBorder="1" applyAlignment="1" applyProtection="1">
      <alignment horizontal="center" vertical="center" wrapText="1"/>
      <protection hidden="1"/>
    </xf>
    <xf numFmtId="43" fontId="35" fillId="0" borderId="60" xfId="8" applyFont="1" applyFill="1" applyBorder="1" applyAlignment="1" applyProtection="1">
      <alignment horizontal="center" vertical="center" wrapText="1"/>
      <protection hidden="1"/>
    </xf>
    <xf numFmtId="43" fontId="35" fillId="13" borderId="33" xfId="8" applyFont="1" applyFill="1" applyBorder="1" applyAlignment="1" applyProtection="1">
      <alignment horizontal="center" vertical="center" wrapText="1"/>
      <protection hidden="1"/>
    </xf>
    <xf numFmtId="43" fontId="35" fillId="17" borderId="58" xfId="8" applyNumberFormat="1" applyFont="1" applyFill="1" applyBorder="1" applyAlignment="1" applyProtection="1">
      <alignment horizontal="center" vertical="center" wrapText="1"/>
      <protection hidden="1"/>
    </xf>
    <xf numFmtId="0" fontId="36" fillId="31" borderId="24" xfId="3" applyFont="1" applyFill="1" applyBorder="1" applyAlignment="1" applyProtection="1">
      <alignment horizontal="center" vertical="center" wrapText="1"/>
      <protection hidden="1"/>
    </xf>
    <xf numFmtId="173" fontId="36" fillId="31" borderId="24" xfId="3" quotePrefix="1" applyNumberFormat="1" applyFont="1" applyFill="1" applyBorder="1" applyAlignment="1" applyProtection="1">
      <alignment horizontal="center" vertical="center" wrapText="1"/>
      <protection hidden="1"/>
    </xf>
    <xf numFmtId="2" fontId="35" fillId="31" borderId="58" xfId="0" applyNumberFormat="1" applyFont="1" applyFill="1" applyBorder="1" applyAlignment="1" applyProtection="1">
      <alignment horizontal="right" vertical="center" wrapText="1"/>
      <protection hidden="1"/>
    </xf>
    <xf numFmtId="43" fontId="35" fillId="31" borderId="58" xfId="0" applyNumberFormat="1" applyFont="1" applyFill="1" applyBorder="1" applyAlignment="1" applyProtection="1">
      <alignment horizontal="center" vertical="center" wrapText="1"/>
      <protection hidden="1"/>
    </xf>
    <xf numFmtId="43" fontId="35" fillId="31" borderId="58" xfId="0" applyNumberFormat="1" applyFont="1" applyFill="1" applyBorder="1" applyAlignment="1" applyProtection="1">
      <alignment horizontal="right" vertical="center" wrapText="1"/>
      <protection hidden="1"/>
    </xf>
    <xf numFmtId="43" fontId="35" fillId="31" borderId="24" xfId="8" applyFont="1" applyFill="1" applyBorder="1" applyAlignment="1" applyProtection="1">
      <alignment horizontal="center" vertical="center" wrapText="1"/>
      <protection hidden="1"/>
    </xf>
    <xf numFmtId="0" fontId="36" fillId="31" borderId="30" xfId="3" applyFont="1" applyFill="1" applyBorder="1" applyAlignment="1" applyProtection="1">
      <alignment horizontal="center" vertical="center" wrapText="1"/>
      <protection hidden="1"/>
    </xf>
    <xf numFmtId="179" fontId="36" fillId="31" borderId="24" xfId="3" quotePrefix="1" applyNumberFormat="1" applyFont="1" applyFill="1" applyBorder="1" applyAlignment="1" applyProtection="1">
      <alignment horizontal="center" vertical="center" wrapText="1"/>
      <protection hidden="1"/>
    </xf>
    <xf numFmtId="43" fontId="35" fillId="31" borderId="68" xfId="8" applyFont="1" applyFill="1" applyBorder="1" applyAlignment="1" applyProtection="1">
      <alignment horizontal="center" vertical="center" wrapText="1"/>
      <protection hidden="1"/>
    </xf>
    <xf numFmtId="43" fontId="35" fillId="31" borderId="68" xfId="0" applyNumberFormat="1" applyFont="1" applyFill="1" applyBorder="1" applyAlignment="1" applyProtection="1">
      <alignment horizontal="center" vertical="center" wrapText="1"/>
      <protection hidden="1"/>
    </xf>
    <xf numFmtId="43" fontId="35" fillId="31" borderId="69"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170" fontId="0" fillId="0" borderId="0" xfId="0" applyNumberFormat="1" applyAlignment="1">
      <alignment horizontal="center"/>
    </xf>
    <xf numFmtId="43" fontId="35" fillId="31" borderId="58" xfId="8" applyFont="1" applyFill="1" applyBorder="1" applyAlignment="1" applyProtection="1">
      <alignment horizontal="center" vertical="center" wrapText="1"/>
      <protection hidden="1"/>
    </xf>
    <xf numFmtId="43" fontId="35" fillId="31" borderId="57" xfId="8" applyFont="1" applyFill="1" applyBorder="1" applyAlignment="1" applyProtection="1">
      <alignment horizontal="center" vertical="center" wrapText="1"/>
      <protection hidden="1"/>
    </xf>
    <xf numFmtId="43" fontId="35" fillId="31" borderId="37" xfId="8" quotePrefix="1" applyFont="1" applyFill="1" applyBorder="1" applyAlignment="1" applyProtection="1">
      <alignment horizontal="center" vertical="center" wrapText="1"/>
      <protection hidden="1"/>
    </xf>
    <xf numFmtId="43" fontId="35" fillId="31" borderId="37" xfId="8" applyFont="1" applyFill="1" applyBorder="1" applyAlignment="1" applyProtection="1">
      <alignment horizontal="center" vertical="center" wrapText="1"/>
      <protection hidden="1"/>
    </xf>
    <xf numFmtId="43" fontId="35" fillId="31" borderId="59" xfId="8" applyFont="1" applyFill="1" applyBorder="1" applyAlignment="1" applyProtection="1">
      <alignment horizontal="center" vertical="center" wrapText="1"/>
      <protection hidden="1"/>
    </xf>
    <xf numFmtId="43" fontId="35" fillId="31" borderId="0" xfId="8" applyFont="1" applyFill="1" applyBorder="1" applyAlignment="1" applyProtection="1">
      <alignment horizontal="center" vertical="center" wrapText="1"/>
      <protection hidden="1"/>
    </xf>
    <xf numFmtId="43" fontId="35" fillId="31" borderId="21" xfId="8" applyFont="1" applyFill="1" applyBorder="1" applyAlignment="1" applyProtection="1">
      <alignment horizontal="center" vertical="center" wrapText="1"/>
      <protection hidden="1"/>
    </xf>
    <xf numFmtId="165" fontId="35" fillId="31" borderId="58" xfId="0" applyNumberFormat="1" applyFont="1" applyFill="1" applyBorder="1" applyAlignment="1" applyProtection="1">
      <alignment horizontal="center" vertical="center" wrapText="1"/>
      <protection hidden="1"/>
    </xf>
    <xf numFmtId="43" fontId="35" fillId="31" borderId="58" xfId="8" applyNumberFormat="1" applyFont="1" applyFill="1" applyBorder="1" applyAlignment="1" applyProtection="1">
      <alignment horizontal="center" vertical="center" wrapText="1"/>
      <protection hidden="1"/>
    </xf>
    <xf numFmtId="43" fontId="35" fillId="31" borderId="38" xfId="8" applyFont="1" applyFill="1" applyBorder="1" applyAlignment="1" applyProtection="1">
      <alignment horizontal="center" vertical="center" wrapText="1"/>
      <protection hidden="1"/>
    </xf>
    <xf numFmtId="43" fontId="35" fillId="0" borderId="37" xfId="8" quotePrefix="1" applyFont="1" applyFill="1" applyBorder="1" applyAlignment="1" applyProtection="1">
      <alignment horizontal="center" vertical="center" wrapText="1"/>
      <protection hidden="1"/>
    </xf>
    <xf numFmtId="43" fontId="35" fillId="30" borderId="58" xfId="8" applyFont="1" applyFill="1" applyBorder="1" applyAlignment="1" applyProtection="1">
      <alignment horizontal="center" vertical="center" wrapText="1"/>
      <protection hidden="1"/>
    </xf>
    <xf numFmtId="43" fontId="35" fillId="30" borderId="58" xfId="8" applyNumberFormat="1" applyFont="1" applyFill="1" applyBorder="1" applyAlignment="1" applyProtection="1">
      <alignment horizontal="center" vertical="center" wrapText="1"/>
      <protection hidden="1"/>
    </xf>
    <xf numFmtId="165" fontId="35" fillId="30" borderId="58" xfId="0" applyNumberFormat="1" applyFont="1" applyFill="1" applyBorder="1" applyAlignment="1" applyProtection="1">
      <alignment horizontal="center" vertical="center" wrapText="1"/>
      <protection hidden="1"/>
    </xf>
    <xf numFmtId="2" fontId="64" fillId="0" borderId="0" xfId="0" applyNumberFormat="1" applyFont="1"/>
    <xf numFmtId="0" fontId="91" fillId="19" borderId="0" xfId="0" applyFont="1" applyFill="1" applyAlignment="1" applyProtection="1">
      <alignment horizontal="center" vertical="center"/>
      <protection hidden="1"/>
    </xf>
    <xf numFmtId="180" fontId="0" fillId="0" borderId="0" xfId="11" applyNumberFormat="1" applyFont="1"/>
    <xf numFmtId="180" fontId="0" fillId="0" borderId="0" xfId="0" applyNumberFormat="1"/>
    <xf numFmtId="180" fontId="0" fillId="3" borderId="0" xfId="0" applyNumberFormat="1" applyFill="1" applyAlignment="1">
      <alignment horizontal="center"/>
    </xf>
    <xf numFmtId="0" fontId="0" fillId="0" borderId="0" xfId="0"/>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4" xfId="3" applyFont="1" applyFill="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64" fontId="93" fillId="8" borderId="1" xfId="1" applyNumberFormat="1" applyFont="1" applyFill="1" applyBorder="1" applyAlignment="1">
      <alignment horizontal="center" vertical="center" wrapText="1"/>
    </xf>
    <xf numFmtId="164" fontId="0" fillId="8" borderId="1" xfId="1" applyNumberFormat="1" applyFont="1" applyFill="1" applyBorder="1"/>
    <xf numFmtId="164" fontId="0" fillId="8" borderId="1" xfId="1" applyNumberFormat="1" applyFont="1" applyFill="1" applyBorder="1" applyAlignment="1">
      <alignment horizontal="center"/>
    </xf>
    <xf numFmtId="43" fontId="35" fillId="8" borderId="24" xfId="8" applyFont="1" applyFill="1" applyBorder="1" applyAlignment="1" applyProtection="1">
      <alignment horizontal="center" vertical="center" wrapText="1"/>
      <protection hidden="1"/>
    </xf>
    <xf numFmtId="43" fontId="35" fillId="8" borderId="24" xfId="8" quotePrefix="1" applyFont="1" applyFill="1" applyBorder="1" applyAlignment="1" applyProtection="1">
      <alignment horizontal="center" vertical="center" wrapText="1"/>
      <protection hidden="1"/>
    </xf>
    <xf numFmtId="43" fontId="35" fillId="8" borderId="58" xfId="8" applyFont="1" applyFill="1" applyBorder="1" applyAlignment="1" applyProtection="1">
      <alignment horizontal="center" vertical="center" wrapText="1"/>
      <protection hidden="1"/>
    </xf>
    <xf numFmtId="43" fontId="35" fillId="8" borderId="57" xfId="8" applyFont="1" applyFill="1" applyBorder="1" applyAlignment="1" applyProtection="1">
      <alignment horizontal="center" vertical="center" wrapText="1"/>
      <protection hidden="1"/>
    </xf>
    <xf numFmtId="43" fontId="35" fillId="8" borderId="37" xfId="8" applyFont="1" applyFill="1" applyBorder="1" applyAlignment="1" applyProtection="1">
      <alignment horizontal="center" vertical="center" wrapText="1"/>
      <protection hidden="1"/>
    </xf>
    <xf numFmtId="43" fontId="35" fillId="8" borderId="58" xfId="8" applyNumberFormat="1" applyFont="1" applyFill="1" applyBorder="1" applyAlignment="1" applyProtection="1">
      <alignment horizontal="center" vertical="center" wrapText="1"/>
      <protection hidden="1"/>
    </xf>
    <xf numFmtId="2" fontId="35" fillId="8" borderId="58" xfId="0" applyNumberFormat="1" applyFont="1" applyFill="1" applyBorder="1" applyAlignment="1" applyProtection="1">
      <alignment horizontal="right" vertical="center" wrapText="1"/>
      <protection hidden="1"/>
    </xf>
    <xf numFmtId="43" fontId="35" fillId="8" borderId="58" xfId="0" applyNumberFormat="1" applyFont="1" applyFill="1" applyBorder="1" applyAlignment="1" applyProtection="1">
      <alignment horizontal="center" vertical="center" wrapText="1"/>
      <protection hidden="1"/>
    </xf>
    <xf numFmtId="43" fontId="35" fillId="8" borderId="58" xfId="0" applyNumberFormat="1" applyFont="1" applyFill="1" applyBorder="1" applyAlignment="1" applyProtection="1">
      <alignment horizontal="right" vertical="center" wrapText="1"/>
      <protection hidden="1"/>
    </xf>
    <xf numFmtId="43" fontId="35" fillId="17" borderId="98" xfId="8" applyFont="1" applyFill="1" applyBorder="1" applyAlignment="1" applyProtection="1">
      <alignment horizontal="center" vertical="center" wrapText="1"/>
      <protection hidden="1"/>
    </xf>
    <xf numFmtId="43" fontId="35" fillId="8" borderId="32" xfId="8" applyFont="1" applyFill="1" applyBorder="1" applyAlignment="1" applyProtection="1">
      <alignment horizontal="center" vertical="center" wrapText="1"/>
      <protection hidden="1"/>
    </xf>
    <xf numFmtId="43" fontId="35" fillId="8" borderId="68" xfId="8" applyFont="1" applyFill="1" applyBorder="1" applyAlignment="1" applyProtection="1">
      <alignment horizontal="center" vertical="center" wrapText="1"/>
      <protection hidden="1"/>
    </xf>
    <xf numFmtId="0" fontId="36" fillId="24" borderId="99" xfId="3" applyFont="1" applyFill="1" applyBorder="1" applyAlignment="1" applyProtection="1">
      <alignment horizontal="center" vertical="center" wrapText="1"/>
      <protection hidden="1"/>
    </xf>
    <xf numFmtId="9" fontId="48" fillId="24" borderId="58" xfId="7" applyFont="1" applyFill="1" applyBorder="1" applyAlignment="1" applyProtection="1">
      <alignment horizontal="center" vertical="center" wrapText="1"/>
      <protection hidden="1"/>
    </xf>
    <xf numFmtId="0" fontId="36" fillId="24" borderId="58" xfId="3" applyFont="1" applyFill="1" applyBorder="1" applyAlignment="1" applyProtection="1">
      <alignment horizontal="center" vertical="center" wrapText="1"/>
      <protection hidden="1"/>
    </xf>
    <xf numFmtId="49" fontId="35" fillId="0" borderId="68" xfId="6" applyNumberFormat="1" applyFont="1" applyFill="1" applyBorder="1" applyAlignment="1" applyProtection="1">
      <alignment horizontal="center" vertical="center" wrapText="1"/>
      <protection hidden="1"/>
    </xf>
    <xf numFmtId="166" fontId="18" fillId="7" borderId="22" xfId="4" applyNumberFormat="1" applyFont="1" applyFill="1" applyBorder="1" applyAlignment="1" applyProtection="1">
      <alignment horizontal="center" vertical="center" wrapText="1"/>
      <protection hidden="1"/>
    </xf>
    <xf numFmtId="43" fontId="18" fillId="7" borderId="25" xfId="4" applyFont="1" applyFill="1" applyBorder="1" applyAlignment="1" applyProtection="1">
      <alignment horizontal="center" vertical="center" wrapText="1"/>
      <protection hidden="1"/>
    </xf>
    <xf numFmtId="43" fontId="18" fillId="7" borderId="25" xfId="4" applyFont="1" applyFill="1" applyBorder="1" applyAlignment="1" applyProtection="1">
      <alignment horizontal="right" vertical="center" wrapText="1"/>
      <protection hidden="1"/>
    </xf>
    <xf numFmtId="43" fontId="35" fillId="13" borderId="24" xfId="6" quotePrefix="1" applyFont="1" applyFill="1" applyBorder="1" applyAlignment="1" applyProtection="1">
      <alignment horizontal="center" vertical="center" wrapText="1"/>
      <protection hidden="1"/>
    </xf>
    <xf numFmtId="43" fontId="35" fillId="13" borderId="30" xfId="6" quotePrefix="1" applyFont="1" applyFill="1" applyBorder="1" applyAlignment="1" applyProtection="1">
      <alignment horizontal="center" vertical="center" wrapText="1"/>
      <protection hidden="1"/>
    </xf>
    <xf numFmtId="0" fontId="32" fillId="11" borderId="0" xfId="0" applyFont="1" applyFill="1" applyBorder="1" applyAlignment="1" applyProtection="1">
      <alignment horizontal="center" vertical="center" wrapText="1"/>
      <protection hidden="1"/>
    </xf>
    <xf numFmtId="178" fontId="0" fillId="33" borderId="1" xfId="1" applyNumberFormat="1" applyFont="1" applyFill="1" applyBorder="1"/>
    <xf numFmtId="164" fontId="0" fillId="33" borderId="1" xfId="1" applyNumberFormat="1" applyFont="1" applyFill="1" applyBorder="1"/>
    <xf numFmtId="164" fontId="0" fillId="22" borderId="1" xfId="1" applyNumberFormat="1" applyFont="1" applyFill="1" applyBorder="1"/>
    <xf numFmtId="0" fontId="10" fillId="0" borderId="1" xfId="0" applyFont="1" applyFill="1" applyBorder="1" applyAlignment="1">
      <alignment vertical="center"/>
    </xf>
    <xf numFmtId="9" fontId="0" fillId="0" borderId="0" xfId="0" applyNumberFormat="1" applyFill="1" applyAlignment="1">
      <alignment horizontal="center"/>
    </xf>
    <xf numFmtId="0" fontId="0" fillId="0" borderId="1" xfId="0" applyFill="1" applyBorder="1" applyAlignment="1">
      <alignment horizontal="center" vertical="center" wrapText="1"/>
    </xf>
    <xf numFmtId="174" fontId="0" fillId="0" borderId="1" xfId="0" applyNumberFormat="1" applyFill="1" applyBorder="1"/>
    <xf numFmtId="175" fontId="0" fillId="0" borderId="1" xfId="0" applyNumberFormat="1" applyFill="1" applyBorder="1"/>
    <xf numFmtId="2" fontId="0" fillId="0" borderId="11" xfId="0" applyNumberFormat="1" applyFill="1" applyBorder="1"/>
    <xf numFmtId="43" fontId="18" fillId="27" borderId="24" xfId="4" applyNumberFormat="1" applyFont="1" applyFill="1" applyBorder="1" applyAlignment="1" applyProtection="1">
      <alignment horizontal="right" vertical="center" wrapText="1"/>
      <protection hidden="1"/>
    </xf>
    <xf numFmtId="0" fontId="71" fillId="0" borderId="0" xfId="3" applyFont="1" applyFill="1" applyBorder="1" applyAlignment="1" applyProtection="1">
      <alignment vertical="center" wrapText="1"/>
      <protection hidden="1"/>
    </xf>
    <xf numFmtId="165" fontId="35" fillId="0" borderId="58" xfId="0" applyNumberFormat="1"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42" fillId="3"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58" xfId="8" quotePrefix="1" applyFont="1" applyFill="1" applyBorder="1" applyAlignment="1" applyProtection="1">
      <alignment horizontal="center" vertical="center" wrapText="1"/>
      <protection hidden="1"/>
    </xf>
    <xf numFmtId="164" fontId="85" fillId="0" borderId="0" xfId="1" applyNumberFormat="1" applyFont="1" applyFill="1" applyBorder="1"/>
    <xf numFmtId="178" fontId="0" fillId="0" borderId="1" xfId="1" applyNumberFormat="1" applyFont="1" applyFill="1" applyBorder="1"/>
    <xf numFmtId="164" fontId="95" fillId="27" borderId="1" xfId="1" applyNumberFormat="1" applyFont="1" applyFill="1" applyBorder="1"/>
    <xf numFmtId="168" fontId="48" fillId="24" borderId="58" xfId="3" quotePrefix="1" applyNumberFormat="1" applyFont="1" applyFill="1" applyBorder="1" applyAlignment="1" applyProtection="1">
      <alignment horizontal="center" vertical="center" wrapText="1"/>
      <protection hidden="1"/>
    </xf>
    <xf numFmtId="43" fontId="35" fillId="13" borderId="58" xfId="8" quotePrefix="1" applyFont="1" applyFill="1" applyBorder="1" applyAlignment="1" applyProtection="1">
      <alignment horizontal="center" vertical="center" wrapText="1"/>
      <protection hidden="1"/>
    </xf>
    <xf numFmtId="10" fontId="8" fillId="34" borderId="1" xfId="0" applyNumberFormat="1" applyFont="1" applyFill="1" applyBorder="1"/>
    <xf numFmtId="43" fontId="0" fillId="34" borderId="1" xfId="0" applyNumberFormat="1" applyFill="1" applyBorder="1"/>
    <xf numFmtId="43" fontId="35" fillId="0" borderId="33" xfId="8" applyFont="1" applyFill="1" applyBorder="1" applyAlignment="1" applyProtection="1">
      <alignment horizontal="center" vertical="center" wrapText="1"/>
      <protection hidden="1"/>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0"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11"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0"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28" borderId="1" xfId="0" applyFill="1"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xf>
    <xf numFmtId="0" fontId="0" fillId="0" borderId="95"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4" borderId="35" xfId="0" quotePrefix="1" applyFont="1" applyFill="1" applyBorder="1" applyAlignment="1" applyProtection="1">
      <alignment horizontal="center" vertical="center" wrapText="1"/>
      <protection hidden="1"/>
    </xf>
    <xf numFmtId="0" fontId="13" fillId="24"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4"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33"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1"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9" fillId="0" borderId="0" xfId="3" applyFont="1" applyAlignment="1" applyProtection="1">
      <alignment horizontal="left"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28" fillId="0" borderId="0" xfId="3" applyFont="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14"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33"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5"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0"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protection hidden="1"/>
    </xf>
    <xf numFmtId="0" fontId="38" fillId="21" borderId="0" xfId="3" applyFont="1" applyFill="1" applyBorder="1" applyAlignment="1" applyProtection="1">
      <alignment horizontal="center" vertical="center"/>
      <protection hidden="1"/>
    </xf>
    <xf numFmtId="0" fontId="27" fillId="0" borderId="0" xfId="3" applyFont="1" applyAlignment="1" applyProtection="1">
      <alignment horizontal="justify" vertical="justify" wrapText="1"/>
      <protection hidden="1"/>
    </xf>
    <xf numFmtId="0" fontId="82" fillId="0" borderId="0" xfId="3" applyFont="1" applyFill="1" applyBorder="1" applyAlignment="1" applyProtection="1">
      <alignment horizontal="left" vertical="center"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9" fillId="0" borderId="0" xfId="3" applyFont="1" applyFill="1" applyBorder="1" applyAlignment="1" applyProtection="1">
      <alignment horizontal="center" vertical="center" wrapText="1"/>
      <protection hidden="1"/>
    </xf>
    <xf numFmtId="0" fontId="71" fillId="0" borderId="0" xfId="3" applyFont="1" applyFill="1" applyBorder="1" applyAlignment="1" applyProtection="1">
      <alignment horizontal="left" vertical="center" wrapText="1"/>
      <protection hidden="1"/>
    </xf>
    <xf numFmtId="0" fontId="50"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5" fillId="0" borderId="0" xfId="0" applyFont="1" applyFill="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3</xdr:col>
      <xdr:colOff>648257</xdr:colOff>
      <xdr:row>37</xdr:row>
      <xdr:rowOff>220597</xdr:rowOff>
    </xdr:from>
    <xdr:to>
      <xdr:col>8</xdr:col>
      <xdr:colOff>504825</xdr:colOff>
      <xdr:row>42</xdr:row>
      <xdr:rowOff>16126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20107" y="8240647"/>
          <a:ext cx="4342843" cy="1310564"/>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664405" y="10848208"/>
          <a:ext cx="3511841" cy="1374334"/>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658447</xdr:colOff>
      <xdr:row>102</xdr:row>
      <xdr:rowOff>25644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484954</xdr:colOff>
      <xdr:row>43</xdr:row>
      <xdr:rowOff>39987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70295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11</xdr:col>
      <xdr:colOff>540144</xdr:colOff>
      <xdr:row>0</xdr:row>
      <xdr:rowOff>29308</xdr:rowOff>
    </xdr:from>
    <xdr:to>
      <xdr:col>13</xdr:col>
      <xdr:colOff>673459</xdr:colOff>
      <xdr:row>9</xdr:row>
      <xdr:rowOff>142204</xdr:rowOff>
    </xdr:to>
    <xdr:pic>
      <xdr:nvPicPr>
        <xdr:cNvPr id="2" name="Imagen 1">
          <a:extLst>
            <a:ext uri="{FF2B5EF4-FFF2-40B4-BE49-F238E27FC236}">
              <a16:creationId xmlns:a16="http://schemas.microsoft.com/office/drawing/2014/main" id="{5C1FDE39-5205-450E-9121-5DC93970B90B}"/>
            </a:ext>
          </a:extLst>
        </xdr:cNvPr>
        <xdr:cNvPicPr>
          <a:picLocks noChangeAspect="1"/>
        </xdr:cNvPicPr>
      </xdr:nvPicPr>
      <xdr:blipFill>
        <a:blip xmlns:r="http://schemas.openxmlformats.org/officeDocument/2006/relationships" r:embed="rId7"/>
        <a:stretch>
          <a:fillRect/>
        </a:stretch>
      </xdr:blipFill>
      <xdr:spPr>
        <a:xfrm>
          <a:off x="11161252" y="29308"/>
          <a:ext cx="1868330" cy="1748265"/>
        </a:xfrm>
        <a:prstGeom prst="rect">
          <a:avLst/>
        </a:prstGeom>
      </xdr:spPr>
    </xdr:pic>
    <xdr:clientData/>
  </xdr:twoCellAnchor>
  <xdr:twoCellAnchor editAs="oneCell">
    <xdr:from>
      <xdr:col>35</xdr:col>
      <xdr:colOff>152399</xdr:colOff>
      <xdr:row>12</xdr:row>
      <xdr:rowOff>83943</xdr:rowOff>
    </xdr:from>
    <xdr:to>
      <xdr:col>41</xdr:col>
      <xdr:colOff>258211</xdr:colOff>
      <xdr:row>15</xdr:row>
      <xdr:rowOff>109914</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8"/>
        <a:stretch>
          <a:fillRect/>
        </a:stretch>
      </xdr:blipFill>
      <xdr:spPr>
        <a:xfrm>
          <a:off x="31361269" y="2495839"/>
          <a:ext cx="5009116" cy="582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45554</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679174</xdr:colOff>
      <xdr:row>16</xdr:row>
      <xdr:rowOff>115957</xdr:rowOff>
    </xdr:from>
    <xdr:to>
      <xdr:col>7</xdr:col>
      <xdr:colOff>155523</xdr:colOff>
      <xdr:row>25</xdr:row>
      <xdr:rowOff>182881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79174" y="5276022"/>
          <a:ext cx="7535327" cy="1781424"/>
        </a:xfrm>
        <a:prstGeom prst="rect">
          <a:avLst/>
        </a:prstGeom>
      </xdr:spPr>
    </xdr:pic>
    <xdr:clientData/>
  </xdr:twoCellAnchor>
  <xdr:twoCellAnchor editAs="oneCell">
    <xdr:from>
      <xdr:col>0</xdr:col>
      <xdr:colOff>372717</xdr:colOff>
      <xdr:row>27</xdr:row>
      <xdr:rowOff>140804</xdr:rowOff>
    </xdr:from>
    <xdr:to>
      <xdr:col>8</xdr:col>
      <xdr:colOff>201646</xdr:colOff>
      <xdr:row>35</xdr:row>
      <xdr:rowOff>55280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72717" y="7396369"/>
          <a:ext cx="8649907" cy="1438476"/>
        </a:xfrm>
        <a:prstGeom prst="rect">
          <a:avLst/>
        </a:prstGeom>
      </xdr:spPr>
    </xdr:pic>
    <xdr:clientData/>
  </xdr:twoCellAnchor>
  <xdr:twoCellAnchor editAs="oneCell">
    <xdr:from>
      <xdr:col>0</xdr:col>
      <xdr:colOff>298174</xdr:colOff>
      <xdr:row>35</xdr:row>
      <xdr:rowOff>165652</xdr:rowOff>
    </xdr:from>
    <xdr:to>
      <xdr:col>8</xdr:col>
      <xdr:colOff>584367</xdr:colOff>
      <xdr:row>44</xdr:row>
      <xdr:rowOff>175418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98174" y="8945217"/>
          <a:ext cx="9107171" cy="1724266"/>
        </a:xfrm>
        <a:prstGeom prst="rect">
          <a:avLst/>
        </a:prstGeom>
      </xdr:spPr>
    </xdr:pic>
    <xdr:clientData/>
  </xdr:twoCellAnchor>
  <xdr:twoCellAnchor editAs="oneCell">
    <xdr:from>
      <xdr:col>0</xdr:col>
      <xdr:colOff>438978</xdr:colOff>
      <xdr:row>46</xdr:row>
      <xdr:rowOff>132522</xdr:rowOff>
    </xdr:from>
    <xdr:to>
      <xdr:col>9</xdr:col>
      <xdr:colOff>144171</xdr:colOff>
      <xdr:row>58</xdr:row>
      <xdr:rowOff>113788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438978" y="11007587"/>
          <a:ext cx="9288171" cy="2267266"/>
        </a:xfrm>
        <a:prstGeom prst="rect">
          <a:avLst/>
        </a:prstGeom>
      </xdr:spPr>
    </xdr:pic>
    <xdr:clientData/>
  </xdr:twoCellAnchor>
  <xdr:twoCellAnchor editAs="oneCell">
    <xdr:from>
      <xdr:col>3</xdr:col>
      <xdr:colOff>24848</xdr:colOff>
      <xdr:row>62</xdr:row>
      <xdr:rowOff>163070</xdr:rowOff>
    </xdr:from>
    <xdr:to>
      <xdr:col>10</xdr:col>
      <xdr:colOff>462536</xdr:colOff>
      <xdr:row>64</xdr:row>
      <xdr:rowOff>157846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627783" y="14086135"/>
          <a:ext cx="7179731" cy="375776"/>
        </a:xfrm>
        <a:prstGeom prst="rect">
          <a:avLst/>
        </a:prstGeom>
      </xdr:spPr>
    </xdr:pic>
    <xdr:clientData/>
  </xdr:twoCellAnchor>
  <xdr:twoCellAnchor editAs="oneCell">
    <xdr:from>
      <xdr:col>3</xdr:col>
      <xdr:colOff>44577</xdr:colOff>
      <xdr:row>68</xdr:row>
      <xdr:rowOff>1504</xdr:rowOff>
    </xdr:from>
    <xdr:to>
      <xdr:col>10</xdr:col>
      <xdr:colOff>568339</xdr:colOff>
      <xdr:row>70</xdr:row>
      <xdr:rowOff>30487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4106971" y="13381381"/>
          <a:ext cx="8157014" cy="404863"/>
        </a:xfrm>
        <a:prstGeom prst="rect">
          <a:avLst/>
        </a:prstGeom>
      </xdr:spPr>
    </xdr:pic>
    <xdr:clientData/>
  </xdr:twoCellAnchor>
  <xdr:twoCellAnchor editAs="oneCell">
    <xdr:from>
      <xdr:col>3</xdr:col>
      <xdr:colOff>0</xdr:colOff>
      <xdr:row>60</xdr:row>
      <xdr:rowOff>1</xdr:rowOff>
    </xdr:from>
    <xdr:to>
      <xdr:col>9</xdr:col>
      <xdr:colOff>405848</xdr:colOff>
      <xdr:row>61</xdr:row>
      <xdr:rowOff>190385</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602935" y="13542066"/>
          <a:ext cx="6385891" cy="380884"/>
        </a:xfrm>
        <a:prstGeom prst="rect">
          <a:avLst/>
        </a:prstGeom>
      </xdr:spPr>
    </xdr:pic>
    <xdr:clientData/>
  </xdr:twoCellAnchor>
  <xdr:twoCellAnchor editAs="oneCell">
    <xdr:from>
      <xdr:col>3</xdr:col>
      <xdr:colOff>49696</xdr:colOff>
      <xdr:row>65</xdr:row>
      <xdr:rowOff>41414</xdr:rowOff>
    </xdr:from>
    <xdr:to>
      <xdr:col>10</xdr:col>
      <xdr:colOff>364435</xdr:colOff>
      <xdr:row>67</xdr:row>
      <xdr:rowOff>145717</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652631" y="14535979"/>
          <a:ext cx="7056782" cy="485303"/>
        </a:xfrm>
        <a:prstGeom prst="rect">
          <a:avLst/>
        </a:prstGeom>
      </xdr:spPr>
    </xdr:pic>
    <xdr:clientData/>
  </xdr:twoCellAnchor>
  <xdr:twoCellAnchor editAs="oneCell">
    <xdr:from>
      <xdr:col>3</xdr:col>
      <xdr:colOff>65658</xdr:colOff>
      <xdr:row>71</xdr:row>
      <xdr:rowOff>26769</xdr:rowOff>
    </xdr:from>
    <xdr:to>
      <xdr:col>10</xdr:col>
      <xdr:colOff>787672</xdr:colOff>
      <xdr:row>74</xdr:row>
      <xdr:rowOff>136671</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4128052" y="13970466"/>
          <a:ext cx="8355266" cy="673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711011</xdr:colOff>
      <xdr:row>26</xdr:row>
      <xdr:rowOff>71178</xdr:rowOff>
    </xdr:from>
    <xdr:to>
      <xdr:col>21</xdr:col>
      <xdr:colOff>371438</xdr:colOff>
      <xdr:row>33</xdr:row>
      <xdr:rowOff>82038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22</xdr:col>
      <xdr:colOff>39689</xdr:colOff>
      <xdr:row>26</xdr:row>
      <xdr:rowOff>21483</xdr:rowOff>
    </xdr:from>
    <xdr:to>
      <xdr:col>24</xdr:col>
      <xdr:colOff>138909</xdr:colOff>
      <xdr:row>33</xdr:row>
      <xdr:rowOff>86267</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18</xdr:col>
      <xdr:colOff>697032</xdr:colOff>
      <xdr:row>34</xdr:row>
      <xdr:rowOff>120265</xdr:rowOff>
    </xdr:from>
    <xdr:to>
      <xdr:col>20</xdr:col>
      <xdr:colOff>597325</xdr:colOff>
      <xdr:row>36</xdr:row>
      <xdr:rowOff>52852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18</xdr:col>
      <xdr:colOff>736893</xdr:colOff>
      <xdr:row>36</xdr:row>
      <xdr:rowOff>105602</xdr:rowOff>
    </xdr:from>
    <xdr:to>
      <xdr:col>19</xdr:col>
      <xdr:colOff>736997</xdr:colOff>
      <xdr:row>43</xdr:row>
      <xdr:rowOff>18842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xdr:from>
      <xdr:col>0</xdr:col>
      <xdr:colOff>0</xdr:colOff>
      <xdr:row>57</xdr:row>
      <xdr:rowOff>83765</xdr:rowOff>
    </xdr:from>
    <xdr:to>
      <xdr:col>5</xdr:col>
      <xdr:colOff>149462</xdr:colOff>
      <xdr:row>103</xdr:row>
      <xdr:rowOff>4639</xdr:rowOff>
    </xdr:to>
    <xdr:grpSp>
      <xdr:nvGrpSpPr>
        <xdr:cNvPr id="11" name="Grupo 10">
          <a:extLst>
            <a:ext uri="{FF2B5EF4-FFF2-40B4-BE49-F238E27FC236}">
              <a16:creationId xmlns:a16="http://schemas.microsoft.com/office/drawing/2014/main" id="{DB544802-613B-4B1E-A5F7-9C71137BC02D}"/>
            </a:ext>
          </a:extLst>
        </xdr:cNvPr>
        <xdr:cNvGrpSpPr/>
      </xdr:nvGrpSpPr>
      <xdr:grpSpPr>
        <a:xfrm>
          <a:off x="0" y="11200000"/>
          <a:ext cx="5232450" cy="8168404"/>
          <a:chOff x="4953426" y="9662321"/>
          <a:chExt cx="5698033" cy="8907641"/>
        </a:xfrm>
      </xdr:grpSpPr>
      <xdr:pic>
        <xdr:nvPicPr>
          <xdr:cNvPr id="9" name="Imagen 8">
            <a:extLst>
              <a:ext uri="{FF2B5EF4-FFF2-40B4-BE49-F238E27FC236}">
                <a16:creationId xmlns:a16="http://schemas.microsoft.com/office/drawing/2014/main" id="{49E966F9-BBA7-435A-9EB8-A528BC39CD4B}"/>
              </a:ext>
            </a:extLst>
          </xdr:cNvPr>
          <xdr:cNvPicPr>
            <a:picLocks noChangeAspect="1"/>
          </xdr:cNvPicPr>
        </xdr:nvPicPr>
        <xdr:blipFill>
          <a:blip xmlns:r="http://schemas.openxmlformats.org/officeDocument/2006/relationships" r:embed="rId5"/>
          <a:stretch>
            <a:fillRect/>
          </a:stretch>
        </xdr:blipFill>
        <xdr:spPr>
          <a:xfrm>
            <a:off x="4953426" y="9662321"/>
            <a:ext cx="5548641" cy="3540707"/>
          </a:xfrm>
          <a:prstGeom prst="rect">
            <a:avLst/>
          </a:prstGeom>
        </xdr:spPr>
      </xdr:pic>
      <xdr:pic>
        <xdr:nvPicPr>
          <xdr:cNvPr id="10" name="Imagen 9">
            <a:extLst>
              <a:ext uri="{FF2B5EF4-FFF2-40B4-BE49-F238E27FC236}">
                <a16:creationId xmlns:a16="http://schemas.microsoft.com/office/drawing/2014/main" id="{710B7677-D38C-4B56-806E-2350D59D35D6}"/>
              </a:ext>
            </a:extLst>
          </xdr:cNvPr>
          <xdr:cNvPicPr>
            <a:picLocks noChangeAspect="1"/>
          </xdr:cNvPicPr>
        </xdr:nvPicPr>
        <xdr:blipFill>
          <a:blip xmlns:r="http://schemas.openxmlformats.org/officeDocument/2006/relationships" r:embed="rId6"/>
          <a:stretch>
            <a:fillRect/>
          </a:stretch>
        </xdr:blipFill>
        <xdr:spPr>
          <a:xfrm>
            <a:off x="4958298" y="13124330"/>
            <a:ext cx="5693161" cy="5445632"/>
          </a:xfrm>
          <a:prstGeom prst="rect">
            <a:avLst/>
          </a:prstGeom>
        </xdr:spPr>
      </xdr:pic>
    </xdr:grpSp>
    <xdr:clientData/>
  </xdr:twoCellAnchor>
  <xdr:twoCellAnchor editAs="oneCell">
    <xdr:from>
      <xdr:col>5</xdr:col>
      <xdr:colOff>286870</xdr:colOff>
      <xdr:row>5</xdr:row>
      <xdr:rowOff>62753</xdr:rowOff>
    </xdr:from>
    <xdr:to>
      <xdr:col>10</xdr:col>
      <xdr:colOff>742696</xdr:colOff>
      <xdr:row>16</xdr:row>
      <xdr:rowOff>52942</xdr:rowOff>
    </xdr:to>
    <xdr:pic>
      <xdr:nvPicPr>
        <xdr:cNvPr id="4" name="Imagen 3">
          <a:extLst>
            <a:ext uri="{FF2B5EF4-FFF2-40B4-BE49-F238E27FC236}">
              <a16:creationId xmlns:a16="http://schemas.microsoft.com/office/drawing/2014/main" id="{D4C1F1EB-3758-4360-BE0D-13E2A98B23C9}"/>
            </a:ext>
          </a:extLst>
        </xdr:cNvPr>
        <xdr:cNvPicPr>
          <a:picLocks noChangeAspect="1"/>
        </xdr:cNvPicPr>
      </xdr:nvPicPr>
      <xdr:blipFill>
        <a:blip xmlns:r="http://schemas.openxmlformats.org/officeDocument/2006/relationships" r:embed="rId7"/>
        <a:stretch>
          <a:fillRect/>
        </a:stretch>
      </xdr:blipFill>
      <xdr:spPr>
        <a:xfrm>
          <a:off x="5369858" y="959224"/>
          <a:ext cx="6211167" cy="1962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293391</xdr:colOff>
      <xdr:row>14</xdr:row>
      <xdr:rowOff>178761</xdr:rowOff>
    </xdr:from>
    <xdr:to>
      <xdr:col>12</xdr:col>
      <xdr:colOff>2826328</xdr:colOff>
      <xdr:row>36</xdr:row>
      <xdr:rowOff>28615</xdr:rowOff>
    </xdr:to>
    <xdr:grpSp>
      <xdr:nvGrpSpPr>
        <xdr:cNvPr id="5" name="Grupo 4">
          <a:extLst>
            <a:ext uri="{FF2B5EF4-FFF2-40B4-BE49-F238E27FC236}">
              <a16:creationId xmlns:a16="http://schemas.microsoft.com/office/drawing/2014/main" id="{98A8CB3F-9600-48B3-9171-9F76DC597B9F}"/>
            </a:ext>
          </a:extLst>
        </xdr:cNvPr>
        <xdr:cNvGrpSpPr/>
      </xdr:nvGrpSpPr>
      <xdr:grpSpPr>
        <a:xfrm>
          <a:off x="13412491" y="4306261"/>
          <a:ext cx="5276137" cy="4307554"/>
          <a:chOff x="10522935" y="4511159"/>
          <a:chExt cx="5114772" cy="4152913"/>
        </a:xfrm>
      </xdr:grpSpPr>
      <xdr:pic>
        <xdr:nvPicPr>
          <xdr:cNvPr id="3" name="Imagen 2">
            <a:extLst>
              <a:ext uri="{FF2B5EF4-FFF2-40B4-BE49-F238E27FC236}">
                <a16:creationId xmlns:a16="http://schemas.microsoft.com/office/drawing/2014/main" id="{FDB5B0CE-5FCF-4FCC-8443-BC534AFBD45B}"/>
              </a:ext>
            </a:extLst>
          </xdr:cNvPr>
          <xdr:cNvPicPr>
            <a:picLocks noChangeAspect="1"/>
          </xdr:cNvPicPr>
        </xdr:nvPicPr>
        <xdr:blipFill>
          <a:blip xmlns:r="http://schemas.openxmlformats.org/officeDocument/2006/relationships" r:embed="rId1"/>
          <a:stretch>
            <a:fillRect/>
          </a:stretch>
        </xdr:blipFill>
        <xdr:spPr>
          <a:xfrm>
            <a:off x="10615182" y="5564637"/>
            <a:ext cx="4994486" cy="3099435"/>
          </a:xfrm>
          <a:prstGeom prst="rect">
            <a:avLst/>
          </a:prstGeom>
        </xdr:spPr>
      </xdr:pic>
      <xdr:pic>
        <xdr:nvPicPr>
          <xdr:cNvPr id="4" name="Imagen 3">
            <a:extLst>
              <a:ext uri="{FF2B5EF4-FFF2-40B4-BE49-F238E27FC236}">
                <a16:creationId xmlns:a16="http://schemas.microsoft.com/office/drawing/2014/main" id="{624E9764-C799-4D1A-8220-0BAE34011DD1}"/>
              </a:ext>
            </a:extLst>
          </xdr:cNvPr>
          <xdr:cNvPicPr>
            <a:picLocks noChangeAspect="1"/>
          </xdr:cNvPicPr>
        </xdr:nvPicPr>
        <xdr:blipFill>
          <a:blip xmlns:r="http://schemas.openxmlformats.org/officeDocument/2006/relationships" r:embed="rId2"/>
          <a:stretch>
            <a:fillRect/>
          </a:stretch>
        </xdr:blipFill>
        <xdr:spPr>
          <a:xfrm>
            <a:off x="10522935" y="4511159"/>
            <a:ext cx="5114772" cy="1068987"/>
          </a:xfrm>
          <a:prstGeom prst="rect">
            <a:avLst/>
          </a:prstGeom>
        </xdr:spPr>
      </xdr:pic>
    </xdr:grpSp>
    <xdr:clientData/>
  </xdr:twoCellAnchor>
  <xdr:twoCellAnchor editAs="oneCell">
    <xdr:from>
      <xdr:col>7</xdr:col>
      <xdr:colOff>609600</xdr:colOff>
      <xdr:row>3</xdr:row>
      <xdr:rowOff>40199</xdr:rowOff>
    </xdr:from>
    <xdr:to>
      <xdr:col>12</xdr:col>
      <xdr:colOff>2766873</xdr:colOff>
      <xdr:row>19</xdr:row>
      <xdr:rowOff>118303</xdr:rowOff>
    </xdr:to>
    <xdr:pic>
      <xdr:nvPicPr>
        <xdr:cNvPr id="6" name="Imagen 5">
          <a:extLst>
            <a:ext uri="{FF2B5EF4-FFF2-40B4-BE49-F238E27FC236}">
              <a16:creationId xmlns:a16="http://schemas.microsoft.com/office/drawing/2014/main" id="{24587B33-4DC4-4054-B7F3-7DDD7D03075E}"/>
            </a:ext>
          </a:extLst>
        </xdr:cNvPr>
        <xdr:cNvPicPr>
          <a:picLocks noChangeAspect="1"/>
        </xdr:cNvPicPr>
      </xdr:nvPicPr>
      <xdr:blipFill>
        <a:blip xmlns:r="http://schemas.openxmlformats.org/officeDocument/2006/relationships" r:embed="rId3"/>
        <a:stretch>
          <a:fillRect/>
        </a:stretch>
      </xdr:blipFill>
      <xdr:spPr>
        <a:xfrm>
          <a:off x="11455400" y="1208599"/>
          <a:ext cx="7173773" cy="41040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row r="12">
          <cell r="C12" t="str">
            <v>(3)</v>
          </cell>
          <cell r="D12" t="str">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90"/>
  <sheetViews>
    <sheetView zoomScale="70" zoomScaleNormal="70" workbookViewId="0">
      <selection activeCell="AC19" sqref="AC19"/>
    </sheetView>
  </sheetViews>
  <sheetFormatPr baseColWidth="10" defaultRowHeight="14.4" x14ac:dyDescent="0.3"/>
  <cols>
    <col min="1" max="1" width="23.77734375" customWidth="1"/>
    <col min="2" max="2" width="13.77734375" customWidth="1"/>
    <col min="3" max="3" width="13.109375" customWidth="1"/>
    <col min="4" max="4" width="14.109375" customWidth="1"/>
    <col min="5" max="7" width="13.33203125" customWidth="1"/>
    <col min="8" max="8" width="12.88671875" customWidth="1"/>
    <col min="9" max="9" width="13.21875" customWidth="1"/>
    <col min="10" max="10" width="11.33203125" customWidth="1"/>
    <col min="11" max="13" width="12.6640625" customWidth="1"/>
    <col min="14" max="22" width="11.33203125" customWidth="1"/>
    <col min="23" max="23" width="13.21875" customWidth="1"/>
    <col min="24" max="24" width="15.6640625" customWidth="1"/>
    <col min="25" max="25" width="11.33203125" customWidth="1"/>
    <col min="26" max="26" width="14.21875" customWidth="1"/>
    <col min="27" max="27" width="12.77734375" customWidth="1"/>
    <col min="28" max="28" width="11.33203125" customWidth="1"/>
    <col min="29" max="29" width="16.109375" customWidth="1"/>
    <col min="30" max="30" width="16.77734375" customWidth="1"/>
    <col min="31" max="31" width="15.33203125" customWidth="1"/>
    <col min="38" max="42" width="12.109375" bestFit="1" customWidth="1"/>
    <col min="43" max="43" width="11.6640625" bestFit="1" customWidth="1"/>
    <col min="44" max="44" width="12.109375" bestFit="1" customWidth="1"/>
  </cols>
  <sheetData>
    <row r="1" spans="1:34" x14ac:dyDescent="0.3">
      <c r="A1" s="19" t="s">
        <v>74</v>
      </c>
    </row>
    <row r="2" spans="1:34" x14ac:dyDescent="0.3">
      <c r="A2" s="20" t="s">
        <v>75</v>
      </c>
      <c r="B2" s="20"/>
      <c r="C2" s="20"/>
      <c r="D2" s="20"/>
    </row>
    <row r="4" spans="1:34" x14ac:dyDescent="0.3">
      <c r="B4" s="621">
        <v>2013</v>
      </c>
      <c r="C4" s="621">
        <v>2014</v>
      </c>
      <c r="D4" s="621">
        <v>2015</v>
      </c>
      <c r="E4" s="621">
        <v>2016</v>
      </c>
      <c r="F4" s="621">
        <v>2017</v>
      </c>
      <c r="G4" s="621">
        <v>2018</v>
      </c>
      <c r="H4" s="622">
        <v>2019</v>
      </c>
      <c r="I4" s="723">
        <v>2020</v>
      </c>
      <c r="J4" s="623">
        <v>2021</v>
      </c>
    </row>
    <row r="5" spans="1:34" x14ac:dyDescent="0.3">
      <c r="A5" s="21" t="s">
        <v>76</v>
      </c>
      <c r="B5" s="22">
        <v>1.9400000000000001E-2</v>
      </c>
      <c r="C5" s="22">
        <v>3.6600000000000001E-2</v>
      </c>
      <c r="D5" s="23">
        <v>6.7699999999999996E-2</v>
      </c>
      <c r="E5" s="23">
        <v>5.7500000000000002E-2</v>
      </c>
      <c r="F5" s="23">
        <v>4.0899999999999999E-2</v>
      </c>
      <c r="G5" s="23">
        <v>3.1800000000000002E-2</v>
      </c>
      <c r="H5" s="23">
        <v>3.7999999999999999E-2</v>
      </c>
      <c r="I5" s="23">
        <v>1.61E-2</v>
      </c>
      <c r="J5" s="446">
        <v>5.62E-2</v>
      </c>
    </row>
    <row r="6" spans="1:34" x14ac:dyDescent="0.3">
      <c r="A6" s="24" t="s">
        <v>77</v>
      </c>
      <c r="B6" s="25"/>
      <c r="C6" s="26"/>
      <c r="D6" s="23">
        <v>7.9299999999999995E-2</v>
      </c>
      <c r="E6" s="27"/>
      <c r="F6" s="27"/>
    </row>
    <row r="7" spans="1:34" x14ac:dyDescent="0.3">
      <c r="A7" s="27" t="s">
        <v>78</v>
      </c>
    </row>
    <row r="8" spans="1:34" x14ac:dyDescent="0.3">
      <c r="C8" s="502"/>
      <c r="D8" s="502"/>
      <c r="E8" s="502"/>
      <c r="F8" s="502"/>
      <c r="G8" s="502"/>
      <c r="H8" s="502"/>
      <c r="I8" s="502"/>
      <c r="J8" s="502"/>
    </row>
    <row r="9" spans="1:34" x14ac:dyDescent="0.3">
      <c r="A9" s="19" t="s">
        <v>79</v>
      </c>
      <c r="H9" t="s">
        <v>458</v>
      </c>
      <c r="W9" s="502">
        <f>21.91*1.0161</f>
        <v>22.262751000000002</v>
      </c>
    </row>
    <row r="10" spans="1:34" ht="15" thickBot="1" x14ac:dyDescent="0.35"/>
    <row r="11" spans="1:34" x14ac:dyDescent="0.3">
      <c r="B11" s="762">
        <v>2013</v>
      </c>
      <c r="C11" s="762"/>
      <c r="D11" s="762"/>
      <c r="E11" s="762">
        <v>2014</v>
      </c>
      <c r="F11" s="762"/>
      <c r="G11" s="762"/>
      <c r="H11" s="762">
        <v>2015</v>
      </c>
      <c r="I11" s="762"/>
      <c r="J11" s="762"/>
      <c r="K11" s="762">
        <v>2016</v>
      </c>
      <c r="L11" s="762"/>
      <c r="M11" s="762"/>
      <c r="N11" s="762">
        <v>2017</v>
      </c>
      <c r="O11" s="762"/>
      <c r="P11" s="772"/>
      <c r="Q11" s="778">
        <v>2018</v>
      </c>
      <c r="R11" s="779"/>
      <c r="S11" s="780"/>
      <c r="T11" s="761">
        <v>2019</v>
      </c>
      <c r="U11" s="762"/>
      <c r="V11" s="772"/>
      <c r="W11" s="778">
        <v>2020</v>
      </c>
      <c r="X11" s="779"/>
      <c r="Y11" s="780"/>
      <c r="Z11" s="765">
        <v>2021</v>
      </c>
      <c r="AA11" s="781"/>
      <c r="AB11" s="781"/>
      <c r="AC11" s="782">
        <v>2022</v>
      </c>
      <c r="AD11" s="783"/>
      <c r="AE11" s="783"/>
    </row>
    <row r="12" spans="1:34" s="29" customFormat="1" ht="28.8" x14ac:dyDescent="0.3">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451" t="s">
        <v>83</v>
      </c>
      <c r="Q12" s="458" t="s">
        <v>81</v>
      </c>
      <c r="R12" s="450" t="s">
        <v>82</v>
      </c>
      <c r="S12" s="459" t="s">
        <v>83</v>
      </c>
      <c r="T12" s="452" t="s">
        <v>81</v>
      </c>
      <c r="U12" s="28" t="s">
        <v>82</v>
      </c>
      <c r="V12" s="451" t="s">
        <v>83</v>
      </c>
      <c r="W12" s="458" t="s">
        <v>81</v>
      </c>
      <c r="X12" s="450" t="s">
        <v>82</v>
      </c>
      <c r="Y12" s="459" t="s">
        <v>83</v>
      </c>
      <c r="Z12" s="449" t="s">
        <v>81</v>
      </c>
      <c r="AA12" s="441" t="s">
        <v>82</v>
      </c>
      <c r="AB12" s="441" t="s">
        <v>83</v>
      </c>
      <c r="AC12" s="624" t="s">
        <v>81</v>
      </c>
      <c r="AD12" s="625" t="s">
        <v>82</v>
      </c>
      <c r="AE12" s="625" t="s">
        <v>83</v>
      </c>
    </row>
    <row r="13" spans="1:34" x14ac:dyDescent="0.3">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465">
        <f t="shared" si="1"/>
        <v>0</v>
      </c>
      <c r="Q13" s="467">
        <f>N13*(1+$F$5)</f>
        <v>20.454461962543736</v>
      </c>
      <c r="R13" s="32">
        <f>O13*(1+$F$5)</f>
        <v>20.454461962543736</v>
      </c>
      <c r="S13" s="468">
        <f>P13*(1+$F$5)</f>
        <v>0</v>
      </c>
      <c r="T13" s="466">
        <f t="shared" ref="T13:V21" si="2">Q13*(1+$G$5)</f>
        <v>21.104913852952627</v>
      </c>
      <c r="U13" s="33">
        <f t="shared" si="2"/>
        <v>21.104913852952627</v>
      </c>
      <c r="V13" s="456">
        <f t="shared" si="2"/>
        <v>0</v>
      </c>
      <c r="W13" s="501">
        <f t="shared" ref="W13:W21" si="3">T13*(1+$H$5)</f>
        <v>21.906900579364827</v>
      </c>
      <c r="X13" s="33">
        <f t="shared" ref="X13:X21" si="4">U13*(1+$H$5)</f>
        <v>21.906900579364827</v>
      </c>
      <c r="Y13" s="461">
        <f t="shared" ref="Y13:Y21" si="5">V13*(1+$G$5)</f>
        <v>0</v>
      </c>
      <c r="Z13" s="457">
        <f t="shared" ref="Z13:AA17" si="6">W13*(1+$I$5)-0.01</f>
        <v>22.249601678692599</v>
      </c>
      <c r="AA13" s="442">
        <f t="shared" si="6"/>
        <v>22.249601678692599</v>
      </c>
      <c r="AB13" s="440"/>
      <c r="AC13" s="626">
        <f>Z13*(1+$J$5)</f>
        <v>23.500029293035123</v>
      </c>
      <c r="AD13" s="627">
        <f t="shared" ref="AD13:AD21" si="7">AA13*(1+$J$5)</f>
        <v>23.500029293035123</v>
      </c>
      <c r="AE13" s="627"/>
      <c r="AH13" s="21" t="s">
        <v>84</v>
      </c>
    </row>
    <row r="14" spans="1:34" x14ac:dyDescent="0.3">
      <c r="A14" s="21" t="s">
        <v>85</v>
      </c>
      <c r="B14" s="21">
        <v>7.62</v>
      </c>
      <c r="C14" s="21">
        <v>16.47</v>
      </c>
      <c r="D14" s="21">
        <v>0</v>
      </c>
      <c r="E14" s="30">
        <f t="shared" ref="E14:E20" si="8">B14*(1+$B$5)</f>
        <v>7.7678280000000006</v>
      </c>
      <c r="F14" s="30">
        <f t="shared" si="0"/>
        <v>16.789518000000001</v>
      </c>
      <c r="G14" s="30">
        <f t="shared" si="0"/>
        <v>0</v>
      </c>
      <c r="H14" s="30">
        <f t="shared" ref="H14:J20" si="9">E14*(1+$C$5)</f>
        <v>8.0521305048000009</v>
      </c>
      <c r="I14" s="30">
        <f t="shared" si="9"/>
        <v>17.404014358800001</v>
      </c>
      <c r="J14" s="30">
        <f t="shared" si="9"/>
        <v>0</v>
      </c>
      <c r="K14" s="30">
        <f t="shared" ref="K14:M20" si="10">H14*(1+$D$5)</f>
        <v>8.5972597399749624</v>
      </c>
      <c r="L14" s="30">
        <f t="shared" si="10"/>
        <v>18.582266130890762</v>
      </c>
      <c r="M14" s="30">
        <f t="shared" si="10"/>
        <v>0</v>
      </c>
      <c r="N14" s="31">
        <f t="shared" ref="N14:N21" si="11">K14*(1+$E$5)</f>
        <v>9.0916021750235245</v>
      </c>
      <c r="O14" s="31">
        <f t="shared" si="1"/>
        <v>19.650746433416984</v>
      </c>
      <c r="P14" s="465">
        <f t="shared" si="1"/>
        <v>0</v>
      </c>
      <c r="Q14" s="467">
        <f t="shared" ref="Q14:S21" si="12">N14*(1+$F$5)</f>
        <v>9.4634487039819852</v>
      </c>
      <c r="R14" s="32">
        <f t="shared" si="12"/>
        <v>20.454461962543736</v>
      </c>
      <c r="S14" s="468">
        <f t="shared" si="12"/>
        <v>0</v>
      </c>
      <c r="T14" s="466">
        <f t="shared" si="2"/>
        <v>9.7643863727686124</v>
      </c>
      <c r="U14" s="33">
        <f t="shared" si="2"/>
        <v>21.104913852952627</v>
      </c>
      <c r="V14" s="456">
        <f t="shared" si="2"/>
        <v>0</v>
      </c>
      <c r="W14" s="460">
        <f t="shared" si="3"/>
        <v>10.13543305493382</v>
      </c>
      <c r="X14" s="33">
        <f t="shared" si="4"/>
        <v>21.906900579364827</v>
      </c>
      <c r="Y14" s="461">
        <f t="shared" si="5"/>
        <v>0</v>
      </c>
      <c r="Z14" s="472">
        <f t="shared" si="6"/>
        <v>10.288613527118255</v>
      </c>
      <c r="AA14" s="442">
        <f t="shared" si="6"/>
        <v>22.249601678692599</v>
      </c>
      <c r="AB14" s="440"/>
      <c r="AC14" s="626">
        <f t="shared" ref="AC14:AC21" si="13">Z14*(1+$J$5)</f>
        <v>10.866833607342301</v>
      </c>
      <c r="AD14" s="627">
        <f t="shared" si="7"/>
        <v>23.500029293035123</v>
      </c>
      <c r="AE14" s="627"/>
      <c r="AH14" s="21" t="s">
        <v>85</v>
      </c>
    </row>
    <row r="15" spans="1:34" x14ac:dyDescent="0.3">
      <c r="A15" s="21" t="s">
        <v>86</v>
      </c>
      <c r="B15" s="21">
        <v>16.47</v>
      </c>
      <c r="C15" s="21">
        <v>16.47</v>
      </c>
      <c r="D15" s="21">
        <v>0</v>
      </c>
      <c r="E15" s="30">
        <f t="shared" si="8"/>
        <v>16.789518000000001</v>
      </c>
      <c r="F15" s="30">
        <f t="shared" si="0"/>
        <v>16.789518000000001</v>
      </c>
      <c r="G15" s="30">
        <f t="shared" si="0"/>
        <v>0</v>
      </c>
      <c r="H15" s="30">
        <f t="shared" si="9"/>
        <v>17.404014358800001</v>
      </c>
      <c r="I15" s="30">
        <f t="shared" si="9"/>
        <v>17.404014358800001</v>
      </c>
      <c r="J15" s="30">
        <f t="shared" si="9"/>
        <v>0</v>
      </c>
      <c r="K15" s="30">
        <f t="shared" si="10"/>
        <v>18.582266130890762</v>
      </c>
      <c r="L15" s="30">
        <f t="shared" si="10"/>
        <v>18.582266130890762</v>
      </c>
      <c r="M15" s="30">
        <f t="shared" si="10"/>
        <v>0</v>
      </c>
      <c r="N15" s="31">
        <f t="shared" si="11"/>
        <v>19.650746433416984</v>
      </c>
      <c r="O15" s="31">
        <f t="shared" si="1"/>
        <v>19.650746433416984</v>
      </c>
      <c r="P15" s="465">
        <f t="shared" si="1"/>
        <v>0</v>
      </c>
      <c r="Q15" s="467">
        <f t="shared" si="12"/>
        <v>20.454461962543736</v>
      </c>
      <c r="R15" s="32">
        <f t="shared" si="12"/>
        <v>20.454461962543736</v>
      </c>
      <c r="S15" s="468">
        <f t="shared" si="12"/>
        <v>0</v>
      </c>
      <c r="T15" s="466">
        <f t="shared" si="2"/>
        <v>21.104913852952627</v>
      </c>
      <c r="U15" s="33">
        <f t="shared" si="2"/>
        <v>21.104913852952627</v>
      </c>
      <c r="V15" s="456">
        <f t="shared" si="2"/>
        <v>0</v>
      </c>
      <c r="W15" s="460">
        <f t="shared" si="3"/>
        <v>21.906900579364827</v>
      </c>
      <c r="X15" s="33">
        <f t="shared" si="4"/>
        <v>21.906900579364827</v>
      </c>
      <c r="Y15" s="461">
        <f t="shared" si="5"/>
        <v>0</v>
      </c>
      <c r="Z15" s="457">
        <f t="shared" si="6"/>
        <v>22.249601678692599</v>
      </c>
      <c r="AA15" s="442">
        <f t="shared" si="6"/>
        <v>22.249601678692599</v>
      </c>
      <c r="AB15" s="440"/>
      <c r="AC15" s="626">
        <f t="shared" si="13"/>
        <v>23.500029293035123</v>
      </c>
      <c r="AD15" s="627">
        <f t="shared" si="7"/>
        <v>23.500029293035123</v>
      </c>
      <c r="AE15" s="627"/>
      <c r="AH15" s="21" t="s">
        <v>86</v>
      </c>
    </row>
    <row r="16" spans="1:34" x14ac:dyDescent="0.3">
      <c r="A16" s="21" t="s">
        <v>87</v>
      </c>
      <c r="B16" s="21">
        <v>7.62</v>
      </c>
      <c r="C16" s="21">
        <v>16.47</v>
      </c>
      <c r="D16" s="21">
        <v>0</v>
      </c>
      <c r="E16" s="30">
        <f t="shared" si="8"/>
        <v>7.7678280000000006</v>
      </c>
      <c r="F16" s="30">
        <f t="shared" si="0"/>
        <v>16.789518000000001</v>
      </c>
      <c r="G16" s="30">
        <f t="shared" si="0"/>
        <v>0</v>
      </c>
      <c r="H16" s="30">
        <f t="shared" si="9"/>
        <v>8.0521305048000009</v>
      </c>
      <c r="I16" s="30">
        <f t="shared" si="9"/>
        <v>17.404014358800001</v>
      </c>
      <c r="J16" s="30">
        <f t="shared" si="9"/>
        <v>0</v>
      </c>
      <c r="K16" s="30">
        <f t="shared" si="10"/>
        <v>8.5972597399749624</v>
      </c>
      <c r="L16" s="30">
        <f t="shared" si="10"/>
        <v>18.582266130890762</v>
      </c>
      <c r="M16" s="30">
        <f t="shared" si="10"/>
        <v>0</v>
      </c>
      <c r="N16" s="31">
        <f t="shared" si="11"/>
        <v>9.0916021750235245</v>
      </c>
      <c r="O16" s="31">
        <f t="shared" si="1"/>
        <v>19.650746433416984</v>
      </c>
      <c r="P16" s="465">
        <f t="shared" si="1"/>
        <v>0</v>
      </c>
      <c r="Q16" s="467">
        <f t="shared" si="12"/>
        <v>9.4634487039819852</v>
      </c>
      <c r="R16" s="32">
        <f t="shared" si="12"/>
        <v>20.454461962543736</v>
      </c>
      <c r="S16" s="468">
        <f t="shared" si="12"/>
        <v>0</v>
      </c>
      <c r="T16" s="466">
        <f t="shared" si="2"/>
        <v>9.7643863727686124</v>
      </c>
      <c r="U16" s="33">
        <f t="shared" si="2"/>
        <v>21.104913852952627</v>
      </c>
      <c r="V16" s="456">
        <f t="shared" si="2"/>
        <v>0</v>
      </c>
      <c r="W16" s="460">
        <f t="shared" si="3"/>
        <v>10.13543305493382</v>
      </c>
      <c r="X16" s="33">
        <f t="shared" si="4"/>
        <v>21.906900579364827</v>
      </c>
      <c r="Y16" s="461">
        <f t="shared" si="5"/>
        <v>0</v>
      </c>
      <c r="Z16" s="472">
        <f t="shared" si="6"/>
        <v>10.288613527118255</v>
      </c>
      <c r="AA16" s="442">
        <f t="shared" si="6"/>
        <v>22.249601678692599</v>
      </c>
      <c r="AB16" s="440"/>
      <c r="AC16" s="626">
        <f t="shared" si="13"/>
        <v>10.866833607342301</v>
      </c>
      <c r="AD16" s="627">
        <f t="shared" si="7"/>
        <v>23.500029293035123</v>
      </c>
      <c r="AE16" s="627"/>
      <c r="AH16" s="21" t="s">
        <v>87</v>
      </c>
    </row>
    <row r="17" spans="1:51" x14ac:dyDescent="0.3">
      <c r="A17" s="21" t="s">
        <v>88</v>
      </c>
      <c r="B17" s="21">
        <v>16.47</v>
      </c>
      <c r="C17" s="21">
        <v>16.47</v>
      </c>
      <c r="D17" s="21">
        <v>16.47</v>
      </c>
      <c r="E17" s="30">
        <f t="shared" si="8"/>
        <v>16.789518000000001</v>
      </c>
      <c r="F17" s="30">
        <f t="shared" si="0"/>
        <v>16.789518000000001</v>
      </c>
      <c r="G17" s="30">
        <f t="shared" si="0"/>
        <v>16.789518000000001</v>
      </c>
      <c r="H17" s="30">
        <f t="shared" si="9"/>
        <v>17.404014358800001</v>
      </c>
      <c r="I17" s="30">
        <f t="shared" si="9"/>
        <v>17.404014358800001</v>
      </c>
      <c r="J17" s="30">
        <f t="shared" si="9"/>
        <v>17.404014358800001</v>
      </c>
      <c r="K17" s="30">
        <f t="shared" si="10"/>
        <v>18.582266130890762</v>
      </c>
      <c r="L17" s="30">
        <f t="shared" si="10"/>
        <v>18.582266130890762</v>
      </c>
      <c r="M17" s="30">
        <f t="shared" si="10"/>
        <v>18.582266130890762</v>
      </c>
      <c r="N17" s="31">
        <f t="shared" si="11"/>
        <v>19.650746433416984</v>
      </c>
      <c r="O17" s="31">
        <f t="shared" si="1"/>
        <v>19.650746433416984</v>
      </c>
      <c r="P17" s="465">
        <f t="shared" si="1"/>
        <v>19.650746433416984</v>
      </c>
      <c r="Q17" s="467">
        <f t="shared" si="12"/>
        <v>20.454461962543736</v>
      </c>
      <c r="R17" s="32">
        <f t="shared" si="12"/>
        <v>20.454461962543736</v>
      </c>
      <c r="S17" s="468">
        <f t="shared" si="12"/>
        <v>20.454461962543736</v>
      </c>
      <c r="T17" s="466">
        <f t="shared" si="2"/>
        <v>21.104913852952627</v>
      </c>
      <c r="U17" s="33">
        <f t="shared" si="2"/>
        <v>21.104913852952627</v>
      </c>
      <c r="V17" s="456">
        <f t="shared" si="2"/>
        <v>21.104913852952627</v>
      </c>
      <c r="W17" s="460">
        <f t="shared" si="3"/>
        <v>21.906900579364827</v>
      </c>
      <c r="X17" s="33">
        <f t="shared" si="4"/>
        <v>21.906900579364827</v>
      </c>
      <c r="Y17" s="461">
        <f t="shared" si="5"/>
        <v>21.776050113476522</v>
      </c>
      <c r="Z17" s="457">
        <f t="shared" si="6"/>
        <v>22.249601678692599</v>
      </c>
      <c r="AA17" s="442">
        <f t="shared" si="6"/>
        <v>22.249601678692599</v>
      </c>
      <c r="AB17" s="440"/>
      <c r="AC17" s="626">
        <f t="shared" si="13"/>
        <v>23.500029293035123</v>
      </c>
      <c r="AD17" s="627">
        <f t="shared" si="7"/>
        <v>23.500029293035123</v>
      </c>
      <c r="AE17" s="627"/>
      <c r="AH17" s="21" t="s">
        <v>88</v>
      </c>
    </row>
    <row r="18" spans="1:51" x14ac:dyDescent="0.3">
      <c r="A18" s="21" t="s">
        <v>89</v>
      </c>
      <c r="B18" s="21">
        <v>11.21</v>
      </c>
      <c r="C18" s="21">
        <v>16.47</v>
      </c>
      <c r="D18" s="21">
        <v>0</v>
      </c>
      <c r="E18" s="30">
        <f t="shared" si="8"/>
        <v>11.427474000000002</v>
      </c>
      <c r="F18" s="30">
        <f t="shared" si="0"/>
        <v>16.789518000000001</v>
      </c>
      <c r="G18" s="30">
        <f t="shared" si="0"/>
        <v>0</v>
      </c>
      <c r="H18" s="30">
        <f t="shared" si="9"/>
        <v>11.845719548400002</v>
      </c>
      <c r="I18" s="30">
        <f t="shared" si="9"/>
        <v>17.404014358800001</v>
      </c>
      <c r="J18" s="30">
        <f t="shared" si="9"/>
        <v>0</v>
      </c>
      <c r="K18" s="30">
        <f t="shared" si="10"/>
        <v>12.647674761826684</v>
      </c>
      <c r="L18" s="30">
        <f t="shared" si="10"/>
        <v>18.582266130890762</v>
      </c>
      <c r="M18" s="30">
        <f t="shared" si="10"/>
        <v>0</v>
      </c>
      <c r="N18" s="31">
        <f t="shared" si="11"/>
        <v>13.374916060631719</v>
      </c>
      <c r="O18" s="31">
        <f t="shared" si="1"/>
        <v>19.650746433416984</v>
      </c>
      <c r="P18" s="465">
        <f t="shared" si="1"/>
        <v>0</v>
      </c>
      <c r="Q18" s="467">
        <f t="shared" si="12"/>
        <v>13.921950127511556</v>
      </c>
      <c r="R18" s="32">
        <f t="shared" si="12"/>
        <v>20.454461962543736</v>
      </c>
      <c r="S18" s="468">
        <f t="shared" si="12"/>
        <v>0</v>
      </c>
      <c r="T18" s="466">
        <f t="shared" si="2"/>
        <v>14.364668141566424</v>
      </c>
      <c r="U18" s="33">
        <f t="shared" si="2"/>
        <v>21.104913852952627</v>
      </c>
      <c r="V18" s="456">
        <f t="shared" si="2"/>
        <v>0</v>
      </c>
      <c r="W18" s="460">
        <f t="shared" si="3"/>
        <v>14.910525530945948</v>
      </c>
      <c r="X18" s="33">
        <f t="shared" si="4"/>
        <v>21.906900579364827</v>
      </c>
      <c r="Y18" s="461">
        <f t="shared" si="5"/>
        <v>0</v>
      </c>
      <c r="Z18" s="472">
        <f t="shared" ref="Z18" si="14">W18*(1+$I$5)</f>
        <v>15.150584991994178</v>
      </c>
      <c r="AA18" s="442">
        <f>X18*(1+$I$5)-0.01</f>
        <v>22.249601678692599</v>
      </c>
      <c r="AB18" s="440"/>
      <c r="AC18" s="626">
        <f t="shared" si="13"/>
        <v>16.002047868544253</v>
      </c>
      <c r="AD18" s="627">
        <f t="shared" si="7"/>
        <v>23.500029293035123</v>
      </c>
      <c r="AE18" s="627"/>
      <c r="AH18" s="21" t="s">
        <v>89</v>
      </c>
    </row>
    <row r="19" spans="1:51" x14ac:dyDescent="0.3">
      <c r="A19" s="21" t="s">
        <v>90</v>
      </c>
      <c r="B19" s="21">
        <v>16.47</v>
      </c>
      <c r="C19" s="21">
        <v>16.47</v>
      </c>
      <c r="D19" s="21">
        <v>0</v>
      </c>
      <c r="E19" s="30">
        <f t="shared" si="8"/>
        <v>16.789518000000001</v>
      </c>
      <c r="F19" s="30">
        <f t="shared" si="0"/>
        <v>16.789518000000001</v>
      </c>
      <c r="G19" s="30">
        <f t="shared" si="0"/>
        <v>0</v>
      </c>
      <c r="H19" s="30">
        <f t="shared" si="9"/>
        <v>17.404014358800001</v>
      </c>
      <c r="I19" s="30">
        <f t="shared" si="9"/>
        <v>17.404014358800001</v>
      </c>
      <c r="J19" s="30">
        <f t="shared" si="9"/>
        <v>0</v>
      </c>
      <c r="K19" s="30">
        <f t="shared" si="10"/>
        <v>18.582266130890762</v>
      </c>
      <c r="L19" s="30">
        <f t="shared" si="10"/>
        <v>18.582266130890762</v>
      </c>
      <c r="M19" s="30">
        <f t="shared" si="10"/>
        <v>0</v>
      </c>
      <c r="N19" s="31">
        <f t="shared" si="11"/>
        <v>19.650746433416984</v>
      </c>
      <c r="O19" s="31">
        <f t="shared" si="1"/>
        <v>19.650746433416984</v>
      </c>
      <c r="P19" s="465">
        <f t="shared" si="1"/>
        <v>0</v>
      </c>
      <c r="Q19" s="467">
        <f t="shared" si="12"/>
        <v>20.454461962543736</v>
      </c>
      <c r="R19" s="32">
        <f t="shared" si="12"/>
        <v>20.454461962543736</v>
      </c>
      <c r="S19" s="468">
        <f t="shared" si="12"/>
        <v>0</v>
      </c>
      <c r="T19" s="466">
        <f t="shared" si="2"/>
        <v>21.104913852952627</v>
      </c>
      <c r="U19" s="33">
        <f t="shared" si="2"/>
        <v>21.104913852952627</v>
      </c>
      <c r="V19" s="456">
        <f t="shared" si="2"/>
        <v>0</v>
      </c>
      <c r="W19" s="460">
        <f t="shared" si="3"/>
        <v>21.906900579364827</v>
      </c>
      <c r="X19" s="33">
        <f t="shared" si="4"/>
        <v>21.906900579364827</v>
      </c>
      <c r="Y19" s="461">
        <f t="shared" si="5"/>
        <v>0</v>
      </c>
      <c r="Z19" s="457">
        <f>W19*(1+$I$5)-0.01</f>
        <v>22.249601678692599</v>
      </c>
      <c r="AA19" s="442">
        <f>X19*(1+$I$5)-0.01</f>
        <v>22.249601678692599</v>
      </c>
      <c r="AB19" s="440"/>
      <c r="AC19" s="626">
        <f t="shared" si="13"/>
        <v>23.500029293035123</v>
      </c>
      <c r="AD19" s="627">
        <f t="shared" si="7"/>
        <v>23.500029293035123</v>
      </c>
      <c r="AE19" s="627"/>
      <c r="AH19" s="21" t="s">
        <v>90</v>
      </c>
    </row>
    <row r="20" spans="1:51" x14ac:dyDescent="0.3">
      <c r="A20" s="21" t="s">
        <v>91</v>
      </c>
      <c r="B20" s="21">
        <v>7.62</v>
      </c>
      <c r="C20" s="21">
        <v>16.47</v>
      </c>
      <c r="D20" s="21">
        <v>0</v>
      </c>
      <c r="E20" s="30">
        <f t="shared" si="8"/>
        <v>7.7678280000000006</v>
      </c>
      <c r="F20" s="30">
        <f t="shared" si="0"/>
        <v>16.789518000000001</v>
      </c>
      <c r="G20" s="30">
        <f t="shared" si="0"/>
        <v>0</v>
      </c>
      <c r="H20" s="30">
        <f t="shared" si="9"/>
        <v>8.0521305048000009</v>
      </c>
      <c r="I20" s="30">
        <f t="shared" si="9"/>
        <v>17.404014358800001</v>
      </c>
      <c r="J20" s="30">
        <f t="shared" si="9"/>
        <v>0</v>
      </c>
      <c r="K20" s="30">
        <f t="shared" si="10"/>
        <v>8.5972597399749624</v>
      </c>
      <c r="L20" s="30">
        <f t="shared" si="10"/>
        <v>18.582266130890762</v>
      </c>
      <c r="M20" s="30">
        <f t="shared" si="10"/>
        <v>0</v>
      </c>
      <c r="N20" s="31">
        <f t="shared" si="11"/>
        <v>9.0916021750235245</v>
      </c>
      <c r="O20" s="31">
        <f t="shared" si="1"/>
        <v>19.650746433416984</v>
      </c>
      <c r="P20" s="465">
        <f t="shared" si="1"/>
        <v>0</v>
      </c>
      <c r="Q20" s="467">
        <f t="shared" si="12"/>
        <v>9.4634487039819852</v>
      </c>
      <c r="R20" s="32">
        <f t="shared" si="12"/>
        <v>20.454461962543736</v>
      </c>
      <c r="S20" s="468">
        <f t="shared" si="12"/>
        <v>0</v>
      </c>
      <c r="T20" s="466">
        <f t="shared" si="2"/>
        <v>9.7643863727686124</v>
      </c>
      <c r="U20" s="33">
        <f t="shared" si="2"/>
        <v>21.104913852952627</v>
      </c>
      <c r="V20" s="456">
        <f t="shared" si="2"/>
        <v>0</v>
      </c>
      <c r="W20" s="460">
        <f t="shared" si="3"/>
        <v>10.13543305493382</v>
      </c>
      <c r="X20" s="33">
        <f t="shared" si="4"/>
        <v>21.906900579364827</v>
      </c>
      <c r="Y20" s="461">
        <f t="shared" si="5"/>
        <v>0</v>
      </c>
      <c r="Z20" s="472">
        <f>W20*(1+$I$5)-0.01</f>
        <v>10.288613527118255</v>
      </c>
      <c r="AA20" s="442">
        <f>X20*(1+$I$5)-0.01</f>
        <v>22.249601678692599</v>
      </c>
      <c r="AB20" s="440"/>
      <c r="AC20" s="626">
        <f t="shared" si="13"/>
        <v>10.866833607342301</v>
      </c>
      <c r="AD20" s="627">
        <f t="shared" si="7"/>
        <v>23.500029293035123</v>
      </c>
      <c r="AE20" s="627"/>
      <c r="AH20" s="21" t="s">
        <v>91</v>
      </c>
    </row>
    <row r="21" spans="1:51" ht="15" thickBot="1" x14ac:dyDescent="0.35">
      <c r="A21" s="21" t="s">
        <v>92</v>
      </c>
      <c r="B21" s="21"/>
      <c r="C21" s="21"/>
      <c r="D21" s="21"/>
      <c r="E21" s="30"/>
      <c r="F21" s="30"/>
      <c r="G21" s="30"/>
      <c r="H21" s="30"/>
      <c r="I21" s="30"/>
      <c r="J21" s="30"/>
      <c r="K21" s="30">
        <f>K13</f>
        <v>18.582266130890762</v>
      </c>
      <c r="L21" s="30">
        <f>L13</f>
        <v>18.582266130890762</v>
      </c>
      <c r="M21" s="30">
        <f>M13</f>
        <v>0</v>
      </c>
      <c r="N21" s="31">
        <f t="shared" si="11"/>
        <v>19.650746433416984</v>
      </c>
      <c r="O21" s="31">
        <f t="shared" si="1"/>
        <v>19.650746433416984</v>
      </c>
      <c r="P21" s="465">
        <f t="shared" si="1"/>
        <v>0</v>
      </c>
      <c r="Q21" s="469">
        <f t="shared" si="12"/>
        <v>20.454461962543736</v>
      </c>
      <c r="R21" s="470">
        <f t="shared" si="12"/>
        <v>20.454461962543736</v>
      </c>
      <c r="S21" s="471">
        <f t="shared" si="12"/>
        <v>0</v>
      </c>
      <c r="T21" s="466">
        <f t="shared" si="2"/>
        <v>21.104913852952627</v>
      </c>
      <c r="U21" s="33">
        <f t="shared" si="2"/>
        <v>21.104913852952627</v>
      </c>
      <c r="V21" s="456">
        <f t="shared" si="2"/>
        <v>0</v>
      </c>
      <c r="W21" s="462">
        <f t="shared" si="3"/>
        <v>21.906900579364827</v>
      </c>
      <c r="X21" s="463">
        <f t="shared" si="4"/>
        <v>21.906900579364827</v>
      </c>
      <c r="Y21" s="464">
        <f t="shared" si="5"/>
        <v>0</v>
      </c>
      <c r="Z21" s="457">
        <f>W21*(1+$I$5)-0.01</f>
        <v>22.249601678692599</v>
      </c>
      <c r="AA21" s="442">
        <f>X21*(1+$I$5)-0.01</f>
        <v>22.249601678692599</v>
      </c>
      <c r="AB21" s="440"/>
      <c r="AC21" s="626">
        <f t="shared" si="13"/>
        <v>23.500029293035123</v>
      </c>
      <c r="AD21" s="627">
        <f t="shared" si="7"/>
        <v>23.500029293035123</v>
      </c>
      <c r="AE21" s="627"/>
      <c r="AH21" s="21" t="s">
        <v>92</v>
      </c>
    </row>
    <row r="22" spans="1:51" x14ac:dyDescent="0.3">
      <c r="W22" s="491"/>
    </row>
    <row r="23" spans="1:51" x14ac:dyDescent="0.3">
      <c r="A23" s="19" t="s">
        <v>93</v>
      </c>
      <c r="W23" s="491"/>
    </row>
    <row r="24" spans="1:51" x14ac:dyDescent="0.3">
      <c r="L24" t="s">
        <v>94</v>
      </c>
      <c r="P24" s="34">
        <v>0.03</v>
      </c>
      <c r="Q24" t="s">
        <v>95</v>
      </c>
      <c r="U24" s="34">
        <v>0.03</v>
      </c>
      <c r="V24" t="s">
        <v>95</v>
      </c>
      <c r="Z24" s="34">
        <v>0.03</v>
      </c>
      <c r="AA24" t="s">
        <v>504</v>
      </c>
      <c r="AE24" s="34">
        <v>0.03</v>
      </c>
      <c r="AF24" t="s">
        <v>503</v>
      </c>
      <c r="AJ24" s="34">
        <v>0.03</v>
      </c>
      <c r="AK24" t="s">
        <v>430</v>
      </c>
      <c r="AO24" s="34">
        <v>0.03</v>
      </c>
      <c r="AP24" s="443" t="s">
        <v>425</v>
      </c>
      <c r="AQ24" s="443"/>
      <c r="AR24" s="443"/>
      <c r="AS24" s="443"/>
      <c r="AT24" s="444">
        <v>0.03</v>
      </c>
      <c r="AU24" s="628" t="s">
        <v>505</v>
      </c>
      <c r="AV24" s="628"/>
      <c r="AW24" s="628"/>
      <c r="AX24" s="628"/>
      <c r="AY24" s="629">
        <v>0.03</v>
      </c>
    </row>
    <row r="25" spans="1:51" x14ac:dyDescent="0.3">
      <c r="A25" s="771" t="s">
        <v>80</v>
      </c>
      <c r="B25" s="762" t="s">
        <v>459</v>
      </c>
      <c r="C25" s="762"/>
      <c r="D25" s="762"/>
      <c r="E25" s="762"/>
      <c r="F25" s="762"/>
      <c r="G25" s="762">
        <v>2014</v>
      </c>
      <c r="H25" s="762"/>
      <c r="I25" s="762"/>
      <c r="J25" s="762"/>
      <c r="K25" s="762"/>
      <c r="L25" s="772">
        <v>2015</v>
      </c>
      <c r="M25" s="773"/>
      <c r="N25" s="773"/>
      <c r="O25" s="773"/>
      <c r="P25" s="761"/>
      <c r="Q25" s="772">
        <v>2016</v>
      </c>
      <c r="R25" s="773"/>
      <c r="S25" s="773"/>
      <c r="T25" s="773"/>
      <c r="U25" s="761"/>
      <c r="V25" s="772">
        <v>2017</v>
      </c>
      <c r="W25" s="773"/>
      <c r="X25" s="773"/>
      <c r="Y25" s="773"/>
      <c r="Z25" s="761"/>
      <c r="AA25" s="772">
        <v>2018</v>
      </c>
      <c r="AB25" s="773"/>
      <c r="AC25" s="773"/>
      <c r="AD25" s="773"/>
      <c r="AE25" s="761"/>
      <c r="AF25" s="772">
        <v>2019</v>
      </c>
      <c r="AG25" s="773"/>
      <c r="AH25" s="773"/>
      <c r="AI25" s="773"/>
      <c r="AJ25" s="761"/>
      <c r="AK25" s="772">
        <v>2020</v>
      </c>
      <c r="AL25" s="773"/>
      <c r="AM25" s="773"/>
      <c r="AN25" s="773"/>
      <c r="AO25" s="761"/>
      <c r="AP25" s="763">
        <v>2021</v>
      </c>
      <c r="AQ25" s="764"/>
      <c r="AR25" s="764"/>
      <c r="AS25" s="764"/>
      <c r="AT25" s="765"/>
      <c r="AU25" s="750">
        <v>2022</v>
      </c>
      <c r="AV25" s="751"/>
      <c r="AW25" s="751"/>
      <c r="AX25" s="751"/>
      <c r="AY25" s="752"/>
    </row>
    <row r="26" spans="1:51" ht="30" customHeight="1" x14ac:dyDescent="0.3">
      <c r="A26" s="771"/>
      <c r="B26" s="771" t="s">
        <v>81</v>
      </c>
      <c r="C26" s="771"/>
      <c r="D26" s="771" t="s">
        <v>82</v>
      </c>
      <c r="E26" s="771"/>
      <c r="F26" s="771" t="s">
        <v>83</v>
      </c>
      <c r="G26" s="771" t="s">
        <v>81</v>
      </c>
      <c r="H26" s="771"/>
      <c r="I26" s="771" t="s">
        <v>82</v>
      </c>
      <c r="J26" s="771"/>
      <c r="K26" s="771" t="s">
        <v>83</v>
      </c>
      <c r="L26" s="774" t="s">
        <v>81</v>
      </c>
      <c r="M26" s="775"/>
      <c r="N26" s="774" t="s">
        <v>82</v>
      </c>
      <c r="O26" s="775"/>
      <c r="P26" s="776" t="s">
        <v>83</v>
      </c>
      <c r="Q26" s="774" t="s">
        <v>81</v>
      </c>
      <c r="R26" s="775"/>
      <c r="S26" s="774" t="s">
        <v>82</v>
      </c>
      <c r="T26" s="775"/>
      <c r="U26" s="776" t="s">
        <v>83</v>
      </c>
      <c r="V26" s="774" t="s">
        <v>81</v>
      </c>
      <c r="W26" s="775"/>
      <c r="X26" s="774" t="s">
        <v>82</v>
      </c>
      <c r="Y26" s="775"/>
      <c r="Z26" s="776" t="s">
        <v>83</v>
      </c>
      <c r="AA26" s="774" t="s">
        <v>81</v>
      </c>
      <c r="AB26" s="775"/>
      <c r="AC26" s="774" t="s">
        <v>82</v>
      </c>
      <c r="AD26" s="775"/>
      <c r="AE26" s="776" t="s">
        <v>83</v>
      </c>
      <c r="AF26" s="774" t="s">
        <v>81</v>
      </c>
      <c r="AG26" s="775"/>
      <c r="AH26" s="774" t="s">
        <v>82</v>
      </c>
      <c r="AI26" s="775"/>
      <c r="AJ26" s="776" t="s">
        <v>83</v>
      </c>
      <c r="AK26" s="774" t="s">
        <v>81</v>
      </c>
      <c r="AL26" s="775"/>
      <c r="AM26" s="774" t="s">
        <v>82</v>
      </c>
      <c r="AN26" s="775"/>
      <c r="AO26" s="776" t="s">
        <v>83</v>
      </c>
      <c r="AP26" s="766" t="s">
        <v>81</v>
      </c>
      <c r="AQ26" s="767"/>
      <c r="AR26" s="766" t="s">
        <v>82</v>
      </c>
      <c r="AS26" s="767"/>
      <c r="AT26" s="768" t="s">
        <v>83</v>
      </c>
      <c r="AU26" s="753" t="s">
        <v>81</v>
      </c>
      <c r="AV26" s="754"/>
      <c r="AW26" s="753" t="s">
        <v>82</v>
      </c>
      <c r="AX26" s="754"/>
      <c r="AY26" s="755" t="s">
        <v>83</v>
      </c>
    </row>
    <row r="27" spans="1:51" ht="28.8" x14ac:dyDescent="0.3">
      <c r="A27" s="771"/>
      <c r="B27" s="28" t="s">
        <v>96</v>
      </c>
      <c r="C27" s="28" t="s">
        <v>97</v>
      </c>
      <c r="D27" s="28" t="s">
        <v>96</v>
      </c>
      <c r="E27" s="28" t="s">
        <v>97</v>
      </c>
      <c r="F27" s="771"/>
      <c r="G27" s="28" t="s">
        <v>96</v>
      </c>
      <c r="H27" s="28" t="s">
        <v>97</v>
      </c>
      <c r="I27" s="28" t="s">
        <v>96</v>
      </c>
      <c r="J27" s="28" t="s">
        <v>97</v>
      </c>
      <c r="K27" s="771"/>
      <c r="L27" s="28" t="s">
        <v>96</v>
      </c>
      <c r="M27" s="28" t="s">
        <v>97</v>
      </c>
      <c r="N27" s="28" t="s">
        <v>96</v>
      </c>
      <c r="O27" s="28" t="s">
        <v>97</v>
      </c>
      <c r="P27" s="777"/>
      <c r="Q27" s="28" t="s">
        <v>96</v>
      </c>
      <c r="R27" s="28" t="s">
        <v>97</v>
      </c>
      <c r="S27" s="28" t="s">
        <v>96</v>
      </c>
      <c r="T27" s="28" t="s">
        <v>97</v>
      </c>
      <c r="U27" s="777"/>
      <c r="V27" s="28" t="s">
        <v>96</v>
      </c>
      <c r="W27" s="28" t="s">
        <v>97</v>
      </c>
      <c r="X27" s="28" t="s">
        <v>96</v>
      </c>
      <c r="Y27" s="28" t="s">
        <v>97</v>
      </c>
      <c r="Z27" s="777"/>
      <c r="AA27" s="28" t="s">
        <v>96</v>
      </c>
      <c r="AB27" s="28" t="s">
        <v>97</v>
      </c>
      <c r="AC27" s="28" t="s">
        <v>96</v>
      </c>
      <c r="AD27" s="28" t="s">
        <v>97</v>
      </c>
      <c r="AE27" s="777"/>
      <c r="AF27" s="28" t="s">
        <v>96</v>
      </c>
      <c r="AG27" s="28" t="s">
        <v>97</v>
      </c>
      <c r="AH27" s="28" t="s">
        <v>96</v>
      </c>
      <c r="AI27" s="28" t="s">
        <v>97</v>
      </c>
      <c r="AJ27" s="777"/>
      <c r="AK27" s="401" t="s">
        <v>96</v>
      </c>
      <c r="AL27" s="401" t="s">
        <v>97</v>
      </c>
      <c r="AM27" s="401" t="s">
        <v>96</v>
      </c>
      <c r="AN27" s="401" t="s">
        <v>97</v>
      </c>
      <c r="AO27" s="777"/>
      <c r="AP27" s="441" t="s">
        <v>96</v>
      </c>
      <c r="AQ27" s="441" t="s">
        <v>97</v>
      </c>
      <c r="AR27" s="441" t="s">
        <v>96</v>
      </c>
      <c r="AS27" s="441" t="s">
        <v>97</v>
      </c>
      <c r="AT27" s="769"/>
      <c r="AU27" s="630" t="s">
        <v>96</v>
      </c>
      <c r="AV27" s="630" t="s">
        <v>97</v>
      </c>
      <c r="AW27" s="630" t="s">
        <v>96</v>
      </c>
      <c r="AX27" s="630" t="s">
        <v>97</v>
      </c>
      <c r="AY27" s="756"/>
    </row>
    <row r="28" spans="1:51" x14ac:dyDescent="0.3">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335">
        <v>0</v>
      </c>
      <c r="AK28" s="35">
        <f>AF28*(1+$AJ$24)</f>
        <v>12.561430159485083</v>
      </c>
      <c r="AL28" s="35">
        <f t="shared" ref="AL28:AL32" si="19">AG28*(1+$AJ$24)</f>
        <v>12.561430159485083</v>
      </c>
      <c r="AM28" s="35">
        <f t="shared" ref="AM28:AM32" si="20">AH28*(1+$AJ$24)</f>
        <v>12.561430159485083</v>
      </c>
      <c r="AN28" s="35">
        <f t="shared" ref="AN28:AN32" si="21">AI28*(1+$AJ$24)</f>
        <v>12.561430159485083</v>
      </c>
      <c r="AO28" s="335">
        <v>0</v>
      </c>
      <c r="AP28" s="442">
        <f>AK28*(1+$AT$24)</f>
        <v>12.938273064269636</v>
      </c>
      <c r="AQ28" s="440"/>
      <c r="AR28" s="440"/>
      <c r="AS28" s="440"/>
      <c r="AT28" s="445">
        <v>0</v>
      </c>
      <c r="AU28" s="631">
        <f>AP28*(1+$AY$24)</f>
        <v>13.326421256197724</v>
      </c>
      <c r="AV28" s="631"/>
      <c r="AW28" s="631"/>
      <c r="AX28" s="631"/>
      <c r="AY28" s="632">
        <v>0</v>
      </c>
    </row>
    <row r="29" spans="1:51" x14ac:dyDescent="0.3">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335">
        <v>0</v>
      </c>
      <c r="AK29" s="35">
        <f t="shared" ref="AK29:AK32" si="22">AF29*(1+$AJ$24)</f>
        <v>12.561430159485083</v>
      </c>
      <c r="AL29" s="35">
        <f t="shared" si="19"/>
        <v>12.550821159485082</v>
      </c>
      <c r="AM29" s="35">
        <f t="shared" si="20"/>
        <v>12.550821159485082</v>
      </c>
      <c r="AN29" s="35">
        <f t="shared" si="21"/>
        <v>12.550821159485082</v>
      </c>
      <c r="AO29" s="335">
        <v>0</v>
      </c>
      <c r="AP29" s="442">
        <f t="shared" ref="AP29:AP32" si="23">AK29*(1+$AT$24)</f>
        <v>12.938273064269636</v>
      </c>
      <c r="AQ29" s="440"/>
      <c r="AR29" s="440"/>
      <c r="AS29" s="440"/>
      <c r="AT29" s="445">
        <v>0</v>
      </c>
      <c r="AU29" s="631">
        <f>AP29*(1+$AY$24)</f>
        <v>13.326421256197724</v>
      </c>
      <c r="AV29" s="631"/>
      <c r="AW29" s="631"/>
      <c r="AX29" s="631"/>
      <c r="AY29" s="632">
        <v>0</v>
      </c>
    </row>
    <row r="30" spans="1:51" x14ac:dyDescent="0.3">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335">
        <v>0</v>
      </c>
      <c r="AK30" s="35">
        <f t="shared" si="22"/>
        <v>12.561430159485083</v>
      </c>
      <c r="AL30" s="35">
        <f t="shared" si="19"/>
        <v>12.561430159485083</v>
      </c>
      <c r="AM30" s="35">
        <f t="shared" si="20"/>
        <v>12.561430159485083</v>
      </c>
      <c r="AN30" s="35">
        <f t="shared" si="21"/>
        <v>12.561430159485083</v>
      </c>
      <c r="AO30" s="335">
        <v>0</v>
      </c>
      <c r="AP30" s="442">
        <f t="shared" si="23"/>
        <v>12.938273064269636</v>
      </c>
      <c r="AQ30" s="440"/>
      <c r="AR30" s="440"/>
      <c r="AS30" s="440"/>
      <c r="AT30" s="445">
        <v>0</v>
      </c>
      <c r="AU30" s="631">
        <f>AP30*(1+$AY$24)</f>
        <v>13.326421256197724</v>
      </c>
      <c r="AV30" s="631"/>
      <c r="AW30" s="631"/>
      <c r="AX30" s="631"/>
      <c r="AY30" s="632">
        <v>0</v>
      </c>
    </row>
    <row r="31" spans="1:51" x14ac:dyDescent="0.3">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335">
        <v>0</v>
      </c>
      <c r="AK31" s="35">
        <f t="shared" si="22"/>
        <v>12.561430159485083</v>
      </c>
      <c r="AL31" s="35">
        <f t="shared" si="19"/>
        <v>12.561430159485083</v>
      </c>
      <c r="AM31" s="35">
        <f t="shared" si="20"/>
        <v>12.561430159485083</v>
      </c>
      <c r="AN31" s="35">
        <f t="shared" si="21"/>
        <v>12.561430159485083</v>
      </c>
      <c r="AO31" s="335">
        <v>0</v>
      </c>
      <c r="AP31" s="442">
        <f t="shared" si="23"/>
        <v>12.938273064269636</v>
      </c>
      <c r="AQ31" s="440"/>
      <c r="AR31" s="440"/>
      <c r="AS31" s="440"/>
      <c r="AT31" s="445">
        <v>0</v>
      </c>
      <c r="AU31" s="631">
        <f>AP31*(1+$AY$24)</f>
        <v>13.326421256197724</v>
      </c>
      <c r="AV31" s="631"/>
      <c r="AW31" s="631"/>
      <c r="AX31" s="631"/>
      <c r="AY31" s="632">
        <v>0</v>
      </c>
    </row>
    <row r="32" spans="1:51" x14ac:dyDescent="0.3">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335">
        <v>0</v>
      </c>
      <c r="AK32" s="35">
        <f t="shared" si="22"/>
        <v>12.561430159485083</v>
      </c>
      <c r="AL32" s="35">
        <f t="shared" si="19"/>
        <v>12.561430159485083</v>
      </c>
      <c r="AM32" s="35">
        <f t="shared" si="20"/>
        <v>12.561430159485083</v>
      </c>
      <c r="AN32" s="35">
        <f t="shared" si="21"/>
        <v>12.561430159485083</v>
      </c>
      <c r="AO32" s="335">
        <v>0</v>
      </c>
      <c r="AP32" s="442">
        <f t="shared" si="23"/>
        <v>12.938273064269636</v>
      </c>
      <c r="AQ32" s="440"/>
      <c r="AR32" s="440"/>
      <c r="AS32" s="440"/>
      <c r="AT32" s="445">
        <v>0</v>
      </c>
      <c r="AU32" s="631">
        <f>AP32*(1+$AY$24)</f>
        <v>13.326421256197724</v>
      </c>
      <c r="AV32" s="631"/>
      <c r="AW32" s="631"/>
      <c r="AX32" s="631"/>
      <c r="AY32" s="632">
        <v>0</v>
      </c>
    </row>
    <row r="34" spans="1:51" x14ac:dyDescent="0.3">
      <c r="A34" s="19" t="s">
        <v>98</v>
      </c>
    </row>
    <row r="35" spans="1:51" x14ac:dyDescent="0.3">
      <c r="L35" t="s">
        <v>94</v>
      </c>
      <c r="P35" s="34">
        <v>0.03</v>
      </c>
      <c r="Q35" t="s">
        <v>95</v>
      </c>
      <c r="U35" s="34">
        <v>0.03</v>
      </c>
      <c r="V35" t="s">
        <v>95</v>
      </c>
      <c r="Z35" s="34">
        <v>0.03</v>
      </c>
      <c r="AA35" t="s">
        <v>95</v>
      </c>
      <c r="AE35" s="34">
        <v>0.03</v>
      </c>
      <c r="AF35" t="s">
        <v>95</v>
      </c>
      <c r="AJ35" s="34">
        <v>0.03</v>
      </c>
      <c r="AK35" t="s">
        <v>430</v>
      </c>
      <c r="AO35" s="34">
        <v>0.03</v>
      </c>
      <c r="AP35" s="560" t="s">
        <v>425</v>
      </c>
      <c r="AQ35" s="560"/>
      <c r="AR35" s="560"/>
      <c r="AS35" s="560"/>
      <c r="AT35" s="724">
        <v>0.03</v>
      </c>
      <c r="AU35" s="633" t="s">
        <v>505</v>
      </c>
      <c r="AV35" s="633"/>
      <c r="AW35" s="633"/>
      <c r="AX35" s="633"/>
      <c r="AY35" s="634">
        <v>0.03</v>
      </c>
    </row>
    <row r="36" spans="1:51" x14ac:dyDescent="0.3">
      <c r="A36" s="771" t="s">
        <v>80</v>
      </c>
      <c r="B36" s="762">
        <v>2013</v>
      </c>
      <c r="C36" s="762"/>
      <c r="D36" s="762"/>
      <c r="E36" s="762"/>
      <c r="F36" s="762"/>
      <c r="G36" s="785">
        <v>2014</v>
      </c>
      <c r="H36" s="785"/>
      <c r="I36" s="785"/>
      <c r="J36" s="785"/>
      <c r="K36" s="785"/>
      <c r="L36" s="762">
        <v>2015</v>
      </c>
      <c r="M36" s="762"/>
      <c r="N36" s="762"/>
      <c r="O36" s="762"/>
      <c r="P36" s="762"/>
      <c r="Q36" s="762">
        <v>2016</v>
      </c>
      <c r="R36" s="762"/>
      <c r="S36" s="762"/>
      <c r="T36" s="762"/>
      <c r="U36" s="762"/>
      <c r="V36" s="762">
        <v>2017</v>
      </c>
      <c r="W36" s="762"/>
      <c r="X36" s="762"/>
      <c r="Y36" s="762"/>
      <c r="Z36" s="762"/>
      <c r="AA36" s="762">
        <v>2018</v>
      </c>
      <c r="AB36" s="762"/>
      <c r="AC36" s="762"/>
      <c r="AD36" s="762"/>
      <c r="AE36" s="762"/>
      <c r="AF36" s="762">
        <v>2019</v>
      </c>
      <c r="AG36" s="762"/>
      <c r="AH36" s="762"/>
      <c r="AI36" s="762"/>
      <c r="AJ36" s="762"/>
      <c r="AK36" s="762">
        <v>2020</v>
      </c>
      <c r="AL36" s="762"/>
      <c r="AM36" s="762"/>
      <c r="AN36" s="762"/>
      <c r="AO36" s="762"/>
      <c r="AP36" s="770">
        <v>2021</v>
      </c>
      <c r="AQ36" s="770"/>
      <c r="AR36" s="770"/>
      <c r="AS36" s="770"/>
      <c r="AT36" s="770"/>
      <c r="AU36" s="757">
        <v>2022</v>
      </c>
      <c r="AV36" s="757"/>
      <c r="AW36" s="757"/>
      <c r="AX36" s="757"/>
      <c r="AY36" s="757"/>
    </row>
    <row r="37" spans="1:51" ht="30" customHeight="1" x14ac:dyDescent="0.3">
      <c r="A37" s="771"/>
      <c r="B37" s="771" t="s">
        <v>81</v>
      </c>
      <c r="C37" s="771"/>
      <c r="D37" s="771" t="s">
        <v>82</v>
      </c>
      <c r="E37" s="771"/>
      <c r="F37" s="771" t="s">
        <v>83</v>
      </c>
      <c r="G37" s="771" t="s">
        <v>81</v>
      </c>
      <c r="H37" s="771"/>
      <c r="I37" s="771" t="s">
        <v>82</v>
      </c>
      <c r="J37" s="771"/>
      <c r="K37" s="771" t="s">
        <v>83</v>
      </c>
      <c r="L37" s="771" t="s">
        <v>81</v>
      </c>
      <c r="M37" s="771"/>
      <c r="N37" s="771" t="s">
        <v>82</v>
      </c>
      <c r="O37" s="771"/>
      <c r="P37" s="771" t="s">
        <v>83</v>
      </c>
      <c r="Q37" s="771" t="s">
        <v>81</v>
      </c>
      <c r="R37" s="771"/>
      <c r="S37" s="771" t="s">
        <v>82</v>
      </c>
      <c r="T37" s="771"/>
      <c r="U37" s="771" t="s">
        <v>83</v>
      </c>
      <c r="V37" s="771" t="s">
        <v>81</v>
      </c>
      <c r="W37" s="771"/>
      <c r="X37" s="771" t="s">
        <v>82</v>
      </c>
      <c r="Y37" s="771"/>
      <c r="Z37" s="771" t="s">
        <v>83</v>
      </c>
      <c r="AA37" s="771" t="s">
        <v>81</v>
      </c>
      <c r="AB37" s="771"/>
      <c r="AC37" s="771" t="s">
        <v>82</v>
      </c>
      <c r="AD37" s="771"/>
      <c r="AE37" s="771" t="s">
        <v>83</v>
      </c>
      <c r="AF37" s="771" t="s">
        <v>81</v>
      </c>
      <c r="AG37" s="771"/>
      <c r="AH37" s="771" t="s">
        <v>82</v>
      </c>
      <c r="AI37" s="771"/>
      <c r="AJ37" s="771" t="s">
        <v>83</v>
      </c>
      <c r="AK37" s="771" t="s">
        <v>81</v>
      </c>
      <c r="AL37" s="771"/>
      <c r="AM37" s="771" t="s">
        <v>82</v>
      </c>
      <c r="AN37" s="771"/>
      <c r="AO37" s="771" t="s">
        <v>83</v>
      </c>
      <c r="AP37" s="760" t="s">
        <v>81</v>
      </c>
      <c r="AQ37" s="760"/>
      <c r="AR37" s="760" t="s">
        <v>82</v>
      </c>
      <c r="AS37" s="760"/>
      <c r="AT37" s="760" t="s">
        <v>83</v>
      </c>
      <c r="AU37" s="758" t="s">
        <v>81</v>
      </c>
      <c r="AV37" s="758"/>
      <c r="AW37" s="758" t="s">
        <v>82</v>
      </c>
      <c r="AX37" s="758"/>
      <c r="AY37" s="758" t="s">
        <v>83</v>
      </c>
    </row>
    <row r="38" spans="1:51" ht="57.6" x14ac:dyDescent="0.3">
      <c r="A38" s="771"/>
      <c r="B38" s="28" t="s">
        <v>99</v>
      </c>
      <c r="C38" s="28" t="s">
        <v>100</v>
      </c>
      <c r="D38" s="28" t="s">
        <v>99</v>
      </c>
      <c r="E38" s="28" t="s">
        <v>100</v>
      </c>
      <c r="F38" s="771"/>
      <c r="G38" s="28" t="s">
        <v>99</v>
      </c>
      <c r="H38" s="28" t="s">
        <v>100</v>
      </c>
      <c r="I38" s="28" t="s">
        <v>99</v>
      </c>
      <c r="J38" s="28" t="s">
        <v>100</v>
      </c>
      <c r="K38" s="771"/>
      <c r="L38" s="28" t="s">
        <v>99</v>
      </c>
      <c r="M38" s="28" t="s">
        <v>100</v>
      </c>
      <c r="N38" s="28" t="s">
        <v>99</v>
      </c>
      <c r="O38" s="28" t="s">
        <v>100</v>
      </c>
      <c r="P38" s="771"/>
      <c r="Q38" s="28" t="s">
        <v>99</v>
      </c>
      <c r="R38" s="28" t="s">
        <v>100</v>
      </c>
      <c r="S38" s="28" t="s">
        <v>99</v>
      </c>
      <c r="T38" s="28" t="s">
        <v>100</v>
      </c>
      <c r="U38" s="771"/>
      <c r="V38" s="28" t="s">
        <v>99</v>
      </c>
      <c r="W38" s="28" t="s">
        <v>100</v>
      </c>
      <c r="X38" s="28" t="s">
        <v>99</v>
      </c>
      <c r="Y38" s="28" t="s">
        <v>100</v>
      </c>
      <c r="Z38" s="771"/>
      <c r="AA38" s="28" t="s">
        <v>99</v>
      </c>
      <c r="AB38" s="28" t="s">
        <v>100</v>
      </c>
      <c r="AC38" s="28" t="s">
        <v>99</v>
      </c>
      <c r="AD38" s="28" t="s">
        <v>100</v>
      </c>
      <c r="AE38" s="771"/>
      <c r="AF38" s="28" t="s">
        <v>99</v>
      </c>
      <c r="AG38" s="28" t="s">
        <v>100</v>
      </c>
      <c r="AH38" s="28" t="s">
        <v>99</v>
      </c>
      <c r="AI38" s="28" t="s">
        <v>100</v>
      </c>
      <c r="AJ38" s="771"/>
      <c r="AK38" s="401" t="s">
        <v>99</v>
      </c>
      <c r="AL38" s="401" t="s">
        <v>100</v>
      </c>
      <c r="AM38" s="401" t="s">
        <v>99</v>
      </c>
      <c r="AN38" s="401" t="s">
        <v>100</v>
      </c>
      <c r="AO38" s="771"/>
      <c r="AP38" s="725" t="s">
        <v>99</v>
      </c>
      <c r="AQ38" s="725" t="s">
        <v>100</v>
      </c>
      <c r="AR38" s="725" t="s">
        <v>99</v>
      </c>
      <c r="AS38" s="725" t="s">
        <v>100</v>
      </c>
      <c r="AT38" s="760"/>
      <c r="AU38" s="635" t="s">
        <v>99</v>
      </c>
      <c r="AV38" s="635" t="s">
        <v>100</v>
      </c>
      <c r="AW38" s="635" t="s">
        <v>99</v>
      </c>
      <c r="AX38" s="635" t="s">
        <v>100</v>
      </c>
      <c r="AY38" s="758"/>
    </row>
    <row r="39" spans="1:51" x14ac:dyDescent="0.3">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440">
        <f t="shared" ref="AP39:AT43" si="29">AK39*(1+$AT$35)</f>
        <v>12.938273064269636</v>
      </c>
      <c r="AQ39" s="440">
        <f t="shared" si="29"/>
        <v>12.938273064269636</v>
      </c>
      <c r="AR39" s="440">
        <f t="shared" si="29"/>
        <v>12.938273064269636</v>
      </c>
      <c r="AS39" s="726">
        <f t="shared" si="29"/>
        <v>12.938273064269636</v>
      </c>
      <c r="AT39" s="440">
        <f t="shared" si="29"/>
        <v>0</v>
      </c>
      <c r="AU39" s="636">
        <f t="shared" ref="AU39:AY43" si="30">AP39*(1+$AY$35)</f>
        <v>13.326421256197724</v>
      </c>
      <c r="AV39" s="636">
        <f t="shared" si="30"/>
        <v>13.326421256197724</v>
      </c>
      <c r="AW39" s="636">
        <f t="shared" si="30"/>
        <v>13.326421256197724</v>
      </c>
      <c r="AX39" s="637">
        <f t="shared" si="30"/>
        <v>13.326421256197724</v>
      </c>
      <c r="AY39" s="636">
        <f t="shared" si="30"/>
        <v>0</v>
      </c>
    </row>
    <row r="40" spans="1:51" x14ac:dyDescent="0.3">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93">
        <f>W40*(1+$AE$35)-0.01</f>
        <v>7.6659700842000014</v>
      </c>
      <c r="AC40" s="494">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440">
        <f>AK40*(1+$AT$35)</f>
        <v>12.938273064269636</v>
      </c>
      <c r="AQ40" s="727">
        <v>8.3841999999999999</v>
      </c>
      <c r="AR40" s="727">
        <v>8.3841999999999999</v>
      </c>
      <c r="AS40" s="727">
        <v>8.3841999999999999</v>
      </c>
      <c r="AT40" s="440">
        <f t="shared" si="29"/>
        <v>0</v>
      </c>
      <c r="AU40" s="636">
        <f t="shared" si="30"/>
        <v>13.326421256197724</v>
      </c>
      <c r="AV40" s="636">
        <f t="shared" ref="AV40:AX41" si="37">ROUND(AQ40,2)*(1+$AY$35)</f>
        <v>8.6314000000000011</v>
      </c>
      <c r="AW40" s="636">
        <f t="shared" si="37"/>
        <v>8.6314000000000011</v>
      </c>
      <c r="AX40" s="636">
        <f t="shared" si="37"/>
        <v>8.6314000000000011</v>
      </c>
      <c r="AY40" s="636">
        <f t="shared" si="30"/>
        <v>0</v>
      </c>
    </row>
    <row r="41" spans="1:51" x14ac:dyDescent="0.3">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494">
        <f t="shared" si="31"/>
        <v>7.6659700842000014</v>
      </c>
      <c r="AC41" s="494">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8">AF41*(1+$AJ$35)</f>
        <v>12.561430159485083</v>
      </c>
      <c r="AL41" s="35">
        <f t="shared" si="33"/>
        <v>8.1328276623277826</v>
      </c>
      <c r="AM41" s="35">
        <f t="shared" si="34"/>
        <v>8.1328276623277826</v>
      </c>
      <c r="AN41" s="35">
        <f t="shared" si="35"/>
        <v>8.1328276623277826</v>
      </c>
      <c r="AO41" s="35">
        <f t="shared" si="36"/>
        <v>0</v>
      </c>
      <c r="AP41" s="440">
        <f t="shared" si="29"/>
        <v>12.938273064269636</v>
      </c>
      <c r="AQ41" s="727">
        <v>8.3841999999999999</v>
      </c>
      <c r="AR41" s="727">
        <v>8.3841999999999999</v>
      </c>
      <c r="AS41" s="727">
        <v>8.3841999999999999</v>
      </c>
      <c r="AT41" s="440">
        <f t="shared" si="29"/>
        <v>0</v>
      </c>
      <c r="AU41" s="636">
        <f t="shared" si="30"/>
        <v>13.326421256197724</v>
      </c>
      <c r="AV41" s="636">
        <f t="shared" si="37"/>
        <v>8.6314000000000011</v>
      </c>
      <c r="AW41" s="636">
        <f t="shared" si="37"/>
        <v>8.6314000000000011</v>
      </c>
      <c r="AX41" s="636">
        <f t="shared" si="37"/>
        <v>8.6314000000000011</v>
      </c>
      <c r="AY41" s="636">
        <f t="shared" si="30"/>
        <v>0</v>
      </c>
    </row>
    <row r="42" spans="1:51" x14ac:dyDescent="0.3">
      <c r="A42" s="413" t="s">
        <v>412</v>
      </c>
      <c r="B42" s="36">
        <v>9.15</v>
      </c>
      <c r="C42" s="36">
        <v>8.2899999999999991</v>
      </c>
      <c r="D42" s="36">
        <v>9.15</v>
      </c>
      <c r="E42" s="36">
        <v>8.2899999999999991</v>
      </c>
      <c r="F42" s="414">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9">V42*(1+$AE$35)</f>
        <v>11.840352681200001</v>
      </c>
      <c r="AB42" s="32">
        <f t="shared" si="39"/>
        <v>11.840352681200001</v>
      </c>
      <c r="AC42" s="32">
        <f t="shared" si="39"/>
        <v>11.840352681200001</v>
      </c>
      <c r="AD42" s="32">
        <f t="shared" si="39"/>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8"/>
        <v>12.561430159485083</v>
      </c>
      <c r="AL42" s="35">
        <f t="shared" si="33"/>
        <v>12.561430159485083</v>
      </c>
      <c r="AM42" s="35">
        <f t="shared" si="34"/>
        <v>12.561430159485083</v>
      </c>
      <c r="AN42" s="35">
        <f t="shared" si="35"/>
        <v>12.561430159485083</v>
      </c>
      <c r="AO42" s="35">
        <f>AJ42*(1+$AJ$35)</f>
        <v>4.4179934971573021</v>
      </c>
      <c r="AP42" s="440">
        <f t="shared" si="29"/>
        <v>12.938273064269636</v>
      </c>
      <c r="AQ42" s="440">
        <f t="shared" si="29"/>
        <v>12.938273064269636</v>
      </c>
      <c r="AR42" s="440">
        <f t="shared" si="29"/>
        <v>12.938273064269636</v>
      </c>
      <c r="AS42" s="440">
        <f t="shared" si="29"/>
        <v>12.938273064269636</v>
      </c>
      <c r="AT42" s="440">
        <f t="shared" si="29"/>
        <v>4.5505333020720213</v>
      </c>
      <c r="AU42" s="636">
        <f t="shared" si="30"/>
        <v>13.326421256197724</v>
      </c>
      <c r="AV42" s="636">
        <f t="shared" si="30"/>
        <v>13.326421256197724</v>
      </c>
      <c r="AW42" s="636">
        <f t="shared" si="30"/>
        <v>13.326421256197724</v>
      </c>
      <c r="AX42" s="636">
        <f t="shared" si="30"/>
        <v>13.326421256197724</v>
      </c>
      <c r="AY42" s="638">
        <f>AT42*(1+$AY$35)</f>
        <v>4.6870493011341825</v>
      </c>
    </row>
    <row r="43" spans="1:51" x14ac:dyDescent="0.3">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9"/>
        <v>11.840352681200001</v>
      </c>
      <c r="AB43" s="32">
        <f t="shared" si="39"/>
        <v>11.840352681200001</v>
      </c>
      <c r="AC43" s="32">
        <f t="shared" si="39"/>
        <v>11.840352681200001</v>
      </c>
      <c r="AD43" s="32">
        <f t="shared" si="39"/>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8"/>
        <v>12.561430159485083</v>
      </c>
      <c r="AL43" s="35">
        <f t="shared" si="33"/>
        <v>12.561430159485083</v>
      </c>
      <c r="AM43" s="35">
        <f t="shared" si="34"/>
        <v>12.561430159485083</v>
      </c>
      <c r="AN43" s="35">
        <f t="shared" si="35"/>
        <v>12.561430159485083</v>
      </c>
      <c r="AO43" s="35">
        <f t="shared" si="36"/>
        <v>0</v>
      </c>
      <c r="AP43" s="440">
        <f t="shared" si="29"/>
        <v>12.938273064269636</v>
      </c>
      <c r="AQ43" s="440">
        <f t="shared" si="29"/>
        <v>12.938273064269636</v>
      </c>
      <c r="AR43" s="440">
        <f t="shared" si="29"/>
        <v>12.938273064269636</v>
      </c>
      <c r="AS43" s="440">
        <f t="shared" si="29"/>
        <v>12.938273064269636</v>
      </c>
      <c r="AT43" s="440">
        <f t="shared" si="29"/>
        <v>0</v>
      </c>
      <c r="AU43" s="636">
        <f t="shared" si="30"/>
        <v>13.326421256197724</v>
      </c>
      <c r="AV43" s="636">
        <f t="shared" si="30"/>
        <v>13.326421256197724</v>
      </c>
      <c r="AW43" s="636">
        <f t="shared" si="30"/>
        <v>13.326421256197724</v>
      </c>
      <c r="AX43" s="636">
        <f t="shared" si="30"/>
        <v>13.326421256197724</v>
      </c>
      <c r="AY43" s="636">
        <f t="shared" si="30"/>
        <v>0</v>
      </c>
    </row>
    <row r="45" spans="1:51" x14ac:dyDescent="0.3">
      <c r="A45" s="19" t="s">
        <v>460</v>
      </c>
      <c r="Z45" s="19" t="s">
        <v>460</v>
      </c>
      <c r="AQ45" s="476"/>
      <c r="AT45" s="476">
        <f>+AS40+AT42</f>
        <v>12.934733302072022</v>
      </c>
    </row>
    <row r="46" spans="1:51" ht="15" thickBot="1" x14ac:dyDescent="0.35">
      <c r="Z46" s="447"/>
      <c r="AH46" s="492"/>
      <c r="AI46" s="476"/>
      <c r="AJ46" s="476"/>
      <c r="AK46" s="491"/>
      <c r="AX46" s="476">
        <f>8.38*(1+3%)</f>
        <v>8.6314000000000011</v>
      </c>
    </row>
    <row r="47" spans="1:51" x14ac:dyDescent="0.3">
      <c r="A47" s="784" t="s">
        <v>80</v>
      </c>
      <c r="B47" s="762">
        <v>2013</v>
      </c>
      <c r="C47" s="762"/>
      <c r="D47" s="762"/>
      <c r="E47" s="762">
        <v>2014</v>
      </c>
      <c r="F47" s="762"/>
      <c r="G47" s="762"/>
      <c r="H47" s="762">
        <v>2015</v>
      </c>
      <c r="I47" s="762"/>
      <c r="J47" s="762"/>
      <c r="K47" s="762">
        <v>2016</v>
      </c>
      <c r="L47" s="762"/>
      <c r="M47" s="762"/>
      <c r="N47" s="762">
        <v>2017</v>
      </c>
      <c r="O47" s="762"/>
      <c r="P47" s="772"/>
      <c r="Q47" s="778">
        <v>2018</v>
      </c>
      <c r="R47" s="779"/>
      <c r="S47" s="780"/>
      <c r="T47" s="761">
        <v>2019</v>
      </c>
      <c r="U47" s="762"/>
      <c r="V47" s="772"/>
      <c r="W47" s="778">
        <v>2020</v>
      </c>
      <c r="X47" s="779"/>
      <c r="Y47" s="780"/>
      <c r="Z47" s="761">
        <v>2021</v>
      </c>
      <c r="AA47" s="762"/>
      <c r="AB47" s="762"/>
      <c r="AC47" s="759">
        <v>2022</v>
      </c>
      <c r="AD47" s="757"/>
      <c r="AE47" s="757"/>
      <c r="AV47" s="502"/>
    </row>
    <row r="48" spans="1:51" ht="28.8" x14ac:dyDescent="0.3">
      <c r="A48" s="784"/>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454" t="s">
        <v>83</v>
      </c>
      <c r="Q48" s="458" t="s">
        <v>81</v>
      </c>
      <c r="R48" s="453" t="s">
        <v>82</v>
      </c>
      <c r="S48" s="459" t="s">
        <v>83</v>
      </c>
      <c r="T48" s="455" t="s">
        <v>81</v>
      </c>
      <c r="U48" s="28" t="s">
        <v>82</v>
      </c>
      <c r="V48" s="454" t="s">
        <v>83</v>
      </c>
      <c r="W48" s="458" t="s">
        <v>81</v>
      </c>
      <c r="X48" s="453" t="s">
        <v>82</v>
      </c>
      <c r="Y48" s="459" t="s">
        <v>83</v>
      </c>
      <c r="Z48" s="455" t="s">
        <v>81</v>
      </c>
      <c r="AA48" s="439" t="s">
        <v>82</v>
      </c>
      <c r="AB48" s="439" t="s">
        <v>83</v>
      </c>
      <c r="AC48" s="639" t="s">
        <v>81</v>
      </c>
      <c r="AD48" s="635" t="s">
        <v>82</v>
      </c>
      <c r="AE48" s="635" t="s">
        <v>83</v>
      </c>
    </row>
    <row r="49" spans="1:44" x14ac:dyDescent="0.3">
      <c r="A49" s="21" t="s">
        <v>84</v>
      </c>
      <c r="B49" s="36">
        <v>0</v>
      </c>
      <c r="C49" s="36">
        <v>0</v>
      </c>
      <c r="D49" s="36">
        <v>0</v>
      </c>
      <c r="E49" s="30">
        <f>B49*(1+$B$5)</f>
        <v>0</v>
      </c>
      <c r="F49" s="30">
        <f t="shared" ref="F49:G56" si="40">C49*(1+$B$5)</f>
        <v>0</v>
      </c>
      <c r="G49" s="30">
        <f t="shared" si="40"/>
        <v>0</v>
      </c>
      <c r="H49" s="30">
        <f>E49*(1+$C$5)</f>
        <v>0</v>
      </c>
      <c r="I49" s="30">
        <f>F49*(1+$C$5)</f>
        <v>0</v>
      </c>
      <c r="J49" s="30">
        <f>G49*(1+$C$5)</f>
        <v>0</v>
      </c>
      <c r="K49" s="30">
        <f>H49*(1+$D$5)</f>
        <v>0</v>
      </c>
      <c r="L49" s="30">
        <f t="shared" ref="L49:L55" si="41">I49*(1+$D$5)</f>
        <v>0</v>
      </c>
      <c r="M49" s="30">
        <f>J49*(1+$D$5)</f>
        <v>0</v>
      </c>
      <c r="N49" s="31">
        <f t="shared" ref="N49:P57" si="42">K49*(1+$E$5)</f>
        <v>0</v>
      </c>
      <c r="O49" s="31">
        <f t="shared" si="42"/>
        <v>0</v>
      </c>
      <c r="P49" s="465">
        <f t="shared" si="42"/>
        <v>0</v>
      </c>
      <c r="Q49" s="467">
        <f t="shared" ref="Q49:S57" si="43">N49*(1+$F$5)</f>
        <v>0</v>
      </c>
      <c r="R49" s="32">
        <f t="shared" si="43"/>
        <v>0</v>
      </c>
      <c r="S49" s="468">
        <f t="shared" si="43"/>
        <v>0</v>
      </c>
      <c r="T49" s="466">
        <f t="shared" ref="T49:V56" si="44">Q49*(1+$G$5)</f>
        <v>0</v>
      </c>
      <c r="U49" s="33">
        <f t="shared" si="44"/>
        <v>0</v>
      </c>
      <c r="V49" s="456">
        <f t="shared" si="44"/>
        <v>0</v>
      </c>
      <c r="W49" s="460">
        <f t="shared" ref="W49:Y56" si="45">T49*(1+$H$5)</f>
        <v>0</v>
      </c>
      <c r="X49" s="33">
        <f t="shared" si="45"/>
        <v>0</v>
      </c>
      <c r="Y49" s="461">
        <f t="shared" si="45"/>
        <v>0</v>
      </c>
      <c r="Z49" s="728">
        <f t="shared" ref="Z49:AB56" si="46">W49*(1+$I$5)</f>
        <v>0</v>
      </c>
      <c r="AA49" s="440">
        <f t="shared" si="46"/>
        <v>0</v>
      </c>
      <c r="AB49" s="440">
        <f t="shared" si="46"/>
        <v>0</v>
      </c>
      <c r="AC49" s="640">
        <f t="shared" ref="AC49:AC57" si="47">Z49*(1+$J$5)</f>
        <v>0</v>
      </c>
      <c r="AD49" s="636">
        <f t="shared" ref="AD49:AD57" si="48">AA49*(1+$J$5)</f>
        <v>0</v>
      </c>
      <c r="AE49" s="636">
        <f t="shared" ref="AE49:AE57" si="49">AB49*(1+$J$5)</f>
        <v>0</v>
      </c>
      <c r="AG49" s="21" t="s">
        <v>84</v>
      </c>
      <c r="AL49" s="682"/>
      <c r="AM49" s="685"/>
      <c r="AN49" s="685"/>
      <c r="AO49" s="685"/>
      <c r="AP49" s="685"/>
      <c r="AQ49" s="683"/>
      <c r="AR49" s="684"/>
    </row>
    <row r="50" spans="1:44" x14ac:dyDescent="0.3">
      <c r="A50" s="21" t="s">
        <v>85</v>
      </c>
      <c r="B50" s="36">
        <v>78.87</v>
      </c>
      <c r="C50" s="36">
        <v>78.87</v>
      </c>
      <c r="D50" s="36">
        <v>0</v>
      </c>
      <c r="E50" s="30">
        <f t="shared" ref="E50:E56" si="50">B50*(1+$B$5)</f>
        <v>80.400078000000008</v>
      </c>
      <c r="F50" s="30">
        <f t="shared" si="40"/>
        <v>80.400078000000008</v>
      </c>
      <c r="G50" s="30">
        <f t="shared" si="40"/>
        <v>0</v>
      </c>
      <c r="H50" s="30">
        <f t="shared" ref="H50:J56" si="51">E50*(1+$C$5)</f>
        <v>83.342720854800007</v>
      </c>
      <c r="I50" s="30">
        <f t="shared" si="51"/>
        <v>83.342720854800007</v>
      </c>
      <c r="J50" s="30">
        <f t="shared" si="51"/>
        <v>0</v>
      </c>
      <c r="K50" s="30">
        <f>H50*(1+$D$5)-0.01</f>
        <v>88.975023056669968</v>
      </c>
      <c r="L50" s="30">
        <f>I50*(1+$D$5)-0.01</f>
        <v>88.975023056669968</v>
      </c>
      <c r="M50" s="30">
        <f t="shared" ref="M50:M56" si="52">J50*(1+$D$5)</f>
        <v>0</v>
      </c>
      <c r="N50" s="31">
        <f t="shared" si="42"/>
        <v>94.091086882428499</v>
      </c>
      <c r="O50" s="31">
        <f t="shared" si="42"/>
        <v>94.091086882428499</v>
      </c>
      <c r="P50" s="465">
        <f t="shared" si="42"/>
        <v>0</v>
      </c>
      <c r="Q50" s="467">
        <f t="shared" si="43"/>
        <v>97.939412335919812</v>
      </c>
      <c r="R50" s="32">
        <f t="shared" si="43"/>
        <v>97.939412335919812</v>
      </c>
      <c r="S50" s="468">
        <f t="shared" si="43"/>
        <v>0</v>
      </c>
      <c r="T50" s="466">
        <f>Q50*(1+$G$5)</f>
        <v>101.05388564820207</v>
      </c>
      <c r="U50" s="33">
        <f t="shared" si="44"/>
        <v>101.05388564820207</v>
      </c>
      <c r="V50" s="456">
        <f t="shared" si="44"/>
        <v>0</v>
      </c>
      <c r="W50" s="460">
        <f>T50*(1+$H$5)</f>
        <v>104.89393330283374</v>
      </c>
      <c r="X50" s="33">
        <f t="shared" si="45"/>
        <v>104.89393330283374</v>
      </c>
      <c r="Y50" s="461">
        <f t="shared" si="45"/>
        <v>0</v>
      </c>
      <c r="Z50" s="728">
        <f>W50*(1+$I$5)+0.01</f>
        <v>106.59272562900938</v>
      </c>
      <c r="AA50" s="440">
        <f>X50*(1+$I$5)+0.01</f>
        <v>106.59272562900938</v>
      </c>
      <c r="AB50" s="440">
        <f t="shared" si="46"/>
        <v>0</v>
      </c>
      <c r="AC50" s="640">
        <f t="shared" si="47"/>
        <v>112.5832368093597</v>
      </c>
      <c r="AD50" s="636">
        <f t="shared" si="48"/>
        <v>112.5832368093597</v>
      </c>
      <c r="AE50" s="636">
        <f t="shared" si="49"/>
        <v>0</v>
      </c>
      <c r="AG50" s="21" t="s">
        <v>85</v>
      </c>
      <c r="AL50" s="682"/>
      <c r="AM50" s="682"/>
      <c r="AN50" s="682"/>
      <c r="AO50" s="682"/>
      <c r="AP50" s="682"/>
      <c r="AQ50" s="683"/>
      <c r="AR50" s="684"/>
    </row>
    <row r="51" spans="1:44" x14ac:dyDescent="0.3">
      <c r="A51" s="21" t="s">
        <v>86</v>
      </c>
      <c r="B51" s="36">
        <v>0</v>
      </c>
      <c r="C51" s="36">
        <v>0</v>
      </c>
      <c r="D51" s="36">
        <v>0</v>
      </c>
      <c r="E51" s="30">
        <f t="shared" si="50"/>
        <v>0</v>
      </c>
      <c r="F51" s="30">
        <f t="shared" si="40"/>
        <v>0</v>
      </c>
      <c r="G51" s="30">
        <f t="shared" si="40"/>
        <v>0</v>
      </c>
      <c r="H51" s="30">
        <f t="shared" si="51"/>
        <v>0</v>
      </c>
      <c r="I51" s="30">
        <f t="shared" si="51"/>
        <v>0</v>
      </c>
      <c r="J51" s="30">
        <f t="shared" si="51"/>
        <v>0</v>
      </c>
      <c r="K51" s="30">
        <f>H51*(1+$D$5)</f>
        <v>0</v>
      </c>
      <c r="L51" s="30">
        <f t="shared" si="41"/>
        <v>0</v>
      </c>
      <c r="M51" s="30">
        <f t="shared" si="52"/>
        <v>0</v>
      </c>
      <c r="N51" s="31">
        <f t="shared" si="42"/>
        <v>0</v>
      </c>
      <c r="O51" s="31">
        <f t="shared" si="42"/>
        <v>0</v>
      </c>
      <c r="P51" s="465">
        <f t="shared" si="42"/>
        <v>0</v>
      </c>
      <c r="Q51" s="467">
        <f t="shared" si="43"/>
        <v>0</v>
      </c>
      <c r="R51" s="32">
        <f t="shared" si="43"/>
        <v>0</v>
      </c>
      <c r="S51" s="468">
        <f t="shared" si="43"/>
        <v>0</v>
      </c>
      <c r="T51" s="466">
        <f t="shared" si="44"/>
        <v>0</v>
      </c>
      <c r="U51" s="33">
        <f t="shared" si="44"/>
        <v>0</v>
      </c>
      <c r="V51" s="456">
        <f t="shared" si="44"/>
        <v>0</v>
      </c>
      <c r="W51" s="460">
        <f t="shared" si="45"/>
        <v>0</v>
      </c>
      <c r="X51" s="33">
        <f t="shared" si="45"/>
        <v>0</v>
      </c>
      <c r="Y51" s="461">
        <f t="shared" si="45"/>
        <v>0</v>
      </c>
      <c r="Z51" s="728">
        <f t="shared" si="46"/>
        <v>0</v>
      </c>
      <c r="AA51" s="440">
        <f t="shared" si="46"/>
        <v>0</v>
      </c>
      <c r="AB51" s="440">
        <f t="shared" si="46"/>
        <v>0</v>
      </c>
      <c r="AC51" s="640">
        <f t="shared" si="47"/>
        <v>0</v>
      </c>
      <c r="AD51" s="636">
        <f t="shared" si="48"/>
        <v>0</v>
      </c>
      <c r="AE51" s="636">
        <f t="shared" si="49"/>
        <v>0</v>
      </c>
      <c r="AG51" s="21" t="s">
        <v>86</v>
      </c>
    </row>
    <row r="52" spans="1:44" x14ac:dyDescent="0.3">
      <c r="A52" s="21" t="s">
        <v>87</v>
      </c>
      <c r="B52" s="36">
        <v>78.87</v>
      </c>
      <c r="C52" s="36">
        <v>78.87</v>
      </c>
      <c r="D52" s="36">
        <v>0</v>
      </c>
      <c r="E52" s="30">
        <f t="shared" si="50"/>
        <v>80.400078000000008</v>
      </c>
      <c r="F52" s="30">
        <f t="shared" si="40"/>
        <v>80.400078000000008</v>
      </c>
      <c r="G52" s="30">
        <f t="shared" si="40"/>
        <v>0</v>
      </c>
      <c r="H52" s="30">
        <f t="shared" si="51"/>
        <v>83.342720854800007</v>
      </c>
      <c r="I52" s="30">
        <f t="shared" si="51"/>
        <v>83.342720854800007</v>
      </c>
      <c r="J52" s="30">
        <f t="shared" si="51"/>
        <v>0</v>
      </c>
      <c r="K52" s="30">
        <f>H52*(1+$D$5)-0.01</f>
        <v>88.975023056669968</v>
      </c>
      <c r="L52" s="30">
        <f>I52*(1+$D$5)-0.01</f>
        <v>88.975023056669968</v>
      </c>
      <c r="M52" s="30">
        <f t="shared" si="52"/>
        <v>0</v>
      </c>
      <c r="N52" s="31">
        <f t="shared" si="42"/>
        <v>94.091086882428499</v>
      </c>
      <c r="O52" s="31">
        <f t="shared" si="42"/>
        <v>94.091086882428499</v>
      </c>
      <c r="P52" s="465">
        <f t="shared" si="42"/>
        <v>0</v>
      </c>
      <c r="Q52" s="467">
        <f t="shared" si="43"/>
        <v>97.939412335919812</v>
      </c>
      <c r="R52" s="32">
        <f t="shared" si="43"/>
        <v>97.939412335919812</v>
      </c>
      <c r="S52" s="468">
        <f t="shared" si="43"/>
        <v>0</v>
      </c>
      <c r="T52" s="466">
        <f>Q52*(1+$G$5)</f>
        <v>101.05388564820207</v>
      </c>
      <c r="U52" s="33">
        <f t="shared" si="44"/>
        <v>101.05388564820207</v>
      </c>
      <c r="V52" s="456">
        <f t="shared" si="44"/>
        <v>0</v>
      </c>
      <c r="W52" s="460">
        <f t="shared" si="45"/>
        <v>104.89393330283374</v>
      </c>
      <c r="X52" s="33">
        <f t="shared" si="45"/>
        <v>104.89393330283374</v>
      </c>
      <c r="Y52" s="461">
        <f t="shared" si="45"/>
        <v>0</v>
      </c>
      <c r="Z52" s="728">
        <f>W52*(1+$I$5)+0.01</f>
        <v>106.59272562900938</v>
      </c>
      <c r="AA52" s="440">
        <f>X52*(1+$I$5)+0.01</f>
        <v>106.59272562900938</v>
      </c>
      <c r="AB52" s="440">
        <f t="shared" si="46"/>
        <v>0</v>
      </c>
      <c r="AC52" s="640">
        <f t="shared" si="47"/>
        <v>112.5832368093597</v>
      </c>
      <c r="AD52" s="636">
        <f t="shared" si="48"/>
        <v>112.5832368093597</v>
      </c>
      <c r="AE52" s="636">
        <f t="shared" si="49"/>
        <v>0</v>
      </c>
      <c r="AG52" s="21" t="s">
        <v>87</v>
      </c>
    </row>
    <row r="53" spans="1:44" x14ac:dyDescent="0.3">
      <c r="A53" s="21" t="s">
        <v>88</v>
      </c>
      <c r="B53" s="36">
        <v>58.03</v>
      </c>
      <c r="C53" s="36">
        <v>58.03</v>
      </c>
      <c r="D53" s="36">
        <v>58.03</v>
      </c>
      <c r="E53" s="30">
        <f t="shared" si="50"/>
        <v>59.155782000000009</v>
      </c>
      <c r="F53" s="30">
        <f t="shared" si="40"/>
        <v>59.155782000000009</v>
      </c>
      <c r="G53" s="30">
        <f t="shared" si="40"/>
        <v>59.155782000000009</v>
      </c>
      <c r="H53" s="30">
        <f t="shared" si="51"/>
        <v>61.320883621200011</v>
      </c>
      <c r="I53" s="30">
        <f t="shared" si="51"/>
        <v>61.320883621200011</v>
      </c>
      <c r="J53" s="30">
        <f t="shared" si="51"/>
        <v>61.320883621200011</v>
      </c>
      <c r="K53" s="30">
        <f>H53*(1+$D$5)</f>
        <v>65.472307442355259</v>
      </c>
      <c r="L53" s="30">
        <f t="shared" si="41"/>
        <v>65.472307442355259</v>
      </c>
      <c r="M53" s="30">
        <f t="shared" si="52"/>
        <v>65.472307442355259</v>
      </c>
      <c r="N53" s="31">
        <f t="shared" si="42"/>
        <v>69.236965120290691</v>
      </c>
      <c r="O53" s="31">
        <f t="shared" si="42"/>
        <v>69.236965120290691</v>
      </c>
      <c r="P53" s="465">
        <f t="shared" si="42"/>
        <v>69.236965120290691</v>
      </c>
      <c r="Q53" s="467">
        <f t="shared" si="43"/>
        <v>72.068756993710579</v>
      </c>
      <c r="R53" s="32">
        <f t="shared" si="43"/>
        <v>72.068756993710579</v>
      </c>
      <c r="S53" s="468">
        <f t="shared" si="43"/>
        <v>72.068756993710579</v>
      </c>
      <c r="T53" s="466">
        <f t="shared" si="44"/>
        <v>74.360543466110585</v>
      </c>
      <c r="U53" s="33">
        <f t="shared" si="44"/>
        <v>74.360543466110585</v>
      </c>
      <c r="V53" s="456">
        <f t="shared" si="44"/>
        <v>74.360543466110585</v>
      </c>
      <c r="W53" s="460">
        <f t="shared" si="45"/>
        <v>77.186244117822795</v>
      </c>
      <c r="X53" s="33">
        <f t="shared" si="45"/>
        <v>77.186244117822795</v>
      </c>
      <c r="Y53" s="461">
        <f t="shared" si="45"/>
        <v>77.186244117822795</v>
      </c>
      <c r="Z53" s="728">
        <f t="shared" si="46"/>
        <v>78.428942648119744</v>
      </c>
      <c r="AA53" s="440">
        <f t="shared" si="46"/>
        <v>78.428942648119744</v>
      </c>
      <c r="AB53" s="440">
        <f t="shared" si="46"/>
        <v>78.428942648119744</v>
      </c>
      <c r="AC53" s="640">
        <f t="shared" si="47"/>
        <v>82.836649224944082</v>
      </c>
      <c r="AD53" s="636">
        <f t="shared" si="48"/>
        <v>82.836649224944082</v>
      </c>
      <c r="AE53" s="636">
        <f t="shared" si="49"/>
        <v>82.836649224944082</v>
      </c>
      <c r="AG53" s="21" t="s">
        <v>88</v>
      </c>
    </row>
    <row r="54" spans="1:44" x14ac:dyDescent="0.3">
      <c r="A54" s="21" t="s">
        <v>89</v>
      </c>
      <c r="B54" s="36">
        <v>78.87</v>
      </c>
      <c r="C54" s="36">
        <v>78.87</v>
      </c>
      <c r="D54" s="36">
        <v>0</v>
      </c>
      <c r="E54" s="30">
        <f t="shared" si="50"/>
        <v>80.400078000000008</v>
      </c>
      <c r="F54" s="30">
        <f t="shared" si="40"/>
        <v>80.400078000000008</v>
      </c>
      <c r="G54" s="30">
        <f t="shared" si="40"/>
        <v>0</v>
      </c>
      <c r="H54" s="30">
        <f t="shared" si="51"/>
        <v>83.342720854800007</v>
      </c>
      <c r="I54" s="30">
        <f t="shared" si="51"/>
        <v>83.342720854800007</v>
      </c>
      <c r="J54" s="30">
        <f t="shared" si="51"/>
        <v>0</v>
      </c>
      <c r="K54" s="30">
        <f>H54*(1+$D$5)-0.01</f>
        <v>88.975023056669968</v>
      </c>
      <c r="L54" s="30">
        <f>I54*(1+$D$5)-0.01</f>
        <v>88.975023056669968</v>
      </c>
      <c r="M54" s="30">
        <f t="shared" si="52"/>
        <v>0</v>
      </c>
      <c r="N54" s="31">
        <f t="shared" si="42"/>
        <v>94.091086882428499</v>
      </c>
      <c r="O54" s="31">
        <f t="shared" si="42"/>
        <v>94.091086882428499</v>
      </c>
      <c r="P54" s="465">
        <f t="shared" si="42"/>
        <v>0</v>
      </c>
      <c r="Q54" s="467">
        <f t="shared" si="43"/>
        <v>97.939412335919812</v>
      </c>
      <c r="R54" s="32">
        <f t="shared" si="43"/>
        <v>97.939412335919812</v>
      </c>
      <c r="S54" s="468">
        <f t="shared" si="43"/>
        <v>0</v>
      </c>
      <c r="T54" s="466">
        <f t="shared" si="44"/>
        <v>101.05388564820207</v>
      </c>
      <c r="U54" s="33">
        <f t="shared" si="44"/>
        <v>101.05388564820207</v>
      </c>
      <c r="V54" s="456">
        <f t="shared" si="44"/>
        <v>0</v>
      </c>
      <c r="W54" s="460">
        <f t="shared" si="45"/>
        <v>104.89393330283374</v>
      </c>
      <c r="X54" s="33">
        <f t="shared" si="45"/>
        <v>104.89393330283374</v>
      </c>
      <c r="Y54" s="461">
        <f t="shared" si="45"/>
        <v>0</v>
      </c>
      <c r="Z54" s="728">
        <f>W54*(1+$I$5)+0.01</f>
        <v>106.59272562900938</v>
      </c>
      <c r="AA54" s="440">
        <f>X54*(1+$I$5)+0.01</f>
        <v>106.59272562900938</v>
      </c>
      <c r="AB54" s="440">
        <f t="shared" si="46"/>
        <v>0</v>
      </c>
      <c r="AC54" s="640">
        <f t="shared" si="47"/>
        <v>112.5832368093597</v>
      </c>
      <c r="AD54" s="636">
        <f t="shared" si="48"/>
        <v>112.5832368093597</v>
      </c>
      <c r="AE54" s="636">
        <f t="shared" si="49"/>
        <v>0</v>
      </c>
      <c r="AG54" s="21" t="s">
        <v>89</v>
      </c>
    </row>
    <row r="55" spans="1:44" x14ac:dyDescent="0.3">
      <c r="A55" s="21" t="s">
        <v>90</v>
      </c>
      <c r="B55" s="36">
        <v>0</v>
      </c>
      <c r="C55" s="36">
        <v>0</v>
      </c>
      <c r="D55" s="36">
        <v>0</v>
      </c>
      <c r="E55" s="30">
        <f t="shared" si="50"/>
        <v>0</v>
      </c>
      <c r="F55" s="30">
        <f t="shared" si="40"/>
        <v>0</v>
      </c>
      <c r="G55" s="30">
        <f t="shared" si="40"/>
        <v>0</v>
      </c>
      <c r="H55" s="30">
        <f t="shared" si="51"/>
        <v>0</v>
      </c>
      <c r="I55" s="30">
        <f t="shared" si="51"/>
        <v>0</v>
      </c>
      <c r="J55" s="30">
        <f t="shared" si="51"/>
        <v>0</v>
      </c>
      <c r="K55" s="30">
        <f>H55*(1+$D$5)</f>
        <v>0</v>
      </c>
      <c r="L55" s="30">
        <f t="shared" si="41"/>
        <v>0</v>
      </c>
      <c r="M55" s="30">
        <f t="shared" si="52"/>
        <v>0</v>
      </c>
      <c r="N55" s="31">
        <f t="shared" si="42"/>
        <v>0</v>
      </c>
      <c r="O55" s="31">
        <f t="shared" si="42"/>
        <v>0</v>
      </c>
      <c r="P55" s="465">
        <f t="shared" si="42"/>
        <v>0</v>
      </c>
      <c r="Q55" s="467">
        <f t="shared" si="43"/>
        <v>0</v>
      </c>
      <c r="R55" s="32">
        <f t="shared" si="43"/>
        <v>0</v>
      </c>
      <c r="S55" s="468">
        <f t="shared" si="43"/>
        <v>0</v>
      </c>
      <c r="T55" s="466">
        <f t="shared" si="44"/>
        <v>0</v>
      </c>
      <c r="U55" s="33">
        <f t="shared" si="44"/>
        <v>0</v>
      </c>
      <c r="V55" s="456">
        <f t="shared" si="44"/>
        <v>0</v>
      </c>
      <c r="W55" s="460">
        <f t="shared" si="45"/>
        <v>0</v>
      </c>
      <c r="X55" s="33">
        <f t="shared" si="45"/>
        <v>0</v>
      </c>
      <c r="Y55" s="461">
        <f t="shared" si="45"/>
        <v>0</v>
      </c>
      <c r="Z55" s="728">
        <f t="shared" si="46"/>
        <v>0</v>
      </c>
      <c r="AA55" s="440">
        <f t="shared" si="46"/>
        <v>0</v>
      </c>
      <c r="AB55" s="440">
        <f t="shared" si="46"/>
        <v>0</v>
      </c>
      <c r="AC55" s="640">
        <f t="shared" si="47"/>
        <v>0</v>
      </c>
      <c r="AD55" s="636">
        <f t="shared" si="48"/>
        <v>0</v>
      </c>
      <c r="AE55" s="636">
        <f t="shared" si="49"/>
        <v>0</v>
      </c>
      <c r="AG55" s="21" t="s">
        <v>90</v>
      </c>
    </row>
    <row r="56" spans="1:44" x14ac:dyDescent="0.3">
      <c r="A56" s="21" t="s">
        <v>91</v>
      </c>
      <c r="B56" s="36">
        <v>78.87</v>
      </c>
      <c r="C56" s="36">
        <v>78.87</v>
      </c>
      <c r="D56" s="36">
        <v>0</v>
      </c>
      <c r="E56" s="30">
        <f t="shared" si="50"/>
        <v>80.400078000000008</v>
      </c>
      <c r="F56" s="30">
        <f t="shared" si="40"/>
        <v>80.400078000000008</v>
      </c>
      <c r="G56" s="30">
        <f t="shared" si="40"/>
        <v>0</v>
      </c>
      <c r="H56" s="30">
        <f t="shared" si="51"/>
        <v>83.342720854800007</v>
      </c>
      <c r="I56" s="30">
        <f t="shared" si="51"/>
        <v>83.342720854800007</v>
      </c>
      <c r="J56" s="30">
        <f t="shared" si="51"/>
        <v>0</v>
      </c>
      <c r="K56" s="30">
        <f>H56*(1+$D$5)-0.01</f>
        <v>88.975023056669968</v>
      </c>
      <c r="L56" s="30">
        <f>I56*(1+$D$5)-0.01</f>
        <v>88.975023056669968</v>
      </c>
      <c r="M56" s="30">
        <f t="shared" si="52"/>
        <v>0</v>
      </c>
      <c r="N56" s="31">
        <f t="shared" si="42"/>
        <v>94.091086882428499</v>
      </c>
      <c r="O56" s="31">
        <f t="shared" si="42"/>
        <v>94.091086882428499</v>
      </c>
      <c r="P56" s="465">
        <f t="shared" si="42"/>
        <v>0</v>
      </c>
      <c r="Q56" s="467">
        <f t="shared" si="43"/>
        <v>97.939412335919812</v>
      </c>
      <c r="R56" s="32">
        <f t="shared" si="43"/>
        <v>97.939412335919812</v>
      </c>
      <c r="S56" s="468">
        <f t="shared" si="43"/>
        <v>0</v>
      </c>
      <c r="T56" s="466">
        <f t="shared" si="44"/>
        <v>101.05388564820207</v>
      </c>
      <c r="U56" s="33">
        <f t="shared" si="44"/>
        <v>101.05388564820207</v>
      </c>
      <c r="V56" s="456">
        <f t="shared" si="44"/>
        <v>0</v>
      </c>
      <c r="W56" s="460">
        <f t="shared" si="45"/>
        <v>104.89393330283374</v>
      </c>
      <c r="X56" s="33">
        <f t="shared" si="45"/>
        <v>104.89393330283374</v>
      </c>
      <c r="Y56" s="461">
        <f t="shared" si="45"/>
        <v>0</v>
      </c>
      <c r="Z56" s="728">
        <f>W56*(1+$I$5)+0.01</f>
        <v>106.59272562900938</v>
      </c>
      <c r="AA56" s="440">
        <f>X56*(1+$I$5)+0.01</f>
        <v>106.59272562900938</v>
      </c>
      <c r="AB56" s="440">
        <f t="shared" si="46"/>
        <v>0</v>
      </c>
      <c r="AC56" s="640">
        <f t="shared" si="47"/>
        <v>112.5832368093597</v>
      </c>
      <c r="AD56" s="636">
        <f t="shared" si="48"/>
        <v>112.5832368093597</v>
      </c>
      <c r="AE56" s="636">
        <f t="shared" si="49"/>
        <v>0</v>
      </c>
      <c r="AG56" s="21" t="s">
        <v>91</v>
      </c>
    </row>
    <row r="57" spans="1:44" ht="15" thickBot="1" x14ac:dyDescent="0.35">
      <c r="A57" s="21" t="s">
        <v>92</v>
      </c>
      <c r="B57" s="36"/>
      <c r="C57" s="36"/>
      <c r="D57" s="36"/>
      <c r="E57" s="30"/>
      <c r="F57" s="30"/>
      <c r="G57" s="30"/>
      <c r="H57" s="30"/>
      <c r="I57" s="30"/>
      <c r="J57" s="30"/>
      <c r="K57" s="30">
        <v>88.98</v>
      </c>
      <c r="L57" s="30">
        <v>88.98</v>
      </c>
      <c r="M57" s="30">
        <v>88.98</v>
      </c>
      <c r="N57" s="31">
        <f t="shared" si="42"/>
        <v>94.096350000000015</v>
      </c>
      <c r="O57" s="31">
        <f t="shared" si="42"/>
        <v>94.096350000000015</v>
      </c>
      <c r="P57" s="465">
        <f t="shared" si="42"/>
        <v>94.096350000000015</v>
      </c>
      <c r="Q57" s="469">
        <f t="shared" si="43"/>
        <v>97.944890715000014</v>
      </c>
      <c r="R57" s="470">
        <f t="shared" si="43"/>
        <v>97.944890715000014</v>
      </c>
      <c r="S57" s="471">
        <f t="shared" si="43"/>
        <v>97.944890715000014</v>
      </c>
      <c r="T57" s="466">
        <f>Q57*(1+$G$5)-0.01</f>
        <v>101.04953823973702</v>
      </c>
      <c r="U57" s="33">
        <f>R57*(1+$G$5)-0.01</f>
        <v>101.04953823973702</v>
      </c>
      <c r="V57" s="456">
        <f>S57*(1+$G$5)-0.01</f>
        <v>101.04953823973702</v>
      </c>
      <c r="W57" s="462">
        <f>T57*(1+$H$5)</f>
        <v>104.88942069284703</v>
      </c>
      <c r="X57" s="463">
        <f>U57*(1+$H$5)</f>
        <v>104.88942069284703</v>
      </c>
      <c r="Y57" s="464">
        <f>V57*(1+$H$5)</f>
        <v>104.88942069284703</v>
      </c>
      <c r="Z57" s="728">
        <f>W57*(1+$I$5)+0.01</f>
        <v>106.58814036600187</v>
      </c>
      <c r="AA57" s="440">
        <f>X57*(1+$I$5)+0.01</f>
        <v>106.58814036600187</v>
      </c>
      <c r="AB57" s="440">
        <f>Y57*(1+$I$5)+0.01</f>
        <v>106.58814036600187</v>
      </c>
      <c r="AC57" s="640">
        <f t="shared" si="47"/>
        <v>112.57839385457117</v>
      </c>
      <c r="AD57" s="636">
        <f t="shared" si="48"/>
        <v>112.57839385457117</v>
      </c>
      <c r="AE57" s="636">
        <f t="shared" si="49"/>
        <v>112.57839385457117</v>
      </c>
      <c r="AG57" s="21" t="s">
        <v>92</v>
      </c>
    </row>
    <row r="59" spans="1:44" x14ac:dyDescent="0.3">
      <c r="A59" s="19" t="s">
        <v>101</v>
      </c>
    </row>
    <row r="61" spans="1:44" x14ac:dyDescent="0.3">
      <c r="A61" s="784" t="s">
        <v>80</v>
      </c>
      <c r="B61" s="762">
        <v>2013</v>
      </c>
      <c r="C61" s="762"/>
      <c r="D61" s="762"/>
      <c r="E61" s="762">
        <v>2014</v>
      </c>
      <c r="F61" s="762"/>
      <c r="G61" s="762"/>
      <c r="H61" s="762">
        <v>2015</v>
      </c>
      <c r="I61" s="762"/>
      <c r="J61" s="762"/>
      <c r="K61" s="762">
        <v>2016</v>
      </c>
      <c r="L61" s="762"/>
      <c r="M61" s="762"/>
      <c r="N61" s="762">
        <v>2017</v>
      </c>
      <c r="O61" s="762"/>
      <c r="P61" s="762"/>
      <c r="Q61" s="762">
        <v>2018</v>
      </c>
      <c r="R61" s="762"/>
      <c r="S61" s="762"/>
    </row>
    <row r="62" spans="1:44" ht="28.8" x14ac:dyDescent="0.3">
      <c r="A62" s="784"/>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44" x14ac:dyDescent="0.3">
      <c r="A63" s="21" t="s">
        <v>84</v>
      </c>
      <c r="B63" s="37" t="s">
        <v>102</v>
      </c>
      <c r="C63" s="37" t="s">
        <v>102</v>
      </c>
      <c r="D63" s="37">
        <v>0</v>
      </c>
      <c r="E63" s="38" t="s">
        <v>102</v>
      </c>
      <c r="F63" s="38" t="s">
        <v>102</v>
      </c>
      <c r="G63" s="38">
        <f t="shared" ref="G63:G70" si="53">D63*(1+$B$5)</f>
        <v>0</v>
      </c>
      <c r="H63" s="39" t="s">
        <v>102</v>
      </c>
      <c r="I63" s="38" t="s">
        <v>102</v>
      </c>
      <c r="J63" s="38">
        <f>G63*(1+$B$5)</f>
        <v>0</v>
      </c>
      <c r="K63" s="39" t="s">
        <v>102</v>
      </c>
      <c r="L63" s="38" t="s">
        <v>102</v>
      </c>
      <c r="M63" s="39">
        <f t="shared" ref="M63:M70" si="54">J63*(1+$D$5)</f>
        <v>0</v>
      </c>
      <c r="N63" s="40" t="s">
        <v>102</v>
      </c>
      <c r="O63" s="41" t="s">
        <v>102</v>
      </c>
      <c r="P63" s="40">
        <f>M63*(1+$E$5)</f>
        <v>0</v>
      </c>
      <c r="Q63" s="42" t="s">
        <v>102</v>
      </c>
      <c r="R63" s="43" t="s">
        <v>102</v>
      </c>
      <c r="S63" s="42">
        <f t="shared" ref="S63:S71" si="55">P63*(1+$F$5)</f>
        <v>0</v>
      </c>
    </row>
    <row r="64" spans="1:44" x14ac:dyDescent="0.3">
      <c r="A64" s="21" t="s">
        <v>85</v>
      </c>
      <c r="B64" s="37">
        <v>240</v>
      </c>
      <c r="C64" s="37" t="s">
        <v>102</v>
      </c>
      <c r="D64" s="37">
        <v>0</v>
      </c>
      <c r="E64" s="39">
        <f>B64*(1+$B$5)</f>
        <v>244.65600000000001</v>
      </c>
      <c r="F64" s="38" t="s">
        <v>102</v>
      </c>
      <c r="G64" s="38">
        <f t="shared" si="53"/>
        <v>0</v>
      </c>
      <c r="H64" s="39">
        <f>E64*(1+$C$5)</f>
        <v>253.6104096</v>
      </c>
      <c r="I64" s="38" t="s">
        <v>102</v>
      </c>
      <c r="J64" s="38">
        <f>G64*(1+$B$5)</f>
        <v>0</v>
      </c>
      <c r="K64" s="39">
        <f>H64*(1+$D$5)</f>
        <v>270.77983432991999</v>
      </c>
      <c r="L64" s="38" t="s">
        <v>102</v>
      </c>
      <c r="M64" s="39">
        <f t="shared" si="54"/>
        <v>0</v>
      </c>
      <c r="N64" s="40">
        <f>K64*(1+$E$5)</f>
        <v>286.34967480389042</v>
      </c>
      <c r="O64" s="41" t="s">
        <v>102</v>
      </c>
      <c r="P64" s="40">
        <f t="shared" ref="P64:P71" si="56">M64*(1+$E$5)</f>
        <v>0</v>
      </c>
      <c r="Q64" s="42">
        <f>N64*(1+$F$5)</f>
        <v>298.0613765033695</v>
      </c>
      <c r="R64" s="43" t="s">
        <v>102</v>
      </c>
      <c r="S64" s="42">
        <f t="shared" si="55"/>
        <v>0</v>
      </c>
    </row>
    <row r="65" spans="1:19" x14ac:dyDescent="0.3">
      <c r="A65" s="21" t="s">
        <v>86</v>
      </c>
      <c r="B65" s="37" t="s">
        <v>102</v>
      </c>
      <c r="C65" s="37" t="s">
        <v>102</v>
      </c>
      <c r="D65" s="37">
        <v>0</v>
      </c>
      <c r="E65" s="38" t="s">
        <v>102</v>
      </c>
      <c r="F65" s="38" t="s">
        <v>102</v>
      </c>
      <c r="G65" s="38">
        <f t="shared" si="53"/>
        <v>0</v>
      </c>
      <c r="H65" s="38" t="s">
        <v>102</v>
      </c>
      <c r="I65" s="38" t="s">
        <v>102</v>
      </c>
      <c r="J65" s="38">
        <f>G65*(1+$B$5)</f>
        <v>0</v>
      </c>
      <c r="K65" s="38" t="s">
        <v>102</v>
      </c>
      <c r="L65" s="38" t="s">
        <v>102</v>
      </c>
      <c r="M65" s="39">
        <f t="shared" si="54"/>
        <v>0</v>
      </c>
      <c r="N65" s="41" t="s">
        <v>102</v>
      </c>
      <c r="O65" s="41" t="s">
        <v>102</v>
      </c>
      <c r="P65" s="40">
        <f t="shared" si="56"/>
        <v>0</v>
      </c>
      <c r="Q65" s="43" t="s">
        <v>102</v>
      </c>
      <c r="R65" s="43" t="s">
        <v>102</v>
      </c>
      <c r="S65" s="42">
        <f t="shared" si="55"/>
        <v>0</v>
      </c>
    </row>
    <row r="66" spans="1:19" x14ac:dyDescent="0.3">
      <c r="A66" s="21" t="s">
        <v>87</v>
      </c>
      <c r="B66" s="37">
        <v>240</v>
      </c>
      <c r="C66" s="37" t="s">
        <v>102</v>
      </c>
      <c r="D66" s="37">
        <v>0</v>
      </c>
      <c r="E66" s="39">
        <f>B66*(1+$B$5)</f>
        <v>244.65600000000001</v>
      </c>
      <c r="F66" s="38" t="s">
        <v>102</v>
      </c>
      <c r="G66" s="38">
        <f t="shared" si="53"/>
        <v>0</v>
      </c>
      <c r="H66" s="39">
        <f>E66*(1+$C$5)</f>
        <v>253.6104096</v>
      </c>
      <c r="I66" s="38" t="s">
        <v>102</v>
      </c>
      <c r="J66" s="38">
        <f>G66*(1+$B$5)</f>
        <v>0</v>
      </c>
      <c r="K66" s="39">
        <f>H66*(1+$D$5)</f>
        <v>270.77983432991999</v>
      </c>
      <c r="L66" s="38" t="s">
        <v>102</v>
      </c>
      <c r="M66" s="39">
        <f t="shared" si="54"/>
        <v>0</v>
      </c>
      <c r="N66" s="40">
        <f>K66*(1+$E$5)</f>
        <v>286.34967480389042</v>
      </c>
      <c r="O66" s="41" t="s">
        <v>102</v>
      </c>
      <c r="P66" s="40">
        <f t="shared" si="56"/>
        <v>0</v>
      </c>
      <c r="Q66" s="42">
        <f>N66*(1+$F$5)</f>
        <v>298.0613765033695</v>
      </c>
      <c r="R66" s="43" t="s">
        <v>102</v>
      </c>
      <c r="S66" s="42">
        <f t="shared" si="55"/>
        <v>0</v>
      </c>
    </row>
    <row r="67" spans="1:19" x14ac:dyDescent="0.3">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4"/>
        <v>361.25228044800002</v>
      </c>
      <c r="N67" s="40">
        <f>K67*(1+$E$5)</f>
        <v>382.02428657376004</v>
      </c>
      <c r="O67" s="41" t="s">
        <v>102</v>
      </c>
      <c r="P67" s="40">
        <f t="shared" si="56"/>
        <v>382.02428657376004</v>
      </c>
      <c r="Q67" s="42">
        <f>N67*(1+$F$5)</f>
        <v>397.64907989462682</v>
      </c>
      <c r="R67" s="43" t="s">
        <v>102</v>
      </c>
      <c r="S67" s="42">
        <f t="shared" si="55"/>
        <v>397.64907989462682</v>
      </c>
    </row>
    <row r="68" spans="1:19" x14ac:dyDescent="0.3">
      <c r="A68" s="21" t="s">
        <v>89</v>
      </c>
      <c r="B68" s="37" t="s">
        <v>102</v>
      </c>
      <c r="C68" s="37" t="s">
        <v>102</v>
      </c>
      <c r="D68" s="37">
        <v>0</v>
      </c>
      <c r="E68" s="38" t="s">
        <v>102</v>
      </c>
      <c r="F68" s="38" t="s">
        <v>102</v>
      </c>
      <c r="G68" s="38">
        <f t="shared" si="53"/>
        <v>0</v>
      </c>
      <c r="H68" s="38" t="s">
        <v>102</v>
      </c>
      <c r="I68" s="38" t="s">
        <v>102</v>
      </c>
      <c r="J68" s="38">
        <f>G68*(1+$B$5)</f>
        <v>0</v>
      </c>
      <c r="K68" s="38" t="s">
        <v>102</v>
      </c>
      <c r="L68" s="38" t="s">
        <v>102</v>
      </c>
      <c r="M68" s="39">
        <f t="shared" si="54"/>
        <v>0</v>
      </c>
      <c r="N68" s="41" t="s">
        <v>102</v>
      </c>
      <c r="O68" s="41" t="s">
        <v>102</v>
      </c>
      <c r="P68" s="40">
        <f t="shared" si="56"/>
        <v>0</v>
      </c>
      <c r="Q68" s="43" t="s">
        <v>102</v>
      </c>
      <c r="R68" s="43" t="s">
        <v>102</v>
      </c>
      <c r="S68" s="42">
        <f t="shared" si="55"/>
        <v>0</v>
      </c>
    </row>
    <row r="69" spans="1:19" x14ac:dyDescent="0.3">
      <c r="A69" s="21" t="s">
        <v>90</v>
      </c>
      <c r="B69" s="37" t="s">
        <v>102</v>
      </c>
      <c r="C69" s="37" t="s">
        <v>102</v>
      </c>
      <c r="D69" s="37">
        <v>0</v>
      </c>
      <c r="E69" s="38" t="s">
        <v>102</v>
      </c>
      <c r="F69" s="38" t="s">
        <v>102</v>
      </c>
      <c r="G69" s="38">
        <f t="shared" si="53"/>
        <v>0</v>
      </c>
      <c r="H69" s="38" t="s">
        <v>102</v>
      </c>
      <c r="I69" s="38" t="s">
        <v>102</v>
      </c>
      <c r="J69" s="38">
        <f>G69*(1+$B$5)</f>
        <v>0</v>
      </c>
      <c r="K69" s="38" t="s">
        <v>102</v>
      </c>
      <c r="L69" s="38" t="s">
        <v>102</v>
      </c>
      <c r="M69" s="39">
        <f t="shared" si="54"/>
        <v>0</v>
      </c>
      <c r="N69" s="41" t="s">
        <v>102</v>
      </c>
      <c r="O69" s="41" t="s">
        <v>102</v>
      </c>
      <c r="P69" s="40">
        <f t="shared" si="56"/>
        <v>0</v>
      </c>
      <c r="Q69" s="43" t="s">
        <v>102</v>
      </c>
      <c r="R69" s="43" t="s">
        <v>102</v>
      </c>
      <c r="S69" s="42">
        <f t="shared" si="55"/>
        <v>0</v>
      </c>
    </row>
    <row r="70" spans="1:19" x14ac:dyDescent="0.3">
      <c r="A70" s="21" t="s">
        <v>91</v>
      </c>
      <c r="B70" s="37">
        <v>240</v>
      </c>
      <c r="C70" s="37" t="s">
        <v>102</v>
      </c>
      <c r="D70" s="37">
        <v>0</v>
      </c>
      <c r="E70" s="39">
        <f>B70*(1+$B$5)</f>
        <v>244.65600000000001</v>
      </c>
      <c r="F70" s="38" t="s">
        <v>102</v>
      </c>
      <c r="G70" s="38">
        <f t="shared" si="53"/>
        <v>0</v>
      </c>
      <c r="H70" s="39">
        <f>E70*(1+$C$5)</f>
        <v>253.6104096</v>
      </c>
      <c r="I70" s="38" t="s">
        <v>102</v>
      </c>
      <c r="J70" s="38">
        <f>G70*(1+$B$5)</f>
        <v>0</v>
      </c>
      <c r="K70" s="39">
        <f>H70*(1+$D$5)</f>
        <v>270.77983432991999</v>
      </c>
      <c r="L70" s="38" t="s">
        <v>102</v>
      </c>
      <c r="M70" s="39">
        <f t="shared" si="54"/>
        <v>0</v>
      </c>
      <c r="N70" s="40">
        <f>K70*(1+$E$5)</f>
        <v>286.34967480389042</v>
      </c>
      <c r="O70" s="41" t="s">
        <v>102</v>
      </c>
      <c r="P70" s="40">
        <f t="shared" si="56"/>
        <v>0</v>
      </c>
      <c r="Q70" s="42">
        <f>N70*(1+$F$5)</f>
        <v>298.0613765033695</v>
      </c>
      <c r="R70" s="43" t="s">
        <v>102</v>
      </c>
      <c r="S70" s="42">
        <f t="shared" si="55"/>
        <v>0</v>
      </c>
    </row>
    <row r="71" spans="1:19" x14ac:dyDescent="0.3">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6"/>
        <v>0</v>
      </c>
      <c r="Q71" s="42">
        <f>N71*(1+$F$5)</f>
        <v>338.59178867587497</v>
      </c>
      <c r="R71" s="43" t="s">
        <v>102</v>
      </c>
      <c r="S71" s="42">
        <f t="shared" si="55"/>
        <v>0</v>
      </c>
    </row>
    <row r="73" spans="1:19" x14ac:dyDescent="0.3">
      <c r="A73" t="s">
        <v>103</v>
      </c>
    </row>
    <row r="76" spans="1:19" x14ac:dyDescent="0.3">
      <c r="A76" s="19" t="s">
        <v>104</v>
      </c>
    </row>
    <row r="78" spans="1:19" x14ac:dyDescent="0.3">
      <c r="A78" s="784" t="s">
        <v>80</v>
      </c>
      <c r="B78" s="762">
        <v>2013</v>
      </c>
      <c r="C78" s="762"/>
      <c r="D78" s="762"/>
      <c r="E78" s="762">
        <v>2014</v>
      </c>
      <c r="F78" s="762"/>
      <c r="G78" s="762"/>
      <c r="H78" s="762">
        <v>2015</v>
      </c>
      <c r="I78" s="762"/>
      <c r="J78" s="762"/>
      <c r="K78" s="762">
        <v>2016</v>
      </c>
      <c r="L78" s="762"/>
      <c r="M78" s="762"/>
      <c r="N78" s="762">
        <v>2017</v>
      </c>
      <c r="O78" s="762"/>
      <c r="P78" s="762"/>
      <c r="Q78" s="762">
        <v>2018</v>
      </c>
      <c r="R78" s="762"/>
      <c r="S78" s="762"/>
    </row>
    <row r="79" spans="1:19" ht="28.8" x14ac:dyDescent="0.3">
      <c r="A79" s="784"/>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
      <c r="A80" s="21" t="s">
        <v>84</v>
      </c>
      <c r="B80" s="37" t="s">
        <v>102</v>
      </c>
      <c r="C80" s="37" t="s">
        <v>102</v>
      </c>
      <c r="D80" s="37">
        <v>0</v>
      </c>
      <c r="E80" s="38" t="s">
        <v>102</v>
      </c>
      <c r="F80" s="38" t="s">
        <v>102</v>
      </c>
      <c r="G80" s="38">
        <f t="shared" ref="G80:G87" si="57">D80*(1+$B$5)</f>
        <v>0</v>
      </c>
      <c r="H80" s="38" t="s">
        <v>102</v>
      </c>
      <c r="I80" s="38" t="s">
        <v>102</v>
      </c>
      <c r="J80" s="38">
        <f t="shared" ref="J80:J87" si="58">G80*(1+$B$5)</f>
        <v>0</v>
      </c>
      <c r="K80" s="38" t="s">
        <v>102</v>
      </c>
      <c r="L80" s="38" t="s">
        <v>102</v>
      </c>
      <c r="M80" s="39">
        <f t="shared" ref="M80:M87" si="59">J80*(1+$D$5)</f>
        <v>0</v>
      </c>
      <c r="N80" s="41" t="s">
        <v>102</v>
      </c>
      <c r="O80" s="41" t="s">
        <v>102</v>
      </c>
      <c r="P80" s="40">
        <f>M80*(1+$E$5)</f>
        <v>0</v>
      </c>
      <c r="Q80" s="41" t="s">
        <v>102</v>
      </c>
      <c r="R80" s="41" t="s">
        <v>102</v>
      </c>
      <c r="S80" s="40">
        <f t="shared" ref="S80:S88" si="60">P80*(1+$F$5)</f>
        <v>0</v>
      </c>
    </row>
    <row r="81" spans="1:19" x14ac:dyDescent="0.3">
      <c r="A81" s="21" t="s">
        <v>85</v>
      </c>
      <c r="B81" s="37">
        <v>400</v>
      </c>
      <c r="C81" s="37" t="s">
        <v>102</v>
      </c>
      <c r="D81" s="37">
        <v>0</v>
      </c>
      <c r="E81" s="38">
        <f>B81*(1+$B$5)</f>
        <v>407.76000000000005</v>
      </c>
      <c r="F81" s="38" t="s">
        <v>102</v>
      </c>
      <c r="G81" s="38">
        <f t="shared" si="57"/>
        <v>0</v>
      </c>
      <c r="H81" s="39">
        <f>E81*(1+$C$5)</f>
        <v>422.68401600000004</v>
      </c>
      <c r="I81" s="39" t="s">
        <v>102</v>
      </c>
      <c r="J81" s="38">
        <f t="shared" si="58"/>
        <v>0</v>
      </c>
      <c r="K81" s="39">
        <f>H81*(1+$D$5)</f>
        <v>451.2997238832001</v>
      </c>
      <c r="L81" s="39" t="s">
        <v>102</v>
      </c>
      <c r="M81" s="39">
        <f t="shared" si="59"/>
        <v>0</v>
      </c>
      <c r="N81" s="40">
        <f>K81*(1+$E$5)</f>
        <v>477.24945800648413</v>
      </c>
      <c r="O81" s="40" t="s">
        <v>102</v>
      </c>
      <c r="P81" s="40">
        <f t="shared" ref="P81:P88" si="61">M81*(1+$E$5)</f>
        <v>0</v>
      </c>
      <c r="Q81" s="40">
        <f>N81*(1+$F$5)</f>
        <v>496.76896083894928</v>
      </c>
      <c r="R81" s="40" t="s">
        <v>102</v>
      </c>
      <c r="S81" s="40">
        <f t="shared" si="60"/>
        <v>0</v>
      </c>
    </row>
    <row r="82" spans="1:19" x14ac:dyDescent="0.3">
      <c r="A82" s="21" t="s">
        <v>86</v>
      </c>
      <c r="B82" s="37" t="s">
        <v>102</v>
      </c>
      <c r="C82" s="37" t="s">
        <v>102</v>
      </c>
      <c r="D82" s="37">
        <v>0</v>
      </c>
      <c r="E82" s="38" t="s">
        <v>102</v>
      </c>
      <c r="F82" s="38" t="s">
        <v>102</v>
      </c>
      <c r="G82" s="38">
        <f t="shared" si="57"/>
        <v>0</v>
      </c>
      <c r="H82" s="39" t="s">
        <v>102</v>
      </c>
      <c r="I82" s="39" t="s">
        <v>102</v>
      </c>
      <c r="J82" s="38">
        <f t="shared" si="58"/>
        <v>0</v>
      </c>
      <c r="K82" s="39" t="s">
        <v>102</v>
      </c>
      <c r="L82" s="39" t="s">
        <v>102</v>
      </c>
      <c r="M82" s="39">
        <f t="shared" si="59"/>
        <v>0</v>
      </c>
      <c r="N82" s="40" t="s">
        <v>102</v>
      </c>
      <c r="O82" s="40" t="s">
        <v>102</v>
      </c>
      <c r="P82" s="40">
        <f t="shared" si="61"/>
        <v>0</v>
      </c>
      <c r="Q82" s="40" t="s">
        <v>102</v>
      </c>
      <c r="R82" s="40" t="s">
        <v>102</v>
      </c>
      <c r="S82" s="40">
        <f t="shared" si="60"/>
        <v>0</v>
      </c>
    </row>
    <row r="83" spans="1:19" x14ac:dyDescent="0.3">
      <c r="A83" s="21" t="s">
        <v>87</v>
      </c>
      <c r="B83" s="37">
        <v>400</v>
      </c>
      <c r="C83" s="37" t="s">
        <v>102</v>
      </c>
      <c r="D83" s="37">
        <v>0</v>
      </c>
      <c r="E83" s="38">
        <f>B83*(1+$B$5)</f>
        <v>407.76000000000005</v>
      </c>
      <c r="F83" s="38" t="s">
        <v>102</v>
      </c>
      <c r="G83" s="38">
        <f t="shared" si="57"/>
        <v>0</v>
      </c>
      <c r="H83" s="39">
        <f>E83*(1+$C$5)</f>
        <v>422.68401600000004</v>
      </c>
      <c r="I83" s="39" t="s">
        <v>102</v>
      </c>
      <c r="J83" s="38">
        <f t="shared" si="58"/>
        <v>0</v>
      </c>
      <c r="K83" s="39">
        <f>H83*(1+$D$5)</f>
        <v>451.2997238832001</v>
      </c>
      <c r="L83" s="39" t="s">
        <v>102</v>
      </c>
      <c r="M83" s="39">
        <f t="shared" si="59"/>
        <v>0</v>
      </c>
      <c r="N83" s="40">
        <f>K83*(1+$E$5)</f>
        <v>477.24945800648413</v>
      </c>
      <c r="O83" s="40" t="s">
        <v>102</v>
      </c>
      <c r="P83" s="40">
        <f t="shared" si="61"/>
        <v>0</v>
      </c>
      <c r="Q83" s="40">
        <f>N83*(1+$F$5)</f>
        <v>496.76896083894928</v>
      </c>
      <c r="R83" s="40" t="s">
        <v>102</v>
      </c>
      <c r="S83" s="40">
        <f t="shared" si="60"/>
        <v>0</v>
      </c>
    </row>
    <row r="84" spans="1:19" x14ac:dyDescent="0.3">
      <c r="A84" s="21" t="s">
        <v>88</v>
      </c>
      <c r="B84" s="37">
        <v>400</v>
      </c>
      <c r="C84" s="37" t="s">
        <v>102</v>
      </c>
      <c r="D84" s="37">
        <v>400</v>
      </c>
      <c r="E84" s="38">
        <f>B84*(1+$B$5)</f>
        <v>407.76000000000005</v>
      </c>
      <c r="F84" s="38" t="s">
        <v>102</v>
      </c>
      <c r="G84" s="38">
        <f t="shared" si="57"/>
        <v>407.76000000000005</v>
      </c>
      <c r="H84" s="39">
        <f>E84*(1+$C$5)</f>
        <v>422.68401600000004</v>
      </c>
      <c r="I84" s="39" t="s">
        <v>102</v>
      </c>
      <c r="J84" s="39">
        <f>G84*(1+$C$5)</f>
        <v>422.68401600000004</v>
      </c>
      <c r="K84" s="39">
        <f>H84*(1+$D$5)</f>
        <v>451.2997238832001</v>
      </c>
      <c r="L84" s="39" t="s">
        <v>102</v>
      </c>
      <c r="M84" s="39">
        <f t="shared" si="59"/>
        <v>451.2997238832001</v>
      </c>
      <c r="N84" s="40">
        <f>K84*(1+$E$5)</f>
        <v>477.24945800648413</v>
      </c>
      <c r="O84" s="40" t="s">
        <v>102</v>
      </c>
      <c r="P84" s="40">
        <f t="shared" si="61"/>
        <v>477.24945800648413</v>
      </c>
      <c r="Q84" s="40">
        <f>N84*(1+$F$5)</f>
        <v>496.76896083894928</v>
      </c>
      <c r="R84" s="40" t="s">
        <v>102</v>
      </c>
      <c r="S84" s="40">
        <f t="shared" si="60"/>
        <v>496.76896083894928</v>
      </c>
    </row>
    <row r="85" spans="1:19" x14ac:dyDescent="0.3">
      <c r="A85" s="21" t="s">
        <v>89</v>
      </c>
      <c r="B85" s="37" t="s">
        <v>102</v>
      </c>
      <c r="C85" s="37" t="s">
        <v>102</v>
      </c>
      <c r="D85" s="37">
        <v>0</v>
      </c>
      <c r="E85" s="38" t="s">
        <v>102</v>
      </c>
      <c r="F85" s="38" t="s">
        <v>102</v>
      </c>
      <c r="G85" s="38">
        <f t="shared" si="57"/>
        <v>0</v>
      </c>
      <c r="H85" s="39" t="s">
        <v>102</v>
      </c>
      <c r="I85" s="39" t="s">
        <v>102</v>
      </c>
      <c r="J85" s="38">
        <f t="shared" si="58"/>
        <v>0</v>
      </c>
      <c r="K85" s="39" t="s">
        <v>102</v>
      </c>
      <c r="L85" s="39" t="s">
        <v>102</v>
      </c>
      <c r="M85" s="39">
        <f t="shared" si="59"/>
        <v>0</v>
      </c>
      <c r="N85" s="40" t="s">
        <v>102</v>
      </c>
      <c r="O85" s="40" t="s">
        <v>102</v>
      </c>
      <c r="P85" s="40">
        <f t="shared" si="61"/>
        <v>0</v>
      </c>
      <c r="Q85" s="40" t="s">
        <v>102</v>
      </c>
      <c r="R85" s="40" t="s">
        <v>102</v>
      </c>
      <c r="S85" s="40">
        <f t="shared" si="60"/>
        <v>0</v>
      </c>
    </row>
    <row r="86" spans="1:19" x14ac:dyDescent="0.3">
      <c r="A86" s="21" t="s">
        <v>90</v>
      </c>
      <c r="B86" s="37" t="s">
        <v>102</v>
      </c>
      <c r="C86" s="37" t="s">
        <v>102</v>
      </c>
      <c r="D86" s="37">
        <v>0</v>
      </c>
      <c r="E86" s="38" t="s">
        <v>102</v>
      </c>
      <c r="F86" s="38" t="s">
        <v>102</v>
      </c>
      <c r="G86" s="38">
        <f t="shared" si="57"/>
        <v>0</v>
      </c>
      <c r="H86" s="39" t="s">
        <v>102</v>
      </c>
      <c r="I86" s="39" t="s">
        <v>102</v>
      </c>
      <c r="J86" s="38">
        <f t="shared" si="58"/>
        <v>0</v>
      </c>
      <c r="K86" s="39" t="s">
        <v>102</v>
      </c>
      <c r="L86" s="39" t="s">
        <v>102</v>
      </c>
      <c r="M86" s="39">
        <f t="shared" si="59"/>
        <v>0</v>
      </c>
      <c r="N86" s="40" t="s">
        <v>102</v>
      </c>
      <c r="O86" s="40" t="s">
        <v>102</v>
      </c>
      <c r="P86" s="40">
        <f t="shared" si="61"/>
        <v>0</v>
      </c>
      <c r="Q86" s="40" t="s">
        <v>102</v>
      </c>
      <c r="R86" s="40" t="s">
        <v>102</v>
      </c>
      <c r="S86" s="40">
        <f t="shared" si="60"/>
        <v>0</v>
      </c>
    </row>
    <row r="87" spans="1:19" x14ac:dyDescent="0.3">
      <c r="A87" s="21" t="s">
        <v>91</v>
      </c>
      <c r="B87" s="37">
        <v>400</v>
      </c>
      <c r="C87" s="37" t="s">
        <v>102</v>
      </c>
      <c r="D87" s="37">
        <v>0</v>
      </c>
      <c r="E87" s="38">
        <f>B87*(1+$B$5)</f>
        <v>407.76000000000005</v>
      </c>
      <c r="F87" s="38" t="s">
        <v>102</v>
      </c>
      <c r="G87" s="38">
        <f t="shared" si="57"/>
        <v>0</v>
      </c>
      <c r="H87" s="39">
        <f>E87*(1+$C$5)</f>
        <v>422.68401600000004</v>
      </c>
      <c r="I87" s="39" t="s">
        <v>102</v>
      </c>
      <c r="J87" s="38">
        <f t="shared" si="58"/>
        <v>0</v>
      </c>
      <c r="K87" s="39">
        <f>H87*(1+$D$5)</f>
        <v>451.2997238832001</v>
      </c>
      <c r="L87" s="39" t="s">
        <v>102</v>
      </c>
      <c r="M87" s="39">
        <f t="shared" si="59"/>
        <v>0</v>
      </c>
      <c r="N87" s="40">
        <f>K87*(1+$E$5)</f>
        <v>477.24945800648413</v>
      </c>
      <c r="O87" s="40" t="s">
        <v>102</v>
      </c>
      <c r="P87" s="40">
        <f t="shared" si="61"/>
        <v>0</v>
      </c>
      <c r="Q87" s="40">
        <f>N87*(1+$F$5)</f>
        <v>496.76896083894928</v>
      </c>
      <c r="R87" s="40" t="s">
        <v>102</v>
      </c>
      <c r="S87" s="40">
        <f t="shared" si="60"/>
        <v>0</v>
      </c>
    </row>
    <row r="88" spans="1:19" x14ac:dyDescent="0.3">
      <c r="A88" s="21" t="s">
        <v>92</v>
      </c>
      <c r="B88" s="36"/>
      <c r="C88" s="36"/>
      <c r="D88" s="36"/>
      <c r="E88" s="30"/>
      <c r="F88" s="30"/>
      <c r="G88" s="30"/>
      <c r="H88" s="30"/>
      <c r="I88" s="30"/>
      <c r="J88" s="30"/>
      <c r="K88" s="39">
        <v>543.25</v>
      </c>
      <c r="L88" s="38" t="s">
        <v>102</v>
      </c>
      <c r="M88" s="39">
        <v>0</v>
      </c>
      <c r="N88" s="40">
        <f>K88*(1+$E$5)</f>
        <v>574.48687500000005</v>
      </c>
      <c r="O88" s="41" t="s">
        <v>102</v>
      </c>
      <c r="P88" s="40">
        <f t="shared" si="61"/>
        <v>0</v>
      </c>
      <c r="Q88" s="40">
        <f>N88*(1+$F$5)</f>
        <v>597.98338818750005</v>
      </c>
      <c r="R88" s="41" t="s">
        <v>102</v>
      </c>
      <c r="S88" s="40">
        <f t="shared" si="60"/>
        <v>0</v>
      </c>
    </row>
    <row r="90" spans="1:19" x14ac:dyDescent="0.3">
      <c r="A90" t="s">
        <v>105</v>
      </c>
    </row>
  </sheetData>
  <mergeCells count="11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AU25:AY25"/>
    <mergeCell ref="AU26:AV26"/>
    <mergeCell ref="AW26:AX26"/>
    <mergeCell ref="AY26:AY27"/>
    <mergeCell ref="AU36:AY36"/>
    <mergeCell ref="AU37:AV37"/>
    <mergeCell ref="AW37:AX37"/>
    <mergeCell ref="AY37:AY38"/>
    <mergeCell ref="AC47:AE47"/>
    <mergeCell ref="AP37:AQ37"/>
    <mergeCell ref="AR37:AS37"/>
    <mergeCell ref="AT37:AT38"/>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M42"/>
  <sheetViews>
    <sheetView tabSelected="1" topLeftCell="A2" zoomScale="85" zoomScaleNormal="85" workbookViewId="0">
      <selection activeCell="J20" sqref="J20"/>
    </sheetView>
  </sheetViews>
  <sheetFormatPr baseColWidth="10" defaultRowHeight="14.4" x14ac:dyDescent="0.3"/>
  <cols>
    <col min="2" max="2" width="44.77734375" customWidth="1"/>
    <col min="3" max="3" width="12.33203125" customWidth="1"/>
    <col min="4" max="4" width="15.77734375" customWidth="1"/>
    <col min="5" max="5" width="13.6640625" customWidth="1"/>
    <col min="6" max="6" width="14.88671875" hidden="1" customWidth="1"/>
    <col min="7" max="7" width="18.77734375" customWidth="1"/>
    <col min="8" max="8" width="17.33203125" customWidth="1"/>
  </cols>
  <sheetData>
    <row r="1" spans="1:11" x14ac:dyDescent="0.3">
      <c r="A1" s="138"/>
      <c r="B1" s="138" t="str">
        <f>+AMAZONAS!C1</f>
        <v>Vigencia: 12 de marzo de 2022; 00:00 horas</v>
      </c>
    </row>
    <row r="2" spans="1:11" ht="15" thickBot="1" x14ac:dyDescent="0.35">
      <c r="A2" s="165" t="s">
        <v>179</v>
      </c>
      <c r="B2" s="165"/>
    </row>
    <row r="3" spans="1:11" ht="15.9" customHeight="1" thickTop="1" x14ac:dyDescent="0.3">
      <c r="A3" s="195"/>
      <c r="B3" s="196" t="s">
        <v>249</v>
      </c>
      <c r="C3" s="863" t="s">
        <v>180</v>
      </c>
      <c r="D3" s="864"/>
      <c r="E3" s="864"/>
      <c r="F3" s="865"/>
      <c r="G3" s="869" t="s">
        <v>250</v>
      </c>
      <c r="H3" s="870"/>
    </row>
    <row r="4" spans="1:11" x14ac:dyDescent="0.3">
      <c r="A4" s="140"/>
      <c r="B4" s="197" t="s">
        <v>319</v>
      </c>
      <c r="C4" s="866"/>
      <c r="D4" s="867"/>
      <c r="E4" s="867"/>
      <c r="F4" s="868"/>
      <c r="G4" s="871"/>
      <c r="H4" s="872"/>
    </row>
    <row r="5" spans="1:11" ht="38.25" customHeight="1" x14ac:dyDescent="0.3">
      <c r="A5" s="855" t="s">
        <v>181</v>
      </c>
      <c r="B5" s="857" t="s">
        <v>182</v>
      </c>
      <c r="C5" s="840" t="s">
        <v>241</v>
      </c>
      <c r="D5" s="171" t="s">
        <v>96</v>
      </c>
      <c r="E5" s="171" t="s">
        <v>502</v>
      </c>
      <c r="F5" s="171" t="str">
        <f>+AMAZONAS!H5</f>
        <v>Biodiesel B10</v>
      </c>
      <c r="G5" s="171" t="s">
        <v>96</v>
      </c>
      <c r="H5" s="142" t="str">
        <f>+E5</f>
        <v xml:space="preserve">Biodiesel B5 con destino a mezcla </v>
      </c>
    </row>
    <row r="6" spans="1:11" x14ac:dyDescent="0.3">
      <c r="A6" s="855"/>
      <c r="B6" s="857"/>
      <c r="C6" s="841"/>
      <c r="D6" s="576" t="s">
        <v>501</v>
      </c>
      <c r="E6" s="189">
        <v>0.05</v>
      </c>
      <c r="F6" s="395">
        <f>+AMAZONAS!H6</f>
        <v>0.1</v>
      </c>
      <c r="G6" s="554" t="str">
        <f>+D6</f>
        <v>Oxigenada 5%</v>
      </c>
      <c r="H6" s="172">
        <f>+E6</f>
        <v>0.05</v>
      </c>
    </row>
    <row r="7" spans="1:11" x14ac:dyDescent="0.3">
      <c r="A7" s="856"/>
      <c r="B7" s="858"/>
      <c r="C7" s="141" t="s">
        <v>183</v>
      </c>
      <c r="D7" s="171" t="s">
        <v>183</v>
      </c>
      <c r="E7" s="171" t="s">
        <v>183</v>
      </c>
      <c r="F7" s="171" t="s">
        <v>183</v>
      </c>
      <c r="G7" s="141" t="s">
        <v>183</v>
      </c>
      <c r="H7" s="142" t="s">
        <v>183</v>
      </c>
      <c r="K7" s="426"/>
    </row>
    <row r="8" spans="1:11" x14ac:dyDescent="0.3">
      <c r="A8" s="143" t="s">
        <v>184</v>
      </c>
      <c r="B8" s="149" t="s">
        <v>185</v>
      </c>
      <c r="C8" s="213">
        <f>+'Calculo IP ZDF'!B29</f>
        <v>4535.0172000000002</v>
      </c>
      <c r="D8" s="219">
        <f>+'Calculo IP ZDF'!H29</f>
        <v>4960.6768400000001</v>
      </c>
      <c r="E8" s="221">
        <f>+'Calculo IP ZDF'!P29</f>
        <v>4682.3005535000002</v>
      </c>
      <c r="F8" s="220">
        <f>+'Calculo IP ZDF'!J29</f>
        <v>5671.5915770000001</v>
      </c>
      <c r="G8" s="198">
        <f>+'GAS CTE'!E9</f>
        <v>5252.3104999999996</v>
      </c>
      <c r="H8" s="223">
        <f>+BIODIESEL!G9</f>
        <v>5145.3689999999997</v>
      </c>
    </row>
    <row r="9" spans="1:11" x14ac:dyDescent="0.3">
      <c r="A9" s="143" t="s">
        <v>186</v>
      </c>
      <c r="B9" s="149" t="s">
        <v>521</v>
      </c>
      <c r="C9" s="199" t="str">
        <f t="shared" ref="C9:C12" si="0">+D9</f>
        <v>------------------</v>
      </c>
      <c r="D9" s="174" t="s">
        <v>188</v>
      </c>
      <c r="E9" s="200" t="s">
        <v>188</v>
      </c>
      <c r="F9" s="146" t="s">
        <v>188</v>
      </c>
      <c r="G9" s="198">
        <f>+'GAS CTE'!E10</f>
        <v>556.9375</v>
      </c>
      <c r="H9" s="224">
        <f>+BIODIESEL!G10</f>
        <v>533.06399999999996</v>
      </c>
    </row>
    <row r="10" spans="1:11" x14ac:dyDescent="0.3">
      <c r="A10" s="143"/>
      <c r="B10" s="149" t="s">
        <v>132</v>
      </c>
      <c r="C10" s="199" t="str">
        <f>+D10</f>
        <v>------------------</v>
      </c>
      <c r="D10" s="174" t="s">
        <v>188</v>
      </c>
      <c r="E10" s="200" t="s">
        <v>188</v>
      </c>
      <c r="F10" s="146" t="s">
        <v>188</v>
      </c>
      <c r="G10" s="214" t="str">
        <f>+COMBUSTIBLES!B12</f>
        <v>(3)</v>
      </c>
      <c r="H10" s="224" t="str">
        <f>+BIODIESEL!H11</f>
        <v>(3)</v>
      </c>
    </row>
    <row r="11" spans="1:11" x14ac:dyDescent="0.3">
      <c r="A11" s="143"/>
      <c r="B11" s="149" t="s">
        <v>134</v>
      </c>
      <c r="C11" s="199">
        <f>+'GAS CTE'!C12</f>
        <v>169</v>
      </c>
      <c r="D11" s="174">
        <f>+'GAS CTE'!E12</f>
        <v>160.54999999999998</v>
      </c>
      <c r="E11" s="200">
        <f>+BIODIESEL!G12</f>
        <v>181.45</v>
      </c>
      <c r="F11" s="146">
        <f>+BIODIESEL!H12</f>
        <v>171.9</v>
      </c>
      <c r="G11" s="198">
        <f>+D11</f>
        <v>160.54999999999998</v>
      </c>
      <c r="H11" s="220">
        <f>+BIODIESEL!G12</f>
        <v>181.45</v>
      </c>
    </row>
    <row r="12" spans="1:11" x14ac:dyDescent="0.3">
      <c r="A12" s="143" t="s">
        <v>189</v>
      </c>
      <c r="B12" s="149" t="s">
        <v>318</v>
      </c>
      <c r="C12" s="199" t="str">
        <f t="shared" si="0"/>
        <v>(2)</v>
      </c>
      <c r="D12" s="173" t="s">
        <v>217</v>
      </c>
      <c r="E12" s="147" t="s">
        <v>217</v>
      </c>
      <c r="F12" s="146" t="s">
        <v>217</v>
      </c>
      <c r="G12" s="198" t="str">
        <f>+F12</f>
        <v>(2)</v>
      </c>
      <c r="H12" s="223" t="s">
        <v>217</v>
      </c>
    </row>
    <row r="13" spans="1:11" x14ac:dyDescent="0.3">
      <c r="A13" s="143" t="s">
        <v>191</v>
      </c>
      <c r="B13" s="149" t="s">
        <v>192</v>
      </c>
      <c r="C13" s="199">
        <f>+RUBROS!AC14</f>
        <v>10.866833607342301</v>
      </c>
      <c r="D13" s="173">
        <f>+C13</f>
        <v>10.866833607342301</v>
      </c>
      <c r="E13" s="147">
        <f>+D13</f>
        <v>10.866833607342301</v>
      </c>
      <c r="F13" s="146">
        <f>+E13</f>
        <v>10.866833607342301</v>
      </c>
      <c r="G13" s="198">
        <f>+RUBROS!AD14</f>
        <v>23.500029293035123</v>
      </c>
      <c r="H13" s="223">
        <f>+G13</f>
        <v>23.500029293035123</v>
      </c>
    </row>
    <row r="14" spans="1:11" x14ac:dyDescent="0.3">
      <c r="A14" s="143" t="s">
        <v>193</v>
      </c>
      <c r="B14" s="149" t="s">
        <v>194</v>
      </c>
      <c r="C14" s="199">
        <f>+RUBROS!AC50</f>
        <v>112.5832368093597</v>
      </c>
      <c r="D14" s="173">
        <f>+C14</f>
        <v>112.5832368093597</v>
      </c>
      <c r="E14" s="147">
        <f>+C14</f>
        <v>112.5832368093597</v>
      </c>
      <c r="F14" s="146">
        <f>+C14</f>
        <v>112.5832368093597</v>
      </c>
      <c r="G14" s="198">
        <f>+RUBROS!AD50</f>
        <v>112.5832368093597</v>
      </c>
      <c r="H14" s="223">
        <f>+G14</f>
        <v>112.5832368093597</v>
      </c>
    </row>
    <row r="15" spans="1:11" x14ac:dyDescent="0.3">
      <c r="A15" s="143" t="s">
        <v>195</v>
      </c>
      <c r="B15" s="218" t="s">
        <v>196</v>
      </c>
      <c r="C15" s="199">
        <f>+RUBROS!AU28</f>
        <v>13.326421256197724</v>
      </c>
      <c r="D15" s="173">
        <f>+C15</f>
        <v>13.326421256197724</v>
      </c>
      <c r="E15" s="201">
        <f>+C15</f>
        <v>13.326421256197724</v>
      </c>
      <c r="F15" s="146">
        <f>+C15</f>
        <v>13.326421256197724</v>
      </c>
      <c r="G15" s="198">
        <f>+C15</f>
        <v>13.326421256197724</v>
      </c>
      <c r="H15" s="223">
        <f>+G15</f>
        <v>13.326421256197724</v>
      </c>
    </row>
    <row r="16" spans="1:11" hidden="1" x14ac:dyDescent="0.3">
      <c r="A16" s="143"/>
      <c r="B16" s="149" t="s">
        <v>197</v>
      </c>
      <c r="C16" s="199"/>
      <c r="D16" s="330"/>
      <c r="E16" s="203"/>
      <c r="F16" s="146"/>
      <c r="G16" s="198"/>
      <c r="H16" s="225"/>
    </row>
    <row r="17" spans="1:13" x14ac:dyDescent="0.3">
      <c r="A17" s="150" t="s">
        <v>198</v>
      </c>
      <c r="B17" s="180" t="s">
        <v>199</v>
      </c>
      <c r="C17" s="204">
        <f t="shared" ref="C17:H17" si="1">SUM(C8:C16)</f>
        <v>4840.7936916729004</v>
      </c>
      <c r="D17" s="331">
        <f t="shared" si="1"/>
        <v>5258.0033316729005</v>
      </c>
      <c r="E17" s="205">
        <f t="shared" si="1"/>
        <v>5000.5270451729002</v>
      </c>
      <c r="F17" s="206">
        <f t="shared" si="1"/>
        <v>5980.2680686729</v>
      </c>
      <c r="G17" s="207">
        <f t="shared" si="1"/>
        <v>6119.2076873585929</v>
      </c>
      <c r="H17" s="226">
        <f t="shared" si="1"/>
        <v>6009.292687358593</v>
      </c>
    </row>
    <row r="18" spans="1:13" x14ac:dyDescent="0.3">
      <c r="A18" s="143" t="s">
        <v>200</v>
      </c>
      <c r="B18" s="149" t="s">
        <v>201</v>
      </c>
      <c r="C18" s="199" t="s">
        <v>232</v>
      </c>
      <c r="D18" s="332" t="str">
        <f>+C18</f>
        <v>***</v>
      </c>
      <c r="E18" s="208" t="str">
        <f>+C18</f>
        <v>***</v>
      </c>
      <c r="F18" s="146" t="str">
        <f>+C18</f>
        <v>***</v>
      </c>
      <c r="G18" s="201" t="str">
        <f>+H18</f>
        <v>***</v>
      </c>
      <c r="H18" s="227" t="s">
        <v>232</v>
      </c>
      <c r="J18" s="19"/>
    </row>
    <row r="19" spans="1:13" x14ac:dyDescent="0.3">
      <c r="A19" s="143" t="s">
        <v>202</v>
      </c>
      <c r="B19" s="149" t="s">
        <v>203</v>
      </c>
      <c r="C19" s="199" t="str">
        <f>+D19</f>
        <v>**</v>
      </c>
      <c r="D19" s="179" t="s">
        <v>230</v>
      </c>
      <c r="E19" s="209" t="s">
        <v>230</v>
      </c>
      <c r="F19" s="146" t="s">
        <v>230</v>
      </c>
      <c r="G19" s="201" t="str">
        <f>+H19</f>
        <v>**</v>
      </c>
      <c r="H19" s="220" t="s">
        <v>230</v>
      </c>
    </row>
    <row r="20" spans="1:13" x14ac:dyDescent="0.3">
      <c r="A20" s="143" t="s">
        <v>204</v>
      </c>
      <c r="B20" s="149" t="s">
        <v>205</v>
      </c>
      <c r="C20" s="199" t="str">
        <f>+D20</f>
        <v>****</v>
      </c>
      <c r="D20" s="173" t="s">
        <v>234</v>
      </c>
      <c r="E20" s="147" t="str">
        <f>+D20</f>
        <v>****</v>
      </c>
      <c r="F20" s="146" t="str">
        <f>+E20</f>
        <v>****</v>
      </c>
      <c r="G20" s="201" t="str">
        <f>+F20</f>
        <v>****</v>
      </c>
      <c r="H20" s="223" t="str">
        <f>+F20</f>
        <v>****</v>
      </c>
    </row>
    <row r="21" spans="1:13" x14ac:dyDescent="0.3">
      <c r="A21" s="150" t="s">
        <v>206</v>
      </c>
      <c r="B21" s="180" t="s">
        <v>207</v>
      </c>
      <c r="C21" s="204">
        <f t="shared" ref="C21:H21" si="2">+C17</f>
        <v>4840.7936916729004</v>
      </c>
      <c r="D21" s="333">
        <f t="shared" si="2"/>
        <v>5258.0033316729005</v>
      </c>
      <c r="E21" s="204">
        <f t="shared" si="2"/>
        <v>5000.5270451729002</v>
      </c>
      <c r="F21" s="222">
        <f t="shared" si="2"/>
        <v>5980.2680686729</v>
      </c>
      <c r="G21" s="204">
        <f t="shared" si="2"/>
        <v>6119.2076873585929</v>
      </c>
      <c r="H21" s="222">
        <f t="shared" si="2"/>
        <v>6009.292687358593</v>
      </c>
    </row>
    <row r="22" spans="1:13" x14ac:dyDescent="0.3">
      <c r="A22" s="143" t="s">
        <v>208</v>
      </c>
      <c r="B22" s="149" t="s">
        <v>160</v>
      </c>
      <c r="C22" s="199" t="s">
        <v>232</v>
      </c>
      <c r="D22" s="173" t="str">
        <f>+C22</f>
        <v>***</v>
      </c>
      <c r="E22" s="147" t="str">
        <f>+D22</f>
        <v>***</v>
      </c>
      <c r="F22" s="146" t="str">
        <f>+E22</f>
        <v>***</v>
      </c>
      <c r="G22" s="201" t="str">
        <f>+H22</f>
        <v>***</v>
      </c>
      <c r="H22" s="223" t="s">
        <v>232</v>
      </c>
    </row>
    <row r="23" spans="1:13" x14ac:dyDescent="0.3">
      <c r="A23" s="143" t="s">
        <v>209</v>
      </c>
      <c r="B23" s="144" t="s">
        <v>210</v>
      </c>
      <c r="C23" s="199" t="str">
        <f>+D23</f>
        <v>*****</v>
      </c>
      <c r="D23" s="173" t="s">
        <v>236</v>
      </c>
      <c r="E23" s="147" t="s">
        <v>254</v>
      </c>
      <c r="F23" s="146" t="s">
        <v>211</v>
      </c>
      <c r="G23" s="201" t="str">
        <f>+D23</f>
        <v>*****</v>
      </c>
      <c r="H23" s="223" t="s">
        <v>255</v>
      </c>
    </row>
    <row r="24" spans="1:13" x14ac:dyDescent="0.3">
      <c r="A24" s="143" t="s">
        <v>212</v>
      </c>
      <c r="B24" s="149" t="s">
        <v>213</v>
      </c>
      <c r="C24" s="199" t="str">
        <f>+D24</f>
        <v>******</v>
      </c>
      <c r="D24" s="209" t="s">
        <v>237</v>
      </c>
      <c r="E24" s="209" t="str">
        <f>+D24</f>
        <v>******</v>
      </c>
      <c r="F24" s="148" t="str">
        <f>+E24</f>
        <v>******</v>
      </c>
      <c r="G24" s="201" t="str">
        <f>+F24</f>
        <v>******</v>
      </c>
      <c r="H24" s="220" t="str">
        <f>+G24</f>
        <v>******</v>
      </c>
    </row>
    <row r="25" spans="1:13" ht="15" thickBot="1" x14ac:dyDescent="0.35">
      <c r="A25" s="154" t="s">
        <v>214</v>
      </c>
      <c r="B25" s="155" t="s">
        <v>215</v>
      </c>
      <c r="C25" s="210"/>
      <c r="D25" s="158"/>
      <c r="E25" s="211"/>
      <c r="F25" s="157"/>
      <c r="G25" s="211"/>
      <c r="H25" s="228"/>
    </row>
    <row r="26" spans="1:13" ht="15" thickTop="1" x14ac:dyDescent="0.3"/>
    <row r="27" spans="1:13" x14ac:dyDescent="0.3">
      <c r="A27" s="162"/>
      <c r="B27" s="266" t="s">
        <v>228</v>
      </c>
      <c r="C27" s="215"/>
      <c r="D27" s="215"/>
      <c r="E27" s="215"/>
      <c r="F27" s="215"/>
      <c r="G27" s="194"/>
      <c r="H27" s="194"/>
      <c r="I27" s="194"/>
      <c r="J27" s="194"/>
      <c r="K27" s="194"/>
      <c r="L27" s="194"/>
      <c r="M27" s="194"/>
    </row>
    <row r="28" spans="1:13" x14ac:dyDescent="0.3">
      <c r="A28" s="162"/>
      <c r="B28" s="184"/>
      <c r="C28" s="215"/>
      <c r="D28" s="215"/>
      <c r="E28" s="215"/>
      <c r="F28" s="215"/>
      <c r="G28" s="194"/>
      <c r="H28" s="194"/>
      <c r="I28" s="194"/>
      <c r="J28" s="194"/>
      <c r="K28" s="194"/>
      <c r="L28" s="194"/>
      <c r="M28" s="194"/>
    </row>
    <row r="29" spans="1:13" ht="15" customHeight="1" x14ac:dyDescent="0.3">
      <c r="A29" s="162" t="s">
        <v>190</v>
      </c>
      <c r="B29" s="853" t="str">
        <f>+AMAZONAS!B29</f>
        <v>De acuerdo con lo establecido en la Resolución MME 91349 de 2014</v>
      </c>
      <c r="C29" s="853"/>
      <c r="D29" s="853"/>
      <c r="E29" s="853"/>
      <c r="F29" s="853"/>
      <c r="G29" s="853"/>
      <c r="H29" s="853"/>
      <c r="I29" s="853"/>
      <c r="J29" s="216"/>
      <c r="K29" s="216"/>
      <c r="L29" s="216"/>
      <c r="M29" s="216"/>
    </row>
    <row r="30" spans="1:13" ht="25.5" customHeight="1" x14ac:dyDescent="0.3">
      <c r="A30" s="162" t="s">
        <v>217</v>
      </c>
      <c r="B30" s="853" t="s">
        <v>271</v>
      </c>
      <c r="C30" s="853"/>
      <c r="D30" s="853"/>
      <c r="E30" s="853"/>
      <c r="F30" s="853"/>
      <c r="G30" s="853"/>
      <c r="H30" s="853"/>
      <c r="I30" s="853"/>
      <c r="J30" s="194"/>
      <c r="K30" s="194"/>
      <c r="L30" s="194"/>
      <c r="M30" s="194"/>
    </row>
    <row r="31" spans="1:13" ht="51.9" customHeight="1" x14ac:dyDescent="0.3">
      <c r="A31" s="162" t="s">
        <v>133</v>
      </c>
      <c r="B31" s="853" t="s">
        <v>334</v>
      </c>
      <c r="C31" s="853"/>
      <c r="D31" s="853"/>
      <c r="E31" s="853"/>
      <c r="F31" s="853"/>
      <c r="G31" s="853"/>
      <c r="H31" s="853"/>
      <c r="I31" s="853"/>
      <c r="J31" s="194"/>
      <c r="K31" s="194"/>
      <c r="L31" s="194"/>
      <c r="M31" s="194"/>
    </row>
    <row r="32" spans="1:13" x14ac:dyDescent="0.3">
      <c r="A32" s="162"/>
      <c r="B32" s="184"/>
      <c r="C32" s="215"/>
      <c r="D32" s="215"/>
      <c r="E32" s="215"/>
      <c r="F32" s="215"/>
      <c r="G32" s="194"/>
      <c r="H32" s="194"/>
      <c r="I32" s="194"/>
      <c r="J32" s="194"/>
      <c r="K32" s="194"/>
      <c r="L32" s="194"/>
      <c r="M32" s="194"/>
    </row>
    <row r="33" spans="1:13" s="685" customFormat="1" ht="21" customHeight="1" x14ac:dyDescent="0.3">
      <c r="A33" s="162"/>
      <c r="B33" s="853"/>
      <c r="C33" s="853"/>
      <c r="D33" s="853"/>
      <c r="E33" s="853"/>
      <c r="F33" s="853"/>
      <c r="G33" s="853"/>
      <c r="H33" s="853"/>
      <c r="I33" s="853"/>
      <c r="J33" s="194"/>
      <c r="K33" s="194"/>
      <c r="L33" s="194"/>
      <c r="M33" s="194"/>
    </row>
    <row r="34" spans="1:13" ht="15" customHeight="1" x14ac:dyDescent="0.3">
      <c r="A34" s="185" t="s">
        <v>102</v>
      </c>
      <c r="B34" s="839" t="s">
        <v>229</v>
      </c>
      <c r="C34" s="839"/>
      <c r="D34" s="839"/>
      <c r="E34" s="839"/>
      <c r="F34" s="839"/>
      <c r="G34" s="839"/>
      <c r="H34" s="839"/>
      <c r="I34" s="839"/>
      <c r="J34" s="194"/>
      <c r="K34" s="194"/>
      <c r="L34" s="194"/>
      <c r="M34" s="194"/>
    </row>
    <row r="35" spans="1:13" ht="15" customHeight="1" x14ac:dyDescent="0.3">
      <c r="A35" s="185" t="s">
        <v>230</v>
      </c>
      <c r="B35" s="853" t="s">
        <v>258</v>
      </c>
      <c r="C35" s="853"/>
      <c r="D35" s="853"/>
      <c r="E35" s="853"/>
      <c r="F35" s="853"/>
      <c r="G35" s="853"/>
      <c r="H35" s="853"/>
      <c r="I35" s="853"/>
      <c r="J35" s="194"/>
      <c r="K35" s="194"/>
      <c r="L35" s="194"/>
      <c r="M35" s="194"/>
    </row>
    <row r="36" spans="1:13" ht="15" customHeight="1" x14ac:dyDescent="0.3">
      <c r="A36" s="162" t="s">
        <v>232</v>
      </c>
      <c r="B36" s="853" t="s">
        <v>233</v>
      </c>
      <c r="C36" s="853"/>
      <c r="D36" s="853"/>
      <c r="E36" s="853"/>
      <c r="F36" s="853"/>
      <c r="G36" s="853"/>
      <c r="H36" s="853"/>
      <c r="I36" s="162"/>
      <c r="J36" s="839"/>
      <c r="K36" s="839"/>
      <c r="L36" s="839"/>
      <c r="M36" s="839"/>
    </row>
    <row r="37" spans="1:13" ht="19.649999999999999" customHeight="1" x14ac:dyDescent="0.3">
      <c r="A37" s="162" t="s">
        <v>234</v>
      </c>
      <c r="B37" s="839" t="s">
        <v>472</v>
      </c>
      <c r="C37" s="839"/>
      <c r="D37" s="839"/>
      <c r="E37" s="839"/>
      <c r="F37" s="839"/>
      <c r="G37" s="839"/>
      <c r="H37" s="839"/>
      <c r="I37" s="162"/>
      <c r="J37" s="163"/>
      <c r="K37" s="163"/>
      <c r="L37" s="163"/>
      <c r="M37" s="163"/>
    </row>
    <row r="38" spans="1:13" ht="24" customHeight="1" x14ac:dyDescent="0.3">
      <c r="A38" s="185" t="s">
        <v>236</v>
      </c>
      <c r="B38" s="853" t="s">
        <v>238</v>
      </c>
      <c r="C38" s="853"/>
      <c r="D38" s="853"/>
      <c r="E38" s="853"/>
      <c r="F38" s="853"/>
      <c r="G38" s="853"/>
      <c r="H38" s="853"/>
      <c r="I38" s="853"/>
      <c r="J38" s="194"/>
      <c r="K38" s="194"/>
      <c r="L38" s="194"/>
      <c r="M38" s="194"/>
    </row>
    <row r="39" spans="1:13" ht="26.25" customHeight="1" x14ac:dyDescent="0.3">
      <c r="A39" s="185" t="s">
        <v>237</v>
      </c>
      <c r="B39" s="853" t="s">
        <v>256</v>
      </c>
      <c r="C39" s="853"/>
      <c r="D39" s="853"/>
      <c r="E39" s="853"/>
      <c r="F39" s="853"/>
      <c r="G39" s="853"/>
      <c r="H39" s="853"/>
      <c r="I39" s="853"/>
      <c r="J39" s="194"/>
      <c r="K39" s="194"/>
      <c r="L39" s="194"/>
      <c r="M39" s="194"/>
    </row>
    <row r="40" spans="1:13" ht="27.45" customHeight="1" x14ac:dyDescent="0.3">
      <c r="A40" s="185"/>
      <c r="B40" s="839" t="s">
        <v>476</v>
      </c>
      <c r="C40" s="839"/>
      <c r="D40" s="839"/>
      <c r="E40" s="839"/>
      <c r="F40" s="839"/>
      <c r="G40" s="839"/>
      <c r="H40" s="839"/>
      <c r="I40" s="839"/>
      <c r="J40" s="194"/>
      <c r="K40" s="194"/>
      <c r="L40" s="194"/>
      <c r="M40" s="194"/>
    </row>
    <row r="42" spans="1:13" ht="87.9" customHeight="1" x14ac:dyDescent="0.3">
      <c r="A42" s="862" t="s">
        <v>147</v>
      </c>
      <c r="B42" s="862"/>
      <c r="C42" s="862"/>
      <c r="D42" s="862"/>
      <c r="E42" s="862"/>
      <c r="F42" s="862"/>
      <c r="G42" s="862"/>
      <c r="H42" s="862"/>
      <c r="I42" s="862"/>
    </row>
  </sheetData>
  <sheetProtection algorithmName="SHA-512" hashValue="UiXenu+3HebunO6D+ldeNC6Wx3avXCt+lIRy62D/5DEKNNtT8nCGxeJ9G8XFp/23BivwhMXZDQIDBam0v1ZiVA==" saltValue="D9ab0LqghTIcxso7H6D6NA==" spinCount="100000" sheet="1" objects="1" scenarios="1"/>
  <mergeCells count="18">
    <mergeCell ref="A5:A7"/>
    <mergeCell ref="B5:B7"/>
    <mergeCell ref="C5:C6"/>
    <mergeCell ref="J36:M36"/>
    <mergeCell ref="B30:I30"/>
    <mergeCell ref="B33:I33"/>
    <mergeCell ref="C3:F4"/>
    <mergeCell ref="G3:H4"/>
    <mergeCell ref="B31:I31"/>
    <mergeCell ref="B29:I29"/>
    <mergeCell ref="B37:H37"/>
    <mergeCell ref="A42:I42"/>
    <mergeCell ref="B34:I34"/>
    <mergeCell ref="B35:I35"/>
    <mergeCell ref="B38:I38"/>
    <mergeCell ref="B39:I39"/>
    <mergeCell ref="B36:H36"/>
    <mergeCell ref="B40:I40"/>
  </mergeCells>
  <hyperlinks>
    <hyperlink ref="B27" location="ARAUCA!A42" display="Ver Nota Informativa" xr:uid="{00000000-0004-0000-0900-000000000000}"/>
  </hyperlinks>
  <pageMargins left="0.7" right="0.7" top="0.75" bottom="0.75" header="0.3" footer="0.3"/>
  <pageSetup orientation="portrait" r:id="rId1"/>
  <ignoredErrors>
    <ignoredError sqref="C11 C22:H25 C12 C17:C21 F11" formula="1"/>
    <ignoredError sqref="D12:H12 D15:H15 D13:F13 H13 D14:F14 H14 D17:H21"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T41"/>
  <sheetViews>
    <sheetView topLeftCell="A5" zoomScale="90" zoomScaleNormal="90" workbookViewId="0">
      <selection activeCell="G7" sqref="G7"/>
    </sheetView>
  </sheetViews>
  <sheetFormatPr baseColWidth="10" defaultRowHeight="14.4" x14ac:dyDescent="0.3"/>
  <cols>
    <col min="1" max="1" width="6.109375" customWidth="1"/>
    <col min="2" max="2" width="57.33203125" customWidth="1"/>
    <col min="3" max="3" width="12.88671875" customWidth="1"/>
    <col min="4" max="4" width="12.88671875" hidden="1" customWidth="1"/>
    <col min="5" max="5" width="12.88671875" style="685" customWidth="1"/>
    <col min="6" max="6" width="11.88671875" hidden="1" customWidth="1"/>
    <col min="7" max="7" width="11.88671875" style="685" customWidth="1"/>
    <col min="8" max="8" width="12.88671875" hidden="1" customWidth="1"/>
    <col min="9" max="9" width="14.33203125" hidden="1" customWidth="1"/>
    <col min="10" max="11" width="13.6640625" style="685" customWidth="1"/>
    <col min="12" max="12" width="12.88671875" hidden="1" customWidth="1"/>
    <col min="13" max="13" width="14.33203125" customWidth="1"/>
    <col min="14" max="14" width="0" hidden="1" customWidth="1"/>
  </cols>
  <sheetData>
    <row r="1" spans="1:14" x14ac:dyDescent="0.3">
      <c r="A1" s="138"/>
      <c r="B1" s="139" t="str">
        <f>+AMAZONAS!C1</f>
        <v>Vigencia: 12 de marzo de 2022; 00:00 horas</v>
      </c>
      <c r="C1" s="139"/>
      <c r="D1" s="139"/>
      <c r="E1" s="139"/>
      <c r="F1" s="139"/>
      <c r="G1" s="139"/>
      <c r="H1" s="139"/>
      <c r="I1" s="139"/>
      <c r="J1" s="139"/>
      <c r="K1" s="139"/>
      <c r="L1" s="139"/>
    </row>
    <row r="2" spans="1:14" ht="15" thickBot="1" x14ac:dyDescent="0.35">
      <c r="A2" s="229" t="s">
        <v>179</v>
      </c>
      <c r="B2" s="230"/>
      <c r="C2" s="230"/>
      <c r="D2" s="230"/>
      <c r="E2" s="230"/>
      <c r="F2" s="230"/>
      <c r="G2" s="230"/>
      <c r="H2" s="230"/>
      <c r="I2" s="230"/>
      <c r="J2" s="230"/>
      <c r="K2" s="230"/>
      <c r="L2" s="230"/>
    </row>
    <row r="3" spans="1:14" ht="15.9" customHeight="1" thickTop="1" x14ac:dyDescent="0.3">
      <c r="A3" s="195"/>
      <c r="B3" s="168" t="s">
        <v>259</v>
      </c>
      <c r="C3" s="863" t="s">
        <v>180</v>
      </c>
      <c r="D3" s="864"/>
      <c r="E3" s="864"/>
      <c r="F3" s="864"/>
      <c r="G3" s="864"/>
      <c r="H3" s="865"/>
      <c r="I3" s="873" t="s">
        <v>250</v>
      </c>
      <c r="J3" s="874"/>
      <c r="K3" s="874"/>
      <c r="L3" s="875"/>
    </row>
    <row r="4" spans="1:14" x14ac:dyDescent="0.3">
      <c r="A4" s="140"/>
      <c r="B4" s="170" t="s">
        <v>260</v>
      </c>
      <c r="C4" s="866"/>
      <c r="D4" s="867"/>
      <c r="E4" s="867"/>
      <c r="F4" s="867"/>
      <c r="G4" s="867"/>
      <c r="H4" s="868"/>
      <c r="I4" s="876"/>
      <c r="J4" s="877"/>
      <c r="K4" s="877"/>
      <c r="L4" s="878"/>
    </row>
    <row r="5" spans="1:14" ht="41.4" x14ac:dyDescent="0.3">
      <c r="A5" s="855" t="s">
        <v>181</v>
      </c>
      <c r="B5" s="857" t="s">
        <v>182</v>
      </c>
      <c r="C5" s="840" t="s">
        <v>241</v>
      </c>
      <c r="D5" s="171" t="s">
        <v>96</v>
      </c>
      <c r="E5" s="694" t="s">
        <v>96</v>
      </c>
      <c r="F5" s="171" t="s">
        <v>172</v>
      </c>
      <c r="G5" s="739" t="s">
        <v>408</v>
      </c>
      <c r="H5" s="171" t="s">
        <v>516</v>
      </c>
      <c r="I5" s="171" t="s">
        <v>96</v>
      </c>
      <c r="J5" s="694" t="s">
        <v>96</v>
      </c>
      <c r="K5" s="740" t="str">
        <f>+G5</f>
        <v>Biodiesel B10</v>
      </c>
      <c r="L5" s="142" t="str">
        <f>+H5</f>
        <v>Biodiesel B11</v>
      </c>
    </row>
    <row r="6" spans="1:14" x14ac:dyDescent="0.3">
      <c r="A6" s="855"/>
      <c r="B6" s="857"/>
      <c r="C6" s="841"/>
      <c r="D6" s="576" t="s">
        <v>509</v>
      </c>
      <c r="E6" s="576" t="s">
        <v>515</v>
      </c>
      <c r="F6" s="189">
        <v>0.02</v>
      </c>
      <c r="G6" s="395">
        <v>0.1</v>
      </c>
      <c r="H6" s="395">
        <v>0.11</v>
      </c>
      <c r="I6" s="552" t="str">
        <f>+D6</f>
        <v>Oxigena 5%</v>
      </c>
      <c r="J6" s="552" t="str">
        <f>+E6</f>
        <v>Oxigena 6%</v>
      </c>
      <c r="K6" s="395">
        <f>+G6</f>
        <v>0.1</v>
      </c>
      <c r="L6" s="172">
        <f>+H6</f>
        <v>0.11</v>
      </c>
    </row>
    <row r="7" spans="1:14" x14ac:dyDescent="0.3">
      <c r="A7" s="856"/>
      <c r="B7" s="858"/>
      <c r="C7" s="141" t="s">
        <v>183</v>
      </c>
      <c r="D7" s="171" t="s">
        <v>183</v>
      </c>
      <c r="E7" s="694" t="s">
        <v>183</v>
      </c>
      <c r="F7" s="171" t="s">
        <v>183</v>
      </c>
      <c r="G7" s="739" t="s">
        <v>183</v>
      </c>
      <c r="H7" s="171" t="s">
        <v>183</v>
      </c>
      <c r="I7" s="141" t="s">
        <v>183</v>
      </c>
      <c r="J7" s="693" t="s">
        <v>183</v>
      </c>
      <c r="K7" s="736" t="s">
        <v>183</v>
      </c>
      <c r="L7" s="142" t="s">
        <v>183</v>
      </c>
    </row>
    <row r="8" spans="1:14" x14ac:dyDescent="0.3">
      <c r="A8" s="143" t="s">
        <v>184</v>
      </c>
      <c r="B8" s="149" t="s">
        <v>185</v>
      </c>
      <c r="C8" s="213">
        <f>+'Calculo IP ZDF'!B30</f>
        <v>4842</v>
      </c>
      <c r="D8" s="219">
        <f>+'Calculo IP ZDF'!H30</f>
        <v>5252.3104999999996</v>
      </c>
      <c r="E8" s="219">
        <f>+'Calculo IP ZDF'!I30</f>
        <v>5334.3725999999997</v>
      </c>
      <c r="F8" s="221">
        <f>+'Calculo IP ZDF'!F30</f>
        <v>4416.8829034999999</v>
      </c>
      <c r="G8" s="220">
        <f>+'Calculo IP ZDF'!K30</f>
        <v>5972.9602175</v>
      </c>
      <c r="H8" s="220">
        <f>+'Calculo IP ZDF'!J30</f>
        <v>6167.4698817500002</v>
      </c>
      <c r="I8" s="198">
        <f>+'GAS CTE'!E9</f>
        <v>5252.3104999999996</v>
      </c>
      <c r="J8" s="198">
        <f>+'GAS CTE'!F9</f>
        <v>5334.3725999999997</v>
      </c>
      <c r="K8" s="198">
        <f>+BIODIESEL!H9</f>
        <v>6110.2880000000005</v>
      </c>
      <c r="L8" s="223">
        <f>+BIODIESEL!I9</f>
        <v>6303.2718000000004</v>
      </c>
    </row>
    <row r="9" spans="1:14" x14ac:dyDescent="0.3">
      <c r="A9" s="143" t="s">
        <v>186</v>
      </c>
      <c r="B9" s="149" t="s">
        <v>187</v>
      </c>
      <c r="C9" s="199" t="str">
        <f t="shared" ref="C9:C13" si="0">+D9</f>
        <v>------------------</v>
      </c>
      <c r="D9" s="200" t="s">
        <v>188</v>
      </c>
      <c r="E9" s="676" t="s">
        <v>188</v>
      </c>
      <c r="F9" s="676" t="s">
        <v>188</v>
      </c>
      <c r="G9" s="148" t="s">
        <v>188</v>
      </c>
      <c r="H9" s="148" t="s">
        <v>188</v>
      </c>
      <c r="I9" s="198">
        <f>+'GAS CTE'!E10</f>
        <v>556.9375</v>
      </c>
      <c r="J9" s="198">
        <f>+'GAS CTE'!F10</f>
        <v>551.07499999999993</v>
      </c>
      <c r="K9" s="198">
        <f>+BIODIESEL!H10</f>
        <v>505.00800000000004</v>
      </c>
      <c r="L9" s="224">
        <f>+BIODIESEL!I10</f>
        <v>499.39679999999998</v>
      </c>
    </row>
    <row r="10" spans="1:14" x14ac:dyDescent="0.3">
      <c r="A10" s="143"/>
      <c r="B10" s="149" t="s">
        <v>132</v>
      </c>
      <c r="C10" s="199" t="str">
        <f>+D10</f>
        <v>------------------</v>
      </c>
      <c r="D10" s="200" t="s">
        <v>188</v>
      </c>
      <c r="E10" s="676" t="s">
        <v>188</v>
      </c>
      <c r="F10" s="676" t="s">
        <v>188</v>
      </c>
      <c r="G10" s="148" t="s">
        <v>188</v>
      </c>
      <c r="H10" s="148" t="s">
        <v>188</v>
      </c>
      <c r="I10" s="214" t="str">
        <f>+COMBUSTIBLES!B12</f>
        <v>(3)</v>
      </c>
      <c r="J10" s="214" t="str">
        <f>+I10</f>
        <v>(3)</v>
      </c>
      <c r="K10" s="214" t="str">
        <f>+BIODIESEL!H11</f>
        <v>(3)</v>
      </c>
      <c r="L10" s="224" t="str">
        <f>+BIODIESEL!H11</f>
        <v>(3)</v>
      </c>
    </row>
    <row r="11" spans="1:14" x14ac:dyDescent="0.3">
      <c r="A11" s="143"/>
      <c r="B11" s="149" t="s">
        <v>134</v>
      </c>
      <c r="C11" s="199">
        <f>+'GAS CTE'!C12</f>
        <v>169</v>
      </c>
      <c r="D11" s="200">
        <f>+'GAS CTE'!E12</f>
        <v>160.54999999999998</v>
      </c>
      <c r="E11" s="676">
        <f>+'GAS CTE'!F12</f>
        <v>158.85999999999999</v>
      </c>
      <c r="F11" s="676">
        <f>+BIODIESEL!E12</f>
        <v>187.18</v>
      </c>
      <c r="G11" s="148">
        <f>+BIODIESEL!H12</f>
        <v>171.9</v>
      </c>
      <c r="H11" s="148">
        <f>+BIODIESEL!I12</f>
        <v>169.99</v>
      </c>
      <c r="I11" s="198">
        <f>+'GAS CTE'!E12</f>
        <v>160.54999999999998</v>
      </c>
      <c r="J11" s="198">
        <f>+'GAS CTE'!F12</f>
        <v>158.85999999999999</v>
      </c>
      <c r="K11" s="198">
        <f>+G11</f>
        <v>171.9</v>
      </c>
      <c r="L11" s="220">
        <f>+H11</f>
        <v>169.99</v>
      </c>
      <c r="N11" s="443" t="s">
        <v>427</v>
      </c>
    </row>
    <row r="12" spans="1:14" x14ac:dyDescent="0.3">
      <c r="A12" s="143" t="s">
        <v>189</v>
      </c>
      <c r="B12" s="149" t="s">
        <v>251</v>
      </c>
      <c r="C12" s="199" t="str">
        <f t="shared" si="0"/>
        <v>(2)</v>
      </c>
      <c r="D12" s="147" t="s">
        <v>217</v>
      </c>
      <c r="E12" s="209" t="s">
        <v>217</v>
      </c>
      <c r="F12" s="209" t="s">
        <v>217</v>
      </c>
      <c r="G12" s="148" t="s">
        <v>217</v>
      </c>
      <c r="H12" s="148" t="s">
        <v>217</v>
      </c>
      <c r="I12" s="198" t="str">
        <f>+H12</f>
        <v>(2)</v>
      </c>
      <c r="J12" s="198" t="str">
        <f>+I12</f>
        <v>(2)</v>
      </c>
      <c r="K12" s="198" t="s">
        <v>217</v>
      </c>
      <c r="L12" s="223" t="s">
        <v>217</v>
      </c>
    </row>
    <row r="13" spans="1:14" x14ac:dyDescent="0.3">
      <c r="A13" s="143" t="s">
        <v>252</v>
      </c>
      <c r="B13" s="149" t="s">
        <v>253</v>
      </c>
      <c r="C13" s="199" t="str">
        <f t="shared" si="0"/>
        <v>N.A.</v>
      </c>
      <c r="D13" s="147" t="s">
        <v>254</v>
      </c>
      <c r="E13" s="209" t="s">
        <v>254</v>
      </c>
      <c r="F13" s="676" t="s">
        <v>218</v>
      </c>
      <c r="G13" s="148" t="str">
        <f>+F13</f>
        <v>(4)</v>
      </c>
      <c r="H13" s="148" t="str">
        <f>+F13</f>
        <v>(4)</v>
      </c>
      <c r="I13" s="198" t="s">
        <v>254</v>
      </c>
      <c r="J13" s="198" t="s">
        <v>254</v>
      </c>
      <c r="K13" s="198" t="s">
        <v>218</v>
      </c>
      <c r="L13" s="220" t="str">
        <f>+H13</f>
        <v>(4)</v>
      </c>
    </row>
    <row r="14" spans="1:14" x14ac:dyDescent="0.3">
      <c r="A14" s="143" t="s">
        <v>191</v>
      </c>
      <c r="B14" s="149" t="s">
        <v>192</v>
      </c>
      <c r="C14" s="199">
        <f>+RUBROS!AC15</f>
        <v>23.500029293035123</v>
      </c>
      <c r="D14" s="147">
        <f>+C14</f>
        <v>23.500029293035123</v>
      </c>
      <c r="E14" s="209">
        <f>+D14</f>
        <v>23.500029293035123</v>
      </c>
      <c r="F14" s="209">
        <f>+D14</f>
        <v>23.500029293035123</v>
      </c>
      <c r="G14" s="148">
        <f>+F14</f>
        <v>23.500029293035123</v>
      </c>
      <c r="H14" s="148">
        <f>+F14</f>
        <v>23.500029293035123</v>
      </c>
      <c r="I14" s="198">
        <f>+RUBROS!AD14</f>
        <v>23.500029293035123</v>
      </c>
      <c r="J14" s="198">
        <f>+RUBROS!AD14</f>
        <v>23.500029293035123</v>
      </c>
      <c r="K14" s="198">
        <f>+L14</f>
        <v>23.500029293035123</v>
      </c>
      <c r="L14" s="223">
        <f>+I14</f>
        <v>23.500029293035123</v>
      </c>
      <c r="N14" s="443" t="s">
        <v>427</v>
      </c>
    </row>
    <row r="15" spans="1:14" x14ac:dyDescent="0.3">
      <c r="A15" s="143" t="s">
        <v>195</v>
      </c>
      <c r="B15" s="218" t="s">
        <v>196</v>
      </c>
      <c r="C15" s="199">
        <f>+RUBROS!AU29</f>
        <v>13.326421256197724</v>
      </c>
      <c r="D15" s="147">
        <f>+C15</f>
        <v>13.326421256197724</v>
      </c>
      <c r="E15" s="147">
        <f>+D15</f>
        <v>13.326421256197724</v>
      </c>
      <c r="F15" s="201">
        <f>+C15</f>
        <v>13.326421256197724</v>
      </c>
      <c r="G15" s="146">
        <f>+C15</f>
        <v>13.326421256197724</v>
      </c>
      <c r="H15" s="146">
        <f>+C15</f>
        <v>13.326421256197724</v>
      </c>
      <c r="I15" s="198">
        <f>+C15</f>
        <v>13.326421256197724</v>
      </c>
      <c r="J15" s="198">
        <f>+I15</f>
        <v>13.326421256197724</v>
      </c>
      <c r="K15" s="198">
        <f>+L15</f>
        <v>13.326421256197724</v>
      </c>
      <c r="L15" s="223">
        <f>+I15</f>
        <v>13.326421256197724</v>
      </c>
      <c r="N15" s="443" t="s">
        <v>426</v>
      </c>
    </row>
    <row r="16" spans="1:14" ht="20.25" hidden="1" customHeight="1" x14ac:dyDescent="0.3">
      <c r="A16" s="143"/>
      <c r="B16" s="149" t="s">
        <v>197</v>
      </c>
      <c r="C16" s="199"/>
      <c r="D16" s="202"/>
      <c r="E16" s="203"/>
      <c r="F16" s="203"/>
      <c r="G16" s="146"/>
      <c r="H16" s="146"/>
      <c r="I16" s="198"/>
      <c r="J16" s="649"/>
      <c r="K16" s="649"/>
      <c r="L16" s="225"/>
    </row>
    <row r="17" spans="1:20" x14ac:dyDescent="0.3">
      <c r="A17" s="150" t="s">
        <v>198</v>
      </c>
      <c r="B17" s="180" t="s">
        <v>199</v>
      </c>
      <c r="C17" s="204">
        <f t="shared" ref="C17:L17" si="1">SUM(C8:C16)</f>
        <v>5047.8264505492334</v>
      </c>
      <c r="D17" s="205">
        <f t="shared" si="1"/>
        <v>5449.6869505492332</v>
      </c>
      <c r="E17" s="205">
        <f t="shared" si="1"/>
        <v>5530.0590505492328</v>
      </c>
      <c r="F17" s="205">
        <f t="shared" si="1"/>
        <v>4640.8893540492336</v>
      </c>
      <c r="G17" s="206">
        <f t="shared" si="1"/>
        <v>6181.686668049233</v>
      </c>
      <c r="H17" s="206">
        <f t="shared" si="1"/>
        <v>6374.2863322992334</v>
      </c>
      <c r="I17" s="207">
        <f t="shared" si="1"/>
        <v>6006.6244505492332</v>
      </c>
      <c r="J17" s="207">
        <f t="shared" si="1"/>
        <v>6081.1340505492326</v>
      </c>
      <c r="K17" s="226">
        <f t="shared" si="1"/>
        <v>6824.0224505492333</v>
      </c>
      <c r="L17" s="226">
        <f t="shared" si="1"/>
        <v>7009.4850505492341</v>
      </c>
    </row>
    <row r="18" spans="1:20" x14ac:dyDescent="0.3">
      <c r="A18" s="143" t="s">
        <v>200</v>
      </c>
      <c r="B18" s="149" t="s">
        <v>201</v>
      </c>
      <c r="C18" s="199" t="s">
        <v>232</v>
      </c>
      <c r="D18" s="208" t="str">
        <f>+C18</f>
        <v>***</v>
      </c>
      <c r="E18" s="208" t="str">
        <f>+D18</f>
        <v>***</v>
      </c>
      <c r="F18" s="208" t="str">
        <f>+C18</f>
        <v>***</v>
      </c>
      <c r="G18" s="146" t="s">
        <v>232</v>
      </c>
      <c r="H18" s="146" t="str">
        <f>+C18</f>
        <v>***</v>
      </c>
      <c r="I18" s="201" t="str">
        <f>+L18</f>
        <v>***</v>
      </c>
      <c r="J18" s="201" t="str">
        <f>+I18</f>
        <v>***</v>
      </c>
      <c r="K18" s="749" t="s">
        <v>232</v>
      </c>
      <c r="L18" s="227" t="s">
        <v>232</v>
      </c>
    </row>
    <row r="19" spans="1:20" x14ac:dyDescent="0.3">
      <c r="A19" s="143" t="s">
        <v>202</v>
      </c>
      <c r="B19" s="149" t="s">
        <v>203</v>
      </c>
      <c r="C19" s="199" t="str">
        <f>+D19</f>
        <v>**</v>
      </c>
      <c r="D19" s="209" t="s">
        <v>230</v>
      </c>
      <c r="E19" s="209" t="s">
        <v>230</v>
      </c>
      <c r="F19" s="209" t="s">
        <v>230</v>
      </c>
      <c r="G19" s="146" t="s">
        <v>230</v>
      </c>
      <c r="H19" s="146" t="s">
        <v>230</v>
      </c>
      <c r="I19" s="201" t="str">
        <f>+L19</f>
        <v>**</v>
      </c>
      <c r="J19" s="201" t="str">
        <f>+I19</f>
        <v>**</v>
      </c>
      <c r="K19" s="198" t="s">
        <v>230</v>
      </c>
      <c r="L19" s="220" t="s">
        <v>230</v>
      </c>
    </row>
    <row r="20" spans="1:20" x14ac:dyDescent="0.3">
      <c r="A20" s="143" t="s">
        <v>204</v>
      </c>
      <c r="B20" s="149" t="s">
        <v>205</v>
      </c>
      <c r="C20" s="199" t="str">
        <f>+D20</f>
        <v>****</v>
      </c>
      <c r="D20" s="147" t="s">
        <v>234</v>
      </c>
      <c r="E20" s="147" t="s">
        <v>234</v>
      </c>
      <c r="F20" s="147" t="str">
        <f>+D20</f>
        <v>****</v>
      </c>
      <c r="G20" s="146" t="s">
        <v>234</v>
      </c>
      <c r="H20" s="146" t="str">
        <f>+F20</f>
        <v>****</v>
      </c>
      <c r="I20" s="201" t="str">
        <f>+H20</f>
        <v>****</v>
      </c>
      <c r="J20" s="201" t="str">
        <f>+I20</f>
        <v>****</v>
      </c>
      <c r="K20" s="198" t="s">
        <v>234</v>
      </c>
      <c r="L20" s="223" t="str">
        <f>+H20</f>
        <v>****</v>
      </c>
    </row>
    <row r="21" spans="1:20" x14ac:dyDescent="0.3">
      <c r="A21" s="150" t="s">
        <v>206</v>
      </c>
      <c r="B21" s="180" t="s">
        <v>207</v>
      </c>
      <c r="C21" s="204">
        <f t="shared" ref="C21:L21" si="2">+C17</f>
        <v>5047.8264505492334</v>
      </c>
      <c r="D21" s="204">
        <f t="shared" si="2"/>
        <v>5449.6869505492332</v>
      </c>
      <c r="E21" s="204">
        <f t="shared" ref="E21" si="3">+E17</f>
        <v>5530.0590505492328</v>
      </c>
      <c r="F21" s="204">
        <f t="shared" si="2"/>
        <v>4640.8893540492336</v>
      </c>
      <c r="G21" s="222">
        <f t="shared" si="2"/>
        <v>6181.686668049233</v>
      </c>
      <c r="H21" s="222">
        <f t="shared" si="2"/>
        <v>6374.2863322992334</v>
      </c>
      <c r="I21" s="204">
        <f t="shared" si="2"/>
        <v>6006.6244505492332</v>
      </c>
      <c r="J21" s="204">
        <f t="shared" ref="J21" si="4">+J17</f>
        <v>6081.1340505492326</v>
      </c>
      <c r="K21" s="222">
        <f t="shared" si="2"/>
        <v>6824.0224505492333</v>
      </c>
      <c r="L21" s="222">
        <f t="shared" si="2"/>
        <v>7009.4850505492341</v>
      </c>
    </row>
    <row r="22" spans="1:20" x14ac:dyDescent="0.3">
      <c r="A22" s="143" t="s">
        <v>208</v>
      </c>
      <c r="B22" s="149" t="s">
        <v>160</v>
      </c>
      <c r="C22" s="199" t="s">
        <v>232</v>
      </c>
      <c r="D22" s="147" t="str">
        <f>+C22</f>
        <v>***</v>
      </c>
      <c r="E22" s="147" t="str">
        <f>+D22</f>
        <v>***</v>
      </c>
      <c r="F22" s="147" t="str">
        <f>+D22</f>
        <v>***</v>
      </c>
      <c r="G22" s="146" t="s">
        <v>232</v>
      </c>
      <c r="H22" s="146" t="str">
        <f>+F22</f>
        <v>***</v>
      </c>
      <c r="I22" s="201" t="str">
        <f>+L22</f>
        <v>***</v>
      </c>
      <c r="J22" s="201">
        <f>+M22</f>
        <v>0</v>
      </c>
      <c r="K22" s="198" t="s">
        <v>232</v>
      </c>
      <c r="L22" s="223" t="s">
        <v>232</v>
      </c>
    </row>
    <row r="23" spans="1:20" x14ac:dyDescent="0.3">
      <c r="A23" s="143" t="s">
        <v>209</v>
      </c>
      <c r="B23" s="144" t="s">
        <v>210</v>
      </c>
      <c r="C23" s="199" t="str">
        <f>+D23</f>
        <v>*****</v>
      </c>
      <c r="D23" s="147" t="s">
        <v>236</v>
      </c>
      <c r="E23" s="147" t="s">
        <v>236</v>
      </c>
      <c r="F23" s="147" t="s">
        <v>254</v>
      </c>
      <c r="G23" s="146" t="s">
        <v>211</v>
      </c>
      <c r="H23" s="146" t="s">
        <v>211</v>
      </c>
      <c r="I23" s="201" t="str">
        <f>+D23</f>
        <v>*****</v>
      </c>
      <c r="J23" s="201" t="str">
        <f>+E23</f>
        <v>*****</v>
      </c>
      <c r="K23" s="198" t="s">
        <v>255</v>
      </c>
      <c r="L23" s="223" t="s">
        <v>255</v>
      </c>
    </row>
    <row r="24" spans="1:20" x14ac:dyDescent="0.3">
      <c r="A24" s="143" t="s">
        <v>212</v>
      </c>
      <c r="B24" s="149" t="s">
        <v>213</v>
      </c>
      <c r="C24" s="199" t="str">
        <f>+D24</f>
        <v>******</v>
      </c>
      <c r="D24" s="209" t="s">
        <v>237</v>
      </c>
      <c r="E24" s="209" t="s">
        <v>237</v>
      </c>
      <c r="F24" s="209" t="str">
        <f>+D24</f>
        <v>******</v>
      </c>
      <c r="G24" s="148" t="s">
        <v>237</v>
      </c>
      <c r="H24" s="148" t="str">
        <f>+F24</f>
        <v>******</v>
      </c>
      <c r="I24" s="201" t="str">
        <f>+H24</f>
        <v>******</v>
      </c>
      <c r="J24" s="201" t="str">
        <f>+I24</f>
        <v>******</v>
      </c>
      <c r="K24" s="198" t="s">
        <v>237</v>
      </c>
      <c r="L24" s="220" t="str">
        <f>+I24</f>
        <v>******</v>
      </c>
    </row>
    <row r="25" spans="1:20" ht="15" thickBot="1" x14ac:dyDescent="0.35">
      <c r="A25" s="154" t="s">
        <v>214</v>
      </c>
      <c r="B25" s="155" t="s">
        <v>215</v>
      </c>
      <c r="C25" s="210"/>
      <c r="D25" s="158"/>
      <c r="E25" s="211"/>
      <c r="F25" s="211"/>
      <c r="G25" s="211"/>
      <c r="H25" s="157"/>
      <c r="I25" s="211"/>
      <c r="J25" s="211"/>
      <c r="K25" s="211"/>
      <c r="L25" s="228"/>
    </row>
    <row r="26" spans="1:20" ht="15" thickTop="1" x14ac:dyDescent="0.3"/>
    <row r="27" spans="1:20" x14ac:dyDescent="0.3">
      <c r="A27" s="162"/>
      <c r="B27" s="266" t="s">
        <v>228</v>
      </c>
      <c r="C27" s="215"/>
      <c r="D27" s="215"/>
      <c r="E27" s="215"/>
      <c r="F27" s="215"/>
      <c r="G27" s="215"/>
      <c r="H27" s="215"/>
      <c r="I27" s="194"/>
      <c r="J27" s="194"/>
      <c r="K27" s="194"/>
      <c r="L27" s="194"/>
      <c r="M27" s="194"/>
      <c r="N27" s="194"/>
      <c r="O27" s="194"/>
      <c r="P27" s="194"/>
      <c r="Q27" s="194"/>
      <c r="R27" s="194"/>
      <c r="S27" s="194"/>
      <c r="T27" s="194"/>
    </row>
    <row r="28" spans="1:20" x14ac:dyDescent="0.3">
      <c r="A28" s="162"/>
      <c r="B28" s="184"/>
      <c r="C28" s="215"/>
      <c r="D28" s="215"/>
      <c r="E28" s="215"/>
      <c r="F28" s="215"/>
      <c r="G28" s="215"/>
      <c r="H28" s="215"/>
      <c r="I28" s="194"/>
      <c r="J28" s="194"/>
      <c r="K28" s="194"/>
      <c r="L28" s="194"/>
      <c r="M28" s="194"/>
      <c r="N28" s="194"/>
      <c r="O28" s="194"/>
      <c r="P28" s="194"/>
      <c r="Q28" s="194"/>
      <c r="R28" s="194"/>
      <c r="S28" s="194"/>
      <c r="T28" s="194"/>
    </row>
    <row r="29" spans="1:20" x14ac:dyDescent="0.3">
      <c r="A29" s="162" t="s">
        <v>190</v>
      </c>
      <c r="B29" s="853" t="str">
        <f>+ARAUCA!B29</f>
        <v>De acuerdo con lo establecido en la Resolución MME 91349 de 2014</v>
      </c>
      <c r="C29" s="853"/>
      <c r="D29" s="853"/>
      <c r="E29" s="853"/>
      <c r="F29" s="853"/>
      <c r="G29" s="853"/>
      <c r="H29" s="853"/>
      <c r="I29" s="853"/>
      <c r="J29" s="853"/>
      <c r="K29" s="853"/>
      <c r="L29" s="853"/>
      <c r="M29" s="853"/>
      <c r="N29" s="853"/>
      <c r="O29" s="216"/>
      <c r="P29" s="216"/>
      <c r="Q29" s="216"/>
      <c r="R29" s="216"/>
      <c r="S29" s="216"/>
      <c r="T29" s="216"/>
    </row>
    <row r="30" spans="1:20" x14ac:dyDescent="0.3">
      <c r="A30" s="162" t="s">
        <v>217</v>
      </c>
      <c r="B30" s="190" t="s">
        <v>216</v>
      </c>
      <c r="C30" s="215"/>
      <c r="D30" s="215"/>
      <c r="E30" s="215"/>
      <c r="F30" s="215"/>
      <c r="G30" s="215"/>
      <c r="H30" s="215"/>
      <c r="I30" s="194"/>
      <c r="J30" s="194"/>
      <c r="K30" s="194"/>
      <c r="L30" s="194"/>
      <c r="M30" s="194"/>
      <c r="N30" s="194"/>
      <c r="O30" s="194"/>
      <c r="P30" s="194"/>
      <c r="Q30" s="194"/>
      <c r="R30" s="194"/>
      <c r="S30" s="194"/>
      <c r="T30" s="194"/>
    </row>
    <row r="31" spans="1:20" ht="53.4" customHeight="1" x14ac:dyDescent="0.3">
      <c r="A31" s="162" t="s">
        <v>133</v>
      </c>
      <c r="B31" s="853" t="s">
        <v>334</v>
      </c>
      <c r="C31" s="853"/>
      <c r="D31" s="853"/>
      <c r="E31" s="853"/>
      <c r="F31" s="853"/>
      <c r="G31" s="853"/>
      <c r="H31" s="853"/>
      <c r="I31" s="853"/>
      <c r="J31" s="853"/>
      <c r="K31" s="853"/>
      <c r="L31" s="853"/>
      <c r="M31" s="853"/>
      <c r="N31" s="853"/>
      <c r="O31" s="194"/>
      <c r="P31" s="194"/>
      <c r="Q31" s="194"/>
      <c r="R31" s="194"/>
      <c r="S31" s="194"/>
      <c r="T31" s="194"/>
    </row>
    <row r="32" spans="1:20" ht="24.75" customHeight="1" x14ac:dyDescent="0.3">
      <c r="A32" s="162" t="s">
        <v>218</v>
      </c>
      <c r="B32" s="853" t="s">
        <v>257</v>
      </c>
      <c r="C32" s="853"/>
      <c r="D32" s="853"/>
      <c r="E32" s="853"/>
      <c r="F32" s="853"/>
      <c r="G32" s="853"/>
      <c r="H32" s="853"/>
      <c r="I32" s="853"/>
      <c r="J32" s="853"/>
      <c r="K32" s="853"/>
      <c r="L32" s="853"/>
      <c r="M32" s="853"/>
      <c r="N32" s="853"/>
      <c r="O32" s="194"/>
      <c r="P32" s="194"/>
      <c r="Q32" s="194"/>
      <c r="R32" s="194"/>
      <c r="S32" s="194"/>
      <c r="T32" s="194"/>
    </row>
    <row r="33" spans="1:20" ht="41.4" customHeight="1" x14ac:dyDescent="0.3">
      <c r="A33" s="162"/>
      <c r="B33" s="853" t="s">
        <v>518</v>
      </c>
      <c r="C33" s="853"/>
      <c r="D33" s="853"/>
      <c r="E33" s="853"/>
      <c r="F33" s="853"/>
      <c r="G33" s="853"/>
      <c r="H33" s="853"/>
      <c r="I33" s="853"/>
      <c r="J33" s="853"/>
      <c r="K33" s="853"/>
      <c r="L33" s="853"/>
      <c r="M33" s="853"/>
      <c r="N33" s="194"/>
      <c r="O33" s="194"/>
      <c r="P33" s="194"/>
      <c r="Q33" s="194"/>
      <c r="R33" s="194"/>
      <c r="S33" s="194"/>
      <c r="T33" s="194"/>
    </row>
    <row r="34" spans="1:20" x14ac:dyDescent="0.3">
      <c r="A34" s="185" t="s">
        <v>102</v>
      </c>
      <c r="B34" s="839" t="s">
        <v>229</v>
      </c>
      <c r="C34" s="839"/>
      <c r="D34" s="839"/>
      <c r="E34" s="839"/>
      <c r="F34" s="839"/>
      <c r="G34" s="839"/>
      <c r="H34" s="839"/>
      <c r="I34" s="839"/>
      <c r="J34" s="839"/>
      <c r="K34" s="839"/>
      <c r="L34" s="839"/>
      <c r="M34" s="839"/>
      <c r="N34" s="839"/>
      <c r="O34" s="194"/>
      <c r="P34" s="194"/>
      <c r="Q34" s="194"/>
      <c r="R34" s="194"/>
      <c r="S34" s="194"/>
      <c r="T34" s="194"/>
    </row>
    <row r="35" spans="1:20" x14ac:dyDescent="0.3">
      <c r="A35" s="185" t="s">
        <v>230</v>
      </c>
      <c r="B35" s="853" t="s">
        <v>262</v>
      </c>
      <c r="C35" s="853"/>
      <c r="D35" s="853"/>
      <c r="E35" s="853"/>
      <c r="F35" s="853"/>
      <c r="G35" s="853"/>
      <c r="H35" s="853"/>
      <c r="I35" s="853"/>
      <c r="J35" s="853"/>
      <c r="K35" s="853"/>
      <c r="L35" s="853"/>
      <c r="M35" s="853"/>
      <c r="N35" s="853"/>
      <c r="O35" s="194"/>
      <c r="P35" s="194"/>
      <c r="Q35" s="194"/>
      <c r="R35" s="194"/>
      <c r="S35" s="194"/>
      <c r="T35" s="194"/>
    </row>
    <row r="36" spans="1:20" x14ac:dyDescent="0.3">
      <c r="A36" s="162" t="s">
        <v>232</v>
      </c>
      <c r="B36" s="853" t="s">
        <v>233</v>
      </c>
      <c r="C36" s="853"/>
      <c r="D36" s="853"/>
      <c r="E36" s="853"/>
      <c r="F36" s="853"/>
      <c r="G36" s="853"/>
      <c r="H36" s="853"/>
      <c r="I36" s="853"/>
      <c r="J36" s="853"/>
      <c r="K36" s="853"/>
      <c r="L36" s="853"/>
      <c r="M36" s="162"/>
      <c r="N36" s="839"/>
      <c r="O36" s="839"/>
      <c r="P36" s="839"/>
      <c r="Q36" s="839"/>
      <c r="R36" s="839"/>
      <c r="S36" s="839"/>
      <c r="T36" s="839"/>
    </row>
    <row r="37" spans="1:20" x14ac:dyDescent="0.3">
      <c r="A37" s="162" t="s">
        <v>234</v>
      </c>
      <c r="B37" s="839" t="s">
        <v>472</v>
      </c>
      <c r="C37" s="839"/>
      <c r="D37" s="839"/>
      <c r="E37" s="839"/>
      <c r="F37" s="839"/>
      <c r="G37" s="839"/>
      <c r="H37" s="839"/>
      <c r="I37" s="839"/>
      <c r="J37" s="839"/>
      <c r="K37" s="839"/>
      <c r="L37" s="839"/>
      <c r="M37" s="162"/>
      <c r="N37" s="190"/>
      <c r="O37" s="190"/>
      <c r="P37" s="190"/>
      <c r="Q37" s="190"/>
      <c r="R37" s="190"/>
      <c r="S37" s="190"/>
      <c r="T37" s="190"/>
    </row>
    <row r="38" spans="1:20" x14ac:dyDescent="0.3">
      <c r="A38" s="185" t="s">
        <v>236</v>
      </c>
      <c r="B38" s="853" t="s">
        <v>238</v>
      </c>
      <c r="C38" s="853"/>
      <c r="D38" s="853"/>
      <c r="E38" s="853"/>
      <c r="F38" s="853"/>
      <c r="G38" s="853"/>
      <c r="H38" s="853"/>
      <c r="I38" s="853"/>
      <c r="J38" s="853"/>
      <c r="K38" s="853"/>
      <c r="L38" s="853"/>
      <c r="M38" s="853"/>
      <c r="N38" s="853"/>
      <c r="O38" s="194"/>
      <c r="P38" s="194"/>
      <c r="Q38" s="194"/>
      <c r="R38" s="194"/>
      <c r="S38" s="194"/>
      <c r="T38" s="194"/>
    </row>
    <row r="39" spans="1:20" ht="28.5" customHeight="1" x14ac:dyDescent="0.3">
      <c r="A39" s="185" t="s">
        <v>237</v>
      </c>
      <c r="B39" s="853" t="s">
        <v>256</v>
      </c>
      <c r="C39" s="853"/>
      <c r="D39" s="853"/>
      <c r="E39" s="853"/>
      <c r="F39" s="853"/>
      <c r="G39" s="853"/>
      <c r="H39" s="853"/>
      <c r="I39" s="853"/>
      <c r="J39" s="853"/>
      <c r="K39" s="853"/>
      <c r="L39" s="853"/>
      <c r="M39" s="853"/>
      <c r="N39" s="853"/>
      <c r="O39" s="194"/>
      <c r="P39" s="194"/>
      <c r="Q39" s="194"/>
      <c r="R39" s="194"/>
      <c r="S39" s="194"/>
      <c r="T39" s="194"/>
    </row>
    <row r="41" spans="1:20" ht="92.25" customHeight="1" x14ac:dyDescent="0.3">
      <c r="A41" s="862" t="s">
        <v>147</v>
      </c>
      <c r="B41" s="862"/>
      <c r="C41" s="862"/>
      <c r="D41" s="862"/>
      <c r="E41" s="862"/>
      <c r="F41" s="862"/>
      <c r="G41" s="862"/>
      <c r="H41" s="862"/>
      <c r="I41" s="862"/>
      <c r="J41" s="862"/>
      <c r="K41" s="862"/>
      <c r="L41" s="862"/>
      <c r="M41" s="862"/>
      <c r="N41" s="862"/>
    </row>
  </sheetData>
  <sheetProtection algorithmName="SHA-512" hashValue="YbyjE+vDL4V4HnGYRHqTu9zjvcwTHO0PeVupcbYT9rDCNqd6tb3aClSy09LXxV0bKR4nr+9fAKMpMR5P0iraPg==" saltValue="4f92XoLaKa9jzlvXE3OFzw==" spinCount="100000" sheet="1" objects="1" scenarios="1"/>
  <mergeCells count="17">
    <mergeCell ref="A41:N41"/>
    <mergeCell ref="B36:L36"/>
    <mergeCell ref="N36:T36"/>
    <mergeCell ref="B37:L37"/>
    <mergeCell ref="B38:N38"/>
    <mergeCell ref="B39:N39"/>
    <mergeCell ref="B29:N29"/>
    <mergeCell ref="B31:N31"/>
    <mergeCell ref="B32:N32"/>
    <mergeCell ref="B34:N34"/>
    <mergeCell ref="B35:N35"/>
    <mergeCell ref="B33:M33"/>
    <mergeCell ref="I3:L4"/>
    <mergeCell ref="A5:A7"/>
    <mergeCell ref="B5:B7"/>
    <mergeCell ref="C3:H4"/>
    <mergeCell ref="C5:C6"/>
  </mergeCells>
  <hyperlinks>
    <hyperlink ref="B27" location="BOYACA!A41" display="Ver Nota Informativa" xr:uid="{00000000-0004-0000-0A00-000000000000}"/>
  </hyperlinks>
  <pageMargins left="0.7" right="0.7" top="0.75" bottom="0.75" header="0.3" footer="0.3"/>
  <ignoredErrors>
    <ignoredError sqref="C11 C12:C13 C17:C24 L11 F11" formula="1"/>
    <ignoredError sqref="H14 L12:L15 L17:L24 D17:D24 D12:D15 H17:I24 H15:I15 H12:I13 F17:F24 F12:F15" numberStoredAsText="1" formula="1"/>
    <ignoredError sqref="L25:M25 M16:M24 D25 H25:I25 F2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P117"/>
  <sheetViews>
    <sheetView topLeftCell="B1" zoomScale="70" zoomScaleNormal="70" workbookViewId="0">
      <selection activeCell="I8" sqref="I8"/>
    </sheetView>
  </sheetViews>
  <sheetFormatPr baseColWidth="10" defaultColWidth="45" defaultRowHeight="14.4" x14ac:dyDescent="0.3"/>
  <cols>
    <col min="1" max="1" width="7" customWidth="1"/>
    <col min="2" max="2" width="60.88671875" customWidth="1"/>
    <col min="3" max="4" width="15.33203125" bestFit="1" customWidth="1"/>
    <col min="5" max="5" width="12" hidden="1" customWidth="1"/>
    <col min="6" max="6" width="12.88671875" customWidth="1"/>
    <col min="7" max="7" width="17" customWidth="1"/>
    <col min="8" max="8" width="20" customWidth="1"/>
    <col min="9" max="9" width="19.33203125" customWidth="1"/>
    <col min="10" max="10" width="24" hidden="1" customWidth="1"/>
    <col min="11" max="11" width="20.6640625" hidden="1" customWidth="1"/>
    <col min="12" max="12" width="22.5546875" hidden="1" customWidth="1"/>
    <col min="13" max="13" width="29" hidden="1" customWidth="1"/>
    <col min="14" max="14" width="22.6640625" hidden="1" customWidth="1"/>
    <col min="15" max="15" width="31.88671875" hidden="1" customWidth="1"/>
  </cols>
  <sheetData>
    <row r="1" spans="1:13" x14ac:dyDescent="0.3">
      <c r="A1" s="243" t="s">
        <v>158</v>
      </c>
      <c r="B1" s="139" t="str">
        <f>+AMAZONAS!C1</f>
        <v>Vigencia: 12 de marzo de 2022; 00:00 horas</v>
      </c>
      <c r="C1" s="139"/>
      <c r="D1" s="244"/>
      <c r="E1" s="244"/>
      <c r="F1" s="244"/>
      <c r="G1" s="244"/>
      <c r="H1" s="244"/>
      <c r="I1" s="244"/>
      <c r="J1" s="244"/>
      <c r="K1" s="244"/>
    </row>
    <row r="2" spans="1:13" ht="15" thickBot="1" x14ac:dyDescent="0.35">
      <c r="A2" s="165" t="s">
        <v>179</v>
      </c>
      <c r="B2" s="166"/>
      <c r="C2" s="166"/>
      <c r="D2" s="166"/>
      <c r="E2" s="166"/>
      <c r="F2" s="244"/>
      <c r="G2" s="166"/>
      <c r="H2" s="166"/>
      <c r="I2" s="245"/>
      <c r="J2" s="166"/>
      <c r="K2" s="166"/>
    </row>
    <row r="3" spans="1:13" ht="15" thickTop="1" x14ac:dyDescent="0.3">
      <c r="A3" s="195"/>
      <c r="B3" s="168" t="s">
        <v>263</v>
      </c>
      <c r="C3" s="842" t="s">
        <v>180</v>
      </c>
      <c r="D3" s="843"/>
      <c r="E3" s="843"/>
      <c r="F3" s="843"/>
      <c r="G3" s="881"/>
      <c r="H3" s="879" t="s">
        <v>250</v>
      </c>
      <c r="I3" s="883"/>
      <c r="J3" s="884"/>
    </row>
    <row r="4" spans="1:13" ht="63.45" customHeight="1" x14ac:dyDescent="0.3">
      <c r="A4" s="169"/>
      <c r="B4" s="272" t="s">
        <v>273</v>
      </c>
      <c r="C4" s="844"/>
      <c r="D4" s="845"/>
      <c r="E4" s="845"/>
      <c r="F4" s="845"/>
      <c r="G4" s="882"/>
      <c r="H4" s="880"/>
      <c r="I4" s="885"/>
      <c r="J4" s="886"/>
    </row>
    <row r="5" spans="1:13" ht="38.25" customHeight="1" x14ac:dyDescent="0.3">
      <c r="A5" s="855" t="s">
        <v>181</v>
      </c>
      <c r="B5" s="857" t="s">
        <v>182</v>
      </c>
      <c r="C5" s="840" t="s">
        <v>241</v>
      </c>
      <c r="D5" s="171" t="s">
        <v>96</v>
      </c>
      <c r="E5" s="171" t="s">
        <v>172</v>
      </c>
      <c r="F5" s="171" t="s">
        <v>408</v>
      </c>
      <c r="G5" s="859" t="s">
        <v>406</v>
      </c>
      <c r="H5" s="403" t="s">
        <v>96</v>
      </c>
      <c r="I5" s="402" t="str">
        <f>+F5</f>
        <v>Biodiesel B10</v>
      </c>
      <c r="J5" s="402" t="s">
        <v>124</v>
      </c>
    </row>
    <row r="6" spans="1:13" ht="21.75" customHeight="1" x14ac:dyDescent="0.3">
      <c r="A6" s="855"/>
      <c r="B6" s="857"/>
      <c r="C6" s="841"/>
      <c r="D6" s="576" t="s">
        <v>515</v>
      </c>
      <c r="E6" s="189">
        <v>0.02</v>
      </c>
      <c r="F6" s="395">
        <v>0.1</v>
      </c>
      <c r="G6" s="860"/>
      <c r="H6" s="552" t="str">
        <f>+D6</f>
        <v>Oxigena 6%</v>
      </c>
      <c r="I6" s="396">
        <f>+F6</f>
        <v>0.1</v>
      </c>
      <c r="J6" s="274" t="s">
        <v>264</v>
      </c>
    </row>
    <row r="7" spans="1:13" x14ac:dyDescent="0.3">
      <c r="A7" s="856"/>
      <c r="B7" s="858"/>
      <c r="C7" s="141" t="s">
        <v>183</v>
      </c>
      <c r="D7" s="171" t="s">
        <v>183</v>
      </c>
      <c r="E7" s="171" t="s">
        <v>183</v>
      </c>
      <c r="F7" s="171" t="s">
        <v>183</v>
      </c>
      <c r="G7" s="171" t="s">
        <v>183</v>
      </c>
      <c r="H7" s="403" t="s">
        <v>183</v>
      </c>
      <c r="I7" s="402" t="s">
        <v>183</v>
      </c>
      <c r="J7" s="263" t="s">
        <v>183</v>
      </c>
    </row>
    <row r="8" spans="1:13" x14ac:dyDescent="0.3">
      <c r="A8" s="143" t="s">
        <v>184</v>
      </c>
      <c r="B8" s="149" t="s">
        <v>185</v>
      </c>
      <c r="C8" s="264">
        <f>+'Calculo IP ZDF'!B31</f>
        <v>4842</v>
      </c>
      <c r="D8" s="264">
        <f>+'Calculo IP ZDF'!I31</f>
        <v>5334.3725999999997</v>
      </c>
      <c r="E8" s="264">
        <f>+'Calculo IP ZDF'!F31</f>
        <v>4566.4166000000005</v>
      </c>
      <c r="F8" s="264">
        <f>+'Calculo IP ZDF'!K31</f>
        <v>6110.2880000000005</v>
      </c>
      <c r="G8" s="179">
        <f>+'Calculo IP ZDF'!C31</f>
        <v>4180.45</v>
      </c>
      <c r="H8" s="247">
        <f>+'GAS CTE'!F9</f>
        <v>5334.3725999999997</v>
      </c>
      <c r="I8" s="201">
        <f>+BIODIESEL!H9</f>
        <v>6110.2880000000005</v>
      </c>
      <c r="J8" s="223" t="e">
        <f>+#REF!</f>
        <v>#REF!</v>
      </c>
    </row>
    <row r="9" spans="1:13" x14ac:dyDescent="0.3">
      <c r="A9" s="143" t="s">
        <v>186</v>
      </c>
      <c r="B9" s="149" t="s">
        <v>187</v>
      </c>
      <c r="C9" s="199" t="str">
        <f>+E9</f>
        <v>------------------</v>
      </c>
      <c r="D9" s="199" t="s">
        <v>188</v>
      </c>
      <c r="E9" s="199" t="s">
        <v>188</v>
      </c>
      <c r="F9" s="199" t="s">
        <v>188</v>
      </c>
      <c r="G9" s="174" t="s">
        <v>188</v>
      </c>
      <c r="H9" s="249">
        <f>+'GAS CTE'!F10</f>
        <v>551.07499999999993</v>
      </c>
      <c r="I9" s="198">
        <f>+BIODIESEL!H10</f>
        <v>505.00800000000004</v>
      </c>
      <c r="J9" s="220">
        <f>+'GAS EXTRA'!D10</f>
        <v>933.1</v>
      </c>
    </row>
    <row r="10" spans="1:13" x14ac:dyDescent="0.3">
      <c r="A10" s="143"/>
      <c r="B10" s="149" t="s">
        <v>132</v>
      </c>
      <c r="C10" s="199" t="str">
        <f>+E10</f>
        <v>------------------</v>
      </c>
      <c r="D10" s="199" t="s">
        <v>188</v>
      </c>
      <c r="E10" s="199" t="s">
        <v>188</v>
      </c>
      <c r="F10" s="199" t="s">
        <v>188</v>
      </c>
      <c r="G10" s="174" t="s">
        <v>188</v>
      </c>
      <c r="H10" s="249" t="s">
        <v>133</v>
      </c>
      <c r="I10" s="198" t="s">
        <v>133</v>
      </c>
      <c r="J10" s="220" t="str">
        <f>'[6]CORRIENTE OXIGENADA'!D12</f>
        <v>(3)</v>
      </c>
    </row>
    <row r="11" spans="1:13" x14ac:dyDescent="0.3">
      <c r="A11" s="143"/>
      <c r="B11" s="149" t="s">
        <v>134</v>
      </c>
      <c r="C11" s="250">
        <f>+'GAS CTE'!C12</f>
        <v>169</v>
      </c>
      <c r="D11" s="250">
        <f>+'GAS CTE'!F12</f>
        <v>158.85999999999999</v>
      </c>
      <c r="E11" s="250">
        <f>+BIODIESEL!E12</f>
        <v>187.18</v>
      </c>
      <c r="F11" s="250">
        <f>+BIODIESEL!H12</f>
        <v>171.9</v>
      </c>
      <c r="G11" s="179">
        <f>+BIODIESEL!C12</f>
        <v>191</v>
      </c>
      <c r="H11" s="249">
        <f>+'GAS CTE'!F12</f>
        <v>158.85999999999999</v>
      </c>
      <c r="I11" s="198">
        <f>+F11</f>
        <v>171.9</v>
      </c>
      <c r="J11" s="220" t="e">
        <f>+#REF!</f>
        <v>#REF!</v>
      </c>
      <c r="L11" s="443" t="s">
        <v>427</v>
      </c>
    </row>
    <row r="12" spans="1:13" x14ac:dyDescent="0.3">
      <c r="A12" s="143" t="s">
        <v>189</v>
      </c>
      <c r="B12" s="149" t="s">
        <v>270</v>
      </c>
      <c r="C12" s="267" t="s">
        <v>217</v>
      </c>
      <c r="D12" s="199" t="str">
        <f>+C12</f>
        <v>(2)</v>
      </c>
      <c r="E12" s="199" t="str">
        <f>+C12</f>
        <v>(2)</v>
      </c>
      <c r="F12" s="199" t="str">
        <f>+C12</f>
        <v>(2)</v>
      </c>
      <c r="G12" s="173" t="str">
        <f>+C12</f>
        <v>(2)</v>
      </c>
      <c r="H12" s="249" t="str">
        <f>+J12</f>
        <v>(2)</v>
      </c>
      <c r="I12" s="198" t="str">
        <f>+D12</f>
        <v>(2)</v>
      </c>
      <c r="J12" s="220" t="str">
        <f>+E12</f>
        <v>(2)</v>
      </c>
    </row>
    <row r="13" spans="1:13" x14ac:dyDescent="0.3">
      <c r="A13" s="143" t="s">
        <v>191</v>
      </c>
      <c r="B13" s="149" t="s">
        <v>192</v>
      </c>
      <c r="C13" s="250">
        <f>+RUBROS!AC13</f>
        <v>23.500029293035123</v>
      </c>
      <c r="D13" s="173">
        <f>+C13</f>
        <v>23.500029293035123</v>
      </c>
      <c r="E13" s="173">
        <f>+C13</f>
        <v>23.500029293035123</v>
      </c>
      <c r="F13" s="173">
        <f>+C13</f>
        <v>23.500029293035123</v>
      </c>
      <c r="G13" s="173">
        <f>+C13</f>
        <v>23.500029293035123</v>
      </c>
      <c r="H13" s="247">
        <f>+RUBROS!AD13</f>
        <v>23.500029293035123</v>
      </c>
      <c r="I13" s="173">
        <f>+D13</f>
        <v>23.500029293035123</v>
      </c>
      <c r="J13" s="146" t="e">
        <f>+#REF!</f>
        <v>#REF!</v>
      </c>
      <c r="L13" s="443" t="s">
        <v>427</v>
      </c>
      <c r="M13" s="443" t="s">
        <v>426</v>
      </c>
    </row>
    <row r="14" spans="1:13" x14ac:dyDescent="0.3">
      <c r="A14" s="143" t="s">
        <v>195</v>
      </c>
      <c r="B14" s="149" t="s">
        <v>196</v>
      </c>
      <c r="C14" s="250">
        <f>+RUBROS!AU42</f>
        <v>13.326421256197724</v>
      </c>
      <c r="D14" s="173">
        <f>+C14</f>
        <v>13.326421256197724</v>
      </c>
      <c r="E14" s="173">
        <f>+C14</f>
        <v>13.326421256197724</v>
      </c>
      <c r="F14" s="173">
        <f>+C14</f>
        <v>13.326421256197724</v>
      </c>
      <c r="G14" s="173">
        <f>+C14</f>
        <v>13.326421256197724</v>
      </c>
      <c r="H14" s="247">
        <f>+C14</f>
        <v>13.326421256197724</v>
      </c>
      <c r="I14" s="173">
        <f>+H14</f>
        <v>13.326421256197724</v>
      </c>
      <c r="J14" s="146">
        <f>+H14</f>
        <v>13.326421256197724</v>
      </c>
      <c r="L14" s="443" t="s">
        <v>426</v>
      </c>
    </row>
    <row r="15" spans="1:13" hidden="1" x14ac:dyDescent="0.3">
      <c r="A15" s="143"/>
      <c r="B15" s="149" t="s">
        <v>197</v>
      </c>
      <c r="C15" s="250"/>
      <c r="D15" s="173"/>
      <c r="E15" s="173"/>
      <c r="F15" s="173"/>
      <c r="G15" s="173"/>
      <c r="H15" s="247"/>
      <c r="I15" s="173"/>
      <c r="J15" s="146">
        <f>+C15</f>
        <v>0</v>
      </c>
      <c r="L15" s="447" t="s">
        <v>428</v>
      </c>
    </row>
    <row r="16" spans="1:13" x14ac:dyDescent="0.3">
      <c r="A16" s="150" t="s">
        <v>198</v>
      </c>
      <c r="B16" s="180" t="s">
        <v>199</v>
      </c>
      <c r="C16" s="251">
        <f>SUM(C8:C15)</f>
        <v>5047.8264505492334</v>
      </c>
      <c r="D16" s="251">
        <f t="shared" ref="D16:J16" si="0">SUM(D8:D15)</f>
        <v>5530.0590505492328</v>
      </c>
      <c r="E16" s="251">
        <f t="shared" si="0"/>
        <v>4790.4230505492342</v>
      </c>
      <c r="F16" s="251">
        <f>SUM(F8:F15)</f>
        <v>6319.0144505492335</v>
      </c>
      <c r="G16" s="251">
        <f t="shared" si="0"/>
        <v>4408.2764505492332</v>
      </c>
      <c r="H16" s="253">
        <f t="shared" si="0"/>
        <v>6081.1340505492326</v>
      </c>
      <c r="I16" s="251">
        <f t="shared" si="0"/>
        <v>6824.0224505492333</v>
      </c>
      <c r="J16" s="254" t="e">
        <f t="shared" si="0"/>
        <v>#REF!</v>
      </c>
    </row>
    <row r="17" spans="1:15" x14ac:dyDescent="0.3">
      <c r="A17" s="143" t="s">
        <v>200</v>
      </c>
      <c r="B17" s="149" t="s">
        <v>265</v>
      </c>
      <c r="C17" s="268" t="s">
        <v>232</v>
      </c>
      <c r="D17" s="173" t="str">
        <f>+C17</f>
        <v>***</v>
      </c>
      <c r="E17" s="173" t="str">
        <f>+C17</f>
        <v>***</v>
      </c>
      <c r="F17" s="173" t="str">
        <f>+E17</f>
        <v>***</v>
      </c>
      <c r="G17" s="173" t="str">
        <f>+E17</f>
        <v>***</v>
      </c>
      <c r="H17" s="247" t="str">
        <f>J17</f>
        <v>***</v>
      </c>
      <c r="I17" s="173" t="str">
        <f>+J17</f>
        <v>***</v>
      </c>
      <c r="J17" s="146" t="str">
        <f>+E17</f>
        <v>***</v>
      </c>
    </row>
    <row r="18" spans="1:15" x14ac:dyDescent="0.3">
      <c r="A18" s="143" t="s">
        <v>202</v>
      </c>
      <c r="B18" s="149" t="s">
        <v>203</v>
      </c>
      <c r="C18" s="267" t="s">
        <v>230</v>
      </c>
      <c r="D18" s="173" t="str">
        <f>+C18</f>
        <v>**</v>
      </c>
      <c r="E18" s="173" t="str">
        <f>+C18</f>
        <v>**</v>
      </c>
      <c r="F18" s="173" t="str">
        <f>+C18</f>
        <v>**</v>
      </c>
      <c r="G18" s="173" t="str">
        <f>+C18</f>
        <v>**</v>
      </c>
      <c r="H18" s="247" t="str">
        <f>+F18</f>
        <v>**</v>
      </c>
      <c r="I18" s="173" t="str">
        <f>+H18</f>
        <v>**</v>
      </c>
      <c r="J18" s="146" t="str">
        <f>+I18</f>
        <v>**</v>
      </c>
    </row>
    <row r="19" spans="1:15" x14ac:dyDescent="0.3">
      <c r="A19" s="143" t="s">
        <v>204</v>
      </c>
      <c r="B19" s="218" t="s">
        <v>139</v>
      </c>
      <c r="C19" s="255" t="str">
        <f>+E19</f>
        <v>****</v>
      </c>
      <c r="D19" s="173" t="str">
        <f t="shared" ref="D19:D21" si="1">+E19</f>
        <v>****</v>
      </c>
      <c r="E19" s="179" t="str">
        <f>+A112</f>
        <v>****</v>
      </c>
      <c r="F19" s="179" t="str">
        <f>+E19</f>
        <v>****</v>
      </c>
      <c r="G19" s="179" t="str">
        <f>+A112</f>
        <v>****</v>
      </c>
      <c r="H19" s="270" t="str">
        <f>C19</f>
        <v>****</v>
      </c>
      <c r="I19" s="173" t="str">
        <f>+J19</f>
        <v>****</v>
      </c>
      <c r="J19" s="148" t="str">
        <f>H19</f>
        <v>****</v>
      </c>
    </row>
    <row r="20" spans="1:15" x14ac:dyDescent="0.3">
      <c r="A20" s="150" t="s">
        <v>206</v>
      </c>
      <c r="B20" s="180" t="s">
        <v>207</v>
      </c>
      <c r="C20" s="256">
        <f t="shared" ref="C20:J20" si="2">+C16</f>
        <v>5047.8264505492334</v>
      </c>
      <c r="D20" s="181">
        <f t="shared" si="2"/>
        <v>5530.0590505492328</v>
      </c>
      <c r="E20" s="181">
        <f t="shared" si="2"/>
        <v>4790.4230505492342</v>
      </c>
      <c r="F20" s="181">
        <f t="shared" si="2"/>
        <v>6319.0144505492335</v>
      </c>
      <c r="G20" s="181">
        <f t="shared" si="2"/>
        <v>4408.2764505492332</v>
      </c>
      <c r="H20" s="253">
        <f t="shared" si="2"/>
        <v>6081.1340505492326</v>
      </c>
      <c r="I20" s="181">
        <f t="shared" si="2"/>
        <v>6824.0224505492333</v>
      </c>
      <c r="J20" s="152" t="e">
        <f t="shared" si="2"/>
        <v>#REF!</v>
      </c>
    </row>
    <row r="21" spans="1:15" x14ac:dyDescent="0.3">
      <c r="A21" s="143" t="s">
        <v>208</v>
      </c>
      <c r="B21" s="149" t="s">
        <v>160</v>
      </c>
      <c r="C21" s="250" t="str">
        <f>+E21</f>
        <v>***</v>
      </c>
      <c r="D21" s="173" t="str">
        <f t="shared" si="1"/>
        <v>***</v>
      </c>
      <c r="E21" s="173" t="str">
        <f t="shared" ref="E21" si="3">+E17</f>
        <v>***</v>
      </c>
      <c r="F21" s="173" t="str">
        <f>+E21</f>
        <v>***</v>
      </c>
      <c r="G21" s="173" t="str">
        <f>+G17</f>
        <v>***</v>
      </c>
      <c r="H21" s="247" t="str">
        <f>J21</f>
        <v>***</v>
      </c>
      <c r="I21" s="173" t="str">
        <f>+J21</f>
        <v>***</v>
      </c>
      <c r="J21" s="146" t="str">
        <f>+J17</f>
        <v>***</v>
      </c>
    </row>
    <row r="22" spans="1:15" x14ac:dyDescent="0.3">
      <c r="A22" s="143" t="s">
        <v>209</v>
      </c>
      <c r="B22" s="144" t="s">
        <v>210</v>
      </c>
      <c r="C22" s="257" t="s">
        <v>236</v>
      </c>
      <c r="D22" s="173" t="str">
        <f>+C22</f>
        <v>*****</v>
      </c>
      <c r="E22" s="173" t="s">
        <v>211</v>
      </c>
      <c r="F22" s="173" t="str">
        <f>+E22</f>
        <v>N.A</v>
      </c>
      <c r="G22" s="173" t="s">
        <v>211</v>
      </c>
      <c r="H22" s="247" t="str">
        <f>+D22</f>
        <v>*****</v>
      </c>
      <c r="I22" s="173" t="s">
        <v>254</v>
      </c>
      <c r="J22" s="146" t="e">
        <f>+#REF!</f>
        <v>#REF!</v>
      </c>
    </row>
    <row r="23" spans="1:15" ht="24.75" customHeight="1" x14ac:dyDescent="0.3">
      <c r="A23" s="143" t="s">
        <v>212</v>
      </c>
      <c r="B23" s="144" t="s">
        <v>213</v>
      </c>
      <c r="C23" s="257" t="s">
        <v>237</v>
      </c>
      <c r="D23" s="173" t="str">
        <f>+C23</f>
        <v>******</v>
      </c>
      <c r="E23" s="173" t="str">
        <f>+C23</f>
        <v>******</v>
      </c>
      <c r="F23" s="173" t="str">
        <f>+C23</f>
        <v>******</v>
      </c>
      <c r="G23" s="173" t="str">
        <f>+C23</f>
        <v>******</v>
      </c>
      <c r="H23" s="247" t="str">
        <f>+C23</f>
        <v>******</v>
      </c>
      <c r="I23" s="173" t="str">
        <f>+C23</f>
        <v>******</v>
      </c>
      <c r="J23" s="146" t="str">
        <f>+C23</f>
        <v>******</v>
      </c>
    </row>
    <row r="24" spans="1:15" ht="15" thickBot="1" x14ac:dyDescent="0.35">
      <c r="A24" s="154" t="s">
        <v>214</v>
      </c>
      <c r="B24" s="155" t="s">
        <v>215</v>
      </c>
      <c r="C24" s="258"/>
      <c r="D24" s="183"/>
      <c r="E24" s="183"/>
      <c r="F24" s="183"/>
      <c r="G24" s="183"/>
      <c r="H24" s="404"/>
      <c r="I24" s="405"/>
      <c r="J24" s="406"/>
    </row>
    <row r="25" spans="1:15" ht="15" thickTop="1" x14ac:dyDescent="0.3">
      <c r="A25" s="159"/>
      <c r="B25" s="160"/>
      <c r="C25" s="160"/>
      <c r="D25" s="161"/>
      <c r="E25" s="161"/>
      <c r="F25" s="161"/>
      <c r="G25" s="161"/>
      <c r="H25" s="161"/>
      <c r="I25" s="161"/>
      <c r="J25" s="161"/>
      <c r="K25" s="161"/>
    </row>
    <row r="26" spans="1:15" ht="15" thickBot="1" x14ac:dyDescent="0.35">
      <c r="A26" s="159"/>
      <c r="B26" s="160"/>
      <c r="C26" s="160"/>
      <c r="D26" s="161"/>
      <c r="E26" s="161"/>
      <c r="F26" s="161"/>
      <c r="G26" s="161"/>
      <c r="H26" s="161"/>
      <c r="I26" s="161"/>
      <c r="J26" s="161"/>
      <c r="K26" s="161"/>
    </row>
    <row r="27" spans="1:15" ht="26.25" customHeight="1" thickTop="1" x14ac:dyDescent="0.3">
      <c r="A27" s="195"/>
      <c r="B27" s="168" t="s">
        <v>500</v>
      </c>
      <c r="C27" s="842" t="s">
        <v>180</v>
      </c>
      <c r="D27" s="843"/>
      <c r="E27" s="843"/>
      <c r="F27" s="843"/>
      <c r="G27" s="881"/>
      <c r="H27" s="879" t="s">
        <v>250</v>
      </c>
      <c r="K27" s="484"/>
      <c r="L27" s="481"/>
      <c r="O27" s="483"/>
    </row>
    <row r="28" spans="1:15" ht="46.5" customHeight="1" x14ac:dyDescent="0.3">
      <c r="A28" s="169"/>
      <c r="B28" s="272" t="s">
        <v>274</v>
      </c>
      <c r="C28" s="844"/>
      <c r="D28" s="845"/>
      <c r="E28" s="845"/>
      <c r="F28" s="845"/>
      <c r="G28" s="882"/>
      <c r="H28" s="880"/>
      <c r="K28" s="486"/>
      <c r="L28" s="482"/>
      <c r="O28" s="485"/>
    </row>
    <row r="29" spans="1:15" ht="38.25" customHeight="1" x14ac:dyDescent="0.3">
      <c r="A29" s="855" t="s">
        <v>181</v>
      </c>
      <c r="B29" s="857" t="s">
        <v>182</v>
      </c>
      <c r="C29" s="840" t="s">
        <v>241</v>
      </c>
      <c r="D29" s="171" t="s">
        <v>96</v>
      </c>
      <c r="F29" s="171" t="s">
        <v>172</v>
      </c>
      <c r="G29" s="887" t="s">
        <v>405</v>
      </c>
      <c r="H29" s="141" t="s">
        <v>96</v>
      </c>
      <c r="K29" s="191" t="s">
        <v>124</v>
      </c>
      <c r="L29" s="171" t="str">
        <f>+F5</f>
        <v>Biodiesel B10</v>
      </c>
      <c r="O29" s="191" t="str">
        <f>+I5</f>
        <v>Biodiesel B10</v>
      </c>
    </row>
    <row r="30" spans="1:15" x14ac:dyDescent="0.3">
      <c r="A30" s="855"/>
      <c r="B30" s="857"/>
      <c r="C30" s="841"/>
      <c r="D30" s="554">
        <v>0.08</v>
      </c>
      <c r="F30" s="189">
        <v>0.02</v>
      </c>
      <c r="G30" s="888"/>
      <c r="H30" s="554">
        <v>0.08</v>
      </c>
      <c r="K30" s="274" t="s">
        <v>264</v>
      </c>
      <c r="L30" s="395">
        <f>+F6</f>
        <v>0.1</v>
      </c>
      <c r="O30" s="396">
        <f>+I6</f>
        <v>0.1</v>
      </c>
    </row>
    <row r="31" spans="1:15" x14ac:dyDescent="0.3">
      <c r="A31" s="856"/>
      <c r="B31" s="858"/>
      <c r="C31" s="141" t="s">
        <v>183</v>
      </c>
      <c r="D31" s="171" t="s">
        <v>183</v>
      </c>
      <c r="F31" s="171" t="s">
        <v>183</v>
      </c>
      <c r="G31" s="477" t="s">
        <v>183</v>
      </c>
      <c r="H31" s="141" t="s">
        <v>183</v>
      </c>
      <c r="K31" s="263" t="s">
        <v>183</v>
      </c>
      <c r="L31" s="171" t="s">
        <v>183</v>
      </c>
      <c r="O31" s="191" t="s">
        <v>183</v>
      </c>
    </row>
    <row r="32" spans="1:15" x14ac:dyDescent="0.3">
      <c r="A32" s="143" t="s">
        <v>184</v>
      </c>
      <c r="B32" s="149" t="s">
        <v>185</v>
      </c>
      <c r="C32" s="264">
        <f>+'Calculo IP ZDF'!B32</f>
        <v>4842</v>
      </c>
      <c r="D32" s="264">
        <f>+'Calculo IP ZDF'!B32</f>
        <v>4842</v>
      </c>
      <c r="F32" s="264">
        <f>+'Calculo IP ZDF'!F32</f>
        <v>4566.4166000000005</v>
      </c>
      <c r="G32" s="179">
        <f>+'Calculo IP ZDF'!C32</f>
        <v>4180.45</v>
      </c>
      <c r="H32" s="247">
        <f>+'GAS CTE'!C6</f>
        <v>4842</v>
      </c>
      <c r="K32" s="223" t="e">
        <f>+#REF!</f>
        <v>#REF!</v>
      </c>
      <c r="L32" s="265">
        <f>+'Calculo IP ZDF'!J32</f>
        <v>6303.2718000000004</v>
      </c>
      <c r="O32" s="201">
        <f>+BIODIESEL!H9</f>
        <v>6110.2880000000005</v>
      </c>
    </row>
    <row r="33" spans="1:16" x14ac:dyDescent="0.3">
      <c r="A33" s="143" t="s">
        <v>186</v>
      </c>
      <c r="B33" s="149" t="s">
        <v>187</v>
      </c>
      <c r="C33" s="199" t="str">
        <f>+F33</f>
        <v>------------------</v>
      </c>
      <c r="D33" s="199" t="s">
        <v>188</v>
      </c>
      <c r="F33" s="199" t="s">
        <v>188</v>
      </c>
      <c r="G33" s="174" t="s">
        <v>188</v>
      </c>
      <c r="H33" s="249">
        <f>+'GAS CTE'!C10</f>
        <v>586.25</v>
      </c>
      <c r="K33" s="220">
        <f>+'GAS EXTRA'!D10</f>
        <v>933.1</v>
      </c>
      <c r="L33" s="199" t="s">
        <v>188</v>
      </c>
      <c r="O33" s="198">
        <f>+BIODIESEL!H10</f>
        <v>505.00800000000004</v>
      </c>
    </row>
    <row r="34" spans="1:16" x14ac:dyDescent="0.3">
      <c r="A34" s="143"/>
      <c r="B34" s="149" t="s">
        <v>132</v>
      </c>
      <c r="C34" s="199" t="str">
        <f>+F34</f>
        <v>------------------</v>
      </c>
      <c r="D34" s="199" t="s">
        <v>188</v>
      </c>
      <c r="F34" s="199" t="s">
        <v>188</v>
      </c>
      <c r="G34" s="174" t="s">
        <v>188</v>
      </c>
      <c r="H34" s="249" t="str">
        <f>+H10</f>
        <v>(3)</v>
      </c>
      <c r="K34" s="220" t="str">
        <f>+H34</f>
        <v>(3)</v>
      </c>
      <c r="L34" s="199" t="s">
        <v>188</v>
      </c>
      <c r="O34" s="198" t="str">
        <f>+H34</f>
        <v>(3)</v>
      </c>
    </row>
    <row r="35" spans="1:16" x14ac:dyDescent="0.3">
      <c r="A35" s="143"/>
      <c r="B35" s="149" t="s">
        <v>134</v>
      </c>
      <c r="C35" s="250">
        <f>'GAS CTE'!C12</f>
        <v>169</v>
      </c>
      <c r="D35" s="250">
        <f>+'GAS CTE'!C12</f>
        <v>169</v>
      </c>
      <c r="F35" s="250">
        <f>+BIODIESEL!E12</f>
        <v>187.18</v>
      </c>
      <c r="G35" s="179">
        <f>+BIODIESEL!C12</f>
        <v>191</v>
      </c>
      <c r="H35" s="249">
        <f>+D35</f>
        <v>169</v>
      </c>
      <c r="K35" s="220" t="e">
        <f>+#REF!</f>
        <v>#REF!</v>
      </c>
      <c r="L35" s="250">
        <f>+BIODIESEL!H12</f>
        <v>171.9</v>
      </c>
      <c r="O35" s="198">
        <f>+L35</f>
        <v>171.9</v>
      </c>
    </row>
    <row r="36" spans="1:16" x14ac:dyDescent="0.3">
      <c r="A36" s="143" t="s">
        <v>189</v>
      </c>
      <c r="B36" s="149" t="s">
        <v>270</v>
      </c>
      <c r="C36" s="199" t="str">
        <f>+C12</f>
        <v>(2)</v>
      </c>
      <c r="D36" s="199" t="str">
        <f>+C36</f>
        <v>(2)</v>
      </c>
      <c r="F36" s="199" t="str">
        <f>+C36</f>
        <v>(2)</v>
      </c>
      <c r="G36" s="173" t="str">
        <f>+C36</f>
        <v>(2)</v>
      </c>
      <c r="H36" s="249" t="str">
        <f>+K36</f>
        <v>(2)</v>
      </c>
      <c r="K36" s="220" t="str">
        <f>+F36</f>
        <v>(2)</v>
      </c>
      <c r="L36" s="199" t="str">
        <f>+C36</f>
        <v>(2)</v>
      </c>
      <c r="O36" s="198" t="str">
        <f>+D36</f>
        <v>(2)</v>
      </c>
    </row>
    <row r="37" spans="1:16" x14ac:dyDescent="0.3">
      <c r="A37" s="143" t="s">
        <v>193</v>
      </c>
      <c r="B37" s="149" t="s">
        <v>194</v>
      </c>
      <c r="C37" s="199">
        <f>+RUBROS!AC50</f>
        <v>112.5832368093597</v>
      </c>
      <c r="D37" s="199">
        <f>+C37</f>
        <v>112.5832368093597</v>
      </c>
      <c r="F37" s="199">
        <f>+C37</f>
        <v>112.5832368093597</v>
      </c>
      <c r="G37" s="173">
        <f>+C37</f>
        <v>112.5832368093597</v>
      </c>
      <c r="H37" s="249">
        <f>+C37</f>
        <v>112.5832368093597</v>
      </c>
      <c r="K37" s="220">
        <f>+O37</f>
        <v>112.5832368093597</v>
      </c>
      <c r="L37" s="199">
        <f>+C37</f>
        <v>112.5832368093597</v>
      </c>
      <c r="M37" s="426" t="s">
        <v>429</v>
      </c>
      <c r="N37" s="443" t="s">
        <v>426</v>
      </c>
      <c r="O37" s="198">
        <f>+H37</f>
        <v>112.5832368093597</v>
      </c>
    </row>
    <row r="38" spans="1:16" x14ac:dyDescent="0.3">
      <c r="A38" s="143" t="s">
        <v>191</v>
      </c>
      <c r="B38" s="149" t="s">
        <v>192</v>
      </c>
      <c r="C38" s="250">
        <f>+RUBROS!AC21</f>
        <v>23.500029293035123</v>
      </c>
      <c r="D38" s="173">
        <f>+C38</f>
        <v>23.500029293035123</v>
      </c>
      <c r="F38" s="173">
        <f>+C38</f>
        <v>23.500029293035123</v>
      </c>
      <c r="G38" s="173">
        <f>+C38</f>
        <v>23.500029293035123</v>
      </c>
      <c r="H38" s="247">
        <f>+C38</f>
        <v>23.500029293035123</v>
      </c>
      <c r="K38" s="146" t="e">
        <f>+#REF!</f>
        <v>#REF!</v>
      </c>
      <c r="L38" s="173">
        <f>+C38</f>
        <v>23.500029293035123</v>
      </c>
      <c r="M38" s="426" t="s">
        <v>429</v>
      </c>
      <c r="N38" s="443" t="s">
        <v>426</v>
      </c>
      <c r="O38" s="173" t="e">
        <f>+#REF!</f>
        <v>#REF!</v>
      </c>
    </row>
    <row r="39" spans="1:16" x14ac:dyDescent="0.3">
      <c r="A39" s="143" t="s">
        <v>195</v>
      </c>
      <c r="B39" s="149" t="s">
        <v>196</v>
      </c>
      <c r="C39" s="250">
        <f>+C14</f>
        <v>13.326421256197724</v>
      </c>
      <c r="D39" s="173">
        <f>+C39</f>
        <v>13.326421256197724</v>
      </c>
      <c r="F39" s="173">
        <f>+C39</f>
        <v>13.326421256197724</v>
      </c>
      <c r="G39" s="173">
        <f>+C39</f>
        <v>13.326421256197724</v>
      </c>
      <c r="H39" s="247">
        <f>+C39</f>
        <v>13.326421256197724</v>
      </c>
      <c r="K39" s="146">
        <f>+H39</f>
        <v>13.326421256197724</v>
      </c>
      <c r="L39" s="173">
        <f>+C39</f>
        <v>13.326421256197724</v>
      </c>
      <c r="M39" s="443" t="s">
        <v>426</v>
      </c>
      <c r="O39" s="173">
        <f>+H39</f>
        <v>13.326421256197724</v>
      </c>
    </row>
    <row r="40" spans="1:16" x14ac:dyDescent="0.3">
      <c r="A40" s="150" t="s">
        <v>198</v>
      </c>
      <c r="B40" s="180" t="s">
        <v>199</v>
      </c>
      <c r="C40" s="251">
        <f>SUM(C32:C39)</f>
        <v>5160.4096873585931</v>
      </c>
      <c r="D40" s="251">
        <f>SUM(D32:D39)</f>
        <v>5160.4096873585931</v>
      </c>
      <c r="F40" s="251">
        <f>SUM(F32:F39)</f>
        <v>4903.0062873585939</v>
      </c>
      <c r="G40" s="251">
        <f>SUM(G32:G39)</f>
        <v>4520.859687358593</v>
      </c>
      <c r="H40" s="253">
        <f>SUM(H32:H39)</f>
        <v>5746.6596873585931</v>
      </c>
      <c r="K40" s="254" t="e">
        <f>SUM(K32:K39)</f>
        <v>#REF!</v>
      </c>
      <c r="L40" s="251">
        <f>SUM(L32:L39)</f>
        <v>6624.5814873585932</v>
      </c>
      <c r="O40" s="251" t="e">
        <f>SUM(O32:O39)</f>
        <v>#REF!</v>
      </c>
      <c r="P40" s="19"/>
    </row>
    <row r="41" spans="1:16" x14ac:dyDescent="0.3">
      <c r="A41" s="143" t="s">
        <v>200</v>
      </c>
      <c r="B41" s="149" t="s">
        <v>265</v>
      </c>
      <c r="C41" s="267" t="s">
        <v>232</v>
      </c>
      <c r="D41" s="173" t="str">
        <f>+C41</f>
        <v>***</v>
      </c>
      <c r="F41" s="173" t="str">
        <f>+C41</f>
        <v>***</v>
      </c>
      <c r="G41" s="173" t="str">
        <f>+F41</f>
        <v>***</v>
      </c>
      <c r="H41" s="247" t="str">
        <f>K41</f>
        <v>***</v>
      </c>
      <c r="K41" s="146" t="str">
        <f>+F41</f>
        <v>***</v>
      </c>
      <c r="L41" s="173" t="str">
        <f>+F41</f>
        <v>***</v>
      </c>
      <c r="O41" s="173" t="str">
        <f>+K41</f>
        <v>***</v>
      </c>
    </row>
    <row r="42" spans="1:16" x14ac:dyDescent="0.3">
      <c r="A42" s="143" t="s">
        <v>202</v>
      </c>
      <c r="B42" s="149" t="s">
        <v>203</v>
      </c>
      <c r="C42" s="267" t="s">
        <v>230</v>
      </c>
      <c r="D42" s="173" t="str">
        <f>+C42</f>
        <v>**</v>
      </c>
      <c r="F42" s="173" t="str">
        <f>+C42</f>
        <v>**</v>
      </c>
      <c r="G42" s="173" t="str">
        <f>+C42</f>
        <v>**</v>
      </c>
      <c r="H42" s="247" t="str">
        <f>+D42</f>
        <v>**</v>
      </c>
      <c r="K42" s="146" t="str">
        <f>+O42</f>
        <v>**</v>
      </c>
      <c r="L42" s="173" t="str">
        <f>+C42</f>
        <v>**</v>
      </c>
      <c r="O42" s="173" t="str">
        <f>+H42</f>
        <v>**</v>
      </c>
    </row>
    <row r="43" spans="1:16" x14ac:dyDescent="0.3">
      <c r="A43" s="143" t="s">
        <v>204</v>
      </c>
      <c r="B43" s="218" t="s">
        <v>139</v>
      </c>
      <c r="C43" s="271" t="str">
        <f>+C19</f>
        <v>****</v>
      </c>
      <c r="D43" s="173" t="str">
        <f>+C43</f>
        <v>****</v>
      </c>
      <c r="F43" s="179" t="str">
        <f>+C43</f>
        <v>****</v>
      </c>
      <c r="G43" s="179" t="str">
        <f>+C43</f>
        <v>****</v>
      </c>
      <c r="H43" s="270" t="str">
        <f>C43</f>
        <v>****</v>
      </c>
      <c r="K43" s="148" t="str">
        <f>H43</f>
        <v>****</v>
      </c>
      <c r="L43" s="179" t="str">
        <f>+F43</f>
        <v>****</v>
      </c>
      <c r="O43" s="173" t="str">
        <f>+K43</f>
        <v>****</v>
      </c>
    </row>
    <row r="44" spans="1:16" x14ac:dyDescent="0.3">
      <c r="A44" s="150" t="s">
        <v>206</v>
      </c>
      <c r="B44" s="180" t="s">
        <v>207</v>
      </c>
      <c r="C44" s="256">
        <f t="shared" ref="C44:K44" si="4">+C40</f>
        <v>5160.4096873585931</v>
      </c>
      <c r="D44" s="181">
        <f t="shared" si="4"/>
        <v>5160.4096873585931</v>
      </c>
      <c r="F44" s="181">
        <f>+F40</f>
        <v>4903.0062873585939</v>
      </c>
      <c r="G44" s="181">
        <f>+G40</f>
        <v>4520.859687358593</v>
      </c>
      <c r="H44" s="253">
        <f>+H40</f>
        <v>5746.6596873585931</v>
      </c>
      <c r="K44" s="152" t="e">
        <f t="shared" si="4"/>
        <v>#REF!</v>
      </c>
      <c r="L44" s="181">
        <f>+L40</f>
        <v>6624.5814873585932</v>
      </c>
      <c r="O44" s="181" t="e">
        <f>+O40</f>
        <v>#REF!</v>
      </c>
    </row>
    <row r="45" spans="1:16" x14ac:dyDescent="0.3">
      <c r="A45" s="143" t="s">
        <v>208</v>
      </c>
      <c r="B45" s="149" t="s">
        <v>160</v>
      </c>
      <c r="C45" s="269" t="str">
        <f>+C41</f>
        <v>***</v>
      </c>
      <c r="D45" s="173" t="str">
        <f>+F45</f>
        <v>***</v>
      </c>
      <c r="F45" s="173" t="str">
        <f>+F41</f>
        <v>***</v>
      </c>
      <c r="G45" s="173" t="str">
        <f>+G41</f>
        <v>***</v>
      </c>
      <c r="H45" s="247" t="str">
        <f>K45</f>
        <v>***</v>
      </c>
      <c r="K45" s="146" t="str">
        <f>+K41</f>
        <v>***</v>
      </c>
      <c r="L45" s="173" t="str">
        <f>+F45</f>
        <v>***</v>
      </c>
      <c r="O45" s="173" t="str">
        <f>+K45</f>
        <v>***</v>
      </c>
    </row>
    <row r="46" spans="1:16" x14ac:dyDescent="0.3">
      <c r="A46" s="143" t="s">
        <v>209</v>
      </c>
      <c r="B46" s="144" t="s">
        <v>210</v>
      </c>
      <c r="C46" s="201" t="str">
        <f>+C22</f>
        <v>*****</v>
      </c>
      <c r="D46" s="201" t="str">
        <f>+D22</f>
        <v>*****</v>
      </c>
      <c r="F46" s="201" t="str">
        <f>+E22</f>
        <v>N.A</v>
      </c>
      <c r="G46" s="201" t="str">
        <f>+G22</f>
        <v>N.A</v>
      </c>
      <c r="H46" s="247" t="str">
        <f>+H22</f>
        <v>*****</v>
      </c>
      <c r="K46" s="223" t="e">
        <f>+J22</f>
        <v>#REF!</v>
      </c>
      <c r="L46" s="201" t="str">
        <f>+F22</f>
        <v>N.A</v>
      </c>
      <c r="O46" s="201" t="str">
        <f>+I22</f>
        <v>N.A.</v>
      </c>
    </row>
    <row r="47" spans="1:16" x14ac:dyDescent="0.3">
      <c r="A47" s="143" t="s">
        <v>212</v>
      </c>
      <c r="B47" s="144" t="s">
        <v>213</v>
      </c>
      <c r="C47" s="201" t="str">
        <f>+C23</f>
        <v>******</v>
      </c>
      <c r="D47" s="201" t="str">
        <f>+D23</f>
        <v>******</v>
      </c>
      <c r="F47" s="201" t="str">
        <f>+E23</f>
        <v>******</v>
      </c>
      <c r="G47" s="201" t="str">
        <f>+G23</f>
        <v>******</v>
      </c>
      <c r="H47" s="247" t="str">
        <f>+H23</f>
        <v>******</v>
      </c>
      <c r="K47" s="223" t="str">
        <f>+J23</f>
        <v>******</v>
      </c>
      <c r="L47" s="201" t="str">
        <f>+F23</f>
        <v>******</v>
      </c>
      <c r="O47" s="201" t="str">
        <f>+I23</f>
        <v>******</v>
      </c>
    </row>
    <row r="48" spans="1:16" ht="15" thickBot="1" x14ac:dyDescent="0.35">
      <c r="A48" s="154" t="s">
        <v>214</v>
      </c>
      <c r="B48" s="155" t="s">
        <v>215</v>
      </c>
      <c r="C48" s="258"/>
      <c r="D48" s="183"/>
      <c r="F48" s="183"/>
      <c r="G48" s="183"/>
      <c r="H48" s="259"/>
      <c r="K48" s="157"/>
      <c r="L48" s="183"/>
      <c r="O48" s="183"/>
    </row>
    <row r="49" spans="1:14" ht="15" hidden="1" thickTop="1" x14ac:dyDescent="0.3">
      <c r="A49" s="159"/>
      <c r="B49" s="160"/>
      <c r="C49" s="160"/>
      <c r="D49" s="161"/>
      <c r="E49" s="161"/>
      <c r="F49" s="161"/>
      <c r="G49" s="161"/>
      <c r="H49" s="161"/>
      <c r="I49" s="161"/>
      <c r="J49" s="161"/>
      <c r="K49" s="161"/>
    </row>
    <row r="50" spans="1:14" ht="15" hidden="1" thickTop="1" x14ac:dyDescent="0.3">
      <c r="A50" s="195"/>
      <c r="B50" s="168" t="s">
        <v>468</v>
      </c>
      <c r="C50" s="842" t="s">
        <v>180</v>
      </c>
      <c r="D50" s="843"/>
      <c r="E50" s="843"/>
      <c r="F50" s="843"/>
      <c r="G50" s="843"/>
      <c r="H50" s="843"/>
      <c r="I50" s="879" t="s">
        <v>250</v>
      </c>
      <c r="J50" s="883"/>
      <c r="K50" s="884"/>
    </row>
    <row r="51" spans="1:14" ht="63.45" hidden="1" customHeight="1" thickTop="1" x14ac:dyDescent="0.3">
      <c r="A51" s="169"/>
      <c r="B51" s="272" t="s">
        <v>273</v>
      </c>
      <c r="C51" s="844"/>
      <c r="D51" s="845"/>
      <c r="E51" s="845"/>
      <c r="F51" s="845"/>
      <c r="G51" s="845"/>
      <c r="H51" s="845"/>
      <c r="I51" s="880"/>
      <c r="J51" s="885"/>
      <c r="K51" s="886"/>
    </row>
    <row r="52" spans="1:14" ht="38.25" hidden="1" customHeight="1" thickTop="1" x14ac:dyDescent="0.3">
      <c r="A52" s="855" t="s">
        <v>181</v>
      </c>
      <c r="B52" s="857" t="s">
        <v>182</v>
      </c>
      <c r="C52" s="840" t="s">
        <v>241</v>
      </c>
      <c r="D52" s="509" t="s">
        <v>96</v>
      </c>
      <c r="E52" s="509" t="s">
        <v>172</v>
      </c>
      <c r="F52" s="551"/>
      <c r="G52" s="509" t="s">
        <v>437</v>
      </c>
      <c r="H52" s="859" t="s">
        <v>406</v>
      </c>
      <c r="I52" s="508" t="s">
        <v>96</v>
      </c>
      <c r="J52" s="507" t="str">
        <f>+G52</f>
        <v>Biodiesel B12</v>
      </c>
      <c r="K52" s="507" t="s">
        <v>124</v>
      </c>
    </row>
    <row r="53" spans="1:14" ht="21.75" hidden="1" customHeight="1" thickTop="1" x14ac:dyDescent="0.3">
      <c r="A53" s="855"/>
      <c r="B53" s="857"/>
      <c r="C53" s="841"/>
      <c r="D53" s="506">
        <v>0.08</v>
      </c>
      <c r="E53" s="189">
        <v>0.02</v>
      </c>
      <c r="F53" s="189"/>
      <c r="G53" s="395">
        <f>+BOYACA!H54</f>
        <v>0</v>
      </c>
      <c r="H53" s="860"/>
      <c r="I53" s="273">
        <v>0.04</v>
      </c>
      <c r="J53" s="396">
        <f>+G53</f>
        <v>0</v>
      </c>
      <c r="K53" s="274" t="s">
        <v>264</v>
      </c>
    </row>
    <row r="54" spans="1:14" ht="15" hidden="1" thickTop="1" x14ac:dyDescent="0.3">
      <c r="A54" s="856"/>
      <c r="B54" s="858"/>
      <c r="C54" s="508" t="s">
        <v>183</v>
      </c>
      <c r="D54" s="509" t="s">
        <v>183</v>
      </c>
      <c r="E54" s="509" t="s">
        <v>183</v>
      </c>
      <c r="F54" s="551"/>
      <c r="G54" s="509" t="s">
        <v>183</v>
      </c>
      <c r="H54" s="509" t="s">
        <v>183</v>
      </c>
      <c r="I54" s="508" t="s">
        <v>183</v>
      </c>
      <c r="J54" s="507" t="s">
        <v>183</v>
      </c>
      <c r="K54" s="263" t="s">
        <v>183</v>
      </c>
    </row>
    <row r="55" spans="1:14" ht="15" hidden="1" thickTop="1" x14ac:dyDescent="0.3">
      <c r="A55" s="143" t="s">
        <v>184</v>
      </c>
      <c r="B55" s="149" t="s">
        <v>185</v>
      </c>
      <c r="C55" s="264">
        <f>+'Calculo IP ZDF'!$B$42</f>
        <v>4842</v>
      </c>
      <c r="D55" s="264">
        <f>+'Calculo IP ZDF'!$G$42</f>
        <v>5170.2483999999995</v>
      </c>
      <c r="E55" s="264">
        <f>+'Calculo IP ZDF'!$F$42</f>
        <v>4566.4166000000005</v>
      </c>
      <c r="F55" s="264"/>
      <c r="G55" s="264">
        <f>+'Calculo IP ZDF'!$M$42</f>
        <v>6496.2556000000004</v>
      </c>
      <c r="H55" s="179">
        <f>+'Calculo IP ZDF'!$C$42</f>
        <v>4180.45</v>
      </c>
      <c r="I55" s="247">
        <f>+'GAS CTE'!$D$9</f>
        <v>5170.2483999999995</v>
      </c>
      <c r="J55" s="201">
        <f>+BIODIESEL!$J$9</f>
        <v>6496.2556000000004</v>
      </c>
      <c r="K55" s="223" t="e">
        <f>+#REF!</f>
        <v>#REF!</v>
      </c>
    </row>
    <row r="56" spans="1:14" ht="15" hidden="1" thickTop="1" x14ac:dyDescent="0.3">
      <c r="A56" s="143" t="s">
        <v>186</v>
      </c>
      <c r="B56" s="149" t="s">
        <v>187</v>
      </c>
      <c r="C56" s="199" t="str">
        <f>+E56</f>
        <v>------------------</v>
      </c>
      <c r="D56" s="199" t="s">
        <v>188</v>
      </c>
      <c r="E56" s="199" t="s">
        <v>188</v>
      </c>
      <c r="F56" s="199"/>
      <c r="G56" s="199" t="s">
        <v>188</v>
      </c>
      <c r="H56" s="174" t="s">
        <v>188</v>
      </c>
      <c r="I56" s="249">
        <f>+'GAS CTE'!$D$10</f>
        <v>562.79999999999995</v>
      </c>
      <c r="J56" s="198">
        <f>+BIODIESEL!$H$10</f>
        <v>505.00800000000004</v>
      </c>
      <c r="K56" s="220">
        <f>+'GAS EXTRA'!D58</f>
        <v>0</v>
      </c>
    </row>
    <row r="57" spans="1:14" ht="15" hidden="1" thickTop="1" x14ac:dyDescent="0.3">
      <c r="A57" s="143"/>
      <c r="B57" s="149" t="s">
        <v>132</v>
      </c>
      <c r="C57" s="199" t="str">
        <f>+E57</f>
        <v>------------------</v>
      </c>
      <c r="D57" s="199" t="s">
        <v>188</v>
      </c>
      <c r="E57" s="199" t="s">
        <v>188</v>
      </c>
      <c r="F57" s="199"/>
      <c r="G57" s="199" t="s">
        <v>188</v>
      </c>
      <c r="H57" s="174" t="s">
        <v>188</v>
      </c>
      <c r="I57" s="249" t="str">
        <f>+H10</f>
        <v>(3)</v>
      </c>
      <c r="J57" s="249" t="str">
        <f>+I10</f>
        <v>(3)</v>
      </c>
      <c r="K57" s="220" t="e">
        <f>'[6]CORRIENTE OXIGENADA'!D60</f>
        <v>#REF!</v>
      </c>
    </row>
    <row r="58" spans="1:14" ht="15" hidden="1" thickTop="1" x14ac:dyDescent="0.3">
      <c r="A58" s="143"/>
      <c r="B58" s="149" t="s">
        <v>134</v>
      </c>
      <c r="C58" s="250">
        <f>+'GAS CTE'!$C$12</f>
        <v>169</v>
      </c>
      <c r="D58" s="250">
        <f>+'GAS CTE'!$D$12</f>
        <v>162.23999999999998</v>
      </c>
      <c r="E58" s="250">
        <f>+BIODIESEL!$E$12</f>
        <v>187.18</v>
      </c>
      <c r="F58" s="250"/>
      <c r="G58" s="250">
        <f>+BIODIESEL!$H$12</f>
        <v>171.9</v>
      </c>
      <c r="H58" s="179">
        <f>+BIODIESEL!$C$12</f>
        <v>191</v>
      </c>
      <c r="I58" s="249">
        <f>+'GAS CTE'!$D$12</f>
        <v>162.23999999999998</v>
      </c>
      <c r="J58" s="198">
        <f>+G58</f>
        <v>171.9</v>
      </c>
      <c r="K58" s="220" t="e">
        <f>+#REF!</f>
        <v>#REF!</v>
      </c>
      <c r="M58" s="443" t="s">
        <v>427</v>
      </c>
    </row>
    <row r="59" spans="1:14" ht="15" hidden="1" thickTop="1" x14ac:dyDescent="0.3">
      <c r="A59" s="143" t="s">
        <v>189</v>
      </c>
      <c r="B59" s="149" t="s">
        <v>270</v>
      </c>
      <c r="C59" s="267" t="s">
        <v>217</v>
      </c>
      <c r="D59" s="199" t="str">
        <f>+C59</f>
        <v>(2)</v>
      </c>
      <c r="E59" s="199" t="str">
        <f>+C59</f>
        <v>(2)</v>
      </c>
      <c r="F59" s="199"/>
      <c r="G59" s="199" t="str">
        <f>+C59</f>
        <v>(2)</v>
      </c>
      <c r="H59" s="173" t="str">
        <f>+C59</f>
        <v>(2)</v>
      </c>
      <c r="I59" s="249" t="str">
        <f>+K59</f>
        <v>(2)</v>
      </c>
      <c r="J59" s="198" t="str">
        <f>+D59</f>
        <v>(2)</v>
      </c>
      <c r="K59" s="220" t="str">
        <f>+E59</f>
        <v>(2)</v>
      </c>
    </row>
    <row r="60" spans="1:14" ht="15" hidden="1" thickTop="1" x14ac:dyDescent="0.3">
      <c r="A60" s="143" t="s">
        <v>191</v>
      </c>
      <c r="B60" s="149" t="s">
        <v>192</v>
      </c>
      <c r="C60" s="250">
        <f>+RUBROS!$Z$13</f>
        <v>22.249601678692599</v>
      </c>
      <c r="D60" s="173">
        <f>+C60</f>
        <v>22.249601678692599</v>
      </c>
      <c r="E60" s="173">
        <f>+C60</f>
        <v>22.249601678692599</v>
      </c>
      <c r="F60" s="173"/>
      <c r="G60" s="173">
        <f>+C60</f>
        <v>22.249601678692599</v>
      </c>
      <c r="H60" s="173">
        <f>+C60</f>
        <v>22.249601678692599</v>
      </c>
      <c r="I60" s="247" t="e">
        <f>+#REF!</f>
        <v>#REF!</v>
      </c>
      <c r="J60" s="173" t="e">
        <f>+#REF!</f>
        <v>#REF!</v>
      </c>
      <c r="K60" s="146" t="e">
        <f>+#REF!</f>
        <v>#REF!</v>
      </c>
      <c r="M60" s="443" t="s">
        <v>427</v>
      </c>
      <c r="N60" s="443" t="s">
        <v>426</v>
      </c>
    </row>
    <row r="61" spans="1:14" ht="15" hidden="1" thickTop="1" x14ac:dyDescent="0.3">
      <c r="A61" s="143" t="s">
        <v>195</v>
      </c>
      <c r="B61" s="149" t="s">
        <v>196</v>
      </c>
      <c r="C61" s="250">
        <f>+RUBROS!$AP$42</f>
        <v>12.938273064269636</v>
      </c>
      <c r="D61" s="173">
        <f>+C61</f>
        <v>12.938273064269636</v>
      </c>
      <c r="E61" s="173">
        <f>+C61</f>
        <v>12.938273064269636</v>
      </c>
      <c r="F61" s="173"/>
      <c r="G61" s="173">
        <f>+C61</f>
        <v>12.938273064269636</v>
      </c>
      <c r="H61" s="173">
        <f>+C61</f>
        <v>12.938273064269636</v>
      </c>
      <c r="I61" s="247">
        <f>+C61</f>
        <v>12.938273064269636</v>
      </c>
      <c r="J61" s="173">
        <f>+I61</f>
        <v>12.938273064269636</v>
      </c>
      <c r="K61" s="146">
        <f>+I61</f>
        <v>12.938273064269636</v>
      </c>
      <c r="M61" s="443" t="s">
        <v>426</v>
      </c>
    </row>
    <row r="62" spans="1:14" ht="15" hidden="1" thickTop="1" x14ac:dyDescent="0.3">
      <c r="A62" s="143"/>
      <c r="B62" s="149" t="s">
        <v>197</v>
      </c>
      <c r="C62" s="250"/>
      <c r="D62" s="173"/>
      <c r="E62" s="173"/>
      <c r="F62" s="173"/>
      <c r="G62" s="173"/>
      <c r="H62" s="173"/>
      <c r="I62" s="247"/>
      <c r="J62" s="173"/>
      <c r="K62" s="146">
        <f>+C62</f>
        <v>0</v>
      </c>
      <c r="M62" s="447" t="s">
        <v>428</v>
      </c>
    </row>
    <row r="63" spans="1:14" ht="15" hidden="1" thickTop="1" x14ac:dyDescent="0.3">
      <c r="A63" s="150" t="s">
        <v>198</v>
      </c>
      <c r="B63" s="180" t="s">
        <v>199</v>
      </c>
      <c r="C63" s="251">
        <f>SUM(C55:C62)</f>
        <v>5046.1878747429619</v>
      </c>
      <c r="D63" s="251">
        <f t="shared" ref="D63:K63" si="5">SUM(D55:D62)</f>
        <v>5367.6762747429611</v>
      </c>
      <c r="E63" s="251">
        <f t="shared" si="5"/>
        <v>4788.7844747429626</v>
      </c>
      <c r="F63" s="251"/>
      <c r="G63" s="251">
        <f t="shared" si="5"/>
        <v>6703.3434747429619</v>
      </c>
      <c r="H63" s="251">
        <f t="shared" si="5"/>
        <v>4406.6378747429617</v>
      </c>
      <c r="I63" s="253" t="e">
        <f t="shared" si="5"/>
        <v>#REF!</v>
      </c>
      <c r="J63" s="251" t="e">
        <f t="shared" si="5"/>
        <v>#REF!</v>
      </c>
      <c r="K63" s="254" t="e">
        <f t="shared" si="5"/>
        <v>#REF!</v>
      </c>
    </row>
    <row r="64" spans="1:14" ht="15" hidden="1" thickTop="1" x14ac:dyDescent="0.3">
      <c r="A64" s="143" t="s">
        <v>200</v>
      </c>
      <c r="B64" s="149" t="s">
        <v>265</v>
      </c>
      <c r="C64" s="268" t="s">
        <v>232</v>
      </c>
      <c r="D64" s="173" t="str">
        <f>+C64</f>
        <v>***</v>
      </c>
      <c r="E64" s="173" t="str">
        <f>+C64</f>
        <v>***</v>
      </c>
      <c r="F64" s="173"/>
      <c r="G64" s="173" t="str">
        <f>+E64</f>
        <v>***</v>
      </c>
      <c r="H64" s="173" t="str">
        <f>+E64</f>
        <v>***</v>
      </c>
      <c r="I64" s="247" t="str">
        <f>K64</f>
        <v>***</v>
      </c>
      <c r="J64" s="173" t="str">
        <f>+K64</f>
        <v>***</v>
      </c>
      <c r="K64" s="146" t="str">
        <f>+E64</f>
        <v>***</v>
      </c>
    </row>
    <row r="65" spans="1:11" ht="15" hidden="1" thickTop="1" x14ac:dyDescent="0.3">
      <c r="A65" s="143" t="s">
        <v>202</v>
      </c>
      <c r="B65" s="149" t="s">
        <v>203</v>
      </c>
      <c r="C65" s="267" t="s">
        <v>230</v>
      </c>
      <c r="D65" s="173" t="str">
        <f>+C65</f>
        <v>**</v>
      </c>
      <c r="E65" s="173" t="str">
        <f>+C65</f>
        <v>**</v>
      </c>
      <c r="F65" s="173"/>
      <c r="G65" s="173" t="str">
        <f>+C65</f>
        <v>**</v>
      </c>
      <c r="H65" s="173" t="str">
        <f>+C65</f>
        <v>**</v>
      </c>
      <c r="I65" s="247" t="e">
        <f>+#REF!</f>
        <v>#REF!</v>
      </c>
      <c r="J65" s="173" t="e">
        <f>+I65</f>
        <v>#REF!</v>
      </c>
      <c r="K65" s="146" t="e">
        <f>+J65</f>
        <v>#REF!</v>
      </c>
    </row>
    <row r="66" spans="1:11" ht="15" hidden="1" thickTop="1" x14ac:dyDescent="0.3">
      <c r="A66" s="143" t="s">
        <v>204</v>
      </c>
      <c r="B66" s="218" t="s">
        <v>139</v>
      </c>
      <c r="C66" s="255">
        <f>+E66</f>
        <v>0</v>
      </c>
      <c r="D66" s="173">
        <f t="shared" ref="D66" si="6">+E66</f>
        <v>0</v>
      </c>
      <c r="E66" s="179">
        <f>+A161</f>
        <v>0</v>
      </c>
      <c r="F66" s="179"/>
      <c r="G66" s="179">
        <f>+E66</f>
        <v>0</v>
      </c>
      <c r="H66" s="179">
        <f>+A161</f>
        <v>0</v>
      </c>
      <c r="I66" s="270">
        <f>C66</f>
        <v>0</v>
      </c>
      <c r="J66" s="173">
        <f>+K66</f>
        <v>0</v>
      </c>
      <c r="K66" s="148">
        <f>I66</f>
        <v>0</v>
      </c>
    </row>
    <row r="67" spans="1:11" ht="15" hidden="1" thickTop="1" x14ac:dyDescent="0.3">
      <c r="A67" s="150" t="s">
        <v>206</v>
      </c>
      <c r="B67" s="180" t="s">
        <v>207</v>
      </c>
      <c r="C67" s="256">
        <f t="shared" ref="C67:K68" si="7">+C63</f>
        <v>5046.1878747429619</v>
      </c>
      <c r="D67" s="181">
        <f t="shared" si="7"/>
        <v>5367.6762747429611</v>
      </c>
      <c r="E67" s="181">
        <f t="shared" si="7"/>
        <v>4788.7844747429626</v>
      </c>
      <c r="F67" s="181"/>
      <c r="G67" s="181">
        <f t="shared" si="7"/>
        <v>6703.3434747429619</v>
      </c>
      <c r="H67" s="181">
        <f t="shared" si="7"/>
        <v>4406.6378747429617</v>
      </c>
      <c r="I67" s="253" t="e">
        <f t="shared" si="7"/>
        <v>#REF!</v>
      </c>
      <c r="J67" s="181" t="e">
        <f t="shared" si="7"/>
        <v>#REF!</v>
      </c>
      <c r="K67" s="152" t="e">
        <f t="shared" si="7"/>
        <v>#REF!</v>
      </c>
    </row>
    <row r="68" spans="1:11" ht="15" hidden="1" thickTop="1" x14ac:dyDescent="0.3">
      <c r="A68" s="143" t="s">
        <v>208</v>
      </c>
      <c r="B68" s="149" t="s">
        <v>160</v>
      </c>
      <c r="C68" s="250" t="str">
        <f>+E68</f>
        <v>***</v>
      </c>
      <c r="D68" s="173" t="str">
        <f t="shared" ref="D68" si="8">+E68</f>
        <v>***</v>
      </c>
      <c r="E68" s="173" t="str">
        <f t="shared" si="7"/>
        <v>***</v>
      </c>
      <c r="F68" s="173"/>
      <c r="G68" s="173" t="str">
        <f>+E68</f>
        <v>***</v>
      </c>
      <c r="H68" s="173" t="str">
        <f>+H64</f>
        <v>***</v>
      </c>
      <c r="I68" s="247" t="str">
        <f>K68</f>
        <v>***</v>
      </c>
      <c r="J68" s="173" t="str">
        <f>+K68</f>
        <v>***</v>
      </c>
      <c r="K68" s="146" t="str">
        <f>+K64</f>
        <v>***</v>
      </c>
    </row>
    <row r="69" spans="1:11" ht="15" hidden="1" thickTop="1" x14ac:dyDescent="0.3">
      <c r="A69" s="143" t="s">
        <v>209</v>
      </c>
      <c r="B69" s="144" t="s">
        <v>210</v>
      </c>
      <c r="C69" s="257" t="s">
        <v>236</v>
      </c>
      <c r="D69" s="173" t="str">
        <f>+C69</f>
        <v>*****</v>
      </c>
      <c r="E69" s="173" t="s">
        <v>211</v>
      </c>
      <c r="F69" s="173"/>
      <c r="G69" s="173" t="str">
        <f>+E69</f>
        <v>N.A</v>
      </c>
      <c r="H69" s="173" t="s">
        <v>211</v>
      </c>
      <c r="I69" s="247" t="e">
        <f>+#REF!</f>
        <v>#REF!</v>
      </c>
      <c r="J69" s="173" t="s">
        <v>254</v>
      </c>
      <c r="K69" s="146" t="e">
        <f>+#REF!</f>
        <v>#REF!</v>
      </c>
    </row>
    <row r="70" spans="1:11" ht="24.75" hidden="1" customHeight="1" thickTop="1" x14ac:dyDescent="0.3">
      <c r="A70" s="143" t="s">
        <v>212</v>
      </c>
      <c r="B70" s="144" t="s">
        <v>213</v>
      </c>
      <c r="C70" s="257" t="s">
        <v>237</v>
      </c>
      <c r="D70" s="173" t="str">
        <f>+C70</f>
        <v>******</v>
      </c>
      <c r="E70" s="173" t="str">
        <f>+C70</f>
        <v>******</v>
      </c>
      <c r="F70" s="173"/>
      <c r="G70" s="173" t="str">
        <f>+C70</f>
        <v>******</v>
      </c>
      <c r="H70" s="173" t="str">
        <f>+C70</f>
        <v>******</v>
      </c>
      <c r="I70" s="247" t="str">
        <f>+C70</f>
        <v>******</v>
      </c>
      <c r="J70" s="173" t="str">
        <f>+C70</f>
        <v>******</v>
      </c>
      <c r="K70" s="146" t="str">
        <f>+C70</f>
        <v>******</v>
      </c>
    </row>
    <row r="71" spans="1:11" ht="15.6" hidden="1" thickTop="1" thickBot="1" x14ac:dyDescent="0.35">
      <c r="A71" s="154" t="s">
        <v>214</v>
      </c>
      <c r="B71" s="155" t="s">
        <v>215</v>
      </c>
      <c r="C71" s="258"/>
      <c r="D71" s="183"/>
      <c r="E71" s="183"/>
      <c r="F71" s="183"/>
      <c r="G71" s="183"/>
      <c r="H71" s="183"/>
      <c r="I71" s="404"/>
      <c r="J71" s="405"/>
      <c r="K71" s="406"/>
    </row>
    <row r="72" spans="1:11" ht="15" hidden="1" thickTop="1" x14ac:dyDescent="0.3">
      <c r="A72" s="159"/>
      <c r="B72" s="160"/>
      <c r="C72" s="160"/>
      <c r="D72" s="161"/>
      <c r="E72" s="161"/>
      <c r="F72" s="161"/>
      <c r="G72" s="161"/>
      <c r="H72" s="161"/>
      <c r="I72" s="161"/>
      <c r="J72" s="161"/>
      <c r="K72" s="161"/>
    </row>
    <row r="73" spans="1:11" ht="15" hidden="1" thickTop="1" x14ac:dyDescent="0.3">
      <c r="A73" s="159"/>
      <c r="B73" s="160"/>
      <c r="C73" s="160"/>
      <c r="D73" s="161"/>
      <c r="E73" s="161"/>
      <c r="F73" s="161"/>
      <c r="G73" s="161"/>
      <c r="H73" s="161"/>
      <c r="I73" s="161"/>
      <c r="J73" s="161"/>
      <c r="K73" s="161"/>
    </row>
    <row r="74" spans="1:11" ht="15" hidden="1" thickTop="1" x14ac:dyDescent="0.3">
      <c r="A74" s="195"/>
      <c r="B74" s="168" t="s">
        <v>469</v>
      </c>
      <c r="C74" s="842" t="s">
        <v>180</v>
      </c>
      <c r="D74" s="843"/>
      <c r="E74" s="843"/>
      <c r="F74" s="843"/>
      <c r="G74" s="843"/>
      <c r="H74" s="843"/>
      <c r="I74" s="879" t="s">
        <v>250</v>
      </c>
      <c r="J74" s="883"/>
      <c r="K74" s="884"/>
    </row>
    <row r="75" spans="1:11" ht="43.2" hidden="1" thickTop="1" x14ac:dyDescent="0.3">
      <c r="A75" s="169"/>
      <c r="B75" s="272" t="s">
        <v>273</v>
      </c>
      <c r="C75" s="844"/>
      <c r="D75" s="845"/>
      <c r="E75" s="845"/>
      <c r="F75" s="845"/>
      <c r="G75" s="845"/>
      <c r="H75" s="845"/>
      <c r="I75" s="880"/>
      <c r="J75" s="885"/>
      <c r="K75" s="886"/>
    </row>
    <row r="76" spans="1:11" ht="42" hidden="1" thickTop="1" x14ac:dyDescent="0.3">
      <c r="A76" s="855" t="s">
        <v>181</v>
      </c>
      <c r="B76" s="857" t="s">
        <v>182</v>
      </c>
      <c r="C76" s="840" t="s">
        <v>241</v>
      </c>
      <c r="D76" s="509" t="s">
        <v>96</v>
      </c>
      <c r="E76" s="509" t="s">
        <v>172</v>
      </c>
      <c r="F76" s="551"/>
      <c r="G76" s="509" t="s">
        <v>437</v>
      </c>
      <c r="H76" s="859" t="s">
        <v>406</v>
      </c>
      <c r="I76" s="508" t="s">
        <v>96</v>
      </c>
      <c r="J76" s="507" t="str">
        <f>+G76</f>
        <v>Biodiesel B12</v>
      </c>
      <c r="K76" s="507" t="s">
        <v>124</v>
      </c>
    </row>
    <row r="77" spans="1:11" ht="15" hidden="1" thickTop="1" x14ac:dyDescent="0.3">
      <c r="A77" s="855"/>
      <c r="B77" s="857"/>
      <c r="C77" s="841"/>
      <c r="D77" s="506">
        <v>0.08</v>
      </c>
      <c r="E77" s="189">
        <v>0.02</v>
      </c>
      <c r="F77" s="189"/>
      <c r="G77" s="395">
        <f>+BOYACA!H78</f>
        <v>0</v>
      </c>
      <c r="H77" s="860"/>
      <c r="I77" s="273">
        <v>0.04</v>
      </c>
      <c r="J77" s="396">
        <f>+G77</f>
        <v>0</v>
      </c>
      <c r="K77" s="274" t="s">
        <v>264</v>
      </c>
    </row>
    <row r="78" spans="1:11" ht="15" hidden="1" thickTop="1" x14ac:dyDescent="0.3">
      <c r="A78" s="856"/>
      <c r="B78" s="858"/>
      <c r="C78" s="508" t="s">
        <v>183</v>
      </c>
      <c r="D78" s="509" t="s">
        <v>183</v>
      </c>
      <c r="E78" s="509" t="s">
        <v>183</v>
      </c>
      <c r="F78" s="551"/>
      <c r="G78" s="509" t="s">
        <v>183</v>
      </c>
      <c r="H78" s="509" t="s">
        <v>183</v>
      </c>
      <c r="I78" s="508" t="s">
        <v>183</v>
      </c>
      <c r="J78" s="507" t="s">
        <v>183</v>
      </c>
      <c r="K78" s="263" t="s">
        <v>183</v>
      </c>
    </row>
    <row r="79" spans="1:11" ht="15" hidden="1" thickTop="1" x14ac:dyDescent="0.3">
      <c r="A79" s="143" t="s">
        <v>184</v>
      </c>
      <c r="B79" s="149" t="s">
        <v>185</v>
      </c>
      <c r="C79" s="264">
        <f>+'Calculo IP ZDF'!$B$43</f>
        <v>4842</v>
      </c>
      <c r="D79" s="264">
        <f>+'Calculo IP ZDF'!$G$43</f>
        <v>5170.2483999999995</v>
      </c>
      <c r="E79" s="264">
        <f>+'Calculo IP ZDF'!$F$43</f>
        <v>4566.4166000000005</v>
      </c>
      <c r="F79" s="264"/>
      <c r="G79" s="264">
        <f>+'Calculo IP ZDF'!$M$43</f>
        <v>6496.2556000000004</v>
      </c>
      <c r="H79" s="179">
        <f>+'Calculo IP ZDF'!$C$43</f>
        <v>4180.45</v>
      </c>
      <c r="I79" s="247">
        <f>+'GAS CTE'!$D$9</f>
        <v>5170.2483999999995</v>
      </c>
      <c r="J79" s="201">
        <f>+BIODIESEL!$J$9</f>
        <v>6496.2556000000004</v>
      </c>
      <c r="K79" s="223" t="e">
        <f>+#REF!</f>
        <v>#REF!</v>
      </c>
    </row>
    <row r="80" spans="1:11" ht="15" hidden="1" thickTop="1" x14ac:dyDescent="0.3">
      <c r="A80" s="143" t="s">
        <v>186</v>
      </c>
      <c r="B80" s="149" t="s">
        <v>187</v>
      </c>
      <c r="C80" s="199" t="str">
        <f>+E80</f>
        <v>------------------</v>
      </c>
      <c r="D80" s="199" t="s">
        <v>188</v>
      </c>
      <c r="E80" s="199" t="s">
        <v>188</v>
      </c>
      <c r="F80" s="199"/>
      <c r="G80" s="199" t="s">
        <v>188</v>
      </c>
      <c r="H80" s="174" t="s">
        <v>188</v>
      </c>
      <c r="I80" s="249">
        <f>+'GAS CTE'!$D$10</f>
        <v>562.79999999999995</v>
      </c>
      <c r="J80" s="198">
        <f>+BIODIESEL!$H$10</f>
        <v>505.00800000000004</v>
      </c>
      <c r="K80" s="220">
        <f>+'GAS EXTRA'!D82</f>
        <v>0</v>
      </c>
    </row>
    <row r="81" spans="1:11" ht="15" hidden="1" thickTop="1" x14ac:dyDescent="0.3">
      <c r="A81" s="143"/>
      <c r="B81" s="149" t="s">
        <v>132</v>
      </c>
      <c r="C81" s="199" t="str">
        <f>+E81</f>
        <v>------------------</v>
      </c>
      <c r="D81" s="199" t="s">
        <v>188</v>
      </c>
      <c r="E81" s="199" t="s">
        <v>188</v>
      </c>
      <c r="F81" s="199"/>
      <c r="G81" s="199" t="s">
        <v>188</v>
      </c>
      <c r="H81" s="174" t="s">
        <v>188</v>
      </c>
      <c r="I81" s="249">
        <f>+I34</f>
        <v>0</v>
      </c>
      <c r="J81" s="249">
        <f>+J34</f>
        <v>0</v>
      </c>
      <c r="K81" s="220" t="e">
        <f>'[6]CORRIENTE OXIGENADA'!D84</f>
        <v>#REF!</v>
      </c>
    </row>
    <row r="82" spans="1:11" ht="15" hidden="1" thickTop="1" x14ac:dyDescent="0.3">
      <c r="A82" s="143"/>
      <c r="B82" s="149" t="s">
        <v>134</v>
      </c>
      <c r="C82" s="250">
        <f>+'GAS CTE'!$C$12</f>
        <v>169</v>
      </c>
      <c r="D82" s="250">
        <f>+'GAS CTE'!$D$12</f>
        <v>162.23999999999998</v>
      </c>
      <c r="E82" s="250">
        <f>+BIODIESEL!$E$12</f>
        <v>187.18</v>
      </c>
      <c r="F82" s="250"/>
      <c r="G82" s="250">
        <f>+BIODIESEL!$H$12</f>
        <v>171.9</v>
      </c>
      <c r="H82" s="179">
        <f>+BIODIESEL!$C$12</f>
        <v>191</v>
      </c>
      <c r="I82" s="249">
        <f>+'GAS CTE'!$D$12</f>
        <v>162.23999999999998</v>
      </c>
      <c r="J82" s="198">
        <f>+G82</f>
        <v>171.9</v>
      </c>
      <c r="K82" s="220" t="e">
        <f>+#REF!</f>
        <v>#REF!</v>
      </c>
    </row>
    <row r="83" spans="1:11" ht="15" hidden="1" thickTop="1" x14ac:dyDescent="0.3">
      <c r="A83" s="143" t="s">
        <v>189</v>
      </c>
      <c r="B83" s="149" t="s">
        <v>270</v>
      </c>
      <c r="C83" s="267" t="s">
        <v>217</v>
      </c>
      <c r="D83" s="199" t="str">
        <f>+C83</f>
        <v>(2)</v>
      </c>
      <c r="E83" s="199" t="str">
        <f>+C83</f>
        <v>(2)</v>
      </c>
      <c r="F83" s="199"/>
      <c r="G83" s="199" t="str">
        <f>+C83</f>
        <v>(2)</v>
      </c>
      <c r="H83" s="173" t="str">
        <f>+C83</f>
        <v>(2)</v>
      </c>
      <c r="I83" s="249" t="str">
        <f>+K83</f>
        <v>(2)</v>
      </c>
      <c r="J83" s="198" t="str">
        <f>+D83</f>
        <v>(2)</v>
      </c>
      <c r="K83" s="220" t="str">
        <f>+E83</f>
        <v>(2)</v>
      </c>
    </row>
    <row r="84" spans="1:11" ht="15" hidden="1" thickTop="1" x14ac:dyDescent="0.3">
      <c r="A84" s="143" t="s">
        <v>191</v>
      </c>
      <c r="B84" s="149" t="s">
        <v>192</v>
      </c>
      <c r="C84" s="250">
        <f>+RUBROS!$Z$13</f>
        <v>22.249601678692599</v>
      </c>
      <c r="D84" s="173">
        <f>+C84</f>
        <v>22.249601678692599</v>
      </c>
      <c r="E84" s="173">
        <f>+C84</f>
        <v>22.249601678692599</v>
      </c>
      <c r="F84" s="173"/>
      <c r="G84" s="173">
        <f>+C84</f>
        <v>22.249601678692599</v>
      </c>
      <c r="H84" s="173">
        <f>+C84</f>
        <v>22.249601678692599</v>
      </c>
      <c r="I84" s="247" t="e">
        <f>+#REF!</f>
        <v>#REF!</v>
      </c>
      <c r="J84" s="173" t="e">
        <f>+#REF!</f>
        <v>#REF!</v>
      </c>
      <c r="K84" s="146" t="e">
        <f>+#REF!</f>
        <v>#REF!</v>
      </c>
    </row>
    <row r="85" spans="1:11" ht="15" hidden="1" thickTop="1" x14ac:dyDescent="0.3">
      <c r="A85" s="143" t="s">
        <v>195</v>
      </c>
      <c r="B85" s="149" t="s">
        <v>196</v>
      </c>
      <c r="C85" s="250">
        <f>+RUBROS!$AP$42</f>
        <v>12.938273064269636</v>
      </c>
      <c r="D85" s="173">
        <f>+C85</f>
        <v>12.938273064269636</v>
      </c>
      <c r="E85" s="173">
        <f>+C85</f>
        <v>12.938273064269636</v>
      </c>
      <c r="F85" s="173"/>
      <c r="G85" s="173">
        <f>+C85</f>
        <v>12.938273064269636</v>
      </c>
      <c r="H85" s="173">
        <f>+C85</f>
        <v>12.938273064269636</v>
      </c>
      <c r="I85" s="247">
        <f>+C85</f>
        <v>12.938273064269636</v>
      </c>
      <c r="J85" s="173">
        <f>+I85</f>
        <v>12.938273064269636</v>
      </c>
      <c r="K85" s="146">
        <f>+I85</f>
        <v>12.938273064269636</v>
      </c>
    </row>
    <row r="86" spans="1:11" ht="15" hidden="1" thickTop="1" x14ac:dyDescent="0.3">
      <c r="A86" s="143"/>
      <c r="B86" s="149" t="s">
        <v>197</v>
      </c>
      <c r="C86" s="250"/>
      <c r="D86" s="173"/>
      <c r="E86" s="173"/>
      <c r="F86" s="173"/>
      <c r="G86" s="173"/>
      <c r="H86" s="173"/>
      <c r="I86" s="247"/>
      <c r="J86" s="173"/>
      <c r="K86" s="146">
        <f>+C86</f>
        <v>0</v>
      </c>
    </row>
    <row r="87" spans="1:11" ht="15" hidden="1" thickTop="1" x14ac:dyDescent="0.3">
      <c r="A87" s="150" t="s">
        <v>198</v>
      </c>
      <c r="B87" s="180" t="s">
        <v>199</v>
      </c>
      <c r="C87" s="251">
        <f>SUM(C79:C86)</f>
        <v>5046.1878747429619</v>
      </c>
      <c r="D87" s="251">
        <f t="shared" ref="D87:K87" si="9">SUM(D79:D86)</f>
        <v>5367.6762747429611</v>
      </c>
      <c r="E87" s="251">
        <f t="shared" si="9"/>
        <v>4788.7844747429626</v>
      </c>
      <c r="F87" s="251"/>
      <c r="G87" s="251">
        <f t="shared" si="9"/>
        <v>6703.3434747429619</v>
      </c>
      <c r="H87" s="251">
        <f t="shared" si="9"/>
        <v>4406.6378747429617</v>
      </c>
      <c r="I87" s="253" t="e">
        <f t="shared" si="9"/>
        <v>#REF!</v>
      </c>
      <c r="J87" s="251" t="e">
        <f t="shared" si="9"/>
        <v>#REF!</v>
      </c>
      <c r="K87" s="254" t="e">
        <f t="shared" si="9"/>
        <v>#REF!</v>
      </c>
    </row>
    <row r="88" spans="1:11" ht="15" hidden="1" thickTop="1" x14ac:dyDescent="0.3">
      <c r="A88" s="143" t="s">
        <v>200</v>
      </c>
      <c r="B88" s="149" t="s">
        <v>265</v>
      </c>
      <c r="C88" s="268" t="s">
        <v>232</v>
      </c>
      <c r="D88" s="173" t="str">
        <f>+C88</f>
        <v>***</v>
      </c>
      <c r="E88" s="173" t="str">
        <f>+C88</f>
        <v>***</v>
      </c>
      <c r="F88" s="173"/>
      <c r="G88" s="173" t="str">
        <f>+E88</f>
        <v>***</v>
      </c>
      <c r="H88" s="173" t="str">
        <f>+E88</f>
        <v>***</v>
      </c>
      <c r="I88" s="247" t="str">
        <f>K88</f>
        <v>***</v>
      </c>
      <c r="J88" s="173" t="str">
        <f>+K88</f>
        <v>***</v>
      </c>
      <c r="K88" s="146" t="str">
        <f>+E88</f>
        <v>***</v>
      </c>
    </row>
    <row r="89" spans="1:11" ht="15" hidden="1" thickTop="1" x14ac:dyDescent="0.3">
      <c r="A89" s="143" t="s">
        <v>202</v>
      </c>
      <c r="B89" s="149" t="s">
        <v>203</v>
      </c>
      <c r="C89" s="267" t="s">
        <v>230</v>
      </c>
      <c r="D89" s="173" t="str">
        <f>+C89</f>
        <v>**</v>
      </c>
      <c r="E89" s="173" t="str">
        <f>+C89</f>
        <v>**</v>
      </c>
      <c r="F89" s="173"/>
      <c r="G89" s="173" t="str">
        <f>+C89</f>
        <v>**</v>
      </c>
      <c r="H89" s="173" t="str">
        <f>+C89</f>
        <v>**</v>
      </c>
      <c r="I89" s="247" t="e">
        <f>+#REF!</f>
        <v>#REF!</v>
      </c>
      <c r="J89" s="173" t="e">
        <f>+I89</f>
        <v>#REF!</v>
      </c>
      <c r="K89" s="146" t="e">
        <f>+J89</f>
        <v>#REF!</v>
      </c>
    </row>
    <row r="90" spans="1:11" ht="15" hidden="1" thickTop="1" x14ac:dyDescent="0.3">
      <c r="A90" s="143" t="s">
        <v>204</v>
      </c>
      <c r="B90" s="218" t="s">
        <v>139</v>
      </c>
      <c r="C90" s="255">
        <f>+E90</f>
        <v>0</v>
      </c>
      <c r="D90" s="173">
        <f t="shared" ref="D90" si="10">+E90</f>
        <v>0</v>
      </c>
      <c r="E90" s="179">
        <f>+A185</f>
        <v>0</v>
      </c>
      <c r="F90" s="179"/>
      <c r="G90" s="179">
        <f>+E90</f>
        <v>0</v>
      </c>
      <c r="H90" s="179">
        <f>+A185</f>
        <v>0</v>
      </c>
      <c r="I90" s="270">
        <f>C90</f>
        <v>0</v>
      </c>
      <c r="J90" s="173">
        <f>+K90</f>
        <v>0</v>
      </c>
      <c r="K90" s="148">
        <f>I90</f>
        <v>0</v>
      </c>
    </row>
    <row r="91" spans="1:11" ht="15" hidden="1" thickTop="1" x14ac:dyDescent="0.3">
      <c r="A91" s="150" t="s">
        <v>206</v>
      </c>
      <c r="B91" s="180" t="s">
        <v>207</v>
      </c>
      <c r="C91" s="256">
        <f t="shared" ref="C91:K91" si="11">+C87</f>
        <v>5046.1878747429619</v>
      </c>
      <c r="D91" s="181">
        <f t="shared" si="11"/>
        <v>5367.6762747429611</v>
      </c>
      <c r="E91" s="181">
        <f t="shared" si="11"/>
        <v>4788.7844747429626</v>
      </c>
      <c r="F91" s="181"/>
      <c r="G91" s="181">
        <f t="shared" si="11"/>
        <v>6703.3434747429619</v>
      </c>
      <c r="H91" s="181">
        <f t="shared" si="11"/>
        <v>4406.6378747429617</v>
      </c>
      <c r="I91" s="253" t="e">
        <f t="shared" si="11"/>
        <v>#REF!</v>
      </c>
      <c r="J91" s="181" t="e">
        <f t="shared" si="11"/>
        <v>#REF!</v>
      </c>
      <c r="K91" s="152" t="e">
        <f t="shared" si="11"/>
        <v>#REF!</v>
      </c>
    </row>
    <row r="92" spans="1:11" ht="15" hidden="1" thickTop="1" x14ac:dyDescent="0.3">
      <c r="A92" s="143" t="s">
        <v>208</v>
      </c>
      <c r="B92" s="149" t="s">
        <v>160</v>
      </c>
      <c r="C92" s="250" t="str">
        <f>+E92</f>
        <v>***</v>
      </c>
      <c r="D92" s="173" t="str">
        <f t="shared" ref="D92" si="12">+E92</f>
        <v>***</v>
      </c>
      <c r="E92" s="173" t="str">
        <f t="shared" ref="E92" si="13">+E88</f>
        <v>***</v>
      </c>
      <c r="F92" s="173"/>
      <c r="G92" s="173" t="str">
        <f>+E92</f>
        <v>***</v>
      </c>
      <c r="H92" s="173" t="str">
        <f>+H88</f>
        <v>***</v>
      </c>
      <c r="I92" s="247" t="str">
        <f>K92</f>
        <v>***</v>
      </c>
      <c r="J92" s="173" t="str">
        <f>+K92</f>
        <v>***</v>
      </c>
      <c r="K92" s="146" t="str">
        <f>+K88</f>
        <v>***</v>
      </c>
    </row>
    <row r="93" spans="1:11" ht="15" hidden="1" thickTop="1" x14ac:dyDescent="0.3">
      <c r="A93" s="143" t="s">
        <v>209</v>
      </c>
      <c r="B93" s="144" t="s">
        <v>210</v>
      </c>
      <c r="C93" s="257" t="s">
        <v>236</v>
      </c>
      <c r="D93" s="173" t="str">
        <f>+C93</f>
        <v>*****</v>
      </c>
      <c r="E93" s="173" t="s">
        <v>211</v>
      </c>
      <c r="F93" s="173"/>
      <c r="G93" s="173" t="str">
        <f>+E93</f>
        <v>N.A</v>
      </c>
      <c r="H93" s="173" t="s">
        <v>211</v>
      </c>
      <c r="I93" s="247" t="e">
        <f>+#REF!</f>
        <v>#REF!</v>
      </c>
      <c r="J93" s="173" t="s">
        <v>254</v>
      </c>
      <c r="K93" s="146" t="e">
        <f>+#REF!</f>
        <v>#REF!</v>
      </c>
    </row>
    <row r="94" spans="1:11" ht="15" hidden="1" thickTop="1" x14ac:dyDescent="0.3">
      <c r="A94" s="143" t="s">
        <v>212</v>
      </c>
      <c r="B94" s="144" t="s">
        <v>213</v>
      </c>
      <c r="C94" s="257" t="s">
        <v>237</v>
      </c>
      <c r="D94" s="173" t="str">
        <f>+C94</f>
        <v>******</v>
      </c>
      <c r="E94" s="173" t="str">
        <f>+C94</f>
        <v>******</v>
      </c>
      <c r="F94" s="173"/>
      <c r="G94" s="173" t="str">
        <f>+C94</f>
        <v>******</v>
      </c>
      <c r="H94" s="173" t="str">
        <f>+C94</f>
        <v>******</v>
      </c>
      <c r="I94" s="247" t="str">
        <f>+C94</f>
        <v>******</v>
      </c>
      <c r="J94" s="173" t="str">
        <f>+C94</f>
        <v>******</v>
      </c>
      <c r="K94" s="146" t="str">
        <f>+C94</f>
        <v>******</v>
      </c>
    </row>
    <row r="95" spans="1:11" ht="15.6" hidden="1" thickTop="1" thickBot="1" x14ac:dyDescent="0.35">
      <c r="A95" s="154" t="s">
        <v>214</v>
      </c>
      <c r="B95" s="155" t="s">
        <v>215</v>
      </c>
      <c r="C95" s="258"/>
      <c r="D95" s="183"/>
      <c r="E95" s="183"/>
      <c r="F95" s="183"/>
      <c r="G95" s="183"/>
      <c r="H95" s="183"/>
      <c r="I95" s="404"/>
      <c r="J95" s="405"/>
      <c r="K95" s="406"/>
    </row>
    <row r="96" spans="1:11" ht="15" hidden="1" thickTop="1" x14ac:dyDescent="0.3">
      <c r="A96" s="159"/>
      <c r="B96" s="160"/>
      <c r="C96" s="160"/>
      <c r="D96" s="161"/>
      <c r="E96" s="161"/>
      <c r="F96" s="161"/>
      <c r="G96" s="161"/>
      <c r="H96" s="161"/>
      <c r="I96" s="161"/>
      <c r="J96" s="161"/>
      <c r="K96" s="161"/>
    </row>
    <row r="97" spans="1:11" ht="15" hidden="1" thickTop="1" x14ac:dyDescent="0.3">
      <c r="A97" s="159"/>
      <c r="B97" s="160"/>
      <c r="C97" s="160"/>
      <c r="D97" s="161"/>
      <c r="E97" s="161"/>
      <c r="F97" s="161"/>
      <c r="G97" s="161"/>
      <c r="H97" s="161"/>
      <c r="I97" s="161"/>
      <c r="J97" s="161"/>
      <c r="K97" s="161"/>
    </row>
    <row r="98" spans="1:11" ht="15" hidden="1" thickTop="1" x14ac:dyDescent="0.3">
      <c r="A98" s="159"/>
      <c r="B98" s="160"/>
      <c r="C98" s="160"/>
      <c r="D98" s="161"/>
      <c r="E98" s="161"/>
      <c r="F98" s="161"/>
      <c r="G98" s="161"/>
      <c r="H98" s="161"/>
      <c r="I98" s="161"/>
      <c r="J98" s="161"/>
      <c r="K98" s="161"/>
    </row>
    <row r="99" spans="1:11" ht="15" thickTop="1" x14ac:dyDescent="0.3">
      <c r="A99" s="159"/>
      <c r="B99" s="160"/>
      <c r="C99" s="160"/>
      <c r="D99" s="161"/>
      <c r="E99" s="161"/>
      <c r="F99" s="161"/>
      <c r="G99" s="161"/>
      <c r="H99" s="161"/>
      <c r="I99" s="161"/>
      <c r="J99" s="161"/>
      <c r="K99" s="161"/>
    </row>
    <row r="100" spans="1:11" x14ac:dyDescent="0.3">
      <c r="A100" s="159"/>
      <c r="B100" s="160"/>
      <c r="C100" s="160"/>
      <c r="D100" s="161"/>
      <c r="E100" s="161"/>
      <c r="F100" s="161"/>
      <c r="G100" s="161"/>
      <c r="H100" s="161"/>
      <c r="I100" s="161"/>
      <c r="J100" s="161"/>
      <c r="K100" s="161"/>
    </row>
    <row r="101" spans="1:11" x14ac:dyDescent="0.3">
      <c r="A101" s="159"/>
      <c r="B101" s="266" t="s">
        <v>228</v>
      </c>
      <c r="C101" s="160"/>
      <c r="D101" s="161"/>
      <c r="E101" s="161"/>
      <c r="F101" s="161"/>
      <c r="G101" s="161"/>
      <c r="H101" s="161"/>
      <c r="I101" s="161"/>
      <c r="J101" s="161"/>
      <c r="K101" s="161"/>
    </row>
    <row r="102" spans="1:11" x14ac:dyDescent="0.3">
      <c r="A102" s="159"/>
      <c r="B102" s="160"/>
      <c r="C102" s="160"/>
      <c r="D102" s="161"/>
      <c r="E102" s="161"/>
      <c r="F102" s="161"/>
      <c r="G102" s="161"/>
      <c r="H102" s="161"/>
      <c r="I102" s="161"/>
      <c r="J102" s="161"/>
      <c r="K102" s="161"/>
    </row>
    <row r="103" spans="1:11" ht="19.649999999999999" customHeight="1" x14ac:dyDescent="0.3">
      <c r="A103" s="162" t="s">
        <v>190</v>
      </c>
      <c r="B103" s="853" t="str">
        <f>+BOYACA!B29</f>
        <v>De acuerdo con lo establecido en la Resolución MME 91349 de 2014</v>
      </c>
      <c r="C103" s="853"/>
      <c r="D103" s="853"/>
      <c r="E103" s="853"/>
      <c r="F103" s="853"/>
      <c r="G103" s="853"/>
      <c r="H103" s="853"/>
      <c r="I103" s="853"/>
      <c r="J103" s="161"/>
      <c r="K103" s="161"/>
    </row>
    <row r="104" spans="1:11" ht="24.75" customHeight="1" x14ac:dyDescent="0.3">
      <c r="A104" s="162" t="s">
        <v>217</v>
      </c>
      <c r="B104" s="838" t="s">
        <v>271</v>
      </c>
      <c r="C104" s="838"/>
      <c r="D104" s="838"/>
      <c r="E104" s="838"/>
      <c r="F104" s="838"/>
      <c r="G104" s="838"/>
      <c r="H104" s="838"/>
      <c r="I104" s="838"/>
      <c r="J104" s="161"/>
      <c r="K104" s="161"/>
    </row>
    <row r="105" spans="1:11" ht="39.15" customHeight="1" x14ac:dyDescent="0.3">
      <c r="A105" s="162" t="s">
        <v>133</v>
      </c>
      <c r="B105" s="853" t="s">
        <v>334</v>
      </c>
      <c r="C105" s="853"/>
      <c r="D105" s="853"/>
      <c r="E105" s="853"/>
      <c r="F105" s="853"/>
      <c r="G105" s="853"/>
      <c r="H105" s="853"/>
      <c r="I105" s="853"/>
      <c r="J105" s="161"/>
      <c r="K105" s="161"/>
    </row>
    <row r="106" spans="1:11" ht="7.5" customHeight="1" x14ac:dyDescent="0.3">
      <c r="A106" s="162"/>
      <c r="B106" s="217"/>
      <c r="C106" s="217"/>
      <c r="D106" s="217"/>
      <c r="E106" s="217"/>
      <c r="F106" s="550"/>
      <c r="G106" s="217"/>
      <c r="H106" s="217"/>
      <c r="I106" s="217"/>
      <c r="J106" s="161"/>
      <c r="K106" s="161"/>
    </row>
    <row r="107" spans="1:11" ht="25.5" customHeight="1" x14ac:dyDescent="0.3">
      <c r="A107" s="260">
        <v>2</v>
      </c>
      <c r="B107" s="889" t="s">
        <v>266</v>
      </c>
      <c r="C107" s="889"/>
      <c r="D107" s="889"/>
      <c r="E107" s="889"/>
      <c r="F107" s="889"/>
      <c r="G107" s="889"/>
      <c r="H107" s="889"/>
      <c r="I107" s="889"/>
      <c r="J107" s="889"/>
      <c r="K107" s="889"/>
    </row>
    <row r="108" spans="1:11" ht="39" customHeight="1" x14ac:dyDescent="0.3">
      <c r="A108" s="162"/>
      <c r="B108" s="853" t="s">
        <v>518</v>
      </c>
      <c r="C108" s="853"/>
      <c r="D108" s="853"/>
      <c r="E108" s="853"/>
      <c r="F108" s="853"/>
      <c r="G108" s="853"/>
      <c r="H108" s="853"/>
      <c r="I108" s="853"/>
      <c r="J108" s="853"/>
      <c r="K108" s="853"/>
    </row>
    <row r="109" spans="1:11" x14ac:dyDescent="0.3">
      <c r="A109" s="185" t="s">
        <v>102</v>
      </c>
      <c r="B109" s="839" t="s">
        <v>229</v>
      </c>
      <c r="C109" s="839"/>
      <c r="D109" s="839"/>
      <c r="E109" s="839"/>
      <c r="F109" s="839"/>
      <c r="G109" s="839"/>
      <c r="H109" s="839"/>
      <c r="I109" s="839"/>
      <c r="J109" s="261"/>
      <c r="K109" s="261"/>
    </row>
    <row r="110" spans="1:11" x14ac:dyDescent="0.3">
      <c r="A110" s="185" t="s">
        <v>230</v>
      </c>
      <c r="B110" s="839" t="s">
        <v>262</v>
      </c>
      <c r="C110" s="839"/>
      <c r="D110" s="839"/>
      <c r="E110" s="839"/>
      <c r="F110" s="839"/>
      <c r="G110" s="839"/>
      <c r="H110" s="839"/>
      <c r="I110" s="839"/>
      <c r="J110" s="839"/>
      <c r="K110" s="839"/>
    </row>
    <row r="111" spans="1:11" x14ac:dyDescent="0.3">
      <c r="A111" s="185" t="s">
        <v>232</v>
      </c>
      <c r="B111" s="839" t="s">
        <v>272</v>
      </c>
      <c r="C111" s="839"/>
      <c r="D111" s="839"/>
      <c r="E111" s="839"/>
      <c r="F111" s="839"/>
      <c r="G111" s="839"/>
      <c r="H111" s="839"/>
      <c r="I111" s="839"/>
      <c r="J111" s="839"/>
      <c r="K111" s="839"/>
    </row>
    <row r="112" spans="1:11" ht="17.7" customHeight="1" x14ac:dyDescent="0.3">
      <c r="A112" s="185" t="s">
        <v>234</v>
      </c>
      <c r="B112" s="839" t="s">
        <v>472</v>
      </c>
      <c r="C112" s="839"/>
      <c r="D112" s="839"/>
      <c r="E112" s="839"/>
      <c r="F112" s="839"/>
      <c r="G112" s="839"/>
      <c r="H112" s="839"/>
      <c r="I112" s="839"/>
      <c r="J112" s="839"/>
      <c r="K112" s="839"/>
    </row>
    <row r="113" spans="1:11" x14ac:dyDescent="0.3">
      <c r="A113" s="185" t="s">
        <v>236</v>
      </c>
      <c r="B113" s="839" t="s">
        <v>238</v>
      </c>
      <c r="C113" s="839"/>
      <c r="D113" s="839"/>
      <c r="E113" s="839"/>
      <c r="F113" s="839"/>
      <c r="G113" s="839"/>
      <c r="H113" s="839"/>
      <c r="I113" s="190"/>
      <c r="J113" s="262"/>
      <c r="K113" s="262"/>
    </row>
    <row r="114" spans="1:11" x14ac:dyDescent="0.3">
      <c r="A114" s="185" t="s">
        <v>237</v>
      </c>
      <c r="B114" s="839" t="s">
        <v>268</v>
      </c>
      <c r="C114" s="839"/>
      <c r="D114" s="839"/>
      <c r="E114" s="839"/>
      <c r="F114" s="839"/>
      <c r="G114" s="839"/>
      <c r="H114" s="839"/>
      <c r="I114" s="839"/>
      <c r="J114" s="839"/>
      <c r="K114" s="839"/>
    </row>
    <row r="115" spans="1:11" ht="38.700000000000003" customHeight="1" x14ac:dyDescent="0.3">
      <c r="A115" s="243"/>
      <c r="B115" s="839" t="s">
        <v>477</v>
      </c>
      <c r="C115" s="839"/>
      <c r="D115" s="839"/>
      <c r="E115" s="839"/>
      <c r="F115" s="839"/>
      <c r="G115" s="839"/>
      <c r="H115" s="839"/>
      <c r="I115" s="244"/>
      <c r="J115" s="244"/>
      <c r="K115" s="244"/>
    </row>
    <row r="116" spans="1:11" ht="45.9" customHeight="1" x14ac:dyDescent="0.3">
      <c r="A116" s="243"/>
      <c r="B116" s="511"/>
      <c r="C116" s="511"/>
      <c r="D116" s="511"/>
      <c r="E116" s="511"/>
      <c r="F116" s="549"/>
      <c r="G116" s="511"/>
      <c r="H116" s="511"/>
      <c r="I116" s="244"/>
      <c r="J116" s="244"/>
      <c r="K116" s="244"/>
    </row>
    <row r="117" spans="1:11" ht="87.9" customHeight="1" x14ac:dyDescent="0.3">
      <c r="A117" s="862" t="s">
        <v>147</v>
      </c>
      <c r="B117" s="862"/>
      <c r="C117" s="862"/>
      <c r="D117" s="862"/>
      <c r="E117" s="862"/>
      <c r="F117" s="862"/>
      <c r="G117" s="862"/>
      <c r="H117" s="862"/>
      <c r="I117" s="862"/>
    </row>
  </sheetData>
  <sheetProtection algorithmName="SHA-512" hashValue="oJFxOf0Z0rAP/TE3R4JUPsBCcexBB/ughKH1aApyeOloELHqdHq+4XFi/WQKOQfbpaMCtUAtisQZlczUyK5X3Q==" saltValue="VT9F927/iTMTj2PW5PDO/A==" spinCount="100000" sheet="1" objects="1" scenarios="1"/>
  <mergeCells count="37">
    <mergeCell ref="A29:A31"/>
    <mergeCell ref="B29:B31"/>
    <mergeCell ref="C29:C30"/>
    <mergeCell ref="G29:G30"/>
    <mergeCell ref="B107:K107"/>
    <mergeCell ref="B104:I104"/>
    <mergeCell ref="C50:H51"/>
    <mergeCell ref="I50:K51"/>
    <mergeCell ref="A52:A54"/>
    <mergeCell ref="B52:B54"/>
    <mergeCell ref="C52:C53"/>
    <mergeCell ref="H52:H53"/>
    <mergeCell ref="C74:H75"/>
    <mergeCell ref="I74:K75"/>
    <mergeCell ref="A76:A78"/>
    <mergeCell ref="B76:B78"/>
    <mergeCell ref="A117:I117"/>
    <mergeCell ref="B103:I103"/>
    <mergeCell ref="B105:I105"/>
    <mergeCell ref="B114:K114"/>
    <mergeCell ref="B110:K110"/>
    <mergeCell ref="B111:K111"/>
    <mergeCell ref="B112:K112"/>
    <mergeCell ref="B113:H113"/>
    <mergeCell ref="B115:H115"/>
    <mergeCell ref="B108:K108"/>
    <mergeCell ref="H3:J4"/>
    <mergeCell ref="A5:A7"/>
    <mergeCell ref="B5:B7"/>
    <mergeCell ref="C5:C6"/>
    <mergeCell ref="G5:G6"/>
    <mergeCell ref="C3:G4"/>
    <mergeCell ref="C76:C77"/>
    <mergeCell ref="H76:H77"/>
    <mergeCell ref="B109:I109"/>
    <mergeCell ref="H27:H28"/>
    <mergeCell ref="C27:G28"/>
  </mergeCells>
  <hyperlinks>
    <hyperlink ref="B101" location="CESAR!A66" display="Ver Nota Informativa" xr:uid="{00000000-0004-0000-0B00-000001000000}"/>
  </hyperlinks>
  <pageMargins left="0.7" right="0.7" top="0.75" bottom="0.75" header="0.3" footer="0.3"/>
  <pageSetup orientation="portrait" r:id="rId1"/>
  <ignoredErrors>
    <ignoredError sqref="C17:C19 J15 F12:G12 D13:E14 C12:E12 F14:G14 F13:G13 J13 H12:J12 H14:J14" numberStoredAsText="1"/>
    <ignoredError sqref="D40:D47 F20:G20 K40:K47 C20:E20 H20:J20" formula="1"/>
    <ignoredError sqref="F17:G17 F21:G21 G16 C21:E23 D16:E19 F19:G19 F18:G18 I18:J18 F23:G23 F22:G22 I22:J22 H17:J17 H21:J21 H16:J16 H19:J19 H23:J23"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O41"/>
  <sheetViews>
    <sheetView topLeftCell="A4" zoomScale="90" zoomScaleNormal="90" workbookViewId="0">
      <selection activeCell="P5" sqref="P5"/>
    </sheetView>
  </sheetViews>
  <sheetFormatPr baseColWidth="10" defaultColWidth="45" defaultRowHeight="14.4" x14ac:dyDescent="0.3"/>
  <cols>
    <col min="1" max="1" width="7" customWidth="1"/>
    <col min="2" max="2" width="48" customWidth="1"/>
    <col min="3" max="3" width="15.33203125" bestFit="1" customWidth="1"/>
    <col min="4" max="4" width="15.33203125" hidden="1" customWidth="1"/>
    <col min="5" max="5" width="15.33203125" style="685" customWidth="1"/>
    <col min="6" max="6" width="12.88671875" hidden="1" customWidth="1"/>
    <col min="7" max="7" width="12.88671875" style="685" customWidth="1"/>
    <col min="8" max="8" width="15.109375" hidden="1" customWidth="1"/>
    <col min="9" max="9" width="15" customWidth="1"/>
    <col min="10" max="10" width="17.21875" hidden="1" customWidth="1"/>
    <col min="11" max="11" width="17.21875" style="685" customWidth="1"/>
    <col min="12" max="12" width="15.6640625" style="685" customWidth="1"/>
    <col min="13" max="13" width="19.109375" hidden="1" customWidth="1"/>
    <col min="14" max="14" width="33.109375" customWidth="1"/>
    <col min="15" max="15" width="17.33203125" hidden="1" customWidth="1"/>
  </cols>
  <sheetData>
    <row r="1" spans="1:15" x14ac:dyDescent="0.3">
      <c r="A1" s="243" t="s">
        <v>158</v>
      </c>
      <c r="B1" s="139" t="str">
        <f>+AMAZONAS!C1</f>
        <v>Vigencia: 12 de marzo de 2022; 00:00 horas</v>
      </c>
      <c r="C1" s="139"/>
      <c r="D1" s="244"/>
      <c r="E1" s="244"/>
      <c r="F1" s="244"/>
      <c r="G1" s="244"/>
      <c r="H1" s="244"/>
      <c r="I1" s="244"/>
      <c r="J1" s="244"/>
      <c r="K1" s="244"/>
      <c r="L1" s="244"/>
      <c r="M1" s="244"/>
    </row>
    <row r="2" spans="1:15" ht="15" thickBot="1" x14ac:dyDescent="0.35">
      <c r="A2" s="165" t="s">
        <v>179</v>
      </c>
      <c r="B2" s="166"/>
      <c r="C2" s="166"/>
      <c r="D2" s="166"/>
      <c r="E2" s="166"/>
      <c r="F2" s="166"/>
      <c r="G2" s="166"/>
      <c r="H2" s="166"/>
      <c r="I2" s="166"/>
      <c r="J2" s="245"/>
      <c r="K2" s="245"/>
      <c r="L2" s="245"/>
      <c r="M2" s="166"/>
    </row>
    <row r="3" spans="1:15" ht="15" thickTop="1" x14ac:dyDescent="0.3">
      <c r="A3" s="195"/>
      <c r="B3" s="168" t="s">
        <v>275</v>
      </c>
      <c r="C3" s="842" t="s">
        <v>180</v>
      </c>
      <c r="D3" s="843"/>
      <c r="E3" s="843"/>
      <c r="F3" s="843"/>
      <c r="G3" s="843"/>
      <c r="H3" s="843"/>
      <c r="I3" s="843"/>
      <c r="J3" s="879" t="s">
        <v>250</v>
      </c>
      <c r="K3" s="883"/>
      <c r="L3" s="883"/>
      <c r="M3" s="884"/>
    </row>
    <row r="4" spans="1:15" ht="67.5" customHeight="1" x14ac:dyDescent="0.3">
      <c r="A4" s="169"/>
      <c r="B4" s="272" t="s">
        <v>478</v>
      </c>
      <c r="C4" s="844"/>
      <c r="D4" s="845"/>
      <c r="E4" s="845"/>
      <c r="F4" s="845"/>
      <c r="G4" s="845"/>
      <c r="H4" s="845"/>
      <c r="I4" s="845"/>
      <c r="J4" s="890"/>
      <c r="K4" s="891"/>
      <c r="L4" s="891"/>
      <c r="M4" s="892"/>
    </row>
    <row r="5" spans="1:15" ht="26.4" customHeight="1" x14ac:dyDescent="0.3">
      <c r="A5" s="855" t="s">
        <v>181</v>
      </c>
      <c r="B5" s="857" t="s">
        <v>182</v>
      </c>
      <c r="C5" s="840" t="s">
        <v>241</v>
      </c>
      <c r="D5" s="171" t="s">
        <v>96</v>
      </c>
      <c r="E5" s="694" t="s">
        <v>96</v>
      </c>
      <c r="F5" s="171" t="s">
        <v>172</v>
      </c>
      <c r="G5" s="739" t="s">
        <v>408</v>
      </c>
      <c r="H5" s="171" t="s">
        <v>516</v>
      </c>
      <c r="I5" s="893" t="s">
        <v>269</v>
      </c>
      <c r="J5" s="279" t="s">
        <v>96</v>
      </c>
      <c r="K5" s="279" t="s">
        <v>96</v>
      </c>
      <c r="L5" s="739" t="s">
        <v>408</v>
      </c>
      <c r="M5" s="739" t="str">
        <f>+H5</f>
        <v>Biodiesel B11</v>
      </c>
    </row>
    <row r="6" spans="1:15" x14ac:dyDescent="0.3">
      <c r="A6" s="855"/>
      <c r="B6" s="857"/>
      <c r="C6" s="841"/>
      <c r="D6" s="576" t="s">
        <v>509</v>
      </c>
      <c r="E6" s="576" t="s">
        <v>515</v>
      </c>
      <c r="F6" s="189">
        <v>0.02</v>
      </c>
      <c r="G6" s="395">
        <v>0.1</v>
      </c>
      <c r="H6" s="395">
        <v>0.11</v>
      </c>
      <c r="I6" s="894"/>
      <c r="J6" s="552" t="str">
        <f>+D6</f>
        <v>Oxigena 5%</v>
      </c>
      <c r="K6" s="552" t="str">
        <f>+E6</f>
        <v>Oxigena 6%</v>
      </c>
      <c r="L6" s="281">
        <v>0.1</v>
      </c>
      <c r="M6" s="281">
        <f>+H6</f>
        <v>0.11</v>
      </c>
    </row>
    <row r="7" spans="1:15" x14ac:dyDescent="0.3">
      <c r="A7" s="856"/>
      <c r="B7" s="858"/>
      <c r="C7" s="141" t="s">
        <v>183</v>
      </c>
      <c r="D7" s="171" t="s">
        <v>183</v>
      </c>
      <c r="E7" s="694" t="s">
        <v>183</v>
      </c>
      <c r="F7" s="171" t="s">
        <v>183</v>
      </c>
      <c r="G7" s="739" t="s">
        <v>183</v>
      </c>
      <c r="H7" s="171" t="s">
        <v>183</v>
      </c>
      <c r="I7" s="246" t="s">
        <v>183</v>
      </c>
      <c r="J7" s="279" t="s">
        <v>183</v>
      </c>
      <c r="K7" s="279" t="s">
        <v>183</v>
      </c>
      <c r="L7" s="280" t="s">
        <v>183</v>
      </c>
      <c r="M7" s="280" t="s">
        <v>183</v>
      </c>
    </row>
    <row r="8" spans="1:15" x14ac:dyDescent="0.3">
      <c r="A8" s="143" t="s">
        <v>184</v>
      </c>
      <c r="B8" s="149" t="s">
        <v>185</v>
      </c>
      <c r="C8" s="264">
        <f>+'Calculo IP ZDF'!B33</f>
        <v>4842</v>
      </c>
      <c r="D8" s="264">
        <f>+'Calculo IP ZDF'!H33</f>
        <v>5252.3104999999996</v>
      </c>
      <c r="E8" s="704">
        <f>+'Calculo IP ZDF'!I33</f>
        <v>5334.3725999999997</v>
      </c>
      <c r="F8" s="264">
        <f>+'Calculo IP ZDF'!F33</f>
        <v>4332.8966</v>
      </c>
      <c r="G8" s="264">
        <f>+'Calculo IP ZDF'!K33</f>
        <v>5895.8309150000005</v>
      </c>
      <c r="H8" s="264">
        <f>+'Calculo IP ZDF'!J33</f>
        <v>6091.1975714999999</v>
      </c>
      <c r="I8" s="219">
        <f>+'Calculo IP ZDF'!C33</f>
        <v>3942.1643499999996</v>
      </c>
      <c r="J8" s="284">
        <f>+'GAS CTE'!E9</f>
        <v>5252.3104999999996</v>
      </c>
      <c r="K8" s="708">
        <f>+'GAS CTE'!F9</f>
        <v>5334.3725999999997</v>
      </c>
      <c r="L8" s="227">
        <f>+BIODIESEL!H9</f>
        <v>6110.2880000000005</v>
      </c>
      <c r="M8" s="227">
        <f>+BIODIESEL!I9</f>
        <v>6303.2718000000004</v>
      </c>
    </row>
    <row r="9" spans="1:15" x14ac:dyDescent="0.3">
      <c r="A9" s="143" t="s">
        <v>186</v>
      </c>
      <c r="B9" s="149" t="s">
        <v>187</v>
      </c>
      <c r="C9" s="199" t="str">
        <f>+F9</f>
        <v>------------------</v>
      </c>
      <c r="D9" s="199" t="s">
        <v>188</v>
      </c>
      <c r="E9" s="705" t="s">
        <v>188</v>
      </c>
      <c r="F9" s="199" t="s">
        <v>188</v>
      </c>
      <c r="G9" s="199" t="s">
        <v>188</v>
      </c>
      <c r="H9" s="199" t="s">
        <v>188</v>
      </c>
      <c r="I9" s="248" t="s">
        <v>188</v>
      </c>
      <c r="J9" s="249">
        <f>+'GAS CTE'!E10</f>
        <v>556.9375</v>
      </c>
      <c r="K9" s="709">
        <f>+'GAS CTE'!F10</f>
        <v>551.07499999999993</v>
      </c>
      <c r="L9" s="220">
        <f>+BIODIESEL!H10</f>
        <v>505.00800000000004</v>
      </c>
      <c r="M9" s="220">
        <f>+BIODIESEL!I10</f>
        <v>499.39679999999998</v>
      </c>
    </row>
    <row r="10" spans="1:15" x14ac:dyDescent="0.3">
      <c r="A10" s="143"/>
      <c r="B10" s="149" t="s">
        <v>132</v>
      </c>
      <c r="C10" s="199" t="str">
        <f>+F10</f>
        <v>------------------</v>
      </c>
      <c r="D10" s="199" t="s">
        <v>188</v>
      </c>
      <c r="E10" s="705" t="s">
        <v>188</v>
      </c>
      <c r="F10" s="199" t="s">
        <v>188</v>
      </c>
      <c r="G10" s="199" t="s">
        <v>188</v>
      </c>
      <c r="H10" s="199" t="s">
        <v>188</v>
      </c>
      <c r="I10" s="248" t="s">
        <v>188</v>
      </c>
      <c r="J10" s="249" t="s">
        <v>133</v>
      </c>
      <c r="K10" s="709" t="s">
        <v>133</v>
      </c>
      <c r="L10" s="220" t="s">
        <v>133</v>
      </c>
      <c r="M10" s="220" t="s">
        <v>133</v>
      </c>
    </row>
    <row r="11" spans="1:15" x14ac:dyDescent="0.3">
      <c r="A11" s="143"/>
      <c r="B11" s="149" t="s">
        <v>134</v>
      </c>
      <c r="C11" s="250" t="str">
        <f>+VAUPES!C11</f>
        <v>(4)</v>
      </c>
      <c r="D11" s="250" t="str">
        <f t="shared" ref="D11:E14" si="0">+C11</f>
        <v>(4)</v>
      </c>
      <c r="E11" s="706" t="str">
        <f t="shared" si="0"/>
        <v>(4)</v>
      </c>
      <c r="F11" s="250" t="str">
        <f>+C11</f>
        <v>(4)</v>
      </c>
      <c r="G11" s="250" t="s">
        <v>218</v>
      </c>
      <c r="H11" s="250" t="str">
        <f>+C11</f>
        <v>(4)</v>
      </c>
      <c r="I11" s="219" t="str">
        <f>+C11</f>
        <v>(4)</v>
      </c>
      <c r="J11" s="249" t="str">
        <f>+C11</f>
        <v>(4)</v>
      </c>
      <c r="K11" s="709" t="str">
        <f>+D11</f>
        <v>(4)</v>
      </c>
      <c r="L11" s="220" t="str">
        <f>+C11</f>
        <v>(4)</v>
      </c>
      <c r="M11" s="220" t="str">
        <f>+D11</f>
        <v>(4)</v>
      </c>
    </row>
    <row r="12" spans="1:15" x14ac:dyDescent="0.3">
      <c r="A12" s="143" t="s">
        <v>189</v>
      </c>
      <c r="B12" s="149" t="s">
        <v>270</v>
      </c>
      <c r="C12" s="267" t="s">
        <v>217</v>
      </c>
      <c r="D12" s="199" t="str">
        <f t="shared" si="0"/>
        <v>(2)</v>
      </c>
      <c r="E12" s="705" t="str">
        <f t="shared" si="0"/>
        <v>(2)</v>
      </c>
      <c r="F12" s="199" t="str">
        <f>+C12</f>
        <v>(2)</v>
      </c>
      <c r="G12" s="199" t="s">
        <v>217</v>
      </c>
      <c r="H12" s="199" t="str">
        <f>+C12</f>
        <v>(2)</v>
      </c>
      <c r="I12" s="231" t="str">
        <f>+C12</f>
        <v>(2)</v>
      </c>
      <c r="J12" s="249" t="str">
        <f>+C12</f>
        <v>(2)</v>
      </c>
      <c r="K12" s="709" t="str">
        <f>+D12</f>
        <v>(2)</v>
      </c>
      <c r="L12" s="220" t="str">
        <f>+C12</f>
        <v>(2)</v>
      </c>
      <c r="M12" s="220" t="str">
        <f>+D12</f>
        <v>(2)</v>
      </c>
    </row>
    <row r="13" spans="1:15" x14ac:dyDescent="0.3">
      <c r="A13" s="143" t="s">
        <v>191</v>
      </c>
      <c r="B13" s="149" t="s">
        <v>192</v>
      </c>
      <c r="C13" s="250">
        <f>+RUBROS!AC13</f>
        <v>23.500029293035123</v>
      </c>
      <c r="D13" s="173">
        <f t="shared" si="0"/>
        <v>23.500029293035123</v>
      </c>
      <c r="E13" s="698">
        <f t="shared" si="0"/>
        <v>23.500029293035123</v>
      </c>
      <c r="F13" s="173">
        <f>+C13</f>
        <v>23.500029293035123</v>
      </c>
      <c r="G13" s="173">
        <f>+C13</f>
        <v>23.500029293035123</v>
      </c>
      <c r="H13" s="173">
        <f>+C13</f>
        <v>23.500029293035123</v>
      </c>
      <c r="I13" s="231">
        <f>+C13</f>
        <v>23.500029293035123</v>
      </c>
      <c r="J13" s="247">
        <f>+C13</f>
        <v>23.500029293035123</v>
      </c>
      <c r="K13" s="700">
        <f>+RUBROS!AD13</f>
        <v>23.500029293035123</v>
      </c>
      <c r="L13" s="146">
        <f>+C13</f>
        <v>23.500029293035123</v>
      </c>
      <c r="M13" s="146">
        <f>+C13</f>
        <v>23.500029293035123</v>
      </c>
      <c r="O13" s="443" t="s">
        <v>426</v>
      </c>
    </row>
    <row r="14" spans="1:15" x14ac:dyDescent="0.3">
      <c r="A14" s="143" t="s">
        <v>195</v>
      </c>
      <c r="B14" s="149" t="s">
        <v>196</v>
      </c>
      <c r="C14" s="250">
        <f>+RUBROS!AU43</f>
        <v>13.326421256197724</v>
      </c>
      <c r="D14" s="173">
        <f t="shared" si="0"/>
        <v>13.326421256197724</v>
      </c>
      <c r="E14" s="698">
        <f t="shared" si="0"/>
        <v>13.326421256197724</v>
      </c>
      <c r="F14" s="173">
        <f>+C14</f>
        <v>13.326421256197724</v>
      </c>
      <c r="G14" s="173">
        <f>+C14</f>
        <v>13.326421256197724</v>
      </c>
      <c r="H14" s="173">
        <f>+C14</f>
        <v>13.326421256197724</v>
      </c>
      <c r="I14" s="231">
        <f>+C14</f>
        <v>13.326421256197724</v>
      </c>
      <c r="J14" s="247">
        <f>+C14</f>
        <v>13.326421256197724</v>
      </c>
      <c r="K14" s="201">
        <f>+J14</f>
        <v>13.326421256197724</v>
      </c>
      <c r="L14" s="146">
        <f>+J14</f>
        <v>13.326421256197724</v>
      </c>
      <c r="M14" s="146">
        <f>+J14</f>
        <v>13.326421256197724</v>
      </c>
      <c r="O14" s="443" t="s">
        <v>426</v>
      </c>
    </row>
    <row r="15" spans="1:15" ht="14.25" hidden="1" customHeight="1" x14ac:dyDescent="0.3">
      <c r="A15" s="143"/>
      <c r="B15" s="149" t="s">
        <v>197</v>
      </c>
      <c r="C15" s="250"/>
      <c r="D15" s="173"/>
      <c r="E15" s="173"/>
      <c r="F15" s="173"/>
      <c r="G15" s="173"/>
      <c r="H15" s="173"/>
      <c r="I15" s="231"/>
      <c r="J15" s="247"/>
      <c r="K15" s="201"/>
      <c r="L15" s="146"/>
      <c r="M15" s="146"/>
      <c r="O15" t="s">
        <v>428</v>
      </c>
    </row>
    <row r="16" spans="1:15" x14ac:dyDescent="0.3">
      <c r="A16" s="150" t="s">
        <v>198</v>
      </c>
      <c r="B16" s="180" t="s">
        <v>199</v>
      </c>
      <c r="C16" s="251">
        <f>SUM(C8:C15)</f>
        <v>4878.8264505492334</v>
      </c>
      <c r="D16" s="251">
        <f t="shared" ref="D16:M16" si="1">SUM(D8:D15)</f>
        <v>5289.136950549233</v>
      </c>
      <c r="E16" s="251">
        <f t="shared" si="1"/>
        <v>5371.1990505492331</v>
      </c>
      <c r="F16" s="251">
        <f t="shared" si="1"/>
        <v>4369.7230505492334</v>
      </c>
      <c r="G16" s="251">
        <f t="shared" si="1"/>
        <v>5932.6573655492339</v>
      </c>
      <c r="H16" s="251">
        <f t="shared" si="1"/>
        <v>6128.0240220492333</v>
      </c>
      <c r="I16" s="252">
        <f t="shared" si="1"/>
        <v>3978.9908005492321</v>
      </c>
      <c r="J16" s="253">
        <f t="shared" si="1"/>
        <v>5846.074450549233</v>
      </c>
      <c r="K16" s="253">
        <f t="shared" si="1"/>
        <v>5922.2740505492329</v>
      </c>
      <c r="L16" s="254">
        <f t="shared" si="1"/>
        <v>6652.1224505492337</v>
      </c>
      <c r="M16" s="254">
        <f t="shared" si="1"/>
        <v>6839.4950505492343</v>
      </c>
    </row>
    <row r="17" spans="1:13" x14ac:dyDescent="0.3">
      <c r="A17" s="143" t="s">
        <v>200</v>
      </c>
      <c r="B17" s="149" t="s">
        <v>265</v>
      </c>
      <c r="C17" s="268" t="s">
        <v>232</v>
      </c>
      <c r="D17" s="173" t="str">
        <f>+C17</f>
        <v>***</v>
      </c>
      <c r="E17" s="173" t="str">
        <f>+D17</f>
        <v>***</v>
      </c>
      <c r="F17" s="173" t="str">
        <f>+C17</f>
        <v>***</v>
      </c>
      <c r="G17" s="173" t="s">
        <v>232</v>
      </c>
      <c r="H17" s="173" t="str">
        <f>+F17</f>
        <v>***</v>
      </c>
      <c r="I17" s="231" t="str">
        <f>+F17</f>
        <v>***</v>
      </c>
      <c r="J17" s="247" t="str">
        <f>+I17</f>
        <v>***</v>
      </c>
      <c r="K17" s="247" t="str">
        <f>+J17</f>
        <v>***</v>
      </c>
      <c r="L17" s="146" t="s">
        <v>232</v>
      </c>
      <c r="M17" s="146" t="str">
        <f>+I17</f>
        <v>***</v>
      </c>
    </row>
    <row r="18" spans="1:13" x14ac:dyDescent="0.3">
      <c r="A18" s="143" t="s">
        <v>202</v>
      </c>
      <c r="B18" s="149" t="s">
        <v>203</v>
      </c>
      <c r="C18" s="267" t="s">
        <v>230</v>
      </c>
      <c r="D18" s="173" t="str">
        <f>+C18</f>
        <v>**</v>
      </c>
      <c r="E18" s="173" t="str">
        <f>+D18</f>
        <v>**</v>
      </c>
      <c r="F18" s="173" t="str">
        <f>+C18</f>
        <v>**</v>
      </c>
      <c r="G18" s="173" t="s">
        <v>230</v>
      </c>
      <c r="H18" s="173" t="str">
        <f>+C18</f>
        <v>**</v>
      </c>
      <c r="I18" s="231" t="str">
        <f>+C18</f>
        <v>**</v>
      </c>
      <c r="J18" s="247" t="str">
        <f>+C18</f>
        <v>**</v>
      </c>
      <c r="K18" s="247" t="str">
        <f>+D18</f>
        <v>**</v>
      </c>
      <c r="L18" s="146" t="s">
        <v>230</v>
      </c>
      <c r="M18" s="146" t="str">
        <f>+J18</f>
        <v>**</v>
      </c>
    </row>
    <row r="19" spans="1:13" x14ac:dyDescent="0.3">
      <c r="A19" s="143" t="s">
        <v>204</v>
      </c>
      <c r="B19" s="218" t="s">
        <v>139</v>
      </c>
      <c r="C19" s="255" t="str">
        <f>+F19</f>
        <v>****</v>
      </c>
      <c r="D19" s="173" t="str">
        <f t="shared" ref="D19:D21" si="2">+F19</f>
        <v>****</v>
      </c>
      <c r="E19" s="173" t="str">
        <f>+D19</f>
        <v>****</v>
      </c>
      <c r="F19" s="179" t="str">
        <f>+A37</f>
        <v>****</v>
      </c>
      <c r="G19" s="179" t="s">
        <v>234</v>
      </c>
      <c r="H19" s="179" t="str">
        <f>+F19</f>
        <v>****</v>
      </c>
      <c r="I19" s="219" t="str">
        <f>+A37</f>
        <v>****</v>
      </c>
      <c r="J19" s="270" t="str">
        <f>C19</f>
        <v>****</v>
      </c>
      <c r="K19" s="270" t="str">
        <f>D19</f>
        <v>****</v>
      </c>
      <c r="L19" s="146" t="s">
        <v>234</v>
      </c>
      <c r="M19" s="146" t="str">
        <f>+J19</f>
        <v>****</v>
      </c>
    </row>
    <row r="20" spans="1:13" x14ac:dyDescent="0.3">
      <c r="A20" s="150" t="s">
        <v>206</v>
      </c>
      <c r="B20" s="180" t="s">
        <v>207</v>
      </c>
      <c r="C20" s="256">
        <f t="shared" ref="C20:M20" si="3">+C16</f>
        <v>4878.8264505492334</v>
      </c>
      <c r="D20" s="181">
        <f t="shared" si="3"/>
        <v>5289.136950549233</v>
      </c>
      <c r="E20" s="181">
        <f t="shared" si="3"/>
        <v>5371.1990505492331</v>
      </c>
      <c r="F20" s="181">
        <f t="shared" si="3"/>
        <v>4369.7230505492334</v>
      </c>
      <c r="G20" s="181">
        <f t="shared" si="3"/>
        <v>5932.6573655492339</v>
      </c>
      <c r="H20" s="181">
        <f t="shared" si="3"/>
        <v>6128.0240220492333</v>
      </c>
      <c r="I20" s="232">
        <f t="shared" si="3"/>
        <v>3978.9908005492321</v>
      </c>
      <c r="J20" s="253">
        <f t="shared" si="3"/>
        <v>5846.074450549233</v>
      </c>
      <c r="K20" s="253">
        <f t="shared" ref="K20" si="4">+K16</f>
        <v>5922.2740505492329</v>
      </c>
      <c r="L20" s="152">
        <f t="shared" si="3"/>
        <v>6652.1224505492337</v>
      </c>
      <c r="M20" s="152">
        <f t="shared" si="3"/>
        <v>6839.4950505492343</v>
      </c>
    </row>
    <row r="21" spans="1:13" x14ac:dyDescent="0.3">
      <c r="A21" s="143" t="s">
        <v>208</v>
      </c>
      <c r="B21" s="149" t="s">
        <v>160</v>
      </c>
      <c r="C21" s="250" t="str">
        <f>+F21</f>
        <v>***</v>
      </c>
      <c r="D21" s="173" t="str">
        <f t="shared" si="2"/>
        <v>***</v>
      </c>
      <c r="E21" s="173" t="str">
        <f>+H21</f>
        <v>***</v>
      </c>
      <c r="F21" s="173" t="str">
        <f t="shared" ref="F21" si="5">+F17</f>
        <v>***</v>
      </c>
      <c r="G21" s="173" t="s">
        <v>232</v>
      </c>
      <c r="H21" s="173" t="str">
        <f>+F21</f>
        <v>***</v>
      </c>
      <c r="I21" s="231" t="str">
        <f>+I17</f>
        <v>***</v>
      </c>
      <c r="J21" s="247" t="str">
        <f>+I21</f>
        <v>***</v>
      </c>
      <c r="K21" s="247" t="str">
        <f>+J21</f>
        <v>***</v>
      </c>
      <c r="L21" s="146" t="s">
        <v>232</v>
      </c>
      <c r="M21" s="146" t="str">
        <f>+C21</f>
        <v>***</v>
      </c>
    </row>
    <row r="22" spans="1:13" x14ac:dyDescent="0.3">
      <c r="A22" s="143" t="s">
        <v>209</v>
      </c>
      <c r="B22" s="144" t="s">
        <v>210</v>
      </c>
      <c r="C22" s="257" t="s">
        <v>236</v>
      </c>
      <c r="D22" s="173" t="str">
        <f>+C22</f>
        <v>*****</v>
      </c>
      <c r="E22" s="173" t="str">
        <f>+D22</f>
        <v>*****</v>
      </c>
      <c r="F22" s="173" t="s">
        <v>211</v>
      </c>
      <c r="G22" s="173" t="s">
        <v>211</v>
      </c>
      <c r="H22" s="173" t="str">
        <f>+F22</f>
        <v>N.A</v>
      </c>
      <c r="I22" s="231" t="s">
        <v>211</v>
      </c>
      <c r="J22" s="247" t="str">
        <f>+D22</f>
        <v>*****</v>
      </c>
      <c r="K22" s="247" t="str">
        <f>+E22</f>
        <v>*****</v>
      </c>
      <c r="L22" s="146" t="s">
        <v>254</v>
      </c>
      <c r="M22" s="146" t="s">
        <v>254</v>
      </c>
    </row>
    <row r="23" spans="1:13" ht="17.399999999999999" customHeight="1" x14ac:dyDescent="0.3">
      <c r="A23" s="143" t="s">
        <v>212</v>
      </c>
      <c r="B23" s="144" t="s">
        <v>213</v>
      </c>
      <c r="C23" s="257" t="s">
        <v>237</v>
      </c>
      <c r="D23" s="173" t="str">
        <f>+C23</f>
        <v>******</v>
      </c>
      <c r="E23" s="173" t="str">
        <f>+D23</f>
        <v>******</v>
      </c>
      <c r="F23" s="173" t="str">
        <f>+C23</f>
        <v>******</v>
      </c>
      <c r="G23" s="173" t="s">
        <v>237</v>
      </c>
      <c r="H23" s="173" t="str">
        <f>+C23</f>
        <v>******</v>
      </c>
      <c r="I23" s="231" t="str">
        <f>+C23</f>
        <v>******</v>
      </c>
      <c r="J23" s="285" t="str">
        <f>+C23</f>
        <v>******</v>
      </c>
      <c r="K23" s="285" t="str">
        <f>+D23</f>
        <v>******</v>
      </c>
      <c r="L23" s="286" t="s">
        <v>237</v>
      </c>
      <c r="M23" s="286" t="str">
        <f>+C23</f>
        <v>******</v>
      </c>
    </row>
    <row r="24" spans="1:13" ht="15" thickBot="1" x14ac:dyDescent="0.35">
      <c r="A24" s="154" t="s">
        <v>214</v>
      </c>
      <c r="B24" s="155" t="s">
        <v>215</v>
      </c>
      <c r="C24" s="258"/>
      <c r="D24" s="183"/>
      <c r="E24" s="183"/>
      <c r="F24" s="183"/>
      <c r="G24" s="183"/>
      <c r="H24" s="183"/>
      <c r="I24" s="233"/>
      <c r="J24" s="282"/>
      <c r="K24" s="707"/>
      <c r="L24" s="707"/>
      <c r="M24" s="283"/>
    </row>
    <row r="25" spans="1:13" ht="15" thickTop="1" x14ac:dyDescent="0.3">
      <c r="A25" s="159"/>
      <c r="B25" s="160"/>
      <c r="C25" s="160"/>
      <c r="D25" s="161"/>
      <c r="E25" s="161"/>
      <c r="F25" s="161"/>
      <c r="G25" s="161"/>
      <c r="H25" s="161"/>
      <c r="I25" s="161"/>
      <c r="J25" s="161"/>
      <c r="K25" s="161"/>
      <c r="L25" s="161"/>
      <c r="M25" s="161"/>
    </row>
    <row r="26" spans="1:13" x14ac:dyDescent="0.3">
      <c r="A26" s="159"/>
      <c r="B26" s="160"/>
      <c r="C26" s="160"/>
      <c r="D26" s="161"/>
      <c r="E26" s="161"/>
      <c r="F26" s="161"/>
      <c r="G26" s="161"/>
      <c r="H26" s="161"/>
      <c r="I26" s="161"/>
      <c r="J26" s="161"/>
      <c r="K26" s="161"/>
      <c r="L26" s="161"/>
      <c r="M26" s="161"/>
    </row>
    <row r="27" spans="1:13" ht="15" customHeight="1" x14ac:dyDescent="0.3">
      <c r="A27" s="159"/>
      <c r="B27" s="266" t="s">
        <v>228</v>
      </c>
      <c r="C27" s="160"/>
      <c r="D27" s="161"/>
      <c r="E27" s="161"/>
      <c r="F27" s="161"/>
      <c r="G27" s="161"/>
      <c r="H27" s="161"/>
      <c r="I27" s="161"/>
      <c r="J27" s="161"/>
      <c r="K27" s="161"/>
      <c r="L27" s="161"/>
      <c r="M27" s="161"/>
    </row>
    <row r="28" spans="1:13" x14ac:dyDescent="0.3">
      <c r="A28" s="159"/>
      <c r="B28" s="160"/>
      <c r="C28" s="160"/>
      <c r="D28" s="161"/>
      <c r="E28" s="161"/>
      <c r="F28" s="161"/>
      <c r="G28" s="161"/>
      <c r="H28" s="161"/>
      <c r="I28" s="161"/>
      <c r="J28" s="161"/>
      <c r="K28" s="161"/>
      <c r="L28" s="161"/>
      <c r="M28" s="161"/>
    </row>
    <row r="29" spans="1:13" ht="19.649999999999999" customHeight="1" x14ac:dyDescent="0.3">
      <c r="A29" s="162" t="s">
        <v>190</v>
      </c>
      <c r="B29" s="853" t="str">
        <f>+CESAR!B103</f>
        <v>De acuerdo con lo establecido en la Resolución MME 91349 de 2014</v>
      </c>
      <c r="C29" s="853"/>
      <c r="D29" s="853"/>
      <c r="E29" s="853"/>
      <c r="F29" s="853"/>
      <c r="G29" s="853"/>
      <c r="H29" s="853"/>
      <c r="I29" s="853"/>
      <c r="J29" s="853"/>
      <c r="K29" s="689"/>
      <c r="L29" s="735"/>
      <c r="M29" s="161"/>
    </row>
    <row r="30" spans="1:13" ht="24.75" customHeight="1" x14ac:dyDescent="0.3">
      <c r="A30" s="162" t="s">
        <v>217</v>
      </c>
      <c r="B30" s="838" t="s">
        <v>271</v>
      </c>
      <c r="C30" s="838"/>
      <c r="D30" s="838"/>
      <c r="E30" s="838"/>
      <c r="F30" s="838"/>
      <c r="G30" s="838"/>
      <c r="H30" s="838"/>
      <c r="I30" s="838"/>
      <c r="J30" s="838"/>
      <c r="K30" s="838"/>
      <c r="L30" s="838"/>
      <c r="M30" s="838"/>
    </row>
    <row r="31" spans="1:13" ht="52.5" customHeight="1" x14ac:dyDescent="0.3">
      <c r="A31" s="162" t="s">
        <v>133</v>
      </c>
      <c r="B31" s="838" t="s">
        <v>334</v>
      </c>
      <c r="C31" s="838"/>
      <c r="D31" s="838"/>
      <c r="E31" s="838"/>
      <c r="F31" s="838"/>
      <c r="G31" s="838"/>
      <c r="H31" s="838"/>
      <c r="I31" s="838"/>
      <c r="J31" s="838"/>
      <c r="K31" s="838"/>
      <c r="L31" s="838"/>
      <c r="M31" s="838"/>
    </row>
    <row r="32" spans="1:13" ht="52.5" customHeight="1" x14ac:dyDescent="0.3">
      <c r="A32" s="187" t="s">
        <v>218</v>
      </c>
      <c r="B32" s="852" t="s">
        <v>409</v>
      </c>
      <c r="C32" s="852"/>
      <c r="D32" s="852"/>
      <c r="E32" s="852"/>
      <c r="F32" s="852"/>
      <c r="G32" s="852"/>
      <c r="H32" s="852"/>
      <c r="I32" s="852"/>
      <c r="J32" s="852"/>
      <c r="K32" s="852"/>
      <c r="L32" s="852"/>
      <c r="M32" s="852"/>
    </row>
    <row r="33" spans="1:14" ht="17.399999999999999" customHeight="1" x14ac:dyDescent="0.3">
      <c r="A33" s="162"/>
      <c r="B33" s="853"/>
      <c r="C33" s="853"/>
      <c r="D33" s="853"/>
      <c r="E33" s="853"/>
      <c r="F33" s="853"/>
      <c r="G33" s="853"/>
      <c r="H33" s="853"/>
      <c r="I33" s="853"/>
      <c r="J33" s="853"/>
      <c r="K33" s="853"/>
      <c r="L33" s="853"/>
      <c r="M33" s="853"/>
    </row>
    <row r="34" spans="1:14" x14ac:dyDescent="0.3">
      <c r="A34" s="185" t="s">
        <v>102</v>
      </c>
      <c r="B34" s="839" t="s">
        <v>229</v>
      </c>
      <c r="C34" s="839"/>
      <c r="D34" s="839"/>
      <c r="E34" s="839"/>
      <c r="F34" s="839"/>
      <c r="G34" s="839"/>
      <c r="H34" s="839"/>
      <c r="I34" s="839"/>
      <c r="J34" s="839"/>
      <c r="K34" s="686"/>
      <c r="L34" s="734"/>
      <c r="M34" s="261"/>
    </row>
    <row r="35" spans="1:14" ht="15" customHeight="1" x14ac:dyDescent="0.3">
      <c r="A35" s="185" t="s">
        <v>230</v>
      </c>
      <c r="B35" s="839" t="s">
        <v>262</v>
      </c>
      <c r="C35" s="839"/>
      <c r="D35" s="839"/>
      <c r="E35" s="839"/>
      <c r="F35" s="839"/>
      <c r="G35" s="839"/>
      <c r="H35" s="839"/>
      <c r="I35" s="839"/>
      <c r="J35" s="839"/>
      <c r="K35" s="839"/>
      <c r="L35" s="839"/>
      <c r="M35" s="839"/>
    </row>
    <row r="36" spans="1:14" ht="26.25" customHeight="1" x14ac:dyDescent="0.3">
      <c r="A36" s="185" t="s">
        <v>232</v>
      </c>
      <c r="B36" s="838" t="s">
        <v>272</v>
      </c>
      <c r="C36" s="838"/>
      <c r="D36" s="838"/>
      <c r="E36" s="838"/>
      <c r="F36" s="838"/>
      <c r="G36" s="838"/>
      <c r="H36" s="838"/>
      <c r="I36" s="838"/>
      <c r="J36" s="838"/>
      <c r="K36" s="838"/>
      <c r="L36" s="838"/>
      <c r="M36" s="838"/>
    </row>
    <row r="37" spans="1:14" x14ac:dyDescent="0.3">
      <c r="A37" s="185" t="s">
        <v>234</v>
      </c>
      <c r="B37" s="839" t="s">
        <v>472</v>
      </c>
      <c r="C37" s="839"/>
      <c r="D37" s="839"/>
      <c r="E37" s="839"/>
      <c r="F37" s="839"/>
      <c r="G37" s="839"/>
      <c r="H37" s="839"/>
      <c r="I37" s="839"/>
      <c r="J37" s="839"/>
      <c r="K37" s="839"/>
      <c r="L37" s="839"/>
      <c r="M37" s="839"/>
    </row>
    <row r="38" spans="1:14" x14ac:dyDescent="0.3">
      <c r="A38" s="185" t="s">
        <v>236</v>
      </c>
      <c r="B38" s="838" t="s">
        <v>238</v>
      </c>
      <c r="C38" s="838"/>
      <c r="D38" s="838"/>
      <c r="E38" s="838"/>
      <c r="F38" s="838"/>
      <c r="G38" s="838"/>
      <c r="H38" s="838"/>
      <c r="I38" s="838"/>
      <c r="J38" s="838"/>
      <c r="K38" s="838"/>
      <c r="L38" s="838"/>
      <c r="M38" s="838"/>
    </row>
    <row r="39" spans="1:14" x14ac:dyDescent="0.3">
      <c r="A39" s="185" t="s">
        <v>237</v>
      </c>
      <c r="B39" s="839" t="s">
        <v>268</v>
      </c>
      <c r="C39" s="839"/>
      <c r="D39" s="839"/>
      <c r="E39" s="839"/>
      <c r="F39" s="839"/>
      <c r="G39" s="839"/>
      <c r="H39" s="839"/>
      <c r="I39" s="839"/>
      <c r="J39" s="839"/>
      <c r="K39" s="839"/>
      <c r="L39" s="839"/>
      <c r="M39" s="839"/>
    </row>
    <row r="40" spans="1:14" x14ac:dyDescent="0.3">
      <c r="A40" s="243"/>
      <c r="B40" s="244"/>
      <c r="C40" s="244"/>
      <c r="D40" s="244"/>
      <c r="E40" s="244"/>
      <c r="F40" s="244"/>
      <c r="G40" s="244"/>
      <c r="H40" s="244"/>
      <c r="I40" s="244"/>
      <c r="J40" s="244"/>
      <c r="K40" s="244"/>
      <c r="L40" s="244"/>
      <c r="M40" s="244"/>
    </row>
    <row r="41" spans="1:14" ht="88.5" customHeight="1" x14ac:dyDescent="0.3">
      <c r="A41" s="862" t="s">
        <v>147</v>
      </c>
      <c r="B41" s="862"/>
      <c r="C41" s="862"/>
      <c r="D41" s="862"/>
      <c r="E41" s="862"/>
      <c r="F41" s="862"/>
      <c r="G41" s="862"/>
      <c r="H41" s="862"/>
      <c r="I41" s="862"/>
      <c r="J41" s="862"/>
      <c r="K41" s="862"/>
      <c r="L41" s="862"/>
      <c r="M41" s="862"/>
      <c r="N41" s="862"/>
    </row>
  </sheetData>
  <sheetProtection algorithmName="SHA-512" hashValue="HO6DhlNik/j4XJLqbVCdGJWWJw0bUXnPcp5mDiJUBwEzxGwilBzjPp+bqKhzH0ycuf1hlyENFuAKQvnO1GayRw==" saltValue="ILfVbvxT7E6KIjZatc0qFw==" spinCount="100000" sheet="1" objects="1" scenarios="1"/>
  <mergeCells count="18">
    <mergeCell ref="C3:I4"/>
    <mergeCell ref="J3:M4"/>
    <mergeCell ref="B31:M31"/>
    <mergeCell ref="A5:A7"/>
    <mergeCell ref="B5:B7"/>
    <mergeCell ref="C5:C6"/>
    <mergeCell ref="I5:I6"/>
    <mergeCell ref="B30:M30"/>
    <mergeCell ref="B29:J29"/>
    <mergeCell ref="B38:M38"/>
    <mergeCell ref="B32:M32"/>
    <mergeCell ref="A41:N41"/>
    <mergeCell ref="B36:M36"/>
    <mergeCell ref="B37:M37"/>
    <mergeCell ref="B39:M39"/>
    <mergeCell ref="B34:J34"/>
    <mergeCell ref="B35:M35"/>
    <mergeCell ref="B33:M33"/>
  </mergeCells>
  <hyperlinks>
    <hyperlink ref="B27" location="CHOCO!A40" display="Ver Nota Informativa" xr:uid="{00000000-0004-0000-0C00-000001000000}"/>
  </hyperlinks>
  <pageMargins left="0.7" right="0.7" top="0.75" bottom="0.75" header="0.3" footer="0.3"/>
  <pageSetup orientation="portrait" r:id="rId1"/>
  <ignoredErrors>
    <ignoredError sqref="M22 C21:D22 H22:J22 F22" numberStoredAsText="1"/>
    <ignoredError sqref="M12:M14 H12:J14 M16 D13:D14 C16:D19 C12:D12 H16:J16 F16 F12:F14" numberStoredAsText="1" formula="1"/>
    <ignoredError sqref="M17:M21 J11 H8:I10 C20:D20 C10:D10 H17:J21 F17:F20 F10"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P42"/>
  <sheetViews>
    <sheetView zoomScale="85" zoomScaleNormal="85" workbookViewId="0">
      <selection activeCell="I9" sqref="I9"/>
    </sheetView>
  </sheetViews>
  <sheetFormatPr baseColWidth="10" defaultRowHeight="14.4" x14ac:dyDescent="0.3"/>
  <cols>
    <col min="2" max="2" width="44.77734375" customWidth="1"/>
    <col min="3" max="3" width="12.33203125" customWidth="1"/>
    <col min="4" max="4" width="14.6640625" customWidth="1"/>
    <col min="5" max="5" width="12.5546875" hidden="1" customWidth="1"/>
    <col min="6" max="6" width="13.6640625" customWidth="1"/>
    <col min="7" max="7" width="16.109375" hidden="1" customWidth="1"/>
    <col min="8" max="8" width="16.21875" hidden="1" customWidth="1"/>
    <col min="9" max="9" width="16.109375" customWidth="1"/>
    <col min="10" max="10" width="15.6640625" customWidth="1"/>
    <col min="11" max="11" width="15.21875" customWidth="1"/>
  </cols>
  <sheetData>
    <row r="1" spans="1:10" x14ac:dyDescent="0.3">
      <c r="A1" s="138"/>
      <c r="B1" s="138" t="str">
        <f>+AMAZONAS!C1</f>
        <v>Vigencia: 12 de marzo de 2022; 00:00 horas</v>
      </c>
    </row>
    <row r="2" spans="1:10" ht="15" thickBot="1" x14ac:dyDescent="0.35">
      <c r="A2" s="165" t="s">
        <v>179</v>
      </c>
      <c r="B2" s="165"/>
    </row>
    <row r="3" spans="1:10" ht="15.9" customHeight="1" thickTop="1" x14ac:dyDescent="0.3">
      <c r="A3" s="195"/>
      <c r="B3" s="196" t="s">
        <v>276</v>
      </c>
      <c r="C3" s="863" t="s">
        <v>180</v>
      </c>
      <c r="D3" s="864"/>
      <c r="E3" s="864"/>
      <c r="F3" s="864"/>
      <c r="G3" s="865"/>
      <c r="H3" s="869" t="s">
        <v>250</v>
      </c>
      <c r="I3" s="895"/>
      <c r="J3" s="870"/>
    </row>
    <row r="4" spans="1:10" x14ac:dyDescent="0.3">
      <c r="A4" s="140"/>
      <c r="B4" s="287" t="s">
        <v>277</v>
      </c>
      <c r="C4" s="866"/>
      <c r="D4" s="867"/>
      <c r="E4" s="867"/>
      <c r="F4" s="867"/>
      <c r="G4" s="868"/>
      <c r="H4" s="871"/>
      <c r="I4" s="896"/>
      <c r="J4" s="872"/>
    </row>
    <row r="5" spans="1:10" ht="38.25" customHeight="1" x14ac:dyDescent="0.3">
      <c r="A5" s="855" t="s">
        <v>181</v>
      </c>
      <c r="B5" s="857" t="s">
        <v>182</v>
      </c>
      <c r="C5" s="840" t="s">
        <v>241</v>
      </c>
      <c r="D5" s="642" t="s">
        <v>96</v>
      </c>
      <c r="E5" s="171" t="s">
        <v>96</v>
      </c>
      <c r="F5" s="171" t="s">
        <v>502</v>
      </c>
      <c r="G5" s="171" t="str">
        <f>+CHOCO!H5</f>
        <v>Biodiesel B11</v>
      </c>
      <c r="H5" s="171" t="s">
        <v>96</v>
      </c>
      <c r="I5" s="642" t="s">
        <v>96</v>
      </c>
      <c r="J5" s="235" t="str">
        <f>+F5</f>
        <v xml:space="preserve">Biodiesel B5 con destino a mezcla </v>
      </c>
    </row>
    <row r="6" spans="1:10" x14ac:dyDescent="0.3">
      <c r="A6" s="855"/>
      <c r="B6" s="857"/>
      <c r="C6" s="841"/>
      <c r="D6" s="576" t="s">
        <v>501</v>
      </c>
      <c r="E6" s="576" t="s">
        <v>501</v>
      </c>
      <c r="F6" s="576" t="s">
        <v>501</v>
      </c>
      <c r="G6" s="395">
        <f>+CHOCO!H6</f>
        <v>0.11</v>
      </c>
      <c r="H6" s="554" t="str">
        <f>+E6</f>
        <v>Oxigenada 5%</v>
      </c>
      <c r="I6" s="554">
        <v>5</v>
      </c>
      <c r="J6" s="172" t="str">
        <f>+F6</f>
        <v>Oxigenada 5%</v>
      </c>
    </row>
    <row r="7" spans="1:10" x14ac:dyDescent="0.3">
      <c r="A7" s="856"/>
      <c r="B7" s="858"/>
      <c r="C7" s="141" t="s">
        <v>183</v>
      </c>
      <c r="D7" s="642" t="s">
        <v>183</v>
      </c>
      <c r="E7" s="171" t="s">
        <v>183</v>
      </c>
      <c r="F7" s="171" t="s">
        <v>183</v>
      </c>
      <c r="G7" s="171" t="s">
        <v>183</v>
      </c>
      <c r="H7" s="141" t="s">
        <v>183</v>
      </c>
      <c r="I7" s="641" t="s">
        <v>183</v>
      </c>
      <c r="J7" s="235" t="s">
        <v>183</v>
      </c>
    </row>
    <row r="8" spans="1:10" x14ac:dyDescent="0.3">
      <c r="A8" s="143" t="s">
        <v>184</v>
      </c>
      <c r="B8" s="149" t="s">
        <v>185</v>
      </c>
      <c r="C8" s="213">
        <f>+'Calculo IP ZDF'!B34</f>
        <v>4633.7939999999999</v>
      </c>
      <c r="D8" s="219">
        <f>+'Calculo IP ZDF'!H34</f>
        <v>5054.5147999999999</v>
      </c>
      <c r="E8" s="232">
        <f>+'Calculo IP ZDF'!O34</f>
        <v>5054.5147999999999</v>
      </c>
      <c r="F8" s="221">
        <f>+'Calculo IP ZDF'!P34</f>
        <v>4966.6547625000003</v>
      </c>
      <c r="G8" s="220">
        <f>+'Calculo IP ZDF'!J34</f>
        <v>5940.9797749999998</v>
      </c>
      <c r="H8" s="207">
        <f>+'GAS CTE'!E9</f>
        <v>5252.3104999999996</v>
      </c>
      <c r="I8" s="198">
        <f>+'GAS CTE'!E9</f>
        <v>5252.3104999999996</v>
      </c>
      <c r="J8" s="223">
        <f>+BIODIESEL!G9</f>
        <v>5145.3689999999997</v>
      </c>
    </row>
    <row r="9" spans="1:10" x14ac:dyDescent="0.3">
      <c r="A9" s="143" t="s">
        <v>186</v>
      </c>
      <c r="B9" s="149" t="s">
        <v>187</v>
      </c>
      <c r="C9" s="199" t="str">
        <f t="shared" ref="C9:C13" si="0">+E9</f>
        <v>------------------</v>
      </c>
      <c r="D9" s="200" t="s">
        <v>188</v>
      </c>
      <c r="E9" s="645" t="s">
        <v>188</v>
      </c>
      <c r="F9" s="200" t="s">
        <v>188</v>
      </c>
      <c r="G9" s="146" t="s">
        <v>188</v>
      </c>
      <c r="H9" s="207">
        <f>+'GAS CTE'!E10</f>
        <v>556.9375</v>
      </c>
      <c r="I9" s="198">
        <f>+'GAS CTE'!E10</f>
        <v>556.9375</v>
      </c>
      <c r="J9" s="224">
        <f>+BIODIESEL!G10</f>
        <v>533.06399999999996</v>
      </c>
    </row>
    <row r="10" spans="1:10" x14ac:dyDescent="0.3">
      <c r="A10" s="143"/>
      <c r="B10" s="149" t="s">
        <v>132</v>
      </c>
      <c r="C10" s="199" t="str">
        <f>+E10</f>
        <v>------------------</v>
      </c>
      <c r="D10" s="200" t="s">
        <v>188</v>
      </c>
      <c r="E10" s="645" t="s">
        <v>188</v>
      </c>
      <c r="F10" s="200" t="s">
        <v>188</v>
      </c>
      <c r="G10" s="146" t="s">
        <v>188</v>
      </c>
      <c r="H10" s="651" t="str">
        <f>+COMBUSTIBLES!B12</f>
        <v>(3)</v>
      </c>
      <c r="I10" s="214">
        <f>+COMBUSTIBLES!C12</f>
        <v>0</v>
      </c>
      <c r="J10" s="224" t="str">
        <f>+BIODIESEL!H11</f>
        <v>(3)</v>
      </c>
    </row>
    <row r="11" spans="1:10" x14ac:dyDescent="0.3">
      <c r="A11" s="143"/>
      <c r="B11" s="149" t="s">
        <v>134</v>
      </c>
      <c r="C11" s="267" t="s">
        <v>218</v>
      </c>
      <c r="D11" s="200" t="str">
        <f>+C11</f>
        <v>(4)</v>
      </c>
      <c r="E11" s="645" t="str">
        <f>+C11</f>
        <v>(4)</v>
      </c>
      <c r="F11" s="200" t="str">
        <f>+C11</f>
        <v>(4)</v>
      </c>
      <c r="G11" s="146" t="str">
        <f>+C11</f>
        <v>(4)</v>
      </c>
      <c r="H11" s="207" t="str">
        <f>+E11</f>
        <v>(4)</v>
      </c>
      <c r="I11" s="198" t="str">
        <f>+F11</f>
        <v>(4)</v>
      </c>
      <c r="J11" s="220" t="str">
        <f>+G11</f>
        <v>(4)</v>
      </c>
    </row>
    <row r="12" spans="1:10" ht="19.649999999999999" customHeight="1" x14ac:dyDescent="0.3">
      <c r="A12" s="143" t="s">
        <v>189</v>
      </c>
      <c r="B12" s="149" t="s">
        <v>270</v>
      </c>
      <c r="C12" s="199" t="str">
        <f>+AMAZONAS!C12</f>
        <v>(2)</v>
      </c>
      <c r="D12" s="147" t="s">
        <v>217</v>
      </c>
      <c r="E12" s="646" t="s">
        <v>217</v>
      </c>
      <c r="F12" s="147" t="s">
        <v>217</v>
      </c>
      <c r="G12" s="146" t="s">
        <v>217</v>
      </c>
      <c r="H12" s="207" t="str">
        <f>+G12</f>
        <v>(2)</v>
      </c>
      <c r="I12" s="198" t="str">
        <f>+H12</f>
        <v>(2)</v>
      </c>
      <c r="J12" s="223" t="s">
        <v>217</v>
      </c>
    </row>
    <row r="13" spans="1:10" x14ac:dyDescent="0.3">
      <c r="A13" s="143" t="s">
        <v>252</v>
      </c>
      <c r="B13" s="149" t="s">
        <v>253</v>
      </c>
      <c r="C13" s="199" t="str">
        <f t="shared" si="0"/>
        <v>N.A.</v>
      </c>
      <c r="D13" s="147" t="s">
        <v>254</v>
      </c>
      <c r="E13" s="646" t="s">
        <v>254</v>
      </c>
      <c r="F13" s="200" t="s">
        <v>218</v>
      </c>
      <c r="G13" s="148" t="str">
        <f>+F13</f>
        <v>(4)</v>
      </c>
      <c r="H13" s="207" t="s">
        <v>254</v>
      </c>
      <c r="I13" s="198" t="s">
        <v>254</v>
      </c>
      <c r="J13" s="220" t="str">
        <f>+G13</f>
        <v>(4)</v>
      </c>
    </row>
    <row r="14" spans="1:10" x14ac:dyDescent="0.3">
      <c r="A14" s="143" t="s">
        <v>191</v>
      </c>
      <c r="B14" s="149" t="s">
        <v>192</v>
      </c>
      <c r="C14" s="199">
        <f>+RUBROS!AC16</f>
        <v>10.866833607342301</v>
      </c>
      <c r="D14" s="147">
        <f>+C14</f>
        <v>10.866833607342301</v>
      </c>
      <c r="E14" s="646">
        <f>+C14</f>
        <v>10.866833607342301</v>
      </c>
      <c r="F14" s="147">
        <f>+C14</f>
        <v>10.866833607342301</v>
      </c>
      <c r="G14" s="146">
        <f>+C14</f>
        <v>10.866833607342301</v>
      </c>
      <c r="H14" s="207">
        <f>+RUBROS!AA16</f>
        <v>22.249601678692599</v>
      </c>
      <c r="I14" s="198">
        <f>+RUBROS!AD16</f>
        <v>23.500029293035123</v>
      </c>
      <c r="J14" s="223">
        <f>+RUBROS!AD16</f>
        <v>23.500029293035123</v>
      </c>
    </row>
    <row r="15" spans="1:10" x14ac:dyDescent="0.3">
      <c r="A15" s="143" t="s">
        <v>193</v>
      </c>
      <c r="B15" s="149" t="s">
        <v>194</v>
      </c>
      <c r="C15" s="199">
        <f>+RUBROS!AC52</f>
        <v>112.5832368093597</v>
      </c>
      <c r="D15" s="147">
        <f>+C15</f>
        <v>112.5832368093597</v>
      </c>
      <c r="E15" s="646">
        <f>+C15</f>
        <v>112.5832368093597</v>
      </c>
      <c r="F15" s="147">
        <f>+C15</f>
        <v>112.5832368093597</v>
      </c>
      <c r="G15" s="146">
        <f>+C15</f>
        <v>112.5832368093597</v>
      </c>
      <c r="H15" s="207">
        <f>+C15</f>
        <v>112.5832368093597</v>
      </c>
      <c r="I15" s="198">
        <f>+C15</f>
        <v>112.5832368093597</v>
      </c>
      <c r="J15" s="223">
        <f>+C15</f>
        <v>112.5832368093597</v>
      </c>
    </row>
    <row r="16" spans="1:10" x14ac:dyDescent="0.3">
      <c r="A16" s="143" t="s">
        <v>195</v>
      </c>
      <c r="B16" s="218" t="s">
        <v>196</v>
      </c>
      <c r="C16" s="199">
        <f>+RUBROS!AU30</f>
        <v>13.326421256197724</v>
      </c>
      <c r="D16" s="147">
        <f>+C16</f>
        <v>13.326421256197724</v>
      </c>
      <c r="E16" s="646">
        <f>+C16</f>
        <v>13.326421256197724</v>
      </c>
      <c r="F16" s="201">
        <f>+C16</f>
        <v>13.326421256197724</v>
      </c>
      <c r="G16" s="146">
        <f>+C16</f>
        <v>13.326421256197724</v>
      </c>
      <c r="H16" s="207">
        <f>+C16</f>
        <v>13.326421256197724</v>
      </c>
      <c r="I16" s="198">
        <f>+C16</f>
        <v>13.326421256197724</v>
      </c>
      <c r="J16" s="223">
        <f>+C16</f>
        <v>13.326421256197724</v>
      </c>
    </row>
    <row r="17" spans="1:16" hidden="1" x14ac:dyDescent="0.3">
      <c r="A17" s="143"/>
      <c r="B17" s="149" t="s">
        <v>197</v>
      </c>
      <c r="C17" s="199"/>
      <c r="D17" s="202"/>
      <c r="E17" s="647"/>
      <c r="F17" s="203"/>
      <c r="G17" s="146"/>
      <c r="H17" s="207"/>
      <c r="I17" s="198"/>
      <c r="J17" s="225"/>
    </row>
    <row r="18" spans="1:16" x14ac:dyDescent="0.3">
      <c r="A18" s="150" t="s">
        <v>198</v>
      </c>
      <c r="B18" s="180" t="s">
        <v>199</v>
      </c>
      <c r="C18" s="204">
        <f t="shared" ref="C18:J18" si="1">SUM(C8:C17)</f>
        <v>4770.5704916729001</v>
      </c>
      <c r="D18" s="205">
        <f>SUM(D8:D17)</f>
        <v>5191.2912916729001</v>
      </c>
      <c r="E18" s="205">
        <f>SUM(E8:E17)</f>
        <v>5191.2912916729001</v>
      </c>
      <c r="F18" s="205">
        <f t="shared" si="1"/>
        <v>5103.4312541729005</v>
      </c>
      <c r="G18" s="206">
        <f t="shared" si="1"/>
        <v>6077.7562666729</v>
      </c>
      <c r="H18" s="207">
        <f t="shared" si="1"/>
        <v>5957.40725974425</v>
      </c>
      <c r="I18" s="207">
        <f t="shared" ref="I18" si="2">SUM(I8:I17)</f>
        <v>5958.6576873585927</v>
      </c>
      <c r="J18" s="226">
        <f t="shared" si="1"/>
        <v>5827.8426873585931</v>
      </c>
    </row>
    <row r="19" spans="1:16" x14ac:dyDescent="0.3">
      <c r="A19" s="143" t="s">
        <v>200</v>
      </c>
      <c r="B19" s="149" t="s">
        <v>201</v>
      </c>
      <c r="C19" s="199" t="s">
        <v>232</v>
      </c>
      <c r="D19" s="208" t="str">
        <f>+C19</f>
        <v>***</v>
      </c>
      <c r="E19" s="648" t="str">
        <f>+C19</f>
        <v>***</v>
      </c>
      <c r="F19" s="208" t="str">
        <f>+C19</f>
        <v>***</v>
      </c>
      <c r="G19" s="146" t="str">
        <f>+C19</f>
        <v>***</v>
      </c>
      <c r="H19" s="207" t="str">
        <f>+J19</f>
        <v>***</v>
      </c>
      <c r="I19" s="201" t="s">
        <v>232</v>
      </c>
      <c r="J19" s="227" t="s">
        <v>232</v>
      </c>
    </row>
    <row r="20" spans="1:16" x14ac:dyDescent="0.3">
      <c r="A20" s="143" t="s">
        <v>202</v>
      </c>
      <c r="B20" s="149" t="s">
        <v>203</v>
      </c>
      <c r="C20" s="199" t="str">
        <f>+E20</f>
        <v>**</v>
      </c>
      <c r="D20" s="209" t="s">
        <v>230</v>
      </c>
      <c r="E20" s="646" t="s">
        <v>230</v>
      </c>
      <c r="F20" s="209" t="s">
        <v>230</v>
      </c>
      <c r="G20" s="146" t="s">
        <v>230</v>
      </c>
      <c r="H20" s="207" t="str">
        <f>+J20</f>
        <v>**</v>
      </c>
      <c r="I20" s="201" t="str">
        <f>+J20</f>
        <v>**</v>
      </c>
      <c r="J20" s="220" t="s">
        <v>230</v>
      </c>
    </row>
    <row r="21" spans="1:16" x14ac:dyDescent="0.3">
      <c r="A21" s="143" t="s">
        <v>204</v>
      </c>
      <c r="B21" s="149" t="s">
        <v>205</v>
      </c>
      <c r="C21" s="199" t="str">
        <f>+E21</f>
        <v>****</v>
      </c>
      <c r="D21" s="147" t="s">
        <v>234</v>
      </c>
      <c r="E21" s="646" t="s">
        <v>234</v>
      </c>
      <c r="F21" s="147" t="str">
        <f>+E21</f>
        <v>****</v>
      </c>
      <c r="G21" s="146" t="str">
        <f>+F21</f>
        <v>****</v>
      </c>
      <c r="H21" s="207" t="str">
        <f>+G21</f>
        <v>****</v>
      </c>
      <c r="I21" s="201" t="s">
        <v>234</v>
      </c>
      <c r="J21" s="223" t="str">
        <f>+G21</f>
        <v>****</v>
      </c>
      <c r="L21" s="19"/>
    </row>
    <row r="22" spans="1:16" x14ac:dyDescent="0.3">
      <c r="A22" s="150" t="s">
        <v>206</v>
      </c>
      <c r="B22" s="180" t="s">
        <v>207</v>
      </c>
      <c r="C22" s="204">
        <f>+C18</f>
        <v>4770.5704916729001</v>
      </c>
      <c r="D22" s="204">
        <f t="shared" ref="D22" si="3">+D18</f>
        <v>5191.2912916729001</v>
      </c>
      <c r="E22" s="204">
        <f t="shared" ref="E22:J22" si="4">+E18</f>
        <v>5191.2912916729001</v>
      </c>
      <c r="F22" s="204">
        <f t="shared" si="4"/>
        <v>5103.4312541729005</v>
      </c>
      <c r="G22" s="222">
        <f t="shared" si="4"/>
        <v>6077.7562666729</v>
      </c>
      <c r="H22" s="204">
        <f t="shared" si="4"/>
        <v>5957.40725974425</v>
      </c>
      <c r="I22" s="204">
        <f t="shared" ref="I22" si="5">+I18</f>
        <v>5958.6576873585927</v>
      </c>
      <c r="J22" s="222">
        <f t="shared" si="4"/>
        <v>5827.8426873585931</v>
      </c>
    </row>
    <row r="23" spans="1:16" x14ac:dyDescent="0.3">
      <c r="A23" s="143" t="s">
        <v>208</v>
      </c>
      <c r="B23" s="149" t="s">
        <v>160</v>
      </c>
      <c r="C23" s="199" t="s">
        <v>232</v>
      </c>
      <c r="D23" s="147" t="str">
        <f>+C23</f>
        <v>***</v>
      </c>
      <c r="E23" s="646" t="str">
        <f>+C23</f>
        <v>***</v>
      </c>
      <c r="F23" s="147" t="str">
        <f>+E23</f>
        <v>***</v>
      </c>
      <c r="G23" s="146" t="str">
        <f>+F23</f>
        <v>***</v>
      </c>
      <c r="H23" s="207" t="str">
        <f>+J23</f>
        <v>***</v>
      </c>
      <c r="I23" s="201" t="str">
        <f>+J23</f>
        <v>***</v>
      </c>
      <c r="J23" s="223" t="s">
        <v>232</v>
      </c>
    </row>
    <row r="24" spans="1:16" x14ac:dyDescent="0.3">
      <c r="A24" s="143" t="s">
        <v>209</v>
      </c>
      <c r="B24" s="144" t="s">
        <v>210</v>
      </c>
      <c r="C24" s="199" t="str">
        <f>+E24</f>
        <v>*****</v>
      </c>
      <c r="D24" s="147" t="s">
        <v>236</v>
      </c>
      <c r="E24" s="646" t="s">
        <v>236</v>
      </c>
      <c r="F24" s="147" t="s">
        <v>254</v>
      </c>
      <c r="G24" s="146" t="s">
        <v>211</v>
      </c>
      <c r="H24" s="207" t="str">
        <f>+E24</f>
        <v>*****</v>
      </c>
      <c r="I24" s="201" t="str">
        <f>+E24</f>
        <v>*****</v>
      </c>
      <c r="J24" s="223" t="s">
        <v>255</v>
      </c>
    </row>
    <row r="25" spans="1:16" x14ac:dyDescent="0.3">
      <c r="A25" s="143" t="s">
        <v>212</v>
      </c>
      <c r="B25" s="149" t="s">
        <v>213</v>
      </c>
      <c r="C25" s="199" t="str">
        <f>+E25</f>
        <v>******</v>
      </c>
      <c r="D25" s="209" t="s">
        <v>237</v>
      </c>
      <c r="E25" s="646" t="s">
        <v>237</v>
      </c>
      <c r="F25" s="209" t="str">
        <f>+E25</f>
        <v>******</v>
      </c>
      <c r="G25" s="148" t="str">
        <f>+F25</f>
        <v>******</v>
      </c>
      <c r="H25" s="207" t="str">
        <f>+G25</f>
        <v>******</v>
      </c>
      <c r="I25" s="201" t="str">
        <f>+H25</f>
        <v>******</v>
      </c>
      <c r="J25" s="220" t="str">
        <f>+H25</f>
        <v>******</v>
      </c>
    </row>
    <row r="26" spans="1:16" ht="15" thickBot="1" x14ac:dyDescent="0.35">
      <c r="A26" s="154" t="s">
        <v>214</v>
      </c>
      <c r="B26" s="155" t="s">
        <v>215</v>
      </c>
      <c r="C26" s="210"/>
      <c r="D26" s="210"/>
      <c r="E26" s="158"/>
      <c r="F26" s="211"/>
      <c r="G26" s="157"/>
      <c r="H26" s="211"/>
      <c r="I26" s="211"/>
      <c r="J26" s="228"/>
    </row>
    <row r="27" spans="1:16" ht="15" thickTop="1" x14ac:dyDescent="0.3"/>
    <row r="28" spans="1:16" x14ac:dyDescent="0.3">
      <c r="A28" s="162"/>
      <c r="B28" s="266" t="s">
        <v>228</v>
      </c>
      <c r="C28" s="215"/>
      <c r="D28" s="215"/>
      <c r="E28" s="215"/>
      <c r="F28" s="215"/>
      <c r="G28" s="215"/>
      <c r="H28" s="194"/>
      <c r="I28" s="194"/>
      <c r="J28" s="194"/>
      <c r="K28" s="194"/>
      <c r="L28" s="194"/>
      <c r="M28" s="194"/>
      <c r="N28" s="194"/>
      <c r="O28" s="194"/>
      <c r="P28" s="194"/>
    </row>
    <row r="29" spans="1:16" x14ac:dyDescent="0.3">
      <c r="A29" s="162"/>
      <c r="B29" s="184"/>
      <c r="C29" s="215"/>
      <c r="D29" s="215"/>
      <c r="E29" s="215"/>
      <c r="F29" s="215"/>
      <c r="G29" s="215"/>
      <c r="H29" s="194"/>
      <c r="I29" s="194"/>
      <c r="J29" s="194"/>
      <c r="K29" s="194"/>
      <c r="L29" s="194"/>
      <c r="M29" s="194"/>
      <c r="N29" s="194"/>
      <c r="O29" s="194"/>
      <c r="P29" s="194"/>
    </row>
    <row r="30" spans="1:16" ht="15" customHeight="1" x14ac:dyDescent="0.3">
      <c r="A30" s="162" t="s">
        <v>190</v>
      </c>
      <c r="B30" s="853" t="str">
        <f>+CHOCO!B29</f>
        <v>De acuerdo con lo establecido en la Resolución MME 91349 de 2014</v>
      </c>
      <c r="C30" s="853"/>
      <c r="D30" s="853"/>
      <c r="E30" s="853"/>
      <c r="F30" s="853"/>
      <c r="G30" s="853"/>
      <c r="H30" s="853"/>
      <c r="I30" s="853"/>
      <c r="J30" s="853"/>
      <c r="K30" s="853"/>
      <c r="L30" s="216"/>
      <c r="M30" s="216"/>
      <c r="N30" s="216"/>
      <c r="O30" s="216"/>
      <c r="P30" s="216"/>
    </row>
    <row r="31" spans="1:16" ht="27.15" customHeight="1" x14ac:dyDescent="0.3">
      <c r="A31" s="162" t="s">
        <v>217</v>
      </c>
      <c r="B31" s="838" t="s">
        <v>271</v>
      </c>
      <c r="C31" s="838"/>
      <c r="D31" s="838"/>
      <c r="E31" s="838"/>
      <c r="F31" s="838"/>
      <c r="G31" s="838"/>
      <c r="H31" s="838"/>
      <c r="I31" s="838"/>
      <c r="J31" s="838"/>
      <c r="K31" s="838"/>
      <c r="L31" s="194"/>
      <c r="M31" s="194"/>
      <c r="N31" s="194"/>
      <c r="O31" s="194"/>
      <c r="P31" s="194"/>
    </row>
    <row r="32" spans="1:16" ht="53.4" customHeight="1" x14ac:dyDescent="0.3">
      <c r="A32" s="162" t="s">
        <v>133</v>
      </c>
      <c r="B32" s="853" t="s">
        <v>334</v>
      </c>
      <c r="C32" s="853"/>
      <c r="D32" s="853"/>
      <c r="E32" s="853"/>
      <c r="F32" s="853"/>
      <c r="G32" s="853"/>
      <c r="H32" s="853"/>
      <c r="I32" s="853"/>
      <c r="J32" s="853"/>
      <c r="K32" s="853"/>
      <c r="L32" s="194"/>
      <c r="M32" s="194"/>
      <c r="N32" s="194"/>
      <c r="O32" s="194"/>
      <c r="P32" s="194"/>
    </row>
    <row r="33" spans="1:16" ht="53.4" customHeight="1" x14ac:dyDescent="0.3">
      <c r="A33" s="162" t="s">
        <v>218</v>
      </c>
      <c r="B33" s="852" t="s">
        <v>409</v>
      </c>
      <c r="C33" s="852"/>
      <c r="D33" s="852"/>
      <c r="E33" s="852"/>
      <c r="F33" s="852"/>
      <c r="G33" s="852"/>
      <c r="H33" s="852"/>
      <c r="I33" s="852"/>
      <c r="J33" s="852"/>
      <c r="K33" s="852"/>
      <c r="L33" s="194"/>
      <c r="M33" s="194"/>
      <c r="N33" s="194"/>
      <c r="O33" s="194"/>
      <c r="P33" s="194"/>
    </row>
    <row r="34" spans="1:16" ht="25.8" customHeight="1" x14ac:dyDescent="0.3">
      <c r="A34" s="162"/>
      <c r="B34" s="853"/>
      <c r="C34" s="853"/>
      <c r="D34" s="853"/>
      <c r="E34" s="853"/>
      <c r="F34" s="853"/>
      <c r="G34" s="853"/>
      <c r="H34" s="853"/>
      <c r="I34" s="853"/>
      <c r="J34" s="853"/>
      <c r="K34" s="853"/>
      <c r="L34" s="194"/>
      <c r="M34" s="194"/>
      <c r="N34" s="194"/>
      <c r="O34" s="194"/>
      <c r="P34" s="194"/>
    </row>
    <row r="35" spans="1:16" ht="15" customHeight="1" x14ac:dyDescent="0.3">
      <c r="A35" s="185" t="s">
        <v>102</v>
      </c>
      <c r="B35" s="839" t="s">
        <v>229</v>
      </c>
      <c r="C35" s="839"/>
      <c r="D35" s="839"/>
      <c r="E35" s="839"/>
      <c r="F35" s="839"/>
      <c r="G35" s="839"/>
      <c r="H35" s="839"/>
      <c r="I35" s="839"/>
      <c r="J35" s="839"/>
      <c r="K35" s="839"/>
      <c r="L35" s="194"/>
      <c r="M35" s="194"/>
      <c r="N35" s="194"/>
      <c r="O35" s="194"/>
      <c r="P35" s="194"/>
    </row>
    <row r="36" spans="1:16" ht="15" customHeight="1" x14ac:dyDescent="0.3">
      <c r="A36" s="185" t="s">
        <v>230</v>
      </c>
      <c r="B36" s="853" t="s">
        <v>320</v>
      </c>
      <c r="C36" s="853"/>
      <c r="D36" s="853"/>
      <c r="E36" s="853"/>
      <c r="F36" s="853"/>
      <c r="G36" s="853"/>
      <c r="H36" s="853"/>
      <c r="I36" s="853"/>
      <c r="J36" s="853"/>
      <c r="K36" s="853"/>
      <c r="L36" s="194"/>
      <c r="M36" s="194"/>
      <c r="N36" s="194"/>
      <c r="O36" s="194"/>
      <c r="P36" s="194"/>
    </row>
    <row r="37" spans="1:16" ht="15" customHeight="1" x14ac:dyDescent="0.3">
      <c r="A37" s="162" t="s">
        <v>232</v>
      </c>
      <c r="B37" s="853" t="s">
        <v>233</v>
      </c>
      <c r="C37" s="853"/>
      <c r="D37" s="853"/>
      <c r="E37" s="853"/>
      <c r="F37" s="853"/>
      <c r="G37" s="853"/>
      <c r="H37" s="853"/>
      <c r="I37" s="853"/>
      <c r="J37" s="853"/>
      <c r="K37" s="162"/>
      <c r="L37" s="839"/>
      <c r="M37" s="839"/>
      <c r="N37" s="839"/>
      <c r="O37" s="839"/>
      <c r="P37" s="839"/>
    </row>
    <row r="38" spans="1:16" ht="15" customHeight="1" x14ac:dyDescent="0.3">
      <c r="A38" s="162" t="s">
        <v>234</v>
      </c>
      <c r="B38" s="839" t="s">
        <v>472</v>
      </c>
      <c r="C38" s="839"/>
      <c r="D38" s="839"/>
      <c r="E38" s="839"/>
      <c r="F38" s="839"/>
      <c r="G38" s="839"/>
      <c r="H38" s="839"/>
      <c r="I38" s="839"/>
      <c r="J38" s="839"/>
      <c r="K38" s="162"/>
      <c r="L38" s="234"/>
      <c r="M38" s="234"/>
      <c r="N38" s="234"/>
      <c r="O38" s="234"/>
      <c r="P38" s="234"/>
    </row>
    <row r="39" spans="1:16" ht="24" customHeight="1" x14ac:dyDescent="0.3">
      <c r="A39" s="185" t="s">
        <v>236</v>
      </c>
      <c r="B39" s="853" t="s">
        <v>238</v>
      </c>
      <c r="C39" s="853"/>
      <c r="D39" s="853"/>
      <c r="E39" s="853"/>
      <c r="F39" s="853"/>
      <c r="G39" s="853"/>
      <c r="H39" s="853"/>
      <c r="I39" s="853"/>
      <c r="J39" s="853"/>
      <c r="K39" s="853"/>
      <c r="L39" s="194"/>
      <c r="M39" s="194"/>
      <c r="N39" s="194"/>
      <c r="O39" s="194"/>
      <c r="P39" s="194"/>
    </row>
    <row r="40" spans="1:16" x14ac:dyDescent="0.3">
      <c r="A40" s="185" t="s">
        <v>237</v>
      </c>
      <c r="B40" s="853" t="s">
        <v>278</v>
      </c>
      <c r="C40" s="853"/>
      <c r="D40" s="853"/>
      <c r="E40" s="853"/>
      <c r="F40" s="853"/>
      <c r="G40" s="853"/>
      <c r="H40" s="853"/>
      <c r="I40" s="853"/>
      <c r="J40" s="853"/>
      <c r="K40" s="853"/>
      <c r="L40" s="194"/>
      <c r="M40" s="194"/>
      <c r="N40" s="194"/>
      <c r="O40" s="194"/>
      <c r="P40" s="194"/>
    </row>
    <row r="41" spans="1:16" x14ac:dyDescent="0.3">
      <c r="B41" s="839" t="s">
        <v>479</v>
      </c>
      <c r="C41" s="839"/>
      <c r="D41" s="839"/>
      <c r="E41" s="839"/>
      <c r="F41" s="839"/>
      <c r="G41" s="839"/>
      <c r="H41" s="839"/>
      <c r="I41" s="839"/>
      <c r="J41" s="839"/>
      <c r="K41" s="839"/>
    </row>
    <row r="42" spans="1:16" ht="87.9" customHeight="1" x14ac:dyDescent="0.3">
      <c r="A42" s="862" t="s">
        <v>147</v>
      </c>
      <c r="B42" s="862"/>
      <c r="C42" s="862"/>
      <c r="D42" s="862"/>
      <c r="E42" s="862"/>
      <c r="F42" s="862"/>
      <c r="G42" s="862"/>
      <c r="H42" s="862"/>
      <c r="I42" s="862"/>
      <c r="J42" s="862"/>
      <c r="K42" s="862"/>
    </row>
  </sheetData>
  <sheetProtection algorithmName="SHA-512" hashValue="Cu5k4rJVqw4RhSGXmW7wEfsVrJW/EdI8m6JiVy+Y7Q9RHFaw1Nh9i6DShAgKVpjMmjtvhcUPR1XJ9BljV5gsow==" saltValue="8JfOyDxYiwtM/+gmnujAwg==" spinCount="100000" sheet="1" objects="1" scenarios="1"/>
  <mergeCells count="19">
    <mergeCell ref="B30:K30"/>
    <mergeCell ref="C3:G4"/>
    <mergeCell ref="H3:J4"/>
    <mergeCell ref="A5:A7"/>
    <mergeCell ref="B5:B7"/>
    <mergeCell ref="C5:C6"/>
    <mergeCell ref="A42:K42"/>
    <mergeCell ref="B31:K31"/>
    <mergeCell ref="B32:K32"/>
    <mergeCell ref="B35:K35"/>
    <mergeCell ref="B36:K36"/>
    <mergeCell ref="B37:J37"/>
    <mergeCell ref="B34:K34"/>
    <mergeCell ref="L37:P37"/>
    <mergeCell ref="B33:K33"/>
    <mergeCell ref="B41:K41"/>
    <mergeCell ref="B38:J38"/>
    <mergeCell ref="B39:K39"/>
    <mergeCell ref="B40:K40"/>
  </mergeCells>
  <hyperlinks>
    <hyperlink ref="B28" location="GUAINIA!A41" display="Ver Nota Informativa" xr:uid="{00000000-0004-0000-0D00-000000000000}"/>
  </hyperlinks>
  <pageMargins left="0.7" right="0.7" top="0.75" bottom="0.75" header="0.3" footer="0.3"/>
  <pageSetup orientation="portrait" r:id="rId1"/>
  <ignoredErrors>
    <ignoredError sqref="J11:J12 H11 G12:H12" numberStoredAsText="1"/>
    <ignoredError sqref="E12:F12 F13" numberStoredAsText="1" formula="1"/>
    <ignoredError sqref="E18:F22 G22 E13 E14:F16 C13 C18:C2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M90"/>
  <sheetViews>
    <sheetView zoomScale="85" zoomScaleNormal="85" workbookViewId="0">
      <selection activeCell="I9" sqref="I9"/>
    </sheetView>
  </sheetViews>
  <sheetFormatPr baseColWidth="10" defaultColWidth="45" defaultRowHeight="14.4" x14ac:dyDescent="0.3"/>
  <cols>
    <col min="1" max="1" width="7" customWidth="1"/>
    <col min="2" max="2" width="51.44140625" customWidth="1"/>
    <col min="3" max="3" width="15.33203125" bestFit="1" customWidth="1"/>
    <col min="4" max="4" width="15.33203125" hidden="1" customWidth="1"/>
    <col min="5" max="5" width="15.33203125" bestFit="1" customWidth="1"/>
    <col min="6" max="6" width="14.5546875" customWidth="1"/>
    <col min="7" max="7" width="15.33203125" bestFit="1" customWidth="1"/>
    <col min="8" max="8" width="17.21875" hidden="1" customWidth="1"/>
    <col min="9" max="9" width="16.6640625" customWidth="1"/>
    <col min="10" max="10" width="17.6640625" customWidth="1"/>
    <col min="11" max="11" width="25" customWidth="1"/>
  </cols>
  <sheetData>
    <row r="1" spans="1:10" x14ac:dyDescent="0.3">
      <c r="A1" s="243" t="s">
        <v>158</v>
      </c>
      <c r="B1" s="139" t="str">
        <f>+AMAZONAS!C1</f>
        <v>Vigencia: 12 de marzo de 2022; 00:00 horas</v>
      </c>
      <c r="C1" s="139"/>
      <c r="D1" s="244"/>
      <c r="E1" s="244"/>
      <c r="F1" s="244"/>
      <c r="G1" s="244"/>
      <c r="H1" s="244"/>
    </row>
    <row r="2" spans="1:10" ht="15" thickBot="1" x14ac:dyDescent="0.35">
      <c r="A2" s="165" t="s">
        <v>179</v>
      </c>
      <c r="B2" s="166"/>
      <c r="C2" s="166"/>
      <c r="D2" s="166"/>
      <c r="E2" s="166"/>
      <c r="F2" s="166"/>
      <c r="G2" s="245"/>
      <c r="H2" s="166"/>
    </row>
    <row r="3" spans="1:10" ht="15" customHeight="1" thickTop="1" x14ac:dyDescent="0.3">
      <c r="A3" s="195"/>
      <c r="B3" s="168" t="s">
        <v>279</v>
      </c>
      <c r="C3" s="842" t="s">
        <v>180</v>
      </c>
      <c r="D3" s="843"/>
      <c r="E3" s="843"/>
      <c r="F3" s="843"/>
      <c r="G3" s="881"/>
      <c r="H3" s="890" t="s">
        <v>250</v>
      </c>
      <c r="I3" s="891"/>
      <c r="J3" s="891"/>
    </row>
    <row r="4" spans="1:10" ht="55.2" customHeight="1" x14ac:dyDescent="0.3">
      <c r="A4" s="169"/>
      <c r="B4" s="272" t="s">
        <v>480</v>
      </c>
      <c r="C4" s="844"/>
      <c r="D4" s="845"/>
      <c r="E4" s="845"/>
      <c r="F4" s="845"/>
      <c r="G4" s="882"/>
      <c r="H4" s="880"/>
      <c r="I4" s="885"/>
      <c r="J4" s="885"/>
    </row>
    <row r="5" spans="1:10" ht="38.25" customHeight="1" x14ac:dyDescent="0.3">
      <c r="A5" s="855" t="s">
        <v>181</v>
      </c>
      <c r="B5" s="857" t="s">
        <v>182</v>
      </c>
      <c r="C5" s="840" t="s">
        <v>241</v>
      </c>
      <c r="D5" s="652" t="s">
        <v>96</v>
      </c>
      <c r="E5" s="642" t="s">
        <v>96</v>
      </c>
      <c r="F5" s="171" t="s">
        <v>497</v>
      </c>
      <c r="G5" s="394" t="str">
        <f>+GUAINIA!G5</f>
        <v>Biodiesel B11</v>
      </c>
      <c r="H5" s="658" t="s">
        <v>96</v>
      </c>
      <c r="I5" s="641" t="s">
        <v>96</v>
      </c>
      <c r="J5" s="235" t="str">
        <f>+F5</f>
        <v>Biodiesel B5</v>
      </c>
    </row>
    <row r="6" spans="1:10" ht="21.75" customHeight="1" x14ac:dyDescent="0.3">
      <c r="A6" s="855"/>
      <c r="B6" s="857"/>
      <c r="C6" s="841"/>
      <c r="D6" s="653" t="s">
        <v>501</v>
      </c>
      <c r="E6" s="554">
        <v>5</v>
      </c>
      <c r="F6" s="576" t="s">
        <v>501</v>
      </c>
      <c r="G6" s="172">
        <f>+GUAINIA!G6</f>
        <v>0.11</v>
      </c>
      <c r="H6" s="659" t="str">
        <f>+D6</f>
        <v>Oxigenada 5%</v>
      </c>
      <c r="I6" s="554">
        <v>5</v>
      </c>
      <c r="J6" s="172" t="str">
        <f>+F6</f>
        <v>Oxigenada 5%</v>
      </c>
    </row>
    <row r="7" spans="1:10" x14ac:dyDescent="0.3">
      <c r="A7" s="856"/>
      <c r="B7" s="858"/>
      <c r="C7" s="141" t="s">
        <v>183</v>
      </c>
      <c r="D7" s="652" t="s">
        <v>183</v>
      </c>
      <c r="E7" s="642" t="s">
        <v>183</v>
      </c>
      <c r="F7" s="171" t="s">
        <v>183</v>
      </c>
      <c r="G7" s="171" t="s">
        <v>183</v>
      </c>
      <c r="H7" s="658" t="s">
        <v>183</v>
      </c>
      <c r="I7" s="641" t="s">
        <v>183</v>
      </c>
      <c r="J7" s="235" t="s">
        <v>183</v>
      </c>
    </row>
    <row r="8" spans="1:10" x14ac:dyDescent="0.3">
      <c r="A8" s="143" t="s">
        <v>184</v>
      </c>
      <c r="B8" s="149" t="s">
        <v>185</v>
      </c>
      <c r="C8" s="264">
        <f>+'Calculo IP ZDF'!$B$35</f>
        <v>4303.0853999999999</v>
      </c>
      <c r="D8" s="654">
        <f>+'Calculo IP ZDF'!O35</f>
        <v>4740.3416299999999</v>
      </c>
      <c r="E8" s="264">
        <f>+'Calculo IP ZDF'!H35</f>
        <v>4740.3416299999999</v>
      </c>
      <c r="F8" s="250">
        <f>+'Calculo IP ZDF'!P35</f>
        <v>4827.6548000000003</v>
      </c>
      <c r="G8" s="179">
        <f>+'Calculo IP ZDF'!J35</f>
        <v>5809.2956000000004</v>
      </c>
      <c r="H8" s="660">
        <f>+'GAS CTE'!E9</f>
        <v>5252.3104999999996</v>
      </c>
      <c r="I8" s="247">
        <f>+'GAS CTE'!E9</f>
        <v>5252.3104999999996</v>
      </c>
      <c r="J8" s="223">
        <f>+BIODIESEL!G9</f>
        <v>5145.3689999999997</v>
      </c>
    </row>
    <row r="9" spans="1:10" x14ac:dyDescent="0.3">
      <c r="A9" s="143" t="s">
        <v>186</v>
      </c>
      <c r="B9" s="149" t="s">
        <v>520</v>
      </c>
      <c r="C9" s="199" t="s">
        <v>188</v>
      </c>
      <c r="D9" s="655" t="s">
        <v>188</v>
      </c>
      <c r="E9" s="199" t="s">
        <v>188</v>
      </c>
      <c r="F9" s="199" t="s">
        <v>188</v>
      </c>
      <c r="G9" s="174" t="s">
        <v>188</v>
      </c>
      <c r="H9" s="660">
        <f>+'GAS CTE'!E10</f>
        <v>556.9375</v>
      </c>
      <c r="I9" s="249">
        <f>+'GAS CTE'!E10</f>
        <v>556.9375</v>
      </c>
      <c r="J9" s="220">
        <f>+BIODIESEL!G10</f>
        <v>533.06399999999996</v>
      </c>
    </row>
    <row r="10" spans="1:10" x14ac:dyDescent="0.3">
      <c r="A10" s="143"/>
      <c r="B10" s="149" t="s">
        <v>132</v>
      </c>
      <c r="C10" s="199" t="s">
        <v>188</v>
      </c>
      <c r="D10" s="655" t="s">
        <v>188</v>
      </c>
      <c r="E10" s="199" t="s">
        <v>188</v>
      </c>
      <c r="F10" s="199" t="s">
        <v>188</v>
      </c>
      <c r="G10" s="174" t="s">
        <v>188</v>
      </c>
      <c r="H10" s="660" t="s">
        <v>133</v>
      </c>
      <c r="I10" s="249" t="s">
        <v>133</v>
      </c>
      <c r="J10" s="220" t="s">
        <v>133</v>
      </c>
    </row>
    <row r="11" spans="1:10" x14ac:dyDescent="0.3">
      <c r="A11" s="143"/>
      <c r="B11" s="149" t="s">
        <v>519</v>
      </c>
      <c r="C11" s="250">
        <f>+'GAS CTE'!$C$12</f>
        <v>169</v>
      </c>
      <c r="D11" s="656">
        <f>+'GAS CTE'!E12</f>
        <v>160.54999999999998</v>
      </c>
      <c r="E11" s="250">
        <f>+'GAS CTE'!E12</f>
        <v>160.54999999999998</v>
      </c>
      <c r="F11" s="250">
        <f>+BIODIESEL!$E$12</f>
        <v>187.18</v>
      </c>
      <c r="G11" s="179">
        <f>+BIODIESEL!H12</f>
        <v>171.9</v>
      </c>
      <c r="H11" s="660">
        <f>+D11</f>
        <v>160.54999999999998</v>
      </c>
      <c r="I11" s="249">
        <f>+E11</f>
        <v>160.54999999999998</v>
      </c>
      <c r="J11" s="220">
        <f>+BIODIESEL!G12</f>
        <v>181.45</v>
      </c>
    </row>
    <row r="12" spans="1:10" x14ac:dyDescent="0.3">
      <c r="A12" s="143" t="s">
        <v>189</v>
      </c>
      <c r="B12" s="149" t="s">
        <v>270</v>
      </c>
      <c r="C12" s="267" t="s">
        <v>217</v>
      </c>
      <c r="D12" s="655" t="str">
        <f>+C12</f>
        <v>(2)</v>
      </c>
      <c r="E12" s="199" t="str">
        <f>+D12</f>
        <v>(2)</v>
      </c>
      <c r="F12" s="199" t="str">
        <f>+C12</f>
        <v>(2)</v>
      </c>
      <c r="G12" s="173" t="str">
        <f>+C12</f>
        <v>(2)</v>
      </c>
      <c r="H12" s="660" t="str">
        <f>+C12</f>
        <v>(2)</v>
      </c>
      <c r="I12" s="249" t="str">
        <f>+C12</f>
        <v>(2)</v>
      </c>
      <c r="J12" s="220" t="str">
        <f>+D12</f>
        <v>(2)</v>
      </c>
    </row>
    <row r="13" spans="1:10" x14ac:dyDescent="0.3">
      <c r="A13" s="143" t="s">
        <v>193</v>
      </c>
      <c r="B13" s="149" t="s">
        <v>194</v>
      </c>
      <c r="C13" s="267">
        <f>+RUBROS!$AC$53</f>
        <v>82.836649224944082</v>
      </c>
      <c r="D13" s="655">
        <f>+C13</f>
        <v>82.836649224944082</v>
      </c>
      <c r="E13" s="199">
        <f>+C13</f>
        <v>82.836649224944082</v>
      </c>
      <c r="F13" s="199">
        <f>+C13</f>
        <v>82.836649224944082</v>
      </c>
      <c r="G13" s="173">
        <f>+C13</f>
        <v>82.836649224944082</v>
      </c>
      <c r="H13" s="660">
        <f>+C13</f>
        <v>82.836649224944082</v>
      </c>
      <c r="I13" s="249">
        <f>+RUBROS!$AD$53</f>
        <v>82.836649224944082</v>
      </c>
      <c r="J13" s="220">
        <f>+RUBROS!$AD$53</f>
        <v>82.836649224944082</v>
      </c>
    </row>
    <row r="14" spans="1:10" x14ac:dyDescent="0.3">
      <c r="A14" s="143" t="s">
        <v>191</v>
      </c>
      <c r="B14" s="149" t="s">
        <v>192</v>
      </c>
      <c r="C14" s="250">
        <f>+RUBROS!$AC$17</f>
        <v>23.500029293035123</v>
      </c>
      <c r="D14" s="657">
        <f>+C14</f>
        <v>23.500029293035123</v>
      </c>
      <c r="E14" s="173">
        <f>+C14</f>
        <v>23.500029293035123</v>
      </c>
      <c r="F14" s="173">
        <f>+C14</f>
        <v>23.500029293035123</v>
      </c>
      <c r="G14" s="173">
        <f>+C14</f>
        <v>23.500029293035123</v>
      </c>
      <c r="H14" s="660">
        <f>+C14</f>
        <v>23.500029293035123</v>
      </c>
      <c r="I14" s="247">
        <f>+RUBROS!$AD$17</f>
        <v>23.500029293035123</v>
      </c>
      <c r="J14" s="146">
        <f>+RUBROS!$AD$17</f>
        <v>23.500029293035123</v>
      </c>
    </row>
    <row r="15" spans="1:10" x14ac:dyDescent="0.3">
      <c r="A15" s="143" t="s">
        <v>195</v>
      </c>
      <c r="B15" s="149" t="s">
        <v>196</v>
      </c>
      <c r="C15" s="250">
        <f>+RUBROS!$AU$42</f>
        <v>13.326421256197724</v>
      </c>
      <c r="D15" s="657">
        <f>+C15</f>
        <v>13.326421256197724</v>
      </c>
      <c r="E15" s="173">
        <f>+C15</f>
        <v>13.326421256197724</v>
      </c>
      <c r="F15" s="173">
        <f>+C15</f>
        <v>13.326421256197724</v>
      </c>
      <c r="G15" s="173">
        <f>+C15</f>
        <v>13.326421256197724</v>
      </c>
      <c r="H15" s="660">
        <f>+C15</f>
        <v>13.326421256197724</v>
      </c>
      <c r="I15" s="247">
        <f>+C15</f>
        <v>13.326421256197724</v>
      </c>
      <c r="J15" s="146">
        <f>+H15</f>
        <v>13.326421256197724</v>
      </c>
    </row>
    <row r="16" spans="1:10" hidden="1" x14ac:dyDescent="0.3">
      <c r="A16" s="143"/>
      <c r="B16" s="149" t="s">
        <v>197</v>
      </c>
      <c r="C16" s="250"/>
      <c r="D16" s="657"/>
      <c r="E16" s="173"/>
      <c r="F16" s="173"/>
      <c r="G16" s="173"/>
      <c r="H16" s="660"/>
      <c r="I16" s="247"/>
      <c r="J16" s="146"/>
    </row>
    <row r="17" spans="1:13" x14ac:dyDescent="0.3">
      <c r="A17" s="150" t="s">
        <v>198</v>
      </c>
      <c r="B17" s="180" t="s">
        <v>199</v>
      </c>
      <c r="C17" s="251">
        <f t="shared" ref="C17:I17" si="0">SUM(C8:C16)</f>
        <v>4591.7484997741776</v>
      </c>
      <c r="D17" s="657">
        <f t="shared" si="0"/>
        <v>5020.5547297741778</v>
      </c>
      <c r="E17" s="251">
        <f t="shared" ref="E17" si="1">SUM(E8:E16)</f>
        <v>5020.5547297741778</v>
      </c>
      <c r="F17" s="251">
        <f t="shared" si="0"/>
        <v>5134.4978997741782</v>
      </c>
      <c r="G17" s="251">
        <f t="shared" si="0"/>
        <v>6100.8586997741777</v>
      </c>
      <c r="H17" s="660">
        <f t="shared" si="0"/>
        <v>6089.4610997741775</v>
      </c>
      <c r="I17" s="660">
        <f t="shared" si="0"/>
        <v>6089.4610997741775</v>
      </c>
      <c r="J17" s="254">
        <f>SUM(J8:J16)</f>
        <v>5979.5460997741775</v>
      </c>
    </row>
    <row r="18" spans="1:13" x14ac:dyDescent="0.3">
      <c r="A18" s="143" t="s">
        <v>200</v>
      </c>
      <c r="B18" s="149" t="s">
        <v>265</v>
      </c>
      <c r="C18" s="267" t="s">
        <v>232</v>
      </c>
      <c r="D18" s="657" t="str">
        <f>+C18</f>
        <v>***</v>
      </c>
      <c r="E18" s="173" t="str">
        <f>+C18</f>
        <v>***</v>
      </c>
      <c r="F18" s="173" t="str">
        <f>+D18</f>
        <v>***</v>
      </c>
      <c r="G18" s="173" t="str">
        <f>+F18</f>
        <v>***</v>
      </c>
      <c r="H18" s="660" t="str">
        <f>+C18</f>
        <v>***</v>
      </c>
      <c r="I18" s="247" t="str">
        <f>+C18</f>
        <v>***</v>
      </c>
      <c r="J18" s="146" t="str">
        <f>+C18</f>
        <v>***</v>
      </c>
    </row>
    <row r="19" spans="1:13" x14ac:dyDescent="0.3">
      <c r="A19" s="143" t="s">
        <v>202</v>
      </c>
      <c r="B19" s="149" t="s">
        <v>203</v>
      </c>
      <c r="C19" s="267" t="s">
        <v>230</v>
      </c>
      <c r="D19" s="657" t="str">
        <f>+C19</f>
        <v>**</v>
      </c>
      <c r="E19" s="173" t="str">
        <f>+C19</f>
        <v>**</v>
      </c>
      <c r="F19" s="173" t="str">
        <f>+C19</f>
        <v>**</v>
      </c>
      <c r="G19" s="173" t="str">
        <f>+C19</f>
        <v>**</v>
      </c>
      <c r="H19" s="660" t="str">
        <f>+C19</f>
        <v>**</v>
      </c>
      <c r="I19" s="247" t="str">
        <f>+C19</f>
        <v>**</v>
      </c>
      <c r="J19" s="146" t="str">
        <f>+C19</f>
        <v>**</v>
      </c>
    </row>
    <row r="20" spans="1:13" x14ac:dyDescent="0.3">
      <c r="A20" s="143" t="s">
        <v>204</v>
      </c>
      <c r="B20" s="218" t="s">
        <v>139</v>
      </c>
      <c r="C20" s="288" t="s">
        <v>234</v>
      </c>
      <c r="D20" s="657" t="str">
        <f>+C20</f>
        <v>****</v>
      </c>
      <c r="E20" s="173" t="str">
        <f>+C20</f>
        <v>****</v>
      </c>
      <c r="F20" s="179" t="str">
        <f>+C20</f>
        <v>****</v>
      </c>
      <c r="G20" s="179" t="str">
        <f>+C20</f>
        <v>****</v>
      </c>
      <c r="H20" s="661" t="str">
        <f>C20</f>
        <v>****</v>
      </c>
      <c r="I20" s="270" t="str">
        <f>+C20</f>
        <v>****</v>
      </c>
      <c r="J20" s="146" t="str">
        <f>+C20</f>
        <v>****</v>
      </c>
    </row>
    <row r="21" spans="1:13" x14ac:dyDescent="0.3">
      <c r="A21" s="150" t="s">
        <v>206</v>
      </c>
      <c r="B21" s="180" t="s">
        <v>207</v>
      </c>
      <c r="C21" s="256">
        <f t="shared" ref="C21:J21" si="2">+C17</f>
        <v>4591.7484997741776</v>
      </c>
      <c r="D21" s="657">
        <f t="shared" si="2"/>
        <v>5020.5547297741778</v>
      </c>
      <c r="E21" s="181">
        <f t="shared" ref="E21" si="3">+E17</f>
        <v>5020.5547297741778</v>
      </c>
      <c r="F21" s="181">
        <f t="shared" si="2"/>
        <v>5134.4978997741782</v>
      </c>
      <c r="G21" s="181">
        <f t="shared" si="2"/>
        <v>6100.8586997741777</v>
      </c>
      <c r="H21" s="660">
        <f t="shared" si="2"/>
        <v>6089.4610997741775</v>
      </c>
      <c r="I21" s="660">
        <f t="shared" si="2"/>
        <v>6089.4610997741775</v>
      </c>
      <c r="J21" s="152">
        <f t="shared" si="2"/>
        <v>5979.5460997741775</v>
      </c>
    </row>
    <row r="22" spans="1:13" x14ac:dyDescent="0.3">
      <c r="A22" s="143" t="s">
        <v>208</v>
      </c>
      <c r="B22" s="149" t="s">
        <v>160</v>
      </c>
      <c r="C22" s="250" t="str">
        <f>+C18</f>
        <v>***</v>
      </c>
      <c r="D22" s="656" t="str">
        <f t="shared" ref="D22:G22" si="4">+D18</f>
        <v>***</v>
      </c>
      <c r="E22" s="250" t="str">
        <f t="shared" ref="E22" si="5">+E18</f>
        <v>***</v>
      </c>
      <c r="F22" s="250" t="str">
        <f t="shared" si="4"/>
        <v>***</v>
      </c>
      <c r="G22" s="250" t="str">
        <f t="shared" si="4"/>
        <v>***</v>
      </c>
      <c r="H22" s="660" t="str">
        <f>+H18</f>
        <v>***</v>
      </c>
      <c r="I22" s="247" t="str">
        <f>+I18</f>
        <v>***</v>
      </c>
      <c r="J22" s="146" t="str">
        <f>+J18</f>
        <v>***</v>
      </c>
    </row>
    <row r="23" spans="1:13" x14ac:dyDescent="0.3">
      <c r="A23" s="143" t="s">
        <v>209</v>
      </c>
      <c r="B23" s="144" t="s">
        <v>210</v>
      </c>
      <c r="C23" s="257" t="s">
        <v>236</v>
      </c>
      <c r="D23" s="657" t="str">
        <f>+C23</f>
        <v>*****</v>
      </c>
      <c r="E23" s="173" t="str">
        <f>+C23</f>
        <v>*****</v>
      </c>
      <c r="F23" s="173" t="s">
        <v>211</v>
      </c>
      <c r="G23" s="173" t="s">
        <v>211</v>
      </c>
      <c r="H23" s="660" t="str">
        <f>+D23</f>
        <v>*****</v>
      </c>
      <c r="I23" s="247" t="str">
        <f>+C23</f>
        <v>*****</v>
      </c>
      <c r="J23" s="146" t="s">
        <v>254</v>
      </c>
      <c r="M23" s="19"/>
    </row>
    <row r="24" spans="1:13" ht="24.75" customHeight="1" x14ac:dyDescent="0.3">
      <c r="A24" s="143" t="s">
        <v>212</v>
      </c>
      <c r="B24" s="144" t="s">
        <v>213</v>
      </c>
      <c r="C24" s="257" t="s">
        <v>237</v>
      </c>
      <c r="D24" s="657" t="str">
        <f>+C24</f>
        <v>******</v>
      </c>
      <c r="E24" s="173" t="str">
        <f>+C24</f>
        <v>******</v>
      </c>
      <c r="F24" s="173" t="str">
        <f>+C24</f>
        <v>******</v>
      </c>
      <c r="G24" s="173" t="str">
        <f>+C24</f>
        <v>******</v>
      </c>
      <c r="H24" s="660" t="str">
        <f>+C24</f>
        <v>******</v>
      </c>
      <c r="I24" s="247" t="str">
        <f>+C24</f>
        <v>******</v>
      </c>
      <c r="J24" s="146" t="str">
        <f>+C24</f>
        <v>******</v>
      </c>
    </row>
    <row r="25" spans="1:13" ht="15" thickBot="1" x14ac:dyDescent="0.35">
      <c r="A25" s="154" t="s">
        <v>214</v>
      </c>
      <c r="B25" s="155" t="s">
        <v>215</v>
      </c>
      <c r="C25" s="258"/>
      <c r="D25" s="183"/>
      <c r="E25" s="183"/>
      <c r="F25" s="183"/>
      <c r="G25" s="183"/>
      <c r="H25" s="662"/>
      <c r="I25" s="259"/>
      <c r="J25" s="157"/>
    </row>
    <row r="26" spans="1:13" ht="15" thickTop="1" x14ac:dyDescent="0.3">
      <c r="A26" s="159"/>
      <c r="B26" s="160"/>
      <c r="C26" s="160"/>
      <c r="D26" s="161"/>
      <c r="E26" s="161"/>
      <c r="F26" s="161"/>
      <c r="G26" s="161"/>
      <c r="H26" s="161"/>
    </row>
    <row r="27" spans="1:13" ht="15" hidden="1" thickTop="1" x14ac:dyDescent="0.3">
      <c r="A27" s="195"/>
      <c r="B27" s="168" t="s">
        <v>470</v>
      </c>
      <c r="C27" s="842" t="s">
        <v>180</v>
      </c>
      <c r="D27" s="843"/>
      <c r="E27" s="843"/>
      <c r="F27" s="843"/>
      <c r="G27" s="879" t="s">
        <v>250</v>
      </c>
      <c r="H27" s="884"/>
    </row>
    <row r="28" spans="1:13" ht="55.2" hidden="1" x14ac:dyDescent="0.3">
      <c r="A28" s="169"/>
      <c r="B28" s="272" t="s">
        <v>280</v>
      </c>
      <c r="C28" s="844"/>
      <c r="D28" s="845"/>
      <c r="E28" s="845"/>
      <c r="F28" s="845"/>
      <c r="G28" s="880"/>
      <c r="H28" s="886"/>
    </row>
    <row r="29" spans="1:13" ht="27.6" hidden="1" x14ac:dyDescent="0.3">
      <c r="A29" s="855" t="s">
        <v>181</v>
      </c>
      <c r="B29" s="857" t="s">
        <v>182</v>
      </c>
      <c r="C29" s="840" t="s">
        <v>241</v>
      </c>
      <c r="D29" s="509" t="s">
        <v>96</v>
      </c>
      <c r="E29" s="509" t="s">
        <v>403</v>
      </c>
      <c r="F29" s="509">
        <f>+GUAINIA!G29</f>
        <v>0</v>
      </c>
      <c r="G29" s="508" t="s">
        <v>96</v>
      </c>
      <c r="H29" s="507">
        <f>+F29</f>
        <v>0</v>
      </c>
    </row>
    <row r="30" spans="1:13" hidden="1" x14ac:dyDescent="0.3">
      <c r="A30" s="855"/>
      <c r="B30" s="857"/>
      <c r="C30" s="841"/>
      <c r="D30" s="506">
        <v>0.08</v>
      </c>
      <c r="E30" s="172">
        <v>0.02</v>
      </c>
      <c r="F30" s="172">
        <f>+GUAINIA!G30</f>
        <v>0</v>
      </c>
      <c r="G30" s="273">
        <v>0.04</v>
      </c>
      <c r="H30" s="172">
        <f>+F30</f>
        <v>0</v>
      </c>
    </row>
    <row r="31" spans="1:13" hidden="1" x14ac:dyDescent="0.3">
      <c r="A31" s="856"/>
      <c r="B31" s="858"/>
      <c r="C31" s="508" t="s">
        <v>183</v>
      </c>
      <c r="D31" s="509" t="s">
        <v>183</v>
      </c>
      <c r="E31" s="509" t="s">
        <v>183</v>
      </c>
      <c r="F31" s="509" t="s">
        <v>183</v>
      </c>
      <c r="G31" s="508" t="s">
        <v>183</v>
      </c>
      <c r="H31" s="507" t="s">
        <v>183</v>
      </c>
    </row>
    <row r="32" spans="1:13" hidden="1" x14ac:dyDescent="0.3">
      <c r="A32" s="143" t="s">
        <v>184</v>
      </c>
      <c r="B32" s="149" t="s">
        <v>185</v>
      </c>
      <c r="C32" s="264">
        <f>+'Calculo IP ZDF'!$B$44</f>
        <v>4303.0853999999999</v>
      </c>
      <c r="D32" s="264">
        <f>+'Calculo IP ZDF'!$G$44</f>
        <v>4652.8903839999994</v>
      </c>
      <c r="E32" s="250">
        <f>+'Calculo IP ZDF'!$F$44</f>
        <v>4238.6666000000005</v>
      </c>
      <c r="F32" s="179">
        <f>+'Calculo IP ZDF'!I59</f>
        <v>0</v>
      </c>
      <c r="G32" s="247">
        <f>+'GAS CTE'!$D$9</f>
        <v>5170.2483999999995</v>
      </c>
      <c r="H32" s="223">
        <f>+BIODIESEL!H33</f>
        <v>0</v>
      </c>
    </row>
    <row r="33" spans="1:8" hidden="1" x14ac:dyDescent="0.3">
      <c r="A33" s="143" t="s">
        <v>186</v>
      </c>
      <c r="B33" s="149" t="s">
        <v>187</v>
      </c>
      <c r="C33" s="199" t="s">
        <v>188</v>
      </c>
      <c r="D33" s="199" t="s">
        <v>188</v>
      </c>
      <c r="E33" s="199" t="s">
        <v>188</v>
      </c>
      <c r="F33" s="174" t="s">
        <v>188</v>
      </c>
      <c r="G33" s="249">
        <f>+'GAS CTE'!$D$10</f>
        <v>562.79999999999995</v>
      </c>
      <c r="H33" s="220">
        <f>+BIODIESEL!H34</f>
        <v>0</v>
      </c>
    </row>
    <row r="34" spans="1:8" hidden="1" x14ac:dyDescent="0.3">
      <c r="A34" s="143"/>
      <c r="B34" s="149" t="s">
        <v>132</v>
      </c>
      <c r="C34" s="199" t="s">
        <v>188</v>
      </c>
      <c r="D34" s="199" t="s">
        <v>188</v>
      </c>
      <c r="E34" s="199" t="s">
        <v>188</v>
      </c>
      <c r="F34" s="174" t="s">
        <v>188</v>
      </c>
      <c r="G34" s="249" t="str">
        <f>+H10</f>
        <v>(3)</v>
      </c>
      <c r="H34" s="220" t="e">
        <f>'[6]CORRIENTE OXIGENADA'!C36</f>
        <v>#REF!</v>
      </c>
    </row>
    <row r="35" spans="1:8" hidden="1" x14ac:dyDescent="0.3">
      <c r="A35" s="143"/>
      <c r="B35" s="149" t="s">
        <v>134</v>
      </c>
      <c r="C35" s="250">
        <f>+'GAS CTE'!$C$12</f>
        <v>169</v>
      </c>
      <c r="D35" s="250">
        <f>+'GAS CTE'!$D$12</f>
        <v>162.23999999999998</v>
      </c>
      <c r="E35" s="250">
        <f>+BIODIESEL!$E$12</f>
        <v>187.18</v>
      </c>
      <c r="F35" s="179">
        <f>+BIODIESEL!H36</f>
        <v>0</v>
      </c>
      <c r="G35" s="249">
        <f t="shared" ref="G35:G39" si="6">+C35</f>
        <v>169</v>
      </c>
      <c r="H35" s="220">
        <f>+BIODIESEL!H36</f>
        <v>0</v>
      </c>
    </row>
    <row r="36" spans="1:8" hidden="1" x14ac:dyDescent="0.3">
      <c r="A36" s="143" t="s">
        <v>189</v>
      </c>
      <c r="B36" s="149" t="s">
        <v>270</v>
      </c>
      <c r="C36" s="267" t="s">
        <v>217</v>
      </c>
      <c r="D36" s="199" t="str">
        <f>+C36</f>
        <v>(2)</v>
      </c>
      <c r="E36" s="199" t="str">
        <f>+C36</f>
        <v>(2)</v>
      </c>
      <c r="F36" s="173" t="str">
        <f>+C36</f>
        <v>(2)</v>
      </c>
      <c r="G36" s="249" t="str">
        <f t="shared" si="6"/>
        <v>(2)</v>
      </c>
      <c r="H36" s="220" t="str">
        <f>+D36</f>
        <v>(2)</v>
      </c>
    </row>
    <row r="37" spans="1:8" hidden="1" x14ac:dyDescent="0.3">
      <c r="A37" s="143" t="s">
        <v>193</v>
      </c>
      <c r="B37" s="149" t="s">
        <v>194</v>
      </c>
      <c r="C37" s="267">
        <f>+RUBROS!$Z$53</f>
        <v>78.428942648119744</v>
      </c>
      <c r="D37" s="199">
        <f>+C37</f>
        <v>78.428942648119744</v>
      </c>
      <c r="E37" s="199">
        <f>+C37</f>
        <v>78.428942648119744</v>
      </c>
      <c r="F37" s="173">
        <f>+C37</f>
        <v>78.428942648119744</v>
      </c>
      <c r="G37" s="249">
        <f t="shared" si="6"/>
        <v>78.428942648119744</v>
      </c>
      <c r="H37" s="220">
        <f>+C37</f>
        <v>78.428942648119744</v>
      </c>
    </row>
    <row r="38" spans="1:8" hidden="1" x14ac:dyDescent="0.3">
      <c r="A38" s="143" t="s">
        <v>191</v>
      </c>
      <c r="B38" s="149" t="s">
        <v>192</v>
      </c>
      <c r="C38" s="250">
        <f>+RUBROS!$Z$17</f>
        <v>22.249601678692599</v>
      </c>
      <c r="D38" s="173">
        <f>+C38</f>
        <v>22.249601678692599</v>
      </c>
      <c r="E38" s="173">
        <f>+C38</f>
        <v>22.249601678692599</v>
      </c>
      <c r="F38" s="173">
        <f>+C38</f>
        <v>22.249601678692599</v>
      </c>
      <c r="G38" s="247">
        <f t="shared" si="6"/>
        <v>22.249601678692599</v>
      </c>
      <c r="H38" s="146">
        <f>+C38</f>
        <v>22.249601678692599</v>
      </c>
    </row>
    <row r="39" spans="1:8" hidden="1" x14ac:dyDescent="0.3">
      <c r="A39" s="143" t="s">
        <v>195</v>
      </c>
      <c r="B39" s="149" t="s">
        <v>196</v>
      </c>
      <c r="C39" s="250">
        <f>+RUBROS!$AQ$42</f>
        <v>12.938273064269636</v>
      </c>
      <c r="D39" s="173">
        <f>+C39</f>
        <v>12.938273064269636</v>
      </c>
      <c r="E39" s="173">
        <f>+C39</f>
        <v>12.938273064269636</v>
      </c>
      <c r="F39" s="173">
        <f>+C39</f>
        <v>12.938273064269636</v>
      </c>
      <c r="G39" s="247">
        <f t="shared" si="6"/>
        <v>12.938273064269636</v>
      </c>
      <c r="H39" s="146">
        <f>+G39</f>
        <v>12.938273064269636</v>
      </c>
    </row>
    <row r="40" spans="1:8" hidden="1" x14ac:dyDescent="0.3">
      <c r="A40" s="143"/>
      <c r="B40" s="149" t="s">
        <v>197</v>
      </c>
      <c r="C40" s="250"/>
      <c r="D40" s="173"/>
      <c r="E40" s="173"/>
      <c r="F40" s="173"/>
      <c r="G40" s="247"/>
      <c r="H40" s="146"/>
    </row>
    <row r="41" spans="1:8" hidden="1" x14ac:dyDescent="0.3">
      <c r="A41" s="150" t="s">
        <v>198</v>
      </c>
      <c r="B41" s="180" t="s">
        <v>199</v>
      </c>
      <c r="C41" s="251">
        <f t="shared" ref="C41:G41" si="7">SUM(C32:C40)</f>
        <v>4585.7022173910818</v>
      </c>
      <c r="D41" s="251">
        <f t="shared" si="7"/>
        <v>4928.747201391081</v>
      </c>
      <c r="E41" s="251">
        <f t="shared" si="7"/>
        <v>4539.4634173910827</v>
      </c>
      <c r="F41" s="251">
        <f t="shared" si="7"/>
        <v>113.61681739108198</v>
      </c>
      <c r="G41" s="253">
        <f t="shared" si="7"/>
        <v>6015.6652173910816</v>
      </c>
      <c r="H41" s="254" t="e">
        <f>SUM(H32:H40)</f>
        <v>#REF!</v>
      </c>
    </row>
    <row r="42" spans="1:8" hidden="1" x14ac:dyDescent="0.3">
      <c r="A42" s="143" t="s">
        <v>200</v>
      </c>
      <c r="B42" s="149" t="s">
        <v>265</v>
      </c>
      <c r="C42" s="267" t="s">
        <v>232</v>
      </c>
      <c r="D42" s="173" t="str">
        <f>+C42</f>
        <v>***</v>
      </c>
      <c r="E42" s="173" t="str">
        <f>+D42</f>
        <v>***</v>
      </c>
      <c r="F42" s="173" t="str">
        <f>+E42</f>
        <v>***</v>
      </c>
      <c r="G42" s="247" t="str">
        <f>+F42</f>
        <v>***</v>
      </c>
      <c r="H42" s="146" t="str">
        <f>+C42</f>
        <v>***</v>
      </c>
    </row>
    <row r="43" spans="1:8" hidden="1" x14ac:dyDescent="0.3">
      <c r="A43" s="143" t="s">
        <v>202</v>
      </c>
      <c r="B43" s="149" t="s">
        <v>203</v>
      </c>
      <c r="C43" s="267" t="s">
        <v>230</v>
      </c>
      <c r="D43" s="173" t="str">
        <f>+C43</f>
        <v>**</v>
      </c>
      <c r="E43" s="173" t="str">
        <f>+C43</f>
        <v>**</v>
      </c>
      <c r="F43" s="173" t="str">
        <f>+C43</f>
        <v>**</v>
      </c>
      <c r="G43" s="247" t="str">
        <f>+C43</f>
        <v>**</v>
      </c>
      <c r="H43" s="146" t="str">
        <f>+C43</f>
        <v>**</v>
      </c>
    </row>
    <row r="44" spans="1:8" hidden="1" x14ac:dyDescent="0.3">
      <c r="A44" s="143" t="s">
        <v>204</v>
      </c>
      <c r="B44" s="218" t="s">
        <v>139</v>
      </c>
      <c r="C44" s="288" t="s">
        <v>234</v>
      </c>
      <c r="D44" s="173" t="str">
        <f>+C44</f>
        <v>****</v>
      </c>
      <c r="E44" s="179" t="str">
        <f>+C44</f>
        <v>****</v>
      </c>
      <c r="F44" s="179" t="str">
        <f>+C44</f>
        <v>****</v>
      </c>
      <c r="G44" s="270" t="str">
        <f>C44</f>
        <v>****</v>
      </c>
      <c r="H44" s="146" t="str">
        <f>+C44</f>
        <v>****</v>
      </c>
    </row>
    <row r="45" spans="1:8" hidden="1" x14ac:dyDescent="0.3">
      <c r="A45" s="150" t="s">
        <v>206</v>
      </c>
      <c r="B45" s="180" t="s">
        <v>207</v>
      </c>
      <c r="C45" s="256">
        <f t="shared" ref="C45:H45" si="8">+C41</f>
        <v>4585.7022173910818</v>
      </c>
      <c r="D45" s="181">
        <f t="shared" si="8"/>
        <v>4928.747201391081</v>
      </c>
      <c r="E45" s="181">
        <f t="shared" si="8"/>
        <v>4539.4634173910827</v>
      </c>
      <c r="F45" s="181">
        <f t="shared" si="8"/>
        <v>113.61681739108198</v>
      </c>
      <c r="G45" s="253">
        <f t="shared" si="8"/>
        <v>6015.6652173910816</v>
      </c>
      <c r="H45" s="152" t="e">
        <f t="shared" si="8"/>
        <v>#REF!</v>
      </c>
    </row>
    <row r="46" spans="1:8" hidden="1" x14ac:dyDescent="0.3">
      <c r="A46" s="143" t="s">
        <v>208</v>
      </c>
      <c r="B46" s="149" t="s">
        <v>160</v>
      </c>
      <c r="C46" s="250" t="str">
        <f>+C42</f>
        <v>***</v>
      </c>
      <c r="D46" s="250" t="str">
        <f t="shared" ref="D46:F46" si="9">+D42</f>
        <v>***</v>
      </c>
      <c r="E46" s="250" t="str">
        <f t="shared" si="9"/>
        <v>***</v>
      </c>
      <c r="F46" s="250" t="str">
        <f t="shared" si="9"/>
        <v>***</v>
      </c>
      <c r="G46" s="247" t="str">
        <f>+G42</f>
        <v>***</v>
      </c>
      <c r="H46" s="146" t="str">
        <f>+H42</f>
        <v>***</v>
      </c>
    </row>
    <row r="47" spans="1:8" hidden="1" x14ac:dyDescent="0.3">
      <c r="A47" s="143" t="s">
        <v>209</v>
      </c>
      <c r="B47" s="144" t="s">
        <v>210</v>
      </c>
      <c r="C47" s="257" t="s">
        <v>236</v>
      </c>
      <c r="D47" s="173" t="str">
        <f>+C47</f>
        <v>*****</v>
      </c>
      <c r="E47" s="173" t="s">
        <v>211</v>
      </c>
      <c r="F47" s="173" t="s">
        <v>211</v>
      </c>
      <c r="G47" s="247" t="str">
        <f>+D47</f>
        <v>*****</v>
      </c>
      <c r="H47" s="146" t="s">
        <v>254</v>
      </c>
    </row>
    <row r="48" spans="1:8" hidden="1" x14ac:dyDescent="0.3">
      <c r="A48" s="143" t="s">
        <v>212</v>
      </c>
      <c r="B48" s="144" t="s">
        <v>213</v>
      </c>
      <c r="C48" s="257" t="s">
        <v>237</v>
      </c>
      <c r="D48" s="173" t="str">
        <f>+C48</f>
        <v>******</v>
      </c>
      <c r="E48" s="173" t="str">
        <f>+C48</f>
        <v>******</v>
      </c>
      <c r="F48" s="173" t="str">
        <f>+C48</f>
        <v>******</v>
      </c>
      <c r="G48" s="247" t="str">
        <f>+C48</f>
        <v>******</v>
      </c>
      <c r="H48" s="146" t="str">
        <f>+C48</f>
        <v>******</v>
      </c>
    </row>
    <row r="49" spans="1:10" ht="15" hidden="1" thickBot="1" x14ac:dyDescent="0.35">
      <c r="A49" s="154" t="s">
        <v>214</v>
      </c>
      <c r="B49" s="155" t="s">
        <v>215</v>
      </c>
      <c r="C49" s="258"/>
      <c r="D49" s="183"/>
      <c r="E49" s="183"/>
      <c r="F49" s="183"/>
      <c r="G49" s="259"/>
      <c r="H49" s="157"/>
    </row>
    <row r="50" spans="1:10" x14ac:dyDescent="0.3">
      <c r="A50" s="159"/>
      <c r="B50" s="160"/>
      <c r="C50" s="160"/>
      <c r="D50" s="161"/>
      <c r="E50" s="161"/>
      <c r="F50" s="161"/>
      <c r="G50" s="161"/>
      <c r="H50" s="161"/>
    </row>
    <row r="51" spans="1:10" ht="15" thickBot="1" x14ac:dyDescent="0.35">
      <c r="A51" s="159"/>
      <c r="B51" s="160"/>
      <c r="C51" s="160"/>
      <c r="D51" s="161"/>
      <c r="E51" s="161"/>
      <c r="F51" s="161"/>
      <c r="G51" s="161"/>
      <c r="H51" s="161"/>
    </row>
    <row r="52" spans="1:10" ht="15" customHeight="1" thickTop="1" x14ac:dyDescent="0.3">
      <c r="A52" s="195"/>
      <c r="B52" s="168" t="s">
        <v>281</v>
      </c>
      <c r="C52" s="842" t="s">
        <v>180</v>
      </c>
      <c r="D52" s="843"/>
      <c r="E52" s="843"/>
      <c r="F52" s="843"/>
      <c r="G52" s="881"/>
      <c r="H52" s="871" t="s">
        <v>250</v>
      </c>
      <c r="I52" s="896"/>
      <c r="J52" s="896"/>
    </row>
    <row r="53" spans="1:10" ht="46.5" customHeight="1" x14ac:dyDescent="0.3">
      <c r="A53" s="169"/>
      <c r="B53" s="272" t="s">
        <v>493</v>
      </c>
      <c r="C53" s="844"/>
      <c r="D53" s="845"/>
      <c r="E53" s="845"/>
      <c r="F53" s="845"/>
      <c r="G53" s="882"/>
      <c r="H53" s="871"/>
      <c r="I53" s="896"/>
      <c r="J53" s="896"/>
    </row>
    <row r="54" spans="1:10" ht="38.25" customHeight="1" x14ac:dyDescent="0.3">
      <c r="A54" s="855" t="s">
        <v>181</v>
      </c>
      <c r="B54" s="857" t="s">
        <v>182</v>
      </c>
      <c r="C54" s="840" t="s">
        <v>241</v>
      </c>
      <c r="D54" s="642" t="s">
        <v>96</v>
      </c>
      <c r="E54" s="171" t="s">
        <v>96</v>
      </c>
      <c r="F54" s="171" t="str">
        <f>+F5</f>
        <v>Biodiesel B5</v>
      </c>
      <c r="G54" s="859" t="str">
        <f>+G5</f>
        <v>Biodiesel B11</v>
      </c>
      <c r="H54" s="141" t="s">
        <v>96</v>
      </c>
      <c r="I54" s="641" t="s">
        <v>96</v>
      </c>
      <c r="J54" s="235" t="str">
        <f>+G54</f>
        <v>Biodiesel B11</v>
      </c>
    </row>
    <row r="55" spans="1:10" x14ac:dyDescent="0.3">
      <c r="A55" s="855"/>
      <c r="B55" s="857"/>
      <c r="C55" s="841"/>
      <c r="D55" s="576">
        <v>0.08</v>
      </c>
      <c r="E55" s="554">
        <v>5</v>
      </c>
      <c r="F55" s="172" t="str">
        <f>+F6</f>
        <v>Oxigenada 5%</v>
      </c>
      <c r="G55" s="860"/>
      <c r="H55" s="273">
        <v>0.04</v>
      </c>
      <c r="I55" s="273" t="s">
        <v>501</v>
      </c>
      <c r="J55" s="172" t="str">
        <f>+J6</f>
        <v>Oxigenada 5%</v>
      </c>
    </row>
    <row r="56" spans="1:10" x14ac:dyDescent="0.3">
      <c r="A56" s="856"/>
      <c r="B56" s="858"/>
      <c r="C56" s="141" t="s">
        <v>183</v>
      </c>
      <c r="D56" s="642" t="s">
        <v>183</v>
      </c>
      <c r="E56" s="171" t="s">
        <v>183</v>
      </c>
      <c r="F56" s="171" t="s">
        <v>183</v>
      </c>
      <c r="G56" s="397">
        <f>+G6</f>
        <v>0.11</v>
      </c>
      <c r="H56" s="141" t="s">
        <v>183</v>
      </c>
      <c r="I56" s="641" t="s">
        <v>183</v>
      </c>
      <c r="J56" s="235" t="s">
        <v>183</v>
      </c>
    </row>
    <row r="57" spans="1:10" x14ac:dyDescent="0.3">
      <c r="A57" s="143" t="s">
        <v>184</v>
      </c>
      <c r="B57" s="149" t="s">
        <v>185</v>
      </c>
      <c r="C57" s="264">
        <f>+'GAS CTE'!C6</f>
        <v>4842</v>
      </c>
      <c r="D57" s="654">
        <f>+'GAS CTE'!D9</f>
        <v>5170.2483999999995</v>
      </c>
      <c r="E57" s="264">
        <f>+'GAS CTE'!E9</f>
        <v>5252.3104999999996</v>
      </c>
      <c r="F57" s="265">
        <f>+BIODIESEL!G9</f>
        <v>5145.3689999999997</v>
      </c>
      <c r="G57" s="179">
        <f>+BIODIESEL!H9</f>
        <v>6110.2880000000005</v>
      </c>
      <c r="H57" s="247">
        <f>+D57</f>
        <v>5170.2483999999995</v>
      </c>
      <c r="I57" s="247">
        <f>+E57</f>
        <v>5252.3104999999996</v>
      </c>
      <c r="J57" s="223">
        <f>+J8</f>
        <v>5145.3689999999997</v>
      </c>
    </row>
    <row r="58" spans="1:10" x14ac:dyDescent="0.3">
      <c r="A58" s="143" t="s">
        <v>186</v>
      </c>
      <c r="B58" s="149" t="s">
        <v>187</v>
      </c>
      <c r="C58" s="199" t="s">
        <v>188</v>
      </c>
      <c r="D58" s="655" t="s">
        <v>188</v>
      </c>
      <c r="E58" s="199" t="s">
        <v>188</v>
      </c>
      <c r="F58" s="199" t="s">
        <v>188</v>
      </c>
      <c r="G58" s="174" t="s">
        <v>188</v>
      </c>
      <c r="H58" s="660">
        <f>+'GAS CTE'!D10</f>
        <v>562.79999999999995</v>
      </c>
      <c r="I58" s="249">
        <f>+'GAS CTE'!E10</f>
        <v>556.9375</v>
      </c>
      <c r="J58" s="220">
        <f>+J9</f>
        <v>533.06399999999996</v>
      </c>
    </row>
    <row r="59" spans="1:10" x14ac:dyDescent="0.3">
      <c r="A59" s="143"/>
      <c r="B59" s="149" t="s">
        <v>132</v>
      </c>
      <c r="C59" s="199" t="s">
        <v>188</v>
      </c>
      <c r="D59" s="655" t="s">
        <v>188</v>
      </c>
      <c r="E59" s="199" t="s">
        <v>188</v>
      </c>
      <c r="F59" s="199" t="s">
        <v>188</v>
      </c>
      <c r="G59" s="174" t="s">
        <v>188</v>
      </c>
      <c r="H59" s="660" t="str">
        <f>+H10</f>
        <v>(3)</v>
      </c>
      <c r="I59" s="249"/>
      <c r="J59" s="220" t="str">
        <f>+H59</f>
        <v>(3)</v>
      </c>
    </row>
    <row r="60" spans="1:10" x14ac:dyDescent="0.3">
      <c r="A60" s="143"/>
      <c r="B60" s="149" t="s">
        <v>134</v>
      </c>
      <c r="C60" s="250">
        <f>'GAS CTE'!C12</f>
        <v>169</v>
      </c>
      <c r="D60" s="656">
        <f>+'GAS CTE'!D12</f>
        <v>162.23999999999998</v>
      </c>
      <c r="E60" s="250">
        <f>+'GAS CTE'!E12</f>
        <v>160.54999999999998</v>
      </c>
      <c r="F60" s="250">
        <f>+BIODIESEL!G12</f>
        <v>181.45</v>
      </c>
      <c r="G60" s="179">
        <f>+BIODIESEL!H12</f>
        <v>171.9</v>
      </c>
      <c r="H60" s="660">
        <f>+D60</f>
        <v>162.23999999999998</v>
      </c>
      <c r="I60" s="249">
        <f>+E60</f>
        <v>160.54999999999998</v>
      </c>
      <c r="J60" s="220">
        <f>+J11</f>
        <v>181.45</v>
      </c>
    </row>
    <row r="61" spans="1:10" x14ac:dyDescent="0.3">
      <c r="A61" s="143" t="s">
        <v>189</v>
      </c>
      <c r="B61" s="149" t="s">
        <v>270</v>
      </c>
      <c r="C61" s="199" t="str">
        <f>+C12</f>
        <v>(2)</v>
      </c>
      <c r="D61" s="655" t="str">
        <f>+C61</f>
        <v>(2)</v>
      </c>
      <c r="E61" s="199" t="str">
        <f>+C61</f>
        <v>(2)</v>
      </c>
      <c r="F61" s="199" t="str">
        <f>+C61</f>
        <v>(2)</v>
      </c>
      <c r="G61" s="173" t="str">
        <f>+C61</f>
        <v>(2)</v>
      </c>
      <c r="H61" s="660" t="str">
        <f>+C61</f>
        <v>(2)</v>
      </c>
      <c r="I61" s="249" t="str">
        <f>+C61</f>
        <v>(2)</v>
      </c>
      <c r="J61" s="220" t="str">
        <f>+D61</f>
        <v>(2)</v>
      </c>
    </row>
    <row r="62" spans="1:10" x14ac:dyDescent="0.3">
      <c r="A62" s="143" t="s">
        <v>193</v>
      </c>
      <c r="B62" s="149" t="s">
        <v>194</v>
      </c>
      <c r="C62" s="199">
        <f>+C13</f>
        <v>82.836649224944082</v>
      </c>
      <c r="D62" s="655">
        <f>+C62</f>
        <v>82.836649224944082</v>
      </c>
      <c r="E62" s="199">
        <f>+C62</f>
        <v>82.836649224944082</v>
      </c>
      <c r="F62" s="199">
        <f>+C62</f>
        <v>82.836649224944082</v>
      </c>
      <c r="G62" s="173">
        <f>+C62</f>
        <v>82.836649224944082</v>
      </c>
      <c r="H62" s="660">
        <f>+C62</f>
        <v>82.836649224944082</v>
      </c>
      <c r="I62" s="249">
        <f>+C62</f>
        <v>82.836649224944082</v>
      </c>
      <c r="J62" s="220">
        <f>+H62</f>
        <v>82.836649224944082</v>
      </c>
    </row>
    <row r="63" spans="1:10" x14ac:dyDescent="0.3">
      <c r="A63" s="143" t="s">
        <v>191</v>
      </c>
      <c r="B63" s="149" t="s">
        <v>192</v>
      </c>
      <c r="C63" s="250">
        <f>C14</f>
        <v>23.500029293035123</v>
      </c>
      <c r="D63" s="657">
        <f>+C63</f>
        <v>23.500029293035123</v>
      </c>
      <c r="E63" s="173">
        <f>+C63</f>
        <v>23.500029293035123</v>
      </c>
      <c r="F63" s="173">
        <f>+C63</f>
        <v>23.500029293035123</v>
      </c>
      <c r="G63" s="173">
        <f>+C63</f>
        <v>23.500029293035123</v>
      </c>
      <c r="H63" s="660">
        <f>+C63</f>
        <v>23.500029293035123</v>
      </c>
      <c r="I63" s="247">
        <f>+C63</f>
        <v>23.500029293035123</v>
      </c>
      <c r="J63" s="146">
        <f>+C63</f>
        <v>23.500029293035123</v>
      </c>
    </row>
    <row r="64" spans="1:10" x14ac:dyDescent="0.3">
      <c r="A64" s="143" t="s">
        <v>195</v>
      </c>
      <c r="B64" s="149" t="s">
        <v>196</v>
      </c>
      <c r="C64" s="250">
        <f>+C15</f>
        <v>13.326421256197724</v>
      </c>
      <c r="D64" s="657">
        <f>+C64</f>
        <v>13.326421256197724</v>
      </c>
      <c r="E64" s="173">
        <f>+C64</f>
        <v>13.326421256197724</v>
      </c>
      <c r="F64" s="173">
        <f>+C64</f>
        <v>13.326421256197724</v>
      </c>
      <c r="G64" s="173">
        <f>+C64</f>
        <v>13.326421256197724</v>
      </c>
      <c r="H64" s="660">
        <f>+C64</f>
        <v>13.326421256197724</v>
      </c>
      <c r="I64" s="247">
        <f>+C64</f>
        <v>13.326421256197724</v>
      </c>
      <c r="J64" s="146">
        <f>+H64</f>
        <v>13.326421256197724</v>
      </c>
    </row>
    <row r="65" spans="1:10" hidden="1" x14ac:dyDescent="0.3">
      <c r="A65" s="143"/>
      <c r="B65" s="149" t="s">
        <v>197</v>
      </c>
      <c r="C65" s="250"/>
      <c r="D65" s="657"/>
      <c r="F65" s="173"/>
      <c r="G65" s="173"/>
      <c r="H65" s="660"/>
      <c r="J65" s="146"/>
    </row>
    <row r="66" spans="1:10" x14ac:dyDescent="0.3">
      <c r="A66" s="150" t="s">
        <v>198</v>
      </c>
      <c r="B66" s="180" t="s">
        <v>199</v>
      </c>
      <c r="C66" s="251">
        <f t="shared" ref="C66:I66" si="10">SUM(C57:C65)</f>
        <v>5130.6630997741777</v>
      </c>
      <c r="D66" s="657">
        <f>SUM(D57:D65)</f>
        <v>5452.151499774177</v>
      </c>
      <c r="E66" s="251">
        <f>SUM(E57:E65)</f>
        <v>5532.5235997741775</v>
      </c>
      <c r="F66" s="251">
        <f t="shared" si="10"/>
        <v>5446.4820997741772</v>
      </c>
      <c r="G66" s="251">
        <f t="shared" si="10"/>
        <v>6401.8510997741778</v>
      </c>
      <c r="H66" s="660">
        <f t="shared" si="10"/>
        <v>6014.9514997741771</v>
      </c>
      <c r="I66" s="253">
        <f t="shared" si="10"/>
        <v>6089.4610997741775</v>
      </c>
      <c r="J66" s="254">
        <f>SUM(J57:J65)</f>
        <v>5979.5460997741775</v>
      </c>
    </row>
    <row r="67" spans="1:10" x14ac:dyDescent="0.3">
      <c r="A67" s="143" t="s">
        <v>200</v>
      </c>
      <c r="B67" s="149" t="s">
        <v>265</v>
      </c>
      <c r="C67" s="267" t="s">
        <v>232</v>
      </c>
      <c r="D67" s="657" t="str">
        <f>+C67</f>
        <v>***</v>
      </c>
      <c r="E67" s="663" t="str">
        <f>+C67</f>
        <v>***</v>
      </c>
      <c r="F67" s="173" t="str">
        <f>+D67</f>
        <v>***</v>
      </c>
      <c r="G67" s="173" t="str">
        <f>+F67</f>
        <v>***</v>
      </c>
      <c r="H67" s="660" t="str">
        <f>+C67</f>
        <v>***</v>
      </c>
      <c r="I67" s="663" t="str">
        <f>+C67</f>
        <v>***</v>
      </c>
      <c r="J67" s="146" t="str">
        <f>+H67</f>
        <v>***</v>
      </c>
    </row>
    <row r="68" spans="1:10" x14ac:dyDescent="0.3">
      <c r="A68" s="143" t="s">
        <v>202</v>
      </c>
      <c r="B68" s="149" t="s">
        <v>203</v>
      </c>
      <c r="C68" s="267" t="s">
        <v>230</v>
      </c>
      <c r="D68" s="657" t="str">
        <f>+C68</f>
        <v>**</v>
      </c>
      <c r="E68" s="663" t="str">
        <f>+C68</f>
        <v>**</v>
      </c>
      <c r="F68" s="173" t="str">
        <f>+C68</f>
        <v>**</v>
      </c>
      <c r="G68" s="173" t="str">
        <f>+C68</f>
        <v>**</v>
      </c>
      <c r="H68" s="660" t="str">
        <f>+C68</f>
        <v>**</v>
      </c>
      <c r="I68" s="663" t="str">
        <f>+C68</f>
        <v>**</v>
      </c>
      <c r="J68" s="146" t="str">
        <f>+H68</f>
        <v>**</v>
      </c>
    </row>
    <row r="69" spans="1:10" x14ac:dyDescent="0.3">
      <c r="A69" s="143" t="s">
        <v>204</v>
      </c>
      <c r="B69" s="218" t="s">
        <v>139</v>
      </c>
      <c r="C69" s="271" t="str">
        <f>+C20</f>
        <v>****</v>
      </c>
      <c r="D69" s="657" t="str">
        <f>+C69</f>
        <v>****</v>
      </c>
      <c r="E69" s="663" t="str">
        <f>+C69</f>
        <v>****</v>
      </c>
      <c r="F69" s="179" t="str">
        <f>+C69</f>
        <v>****</v>
      </c>
      <c r="G69" s="179" t="str">
        <f>+C69</f>
        <v>****</v>
      </c>
      <c r="H69" s="661" t="str">
        <f>C69</f>
        <v>****</v>
      </c>
      <c r="I69" s="663" t="str">
        <f>+C69</f>
        <v>****</v>
      </c>
      <c r="J69" s="146" t="str">
        <f>+C69</f>
        <v>****</v>
      </c>
    </row>
    <row r="70" spans="1:10" x14ac:dyDescent="0.3">
      <c r="A70" s="150" t="s">
        <v>206</v>
      </c>
      <c r="B70" s="180" t="s">
        <v>207</v>
      </c>
      <c r="C70" s="256">
        <f>SUM(C66:C69)</f>
        <v>5130.6630997741777</v>
      </c>
      <c r="D70" s="657">
        <f>SUM(D66:D69)</f>
        <v>5452.151499774177</v>
      </c>
      <c r="E70" s="181">
        <f>SUM(E66:E69)</f>
        <v>5532.5235997741775</v>
      </c>
      <c r="F70" s="181">
        <f t="shared" ref="F70:I70" si="11">SUM(F66:F69)</f>
        <v>5446.4820997741772</v>
      </c>
      <c r="G70" s="181">
        <f t="shared" si="11"/>
        <v>6401.8510997741778</v>
      </c>
      <c r="H70" s="660">
        <f t="shared" si="11"/>
        <v>6014.9514997741771</v>
      </c>
      <c r="I70" s="253">
        <f t="shared" si="11"/>
        <v>6089.4610997741775</v>
      </c>
      <c r="J70" s="152">
        <f>SUM(J66:J69)</f>
        <v>5979.5460997741775</v>
      </c>
    </row>
    <row r="71" spans="1:10" x14ac:dyDescent="0.3">
      <c r="A71" s="143" t="s">
        <v>208</v>
      </c>
      <c r="B71" s="149" t="s">
        <v>160</v>
      </c>
      <c r="C71" s="269" t="str">
        <f>+C67</f>
        <v>***</v>
      </c>
      <c r="D71" s="657" t="str">
        <f>+C71</f>
        <v>***</v>
      </c>
      <c r="E71" s="665" t="str">
        <f>+C71</f>
        <v>***</v>
      </c>
      <c r="F71" s="173" t="str">
        <f>+C71</f>
        <v>***</v>
      </c>
      <c r="G71" s="173" t="str">
        <f>+G67</f>
        <v>***</v>
      </c>
      <c r="H71" s="660" t="str">
        <f>+C71</f>
        <v>***</v>
      </c>
      <c r="I71" s="664" t="str">
        <f>+C71</f>
        <v>***</v>
      </c>
      <c r="J71" s="146" t="str">
        <f>+C71</f>
        <v>***</v>
      </c>
    </row>
    <row r="72" spans="1:10" x14ac:dyDescent="0.3">
      <c r="A72" s="143" t="s">
        <v>209</v>
      </c>
      <c r="B72" s="144" t="s">
        <v>210</v>
      </c>
      <c r="C72" s="201" t="str">
        <f>+C23</f>
        <v>*****</v>
      </c>
      <c r="D72" s="666" t="str">
        <f>+D23</f>
        <v>*****</v>
      </c>
      <c r="E72" s="663" t="str">
        <f>+C72</f>
        <v>*****</v>
      </c>
      <c r="F72" s="201" t="str">
        <f t="shared" ref="F72:H73" si="12">+F23</f>
        <v>N.A</v>
      </c>
      <c r="G72" s="201" t="str">
        <f t="shared" si="12"/>
        <v>N.A</v>
      </c>
      <c r="H72" s="660" t="str">
        <f t="shared" si="12"/>
        <v>*****</v>
      </c>
      <c r="I72" s="192" t="str">
        <f>+C72</f>
        <v>*****</v>
      </c>
      <c r="J72" s="223" t="str">
        <f>+J23</f>
        <v>N.A.</v>
      </c>
    </row>
    <row r="73" spans="1:10" x14ac:dyDescent="0.3">
      <c r="A73" s="143" t="s">
        <v>212</v>
      </c>
      <c r="B73" s="144" t="s">
        <v>213</v>
      </c>
      <c r="C73" s="201" t="str">
        <f>+C24</f>
        <v>******</v>
      </c>
      <c r="D73" s="666" t="str">
        <f>+D24</f>
        <v>******</v>
      </c>
      <c r="E73" s="663" t="str">
        <f>+C73</f>
        <v>******</v>
      </c>
      <c r="F73" s="201" t="str">
        <f t="shared" si="12"/>
        <v>******</v>
      </c>
      <c r="G73" s="201" t="str">
        <f t="shared" si="12"/>
        <v>******</v>
      </c>
      <c r="H73" s="660" t="str">
        <f t="shared" si="12"/>
        <v>******</v>
      </c>
      <c r="I73" s="192" t="str">
        <f>+C73</f>
        <v>******</v>
      </c>
      <c r="J73" s="223" t="str">
        <f>+J24</f>
        <v>******</v>
      </c>
    </row>
    <row r="74" spans="1:10" ht="15" thickBot="1" x14ac:dyDescent="0.35">
      <c r="A74" s="154" t="s">
        <v>214</v>
      </c>
      <c r="B74" s="155" t="s">
        <v>215</v>
      </c>
      <c r="C74" s="258"/>
      <c r="D74" s="183"/>
      <c r="E74" s="183"/>
      <c r="F74" s="183"/>
      <c r="G74" s="183"/>
      <c r="H74" s="259"/>
      <c r="I74" s="259"/>
      <c r="J74" s="157"/>
    </row>
    <row r="75" spans="1:10" ht="15" thickTop="1" x14ac:dyDescent="0.3">
      <c r="A75" s="159"/>
      <c r="B75" s="160"/>
      <c r="C75" s="160"/>
      <c r="D75" s="161"/>
      <c r="E75" s="161"/>
      <c r="F75" s="161"/>
      <c r="G75" s="161"/>
      <c r="H75" s="161"/>
    </row>
    <row r="76" spans="1:10" ht="15" customHeight="1" x14ac:dyDescent="0.3">
      <c r="A76" s="159"/>
      <c r="B76" s="266" t="s">
        <v>228</v>
      </c>
      <c r="C76" s="160"/>
      <c r="D76" s="161"/>
      <c r="E76" s="161"/>
      <c r="F76" s="161"/>
      <c r="G76" s="161"/>
      <c r="H76" s="161"/>
    </row>
    <row r="77" spans="1:10" x14ac:dyDescent="0.3">
      <c r="A77" s="159"/>
      <c r="B77" s="160"/>
      <c r="C77" s="160"/>
      <c r="D77" s="161"/>
      <c r="E77" s="161"/>
      <c r="F77" s="161"/>
      <c r="G77" s="161"/>
      <c r="H77" s="161"/>
    </row>
    <row r="78" spans="1:10" ht="19.649999999999999" customHeight="1" x14ac:dyDescent="0.3">
      <c r="A78" s="162" t="s">
        <v>190</v>
      </c>
      <c r="B78" s="853" t="str">
        <f>+GUAINIA!B30</f>
        <v>De acuerdo con lo establecido en la Resolución MME 91349 de 2014</v>
      </c>
      <c r="C78" s="853"/>
      <c r="D78" s="853"/>
      <c r="E78" s="853"/>
      <c r="F78" s="853"/>
      <c r="G78" s="853"/>
      <c r="H78" s="853"/>
    </row>
    <row r="79" spans="1:10" ht="27.9" customHeight="1" x14ac:dyDescent="0.3">
      <c r="A79" s="162" t="s">
        <v>217</v>
      </c>
      <c r="B79" s="838" t="s">
        <v>271</v>
      </c>
      <c r="C79" s="838"/>
      <c r="D79" s="838"/>
      <c r="E79" s="838"/>
      <c r="F79" s="838"/>
      <c r="G79" s="838"/>
      <c r="H79" s="838"/>
    </row>
    <row r="80" spans="1:10" ht="54.6" customHeight="1" x14ac:dyDescent="0.3">
      <c r="A80" s="162" t="s">
        <v>133</v>
      </c>
      <c r="B80" s="838" t="s">
        <v>242</v>
      </c>
      <c r="C80" s="838"/>
      <c r="D80" s="838"/>
      <c r="E80" s="838"/>
      <c r="F80" s="838"/>
      <c r="G80" s="838"/>
      <c r="H80" s="838"/>
    </row>
    <row r="81" spans="1:11" ht="17.399999999999999" customHeight="1" x14ac:dyDescent="0.3">
      <c r="A81" s="162"/>
      <c r="B81" s="839"/>
      <c r="C81" s="839"/>
      <c r="D81" s="839"/>
      <c r="E81" s="839"/>
      <c r="F81" s="839"/>
      <c r="G81" s="839"/>
      <c r="H81" s="262"/>
      <c r="I81" s="262"/>
      <c r="J81" s="262"/>
      <c r="K81" s="262"/>
    </row>
    <row r="82" spans="1:11" x14ac:dyDescent="0.3">
      <c r="A82" s="162"/>
      <c r="B82" s="184" t="s">
        <v>158</v>
      </c>
      <c r="C82" s="184"/>
      <c r="D82" s="215"/>
      <c r="E82" s="215"/>
      <c r="F82" s="215"/>
      <c r="G82" s="215"/>
      <c r="H82" s="215"/>
    </row>
    <row r="83" spans="1:11" ht="15" customHeight="1" x14ac:dyDescent="0.3">
      <c r="A83" s="185" t="s">
        <v>102</v>
      </c>
      <c r="B83" s="838" t="s">
        <v>229</v>
      </c>
      <c r="C83" s="838"/>
      <c r="D83" s="838"/>
      <c r="E83" s="838"/>
      <c r="F83" s="838"/>
      <c r="G83" s="838"/>
      <c r="H83" s="838"/>
    </row>
    <row r="84" spans="1:11" ht="20.25" customHeight="1" x14ac:dyDescent="0.3">
      <c r="A84" s="185" t="s">
        <v>230</v>
      </c>
      <c r="B84" s="839" t="s">
        <v>282</v>
      </c>
      <c r="C84" s="839"/>
      <c r="D84" s="839"/>
      <c r="E84" s="839"/>
      <c r="F84" s="839"/>
      <c r="G84" s="839"/>
      <c r="H84" s="839"/>
    </row>
    <row r="85" spans="1:11" ht="25.5" customHeight="1" x14ac:dyDescent="0.3">
      <c r="A85" s="185" t="s">
        <v>232</v>
      </c>
      <c r="B85" s="839" t="s">
        <v>272</v>
      </c>
      <c r="C85" s="839"/>
      <c r="D85" s="839"/>
      <c r="E85" s="839"/>
      <c r="F85" s="839"/>
      <c r="G85" s="839"/>
      <c r="H85" s="839"/>
    </row>
    <row r="86" spans="1:11" x14ac:dyDescent="0.3">
      <c r="A86" s="185" t="s">
        <v>234</v>
      </c>
      <c r="B86" s="839" t="s">
        <v>472</v>
      </c>
      <c r="C86" s="839"/>
      <c r="D86" s="839"/>
      <c r="E86" s="839"/>
      <c r="F86" s="839"/>
      <c r="G86" s="839"/>
      <c r="H86" s="839"/>
    </row>
    <row r="87" spans="1:11" ht="23.4" customHeight="1" x14ac:dyDescent="0.3">
      <c r="A87" s="185" t="s">
        <v>236</v>
      </c>
      <c r="B87" s="839" t="s">
        <v>238</v>
      </c>
      <c r="C87" s="839"/>
      <c r="D87" s="839"/>
      <c r="E87" s="839"/>
      <c r="F87" s="839"/>
      <c r="G87" s="839"/>
      <c r="H87" s="839"/>
    </row>
    <row r="88" spans="1:11" ht="15" customHeight="1" x14ac:dyDescent="0.3">
      <c r="A88" s="185" t="s">
        <v>237</v>
      </c>
      <c r="B88" s="839" t="s">
        <v>268</v>
      </c>
      <c r="C88" s="839"/>
      <c r="D88" s="839"/>
      <c r="E88" s="839"/>
      <c r="F88" s="839"/>
      <c r="G88" s="839"/>
      <c r="H88" s="839"/>
    </row>
    <row r="89" spans="1:11" x14ac:dyDescent="0.3">
      <c r="A89" s="243"/>
      <c r="B89" s="898" t="s">
        <v>461</v>
      </c>
      <c r="C89" s="898"/>
      <c r="D89" s="898"/>
      <c r="E89" s="898"/>
      <c r="F89" s="898"/>
      <c r="G89" s="898"/>
      <c r="H89" s="898"/>
      <c r="I89" s="898"/>
    </row>
    <row r="90" spans="1:11" ht="87.9" customHeight="1" x14ac:dyDescent="0.3">
      <c r="A90" s="897" t="s">
        <v>147</v>
      </c>
      <c r="B90" s="897"/>
      <c r="C90" s="897"/>
      <c r="D90" s="897"/>
      <c r="E90" s="897"/>
      <c r="F90" s="897"/>
      <c r="G90" s="897"/>
      <c r="H90" s="897"/>
    </row>
  </sheetData>
  <sheetProtection algorithmName="SHA-512" hashValue="kc2Yau5uHBiL38PBMoEemEsbt0LJt8RHorn+Hk1o/iRsQvvXuq4v40epNCJG9xXfT0/7TwWfqnZFOeIImHdMXg==" saltValue="E7AtgUsaDgnrjkWTGWkaoA==" spinCount="100000" sheet="1" objects="1" scenarios="1"/>
  <mergeCells count="28">
    <mergeCell ref="H52:J53"/>
    <mergeCell ref="A5:A7"/>
    <mergeCell ref="B5:B7"/>
    <mergeCell ref="C5:C6"/>
    <mergeCell ref="H3:J4"/>
    <mergeCell ref="C3:G4"/>
    <mergeCell ref="C27:F28"/>
    <mergeCell ref="G27:H28"/>
    <mergeCell ref="A29:A31"/>
    <mergeCell ref="B29:B31"/>
    <mergeCell ref="C29:C30"/>
    <mergeCell ref="A54:A56"/>
    <mergeCell ref="B54:B56"/>
    <mergeCell ref="C54:C55"/>
    <mergeCell ref="G54:G55"/>
    <mergeCell ref="C52:G53"/>
    <mergeCell ref="A90:H90"/>
    <mergeCell ref="B85:H85"/>
    <mergeCell ref="B86:H86"/>
    <mergeCell ref="B88:H88"/>
    <mergeCell ref="B78:H78"/>
    <mergeCell ref="B79:H79"/>
    <mergeCell ref="B80:H80"/>
    <mergeCell ref="B83:H83"/>
    <mergeCell ref="B87:H87"/>
    <mergeCell ref="B84:H84"/>
    <mergeCell ref="B89:I89"/>
    <mergeCell ref="B81:G81"/>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F66:H66 F17:H17 J15 F15:H15 D15 C17:D17 J59:J70 F68:H72 F67:G67"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V83"/>
  <sheetViews>
    <sheetView zoomScale="90" zoomScaleNormal="90" workbookViewId="0">
      <selection activeCell="I12" sqref="I12"/>
    </sheetView>
  </sheetViews>
  <sheetFormatPr baseColWidth="10" defaultColWidth="45" defaultRowHeight="14.4" x14ac:dyDescent="0.3"/>
  <cols>
    <col min="1" max="1" width="7" customWidth="1"/>
    <col min="2" max="2" width="47.77734375" customWidth="1"/>
    <col min="3" max="3" width="16.88671875" customWidth="1"/>
    <col min="4" max="4" width="17.44140625" hidden="1" customWidth="1"/>
    <col min="5" max="5" width="15.21875" style="685" customWidth="1"/>
    <col min="6" max="6" width="11.44140625" hidden="1" customWidth="1"/>
    <col min="7" max="7" width="15.109375" style="685" customWidth="1"/>
    <col min="8" max="8" width="14.77734375" hidden="1" customWidth="1"/>
    <col min="9" max="9" width="14.77734375" customWidth="1"/>
    <col min="10" max="10" width="11.21875" hidden="1" customWidth="1"/>
    <col min="11" max="12" width="17.21875" style="685" customWidth="1"/>
    <col min="13" max="13" width="17.88671875" hidden="1" customWidth="1"/>
    <col min="14" max="14" width="20.77734375" customWidth="1"/>
    <col min="15" max="15" width="12.77734375" hidden="1" customWidth="1"/>
  </cols>
  <sheetData>
    <row r="1" spans="1:15" x14ac:dyDescent="0.3">
      <c r="A1" s="243" t="s">
        <v>158</v>
      </c>
      <c r="B1" s="139" t="str">
        <f>+AMAZONAS!C1</f>
        <v>Vigencia: 12 de marzo de 2022; 00:00 horas</v>
      </c>
      <c r="C1" s="139"/>
      <c r="D1" s="244"/>
      <c r="E1" s="244"/>
      <c r="F1" s="244"/>
      <c r="G1" s="244"/>
      <c r="H1" s="244"/>
      <c r="I1" s="244"/>
      <c r="J1" s="244"/>
      <c r="K1" s="244"/>
      <c r="L1" s="244"/>
      <c r="M1" s="244"/>
    </row>
    <row r="2" spans="1:15" ht="15" thickBot="1" x14ac:dyDescent="0.35">
      <c r="A2" s="165" t="s">
        <v>179</v>
      </c>
      <c r="B2" s="166"/>
      <c r="C2" s="166"/>
      <c r="D2" s="166"/>
      <c r="E2" s="166"/>
      <c r="F2" s="166"/>
      <c r="G2" s="166"/>
      <c r="H2" s="166"/>
      <c r="I2" s="166"/>
      <c r="J2" s="245"/>
      <c r="K2" s="245"/>
      <c r="L2" s="245"/>
      <c r="M2" s="166"/>
    </row>
    <row r="3" spans="1:15" ht="15" thickTop="1" x14ac:dyDescent="0.3">
      <c r="A3" s="195"/>
      <c r="B3" s="168" t="s">
        <v>284</v>
      </c>
      <c r="C3" s="842" t="s">
        <v>180</v>
      </c>
      <c r="D3" s="843"/>
      <c r="E3" s="843"/>
      <c r="F3" s="843"/>
      <c r="G3" s="843"/>
      <c r="H3" s="843"/>
      <c r="I3" s="843"/>
      <c r="J3" s="879" t="s">
        <v>250</v>
      </c>
      <c r="K3" s="883"/>
      <c r="L3" s="883"/>
      <c r="M3" s="883"/>
    </row>
    <row r="4" spans="1:15" ht="27.6" x14ac:dyDescent="0.3">
      <c r="A4" s="169"/>
      <c r="B4" s="272" t="s">
        <v>283</v>
      </c>
      <c r="C4" s="844"/>
      <c r="D4" s="845"/>
      <c r="E4" s="845"/>
      <c r="F4" s="845"/>
      <c r="G4" s="845"/>
      <c r="H4" s="845"/>
      <c r="I4" s="845"/>
      <c r="J4" s="880"/>
      <c r="K4" s="885"/>
      <c r="L4" s="885"/>
      <c r="M4" s="885"/>
    </row>
    <row r="5" spans="1:15" ht="25.5" customHeight="1" x14ac:dyDescent="0.3">
      <c r="A5" s="855" t="s">
        <v>181</v>
      </c>
      <c r="B5" s="857" t="s">
        <v>182</v>
      </c>
      <c r="C5" s="840" t="s">
        <v>241</v>
      </c>
      <c r="D5" s="171" t="s">
        <v>96</v>
      </c>
      <c r="E5" s="694" t="s">
        <v>96</v>
      </c>
      <c r="F5" s="171" t="s">
        <v>172</v>
      </c>
      <c r="G5" s="739" t="s">
        <v>408</v>
      </c>
      <c r="H5" s="171" t="str">
        <f>+'LA GUAJIRA'!G5</f>
        <v>Biodiesel B11</v>
      </c>
      <c r="I5" s="859" t="s">
        <v>406</v>
      </c>
      <c r="J5" s="141" t="s">
        <v>96</v>
      </c>
      <c r="K5" s="693" t="s">
        <v>96</v>
      </c>
      <c r="L5" s="736" t="str">
        <f>+G5</f>
        <v>Biodiesel B10</v>
      </c>
      <c r="M5" s="235" t="str">
        <f>+H5</f>
        <v>Biodiesel B11</v>
      </c>
    </row>
    <row r="6" spans="1:15" ht="20.100000000000001" customHeight="1" x14ac:dyDescent="0.3">
      <c r="A6" s="855"/>
      <c r="B6" s="857"/>
      <c r="C6" s="841"/>
      <c r="D6" s="576" t="s">
        <v>509</v>
      </c>
      <c r="E6" s="576" t="s">
        <v>515</v>
      </c>
      <c r="F6" s="189">
        <v>0.02</v>
      </c>
      <c r="G6" s="172">
        <v>0.1</v>
      </c>
      <c r="H6" s="172">
        <f>+'LA GUAJIRA'!G6</f>
        <v>0.11</v>
      </c>
      <c r="I6" s="860"/>
      <c r="J6" s="552" t="str">
        <f>+D6</f>
        <v>Oxigena 5%</v>
      </c>
      <c r="K6" s="552" t="str">
        <f>+E6</f>
        <v>Oxigena 6%</v>
      </c>
      <c r="L6" s="172">
        <f>+G6</f>
        <v>0.1</v>
      </c>
      <c r="M6" s="172">
        <f>+H6</f>
        <v>0.11</v>
      </c>
    </row>
    <row r="7" spans="1:15" x14ac:dyDescent="0.3">
      <c r="A7" s="856"/>
      <c r="B7" s="858"/>
      <c r="C7" s="141" t="s">
        <v>183</v>
      </c>
      <c r="D7" s="171" t="s">
        <v>183</v>
      </c>
      <c r="E7" s="694" t="s">
        <v>183</v>
      </c>
      <c r="F7" s="171" t="s">
        <v>183</v>
      </c>
      <c r="G7" s="739" t="s">
        <v>183</v>
      </c>
      <c r="H7" s="171" t="s">
        <v>183</v>
      </c>
      <c r="I7" s="171" t="s">
        <v>183</v>
      </c>
      <c r="J7" s="141" t="s">
        <v>183</v>
      </c>
      <c r="K7" s="693" t="s">
        <v>183</v>
      </c>
      <c r="L7" s="736" t="s">
        <v>183</v>
      </c>
      <c r="M7" s="235" t="s">
        <v>183</v>
      </c>
    </row>
    <row r="8" spans="1:15" x14ac:dyDescent="0.3">
      <c r="A8" s="143" t="s">
        <v>184</v>
      </c>
      <c r="B8" s="149" t="s">
        <v>185</v>
      </c>
      <c r="C8" s="264">
        <f>+'Calculo IP ZDF'!B36</f>
        <v>4835.2212</v>
      </c>
      <c r="D8" s="264">
        <f>+'Calculo IP ZDF'!H36</f>
        <v>5245.8706400000001</v>
      </c>
      <c r="E8" s="704">
        <f>+'Calculo IP ZDF'!I36</f>
        <v>5328.0025999999998</v>
      </c>
      <c r="F8" s="264">
        <f>+'Calculo IP ZDF'!F36</f>
        <v>4323.8865999999998</v>
      </c>
      <c r="G8" s="265">
        <f>+'Calculo IP ZDF'!K36</f>
        <v>5887.5536240000001</v>
      </c>
      <c r="H8" s="265">
        <f>+'Calculo IP ZDF'!J36</f>
        <v>6083.0122504000001</v>
      </c>
      <c r="I8" s="179">
        <f>+'Calculo IP ZDF'!C36</f>
        <v>3932.9673599999996</v>
      </c>
      <c r="J8" s="247">
        <f>+'GAS CTE'!E9</f>
        <v>5252.3104999999996</v>
      </c>
      <c r="K8" s="709">
        <f>+'GAS CTE'!F9</f>
        <v>5334.3725999999997</v>
      </c>
      <c r="L8" s="201">
        <f>+BIODIESEL!H9</f>
        <v>6110.2880000000005</v>
      </c>
      <c r="M8" s="201">
        <f>+BIODIESEL!I9</f>
        <v>6303.2718000000004</v>
      </c>
    </row>
    <row r="9" spans="1:15" x14ac:dyDescent="0.3">
      <c r="A9" s="143" t="s">
        <v>186</v>
      </c>
      <c r="B9" s="149" t="s">
        <v>187</v>
      </c>
      <c r="C9" s="199" t="str">
        <f>+F9</f>
        <v>------------------</v>
      </c>
      <c r="D9" s="199" t="s">
        <v>188</v>
      </c>
      <c r="E9" s="705" t="s">
        <v>188</v>
      </c>
      <c r="F9" s="199" t="s">
        <v>188</v>
      </c>
      <c r="G9" s="199"/>
      <c r="H9" s="199" t="s">
        <v>188</v>
      </c>
      <c r="I9" s="174" t="s">
        <v>188</v>
      </c>
      <c r="J9" s="249">
        <f>+'GAS CTE'!E10</f>
        <v>556.9375</v>
      </c>
      <c r="K9" s="709">
        <f>+'GAS CTE'!F10</f>
        <v>551.07499999999993</v>
      </c>
      <c r="L9" s="198">
        <f>+BIODIESEL!H10</f>
        <v>505.00800000000004</v>
      </c>
      <c r="M9" s="198">
        <f>+BIODIESEL!I10</f>
        <v>499.39679999999998</v>
      </c>
    </row>
    <row r="10" spans="1:15" x14ac:dyDescent="0.3">
      <c r="A10" s="143"/>
      <c r="B10" s="149" t="s">
        <v>132</v>
      </c>
      <c r="C10" s="199" t="str">
        <f>+F10</f>
        <v>------------------</v>
      </c>
      <c r="D10" s="199" t="s">
        <v>188</v>
      </c>
      <c r="E10" s="705" t="s">
        <v>188</v>
      </c>
      <c r="F10" s="199" t="s">
        <v>188</v>
      </c>
      <c r="G10" s="199"/>
      <c r="H10" s="199" t="s">
        <v>188</v>
      </c>
      <c r="I10" s="174" t="s">
        <v>188</v>
      </c>
      <c r="J10" s="713" t="s">
        <v>133</v>
      </c>
      <c r="K10" s="713" t="s">
        <v>133</v>
      </c>
      <c r="L10" s="713"/>
      <c r="M10" s="713" t="s">
        <v>133</v>
      </c>
    </row>
    <row r="11" spans="1:15" x14ac:dyDescent="0.3">
      <c r="A11" s="143"/>
      <c r="B11" s="149" t="s">
        <v>134</v>
      </c>
      <c r="C11" s="250">
        <f>+'GAS CTE'!C12</f>
        <v>169</v>
      </c>
      <c r="D11" s="250">
        <f>+'GAS CTE'!E12</f>
        <v>160.54999999999998</v>
      </c>
      <c r="E11" s="706">
        <f>+'GAS CTE'!F12</f>
        <v>158.85999999999999</v>
      </c>
      <c r="F11" s="250">
        <f>+BIODIESEL!E12</f>
        <v>187.18</v>
      </c>
      <c r="G11" s="250">
        <f>+BIODIESEL!H12</f>
        <v>171.9</v>
      </c>
      <c r="H11" s="250">
        <f>+BIODIESEL!I12</f>
        <v>169.99</v>
      </c>
      <c r="I11" s="179">
        <f>+BIODIESEL!C12</f>
        <v>191</v>
      </c>
      <c r="J11" s="249">
        <f>+D11</f>
        <v>160.54999999999998</v>
      </c>
      <c r="K11" s="700">
        <f>+'GAS CTE'!F12</f>
        <v>158.85999999999999</v>
      </c>
      <c r="L11" s="198">
        <f>+G11</f>
        <v>171.9</v>
      </c>
      <c r="M11" s="198">
        <f>+H11</f>
        <v>169.99</v>
      </c>
    </row>
    <row r="12" spans="1:15" ht="22.2" customHeight="1" x14ac:dyDescent="0.3">
      <c r="A12" s="143" t="s">
        <v>189</v>
      </c>
      <c r="B12" s="149" t="s">
        <v>270</v>
      </c>
      <c r="C12" s="267" t="s">
        <v>217</v>
      </c>
      <c r="D12" s="199" t="str">
        <f t="shared" ref="D12:E15" si="0">+C12</f>
        <v>(2)</v>
      </c>
      <c r="E12" s="199" t="str">
        <f t="shared" si="0"/>
        <v>(2)</v>
      </c>
      <c r="F12" s="199" t="str">
        <f>+C12</f>
        <v>(2)</v>
      </c>
      <c r="G12" s="199"/>
      <c r="H12" s="199" t="str">
        <f>+C12</f>
        <v>(2)</v>
      </c>
      <c r="I12" s="173" t="str">
        <f>+C12</f>
        <v>(2)</v>
      </c>
      <c r="J12" s="249" t="str">
        <f>+I12</f>
        <v>(2)</v>
      </c>
      <c r="K12" s="700" t="str">
        <f>+J12</f>
        <v>(2)</v>
      </c>
      <c r="L12" s="198"/>
      <c r="M12" s="198" t="str">
        <f>+D12</f>
        <v>(2)</v>
      </c>
    </row>
    <row r="13" spans="1:15" x14ac:dyDescent="0.3">
      <c r="A13" s="143" t="s">
        <v>191</v>
      </c>
      <c r="B13" s="149" t="s">
        <v>192</v>
      </c>
      <c r="C13" s="250">
        <f>+RUBROS!AC18</f>
        <v>16.002047868544253</v>
      </c>
      <c r="D13" s="173">
        <f t="shared" si="0"/>
        <v>16.002047868544253</v>
      </c>
      <c r="E13" s="698">
        <f t="shared" si="0"/>
        <v>16.002047868544253</v>
      </c>
      <c r="F13" s="173">
        <f>+C13</f>
        <v>16.002047868544253</v>
      </c>
      <c r="G13" s="173">
        <f>+C13</f>
        <v>16.002047868544253</v>
      </c>
      <c r="H13" s="173">
        <f>+C13</f>
        <v>16.002047868544253</v>
      </c>
      <c r="I13" s="173">
        <f>+C13</f>
        <v>16.002047868544253</v>
      </c>
      <c r="J13" s="247">
        <f>+RUBROS!AA18</f>
        <v>22.249601678692599</v>
      </c>
      <c r="K13" s="700">
        <f>+RUBROS!AD18</f>
        <v>23.500029293035123</v>
      </c>
      <c r="L13" s="173">
        <f>+RUBROS!AD18</f>
        <v>23.500029293035123</v>
      </c>
      <c r="M13" s="173">
        <f>+RUBROS!AD18</f>
        <v>23.500029293035123</v>
      </c>
      <c r="O13" s="443" t="s">
        <v>426</v>
      </c>
    </row>
    <row r="14" spans="1:15" x14ac:dyDescent="0.3">
      <c r="A14" s="143" t="s">
        <v>193</v>
      </c>
      <c r="B14" s="297" t="s">
        <v>194</v>
      </c>
      <c r="C14" s="334">
        <f>+RUBROS!AC54</f>
        <v>112.5832368093597</v>
      </c>
      <c r="D14" s="173">
        <f t="shared" si="0"/>
        <v>112.5832368093597</v>
      </c>
      <c r="E14" s="698">
        <f t="shared" si="0"/>
        <v>112.5832368093597</v>
      </c>
      <c r="F14" s="173">
        <f>+D14</f>
        <v>112.5832368093597</v>
      </c>
      <c r="G14" s="173">
        <f>+F14</f>
        <v>112.5832368093597</v>
      </c>
      <c r="H14" s="173">
        <f>+F14</f>
        <v>112.5832368093597</v>
      </c>
      <c r="I14" s="173">
        <f>+H14</f>
        <v>112.5832368093597</v>
      </c>
      <c r="J14" s="247">
        <f>+C14</f>
        <v>112.5832368093597</v>
      </c>
      <c r="K14" s="700">
        <f>+RUBROS!AD54</f>
        <v>112.5832368093597</v>
      </c>
      <c r="L14" s="173">
        <f>+RUBROS!AD54</f>
        <v>112.5832368093597</v>
      </c>
      <c r="M14" s="173">
        <f>+RUBROS!AD54</f>
        <v>112.5832368093597</v>
      </c>
      <c r="O14" s="443" t="s">
        <v>426</v>
      </c>
    </row>
    <row r="15" spans="1:15" x14ac:dyDescent="0.3">
      <c r="A15" s="143" t="s">
        <v>195</v>
      </c>
      <c r="B15" s="149" t="s">
        <v>285</v>
      </c>
      <c r="C15" s="250">
        <f>+RUBROS!AU40</f>
        <v>13.326421256197724</v>
      </c>
      <c r="D15" s="173">
        <f t="shared" si="0"/>
        <v>13.326421256197724</v>
      </c>
      <c r="E15" s="698">
        <f t="shared" si="0"/>
        <v>13.326421256197724</v>
      </c>
      <c r="F15" s="173">
        <f>+C15</f>
        <v>13.326421256197724</v>
      </c>
      <c r="G15" s="173">
        <f>+C15</f>
        <v>13.326421256197724</v>
      </c>
      <c r="H15" s="173">
        <f>+C15</f>
        <v>13.326421256197724</v>
      </c>
      <c r="I15" s="173">
        <f>+C15</f>
        <v>13.326421256197724</v>
      </c>
      <c r="J15" s="247">
        <f>+C15</f>
        <v>13.326421256197724</v>
      </c>
      <c r="K15" s="700">
        <f>+J15</f>
        <v>13.326421256197724</v>
      </c>
      <c r="L15" s="173">
        <f>+J15</f>
        <v>13.326421256197724</v>
      </c>
      <c r="M15" s="173">
        <f>+J15</f>
        <v>13.326421256197724</v>
      </c>
      <c r="O15" s="443" t="s">
        <v>426</v>
      </c>
    </row>
    <row r="16" spans="1:15" hidden="1" x14ac:dyDescent="0.3">
      <c r="A16" s="143"/>
      <c r="B16" s="149" t="s">
        <v>197</v>
      </c>
      <c r="C16" s="250"/>
      <c r="D16" s="173"/>
      <c r="E16" s="173"/>
      <c r="F16" s="173"/>
      <c r="G16" s="173"/>
      <c r="H16" s="173"/>
      <c r="I16" s="173"/>
      <c r="J16" s="247"/>
      <c r="K16" s="201"/>
      <c r="L16" s="173"/>
      <c r="M16" s="173"/>
    </row>
    <row r="17" spans="1:13" x14ac:dyDescent="0.3">
      <c r="A17" s="150" t="s">
        <v>198</v>
      </c>
      <c r="B17" s="180" t="s">
        <v>199</v>
      </c>
      <c r="C17" s="251">
        <f>SUM(C8:C16)</f>
        <v>5146.1329059341024</v>
      </c>
      <c r="D17" s="251">
        <f t="shared" ref="D17:M17" si="1">SUM(D8:D16)</f>
        <v>5548.3323459341027</v>
      </c>
      <c r="E17" s="251">
        <f t="shared" si="1"/>
        <v>5628.7743059341019</v>
      </c>
      <c r="F17" s="251">
        <f t="shared" si="1"/>
        <v>4652.9783059341025</v>
      </c>
      <c r="G17" s="251">
        <f t="shared" si="1"/>
        <v>6201.3653299341022</v>
      </c>
      <c r="H17" s="251">
        <f t="shared" si="1"/>
        <v>6394.9139563341023</v>
      </c>
      <c r="I17" s="251">
        <f t="shared" si="1"/>
        <v>4265.8790659341021</v>
      </c>
      <c r="J17" s="253">
        <f t="shared" si="1"/>
        <v>6117.9572597442502</v>
      </c>
      <c r="K17" s="253">
        <f t="shared" ref="K17" si="2">SUM(K8:K16)</f>
        <v>6193.7172873585923</v>
      </c>
      <c r="L17" s="251">
        <f t="shared" si="1"/>
        <v>6936.6056873585931</v>
      </c>
      <c r="M17" s="251">
        <f t="shared" si="1"/>
        <v>7122.0682873585938</v>
      </c>
    </row>
    <row r="18" spans="1:13" x14ac:dyDescent="0.3">
      <c r="A18" s="143" t="s">
        <v>200</v>
      </c>
      <c r="B18" s="149" t="s">
        <v>265</v>
      </c>
      <c r="C18" s="268" t="s">
        <v>232</v>
      </c>
      <c r="D18" s="173" t="str">
        <f>+C18</f>
        <v>***</v>
      </c>
      <c r="E18" s="173" t="str">
        <f>+D18</f>
        <v>***</v>
      </c>
      <c r="F18" s="173" t="str">
        <f>+C18</f>
        <v>***</v>
      </c>
      <c r="G18" s="173" t="s">
        <v>232</v>
      </c>
      <c r="H18" s="173" t="str">
        <f>+F18</f>
        <v>***</v>
      </c>
      <c r="I18" s="173" t="str">
        <f>+F18</f>
        <v>***</v>
      </c>
      <c r="J18" s="247" t="str">
        <f>+I18</f>
        <v>***</v>
      </c>
      <c r="K18" s="247" t="str">
        <f>+J18</f>
        <v>***</v>
      </c>
      <c r="L18" s="173" t="s">
        <v>232</v>
      </c>
      <c r="M18" s="173" t="str">
        <f>+J18</f>
        <v>***</v>
      </c>
    </row>
    <row r="19" spans="1:13" x14ac:dyDescent="0.3">
      <c r="A19" s="143" t="s">
        <v>202</v>
      </c>
      <c r="B19" s="149" t="s">
        <v>203</v>
      </c>
      <c r="C19" s="267" t="s">
        <v>230</v>
      </c>
      <c r="D19" s="173" t="str">
        <f>+C19</f>
        <v>**</v>
      </c>
      <c r="E19" s="173" t="str">
        <f>+D19</f>
        <v>**</v>
      </c>
      <c r="F19" s="173" t="str">
        <f>+C19</f>
        <v>**</v>
      </c>
      <c r="G19" s="173" t="s">
        <v>230</v>
      </c>
      <c r="H19" s="173" t="str">
        <f>+C19</f>
        <v>**</v>
      </c>
      <c r="I19" s="173" t="str">
        <f>+C19</f>
        <v>**</v>
      </c>
      <c r="J19" s="247" t="str">
        <f>+I19</f>
        <v>**</v>
      </c>
      <c r="K19" s="247" t="str">
        <f>+J19</f>
        <v>**</v>
      </c>
      <c r="L19" s="173" t="s">
        <v>230</v>
      </c>
      <c r="M19" s="173" t="str">
        <f>+J19</f>
        <v>**</v>
      </c>
    </row>
    <row r="20" spans="1:13" x14ac:dyDescent="0.3">
      <c r="A20" s="143" t="s">
        <v>204</v>
      </c>
      <c r="B20" s="218" t="s">
        <v>139</v>
      </c>
      <c r="C20" s="255" t="str">
        <f>+F20</f>
        <v>****</v>
      </c>
      <c r="D20" s="173" t="str">
        <f t="shared" ref="D20:D22" si="3">+F20</f>
        <v>****</v>
      </c>
      <c r="E20" s="173" t="str">
        <f>+H20</f>
        <v>****</v>
      </c>
      <c r="F20" s="179" t="str">
        <f>+A37</f>
        <v>****</v>
      </c>
      <c r="G20" s="179" t="s">
        <v>234</v>
      </c>
      <c r="H20" s="179" t="str">
        <f>+F20</f>
        <v>****</v>
      </c>
      <c r="I20" s="179" t="str">
        <f>+A37</f>
        <v>****</v>
      </c>
      <c r="J20" s="270" t="str">
        <f>C20</f>
        <v>****</v>
      </c>
      <c r="K20" s="270" t="str">
        <f>D20</f>
        <v>****</v>
      </c>
      <c r="L20" s="173" t="s">
        <v>234</v>
      </c>
      <c r="M20" s="173" t="str">
        <f>+J20</f>
        <v>****</v>
      </c>
    </row>
    <row r="21" spans="1:13" x14ac:dyDescent="0.3">
      <c r="A21" s="150" t="s">
        <v>206</v>
      </c>
      <c r="B21" s="180" t="s">
        <v>207</v>
      </c>
      <c r="C21" s="256">
        <f>SUM(C17:C20)</f>
        <v>5146.1329059341024</v>
      </c>
      <c r="D21" s="181">
        <f t="shared" ref="D21:M21" si="4">SUM(D17:D20)</f>
        <v>5548.3323459341027</v>
      </c>
      <c r="E21" s="181">
        <f t="shared" ref="E21" si="5">SUM(E17:E20)</f>
        <v>5628.7743059341019</v>
      </c>
      <c r="F21" s="181">
        <f t="shared" si="4"/>
        <v>4652.9783059341025</v>
      </c>
      <c r="G21" s="181">
        <f t="shared" si="4"/>
        <v>6201.3653299341022</v>
      </c>
      <c r="H21" s="181">
        <f t="shared" si="4"/>
        <v>6394.9139563341023</v>
      </c>
      <c r="I21" s="181">
        <f t="shared" si="4"/>
        <v>4265.8790659341021</v>
      </c>
      <c r="J21" s="253">
        <f t="shared" si="4"/>
        <v>6117.9572597442502</v>
      </c>
      <c r="K21" s="253">
        <f t="shared" ref="K21" si="6">SUM(K17:K20)</f>
        <v>6193.7172873585923</v>
      </c>
      <c r="L21" s="181">
        <f t="shared" si="4"/>
        <v>6936.6056873585931</v>
      </c>
      <c r="M21" s="181">
        <f t="shared" si="4"/>
        <v>7122.0682873585938</v>
      </c>
    </row>
    <row r="22" spans="1:13" x14ac:dyDescent="0.3">
      <c r="A22" s="143" t="s">
        <v>208</v>
      </c>
      <c r="B22" s="149" t="s">
        <v>160</v>
      </c>
      <c r="C22" s="250" t="str">
        <f>+F22</f>
        <v>***</v>
      </c>
      <c r="D22" s="173" t="str">
        <f t="shared" si="3"/>
        <v>***</v>
      </c>
      <c r="E22" s="173" t="str">
        <f>+H22</f>
        <v>***</v>
      </c>
      <c r="F22" s="173" t="str">
        <f t="shared" ref="F22" si="7">+F18</f>
        <v>***</v>
      </c>
      <c r="G22" s="173" t="s">
        <v>232</v>
      </c>
      <c r="H22" s="173" t="str">
        <f>+F22</f>
        <v>***</v>
      </c>
      <c r="I22" s="173" t="str">
        <f>+I18</f>
        <v>***</v>
      </c>
      <c r="J22" s="247" t="str">
        <f>+I22</f>
        <v>***</v>
      </c>
      <c r="K22" s="247" t="str">
        <f>+J22</f>
        <v>***</v>
      </c>
      <c r="L22" s="173" t="s">
        <v>232</v>
      </c>
      <c r="M22" s="173" t="str">
        <f>+J22</f>
        <v>***</v>
      </c>
    </row>
    <row r="23" spans="1:13" x14ac:dyDescent="0.3">
      <c r="A23" s="143" t="s">
        <v>209</v>
      </c>
      <c r="B23" s="144" t="s">
        <v>210</v>
      </c>
      <c r="C23" s="257" t="s">
        <v>236</v>
      </c>
      <c r="D23" s="173" t="str">
        <f>+C23</f>
        <v>*****</v>
      </c>
      <c r="E23" s="173" t="str">
        <f>+D23</f>
        <v>*****</v>
      </c>
      <c r="F23" s="173" t="s">
        <v>211</v>
      </c>
      <c r="G23" s="173" t="s">
        <v>211</v>
      </c>
      <c r="H23" s="173" t="str">
        <f>+F23</f>
        <v>N.A</v>
      </c>
      <c r="I23" s="173" t="s">
        <v>211</v>
      </c>
      <c r="J23" s="247" t="str">
        <f>+D23</f>
        <v>*****</v>
      </c>
      <c r="K23" s="247" t="str">
        <f>+E23</f>
        <v>*****</v>
      </c>
      <c r="L23" s="173" t="s">
        <v>254</v>
      </c>
      <c r="M23" s="173" t="s">
        <v>254</v>
      </c>
    </row>
    <row r="24" spans="1:13" x14ac:dyDescent="0.3">
      <c r="A24" s="143" t="s">
        <v>212</v>
      </c>
      <c r="B24" s="144" t="s">
        <v>213</v>
      </c>
      <c r="C24" s="257" t="s">
        <v>237</v>
      </c>
      <c r="D24" s="173" t="str">
        <f>+C24</f>
        <v>******</v>
      </c>
      <c r="E24" s="173" t="str">
        <f>+D24</f>
        <v>******</v>
      </c>
      <c r="F24" s="173" t="str">
        <f>+C24</f>
        <v>******</v>
      </c>
      <c r="G24" s="173" t="s">
        <v>237</v>
      </c>
      <c r="H24" s="173" t="str">
        <f>+C24</f>
        <v>******</v>
      </c>
      <c r="I24" s="173" t="str">
        <f>+C24</f>
        <v>******</v>
      </c>
      <c r="J24" s="247" t="str">
        <f>+C24</f>
        <v>******</v>
      </c>
      <c r="K24" s="247" t="str">
        <f>+D24</f>
        <v>******</v>
      </c>
      <c r="L24" s="173" t="s">
        <v>237</v>
      </c>
      <c r="M24" s="173" t="str">
        <f>+C24</f>
        <v>******</v>
      </c>
    </row>
    <row r="25" spans="1:13" ht="15" thickBot="1" x14ac:dyDescent="0.35">
      <c r="A25" s="154" t="s">
        <v>214</v>
      </c>
      <c r="B25" s="155" t="s">
        <v>215</v>
      </c>
      <c r="C25" s="258"/>
      <c r="D25" s="183"/>
      <c r="E25" s="183"/>
      <c r="F25" s="183"/>
      <c r="G25" s="183"/>
      <c r="H25" s="183"/>
      <c r="I25" s="183"/>
      <c r="J25" s="259"/>
      <c r="K25" s="211"/>
      <c r="L25" s="211"/>
      <c r="M25" s="183"/>
    </row>
    <row r="26" spans="1:13" ht="15" thickTop="1" x14ac:dyDescent="0.3">
      <c r="A26" s="159"/>
      <c r="B26" s="160"/>
      <c r="C26" s="160"/>
      <c r="D26" s="161"/>
      <c r="E26" s="161"/>
      <c r="F26" s="161"/>
      <c r="G26" s="161"/>
      <c r="H26" s="161"/>
      <c r="I26" s="161"/>
      <c r="J26" s="161"/>
      <c r="K26" s="161"/>
      <c r="L26" s="161"/>
      <c r="M26" s="161"/>
    </row>
    <row r="27" spans="1:13" x14ac:dyDescent="0.3">
      <c r="A27" s="159"/>
      <c r="B27" s="266" t="s">
        <v>228</v>
      </c>
      <c r="C27" s="160"/>
      <c r="D27" s="161"/>
      <c r="E27" s="161"/>
      <c r="F27" s="161"/>
      <c r="G27" s="161"/>
      <c r="H27" s="161"/>
      <c r="I27" s="161"/>
      <c r="J27" s="161"/>
      <c r="K27" s="161"/>
      <c r="L27" s="161"/>
      <c r="M27" s="161"/>
    </row>
    <row r="28" spans="1:13" x14ac:dyDescent="0.3">
      <c r="A28" s="159"/>
      <c r="B28" s="160"/>
      <c r="C28" s="160"/>
      <c r="D28" s="161"/>
      <c r="E28" s="161"/>
      <c r="F28" s="161"/>
      <c r="G28" s="161"/>
      <c r="H28" s="161"/>
      <c r="I28" s="161"/>
      <c r="J28" s="161"/>
      <c r="K28" s="161"/>
      <c r="L28" s="161"/>
      <c r="M28" s="161"/>
    </row>
    <row r="29" spans="1:13" x14ac:dyDescent="0.3">
      <c r="A29" s="162" t="s">
        <v>190</v>
      </c>
      <c r="B29" s="853" t="str">
        <f>+'LA GUAJIRA'!B78:H78</f>
        <v>De acuerdo con lo establecido en la Resolución MME 91349 de 2014</v>
      </c>
      <c r="C29" s="853"/>
      <c r="D29" s="853"/>
      <c r="E29" s="853"/>
      <c r="F29" s="853"/>
      <c r="G29" s="853"/>
      <c r="H29" s="853"/>
      <c r="I29" s="853"/>
      <c r="J29" s="853"/>
      <c r="K29" s="689"/>
      <c r="L29" s="735"/>
      <c r="M29" s="161"/>
    </row>
    <row r="30" spans="1:13" x14ac:dyDescent="0.3">
      <c r="A30" s="162" t="s">
        <v>217</v>
      </c>
      <c r="B30" s="838" t="s">
        <v>271</v>
      </c>
      <c r="C30" s="838"/>
      <c r="D30" s="838"/>
      <c r="E30" s="838"/>
      <c r="F30" s="838"/>
      <c r="G30" s="838"/>
      <c r="H30" s="838"/>
      <c r="I30" s="838"/>
      <c r="J30" s="838"/>
      <c r="K30" s="687"/>
      <c r="L30" s="733"/>
      <c r="M30" s="161"/>
    </row>
    <row r="31" spans="1:13" ht="72.599999999999994" customHeight="1" x14ac:dyDescent="0.3">
      <c r="A31" s="162" t="s">
        <v>133</v>
      </c>
      <c r="B31" s="853" t="s">
        <v>334</v>
      </c>
      <c r="C31" s="853"/>
      <c r="D31" s="853"/>
      <c r="E31" s="853"/>
      <c r="F31" s="853"/>
      <c r="G31" s="853"/>
      <c r="H31" s="853"/>
      <c r="I31" s="853"/>
      <c r="J31" s="853"/>
      <c r="K31" s="689"/>
      <c r="L31" s="735"/>
      <c r="M31" s="161"/>
    </row>
    <row r="32" spans="1:13" ht="21" customHeight="1" x14ac:dyDescent="0.3">
      <c r="A32" s="162"/>
      <c r="B32" s="909"/>
      <c r="C32" s="909"/>
      <c r="D32" s="909"/>
      <c r="E32" s="909"/>
      <c r="F32" s="909"/>
      <c r="G32" s="909"/>
      <c r="H32" s="909"/>
      <c r="I32" s="909"/>
      <c r="J32" s="236"/>
      <c r="K32" s="689"/>
      <c r="L32" s="735"/>
      <c r="M32" s="161"/>
    </row>
    <row r="33" spans="1:22" x14ac:dyDescent="0.3">
      <c r="A33" s="162"/>
      <c r="B33" s="184"/>
      <c r="C33" s="184"/>
      <c r="D33" s="215"/>
      <c r="E33" s="215"/>
      <c r="F33" s="215"/>
      <c r="G33" s="215"/>
      <c r="H33" s="215"/>
      <c r="I33" s="215"/>
      <c r="J33" s="215"/>
      <c r="K33" s="215"/>
      <c r="L33" s="215"/>
      <c r="M33" s="215"/>
    </row>
    <row r="34" spans="1:22" x14ac:dyDescent="0.3">
      <c r="A34" s="185" t="s">
        <v>102</v>
      </c>
      <c r="B34" s="839" t="s">
        <v>229</v>
      </c>
      <c r="C34" s="839"/>
      <c r="D34" s="839"/>
      <c r="E34" s="839"/>
      <c r="F34" s="839"/>
      <c r="G34" s="839"/>
      <c r="H34" s="839"/>
      <c r="I34" s="839"/>
      <c r="J34" s="839"/>
      <c r="K34" s="686"/>
      <c r="L34" s="734"/>
      <c r="M34" s="261"/>
    </row>
    <row r="35" spans="1:22" ht="23.4" customHeight="1" x14ac:dyDescent="0.3">
      <c r="A35" s="185" t="s">
        <v>230</v>
      </c>
      <c r="B35" s="839" t="s">
        <v>262</v>
      </c>
      <c r="C35" s="839"/>
      <c r="D35" s="839"/>
      <c r="E35" s="839"/>
      <c r="F35" s="839"/>
      <c r="G35" s="839"/>
      <c r="H35" s="839"/>
      <c r="I35" s="839"/>
      <c r="J35" s="839"/>
      <c r="K35" s="839"/>
      <c r="L35" s="839"/>
      <c r="M35" s="839"/>
    </row>
    <row r="36" spans="1:22" ht="22.65" customHeight="1" x14ac:dyDescent="0.3">
      <c r="A36" s="185" t="s">
        <v>232</v>
      </c>
      <c r="B36" s="839" t="s">
        <v>272</v>
      </c>
      <c r="C36" s="839"/>
      <c r="D36" s="839"/>
      <c r="E36" s="839"/>
      <c r="F36" s="839"/>
      <c r="G36" s="839"/>
      <c r="H36" s="839"/>
      <c r="I36" s="839"/>
      <c r="J36" s="839"/>
      <c r="K36" s="839"/>
      <c r="L36" s="839"/>
      <c r="M36" s="839"/>
    </row>
    <row r="37" spans="1:22" x14ac:dyDescent="0.3">
      <c r="A37" s="185" t="s">
        <v>234</v>
      </c>
      <c r="B37" s="839" t="s">
        <v>472</v>
      </c>
      <c r="C37" s="839"/>
      <c r="D37" s="839"/>
      <c r="E37" s="839"/>
      <c r="F37" s="839"/>
      <c r="G37" s="839"/>
      <c r="H37" s="839"/>
      <c r="I37" s="839"/>
      <c r="J37" s="839"/>
      <c r="K37" s="839"/>
      <c r="L37" s="839"/>
      <c r="M37" s="839"/>
    </row>
    <row r="38" spans="1:22" ht="23.4" customHeight="1" x14ac:dyDescent="0.3">
      <c r="A38" s="185" t="s">
        <v>236</v>
      </c>
      <c r="B38" s="839" t="s">
        <v>238</v>
      </c>
      <c r="C38" s="839"/>
      <c r="D38" s="839"/>
      <c r="E38" s="839"/>
      <c r="F38" s="839"/>
      <c r="G38" s="839"/>
      <c r="H38" s="839"/>
      <c r="I38" s="839"/>
      <c r="J38" s="234"/>
      <c r="K38" s="686"/>
      <c r="L38" s="734"/>
      <c r="M38" s="262"/>
    </row>
    <row r="39" spans="1:22" x14ac:dyDescent="0.3">
      <c r="A39" s="185" t="s">
        <v>237</v>
      </c>
      <c r="B39" s="839" t="s">
        <v>268</v>
      </c>
      <c r="C39" s="839"/>
      <c r="D39" s="839"/>
      <c r="E39" s="839"/>
      <c r="F39" s="839"/>
      <c r="G39" s="839"/>
      <c r="H39" s="839"/>
      <c r="I39" s="839"/>
      <c r="J39" s="839"/>
      <c r="K39" s="839"/>
      <c r="L39" s="839"/>
      <c r="M39" s="839"/>
    </row>
    <row r="40" spans="1:22" x14ac:dyDescent="0.3">
      <c r="A40" s="243"/>
      <c r="B40" s="244"/>
      <c r="C40" s="244"/>
      <c r="D40" s="244"/>
      <c r="E40" s="244"/>
      <c r="F40" s="244"/>
      <c r="G40" s="244"/>
      <c r="H40" s="244"/>
      <c r="I40" s="244"/>
      <c r="J40" s="244"/>
      <c r="K40" s="244"/>
      <c r="L40" s="244"/>
      <c r="M40" s="244"/>
    </row>
    <row r="41" spans="1:22" ht="97.5" customHeight="1" x14ac:dyDescent="0.3">
      <c r="A41" s="862" t="s">
        <v>147</v>
      </c>
      <c r="B41" s="862"/>
      <c r="C41" s="862"/>
      <c r="D41" s="862"/>
      <c r="E41" s="862"/>
      <c r="F41" s="862"/>
      <c r="G41" s="862"/>
      <c r="H41" s="862"/>
      <c r="I41" s="862"/>
      <c r="J41" s="862"/>
      <c r="K41" s="688"/>
      <c r="L41" s="737"/>
    </row>
    <row r="42" spans="1:22" x14ac:dyDescent="0.3">
      <c r="A42" s="276"/>
      <c r="B42" s="276"/>
      <c r="C42" s="276"/>
      <c r="D42" s="276"/>
      <c r="E42" s="688"/>
      <c r="F42" s="276"/>
      <c r="G42" s="737"/>
      <c r="H42" s="276"/>
      <c r="I42" s="276"/>
      <c r="J42" s="276"/>
      <c r="K42" s="688"/>
      <c r="L42" s="737"/>
    </row>
    <row r="43" spans="1:22" hidden="1" x14ac:dyDescent="0.3">
      <c r="B43" t="str">
        <f>+AMAZONAS!C1</f>
        <v>Vigencia: 12 de marzo de 2022; 00:00 horas</v>
      </c>
    </row>
    <row r="44" spans="1:22" hidden="1" x14ac:dyDescent="0.3">
      <c r="A44" s="907" t="s">
        <v>179</v>
      </c>
      <c r="B44" s="907"/>
      <c r="C44" s="908"/>
      <c r="D44" s="908"/>
      <c r="E44" s="908"/>
      <c r="F44" s="908"/>
      <c r="G44" s="908"/>
      <c r="H44" s="908"/>
      <c r="I44" s="908"/>
      <c r="J44" s="908"/>
      <c r="K44" s="908"/>
      <c r="L44" s="908"/>
      <c r="M44" s="908"/>
      <c r="N44" s="908"/>
      <c r="O44" s="908"/>
      <c r="P44" s="908"/>
      <c r="Q44" s="908"/>
      <c r="R44" s="237"/>
      <c r="S44" s="237"/>
      <c r="T44" s="237"/>
      <c r="U44" s="289"/>
      <c r="V44" s="289"/>
    </row>
    <row r="45" spans="1:22" ht="15" hidden="1" thickTop="1" x14ac:dyDescent="0.3">
      <c r="A45" s="290"/>
      <c r="B45" s="905" t="s">
        <v>284</v>
      </c>
      <c r="C45" s="864" t="s">
        <v>180</v>
      </c>
      <c r="D45" s="864"/>
      <c r="E45" s="690"/>
      <c r="F45" s="895" t="s">
        <v>250</v>
      </c>
      <c r="G45" s="895"/>
      <c r="H45" s="870"/>
    </row>
    <row r="46" spans="1:22" hidden="1" x14ac:dyDescent="0.3">
      <c r="A46" s="140"/>
      <c r="B46" s="906"/>
      <c r="C46" s="902"/>
      <c r="D46" s="902"/>
      <c r="E46" s="692"/>
      <c r="F46" s="903"/>
      <c r="G46" s="903"/>
      <c r="H46" s="904"/>
    </row>
    <row r="47" spans="1:22" ht="25.5" hidden="1" customHeight="1" x14ac:dyDescent="0.3">
      <c r="A47" s="855" t="s">
        <v>181</v>
      </c>
      <c r="B47" s="899" t="s">
        <v>182</v>
      </c>
      <c r="C47" s="291" t="s">
        <v>96</v>
      </c>
      <c r="D47" s="292" t="s">
        <v>286</v>
      </c>
      <c r="E47" s="710"/>
      <c r="F47" s="291" t="s">
        <v>96</v>
      </c>
      <c r="G47" s="710"/>
      <c r="H47" s="292" t="s">
        <v>286</v>
      </c>
    </row>
    <row r="48" spans="1:22" ht="27.6" hidden="1" x14ac:dyDescent="0.3">
      <c r="A48" s="855"/>
      <c r="B48" s="899"/>
      <c r="C48" s="293" t="s">
        <v>287</v>
      </c>
      <c r="D48" s="294" t="s">
        <v>287</v>
      </c>
      <c r="E48" s="711"/>
      <c r="F48" s="293" t="s">
        <v>287</v>
      </c>
      <c r="G48" s="745"/>
      <c r="H48" s="294" t="s">
        <v>287</v>
      </c>
    </row>
    <row r="49" spans="1:8" hidden="1" x14ac:dyDescent="0.3">
      <c r="A49" s="856"/>
      <c r="B49" s="900"/>
      <c r="C49" s="295" t="s">
        <v>183</v>
      </c>
      <c r="D49" s="296" t="s">
        <v>183</v>
      </c>
      <c r="E49" s="712"/>
      <c r="F49" s="295" t="s">
        <v>183</v>
      </c>
      <c r="G49" s="712"/>
      <c r="H49" s="296" t="s">
        <v>183</v>
      </c>
    </row>
    <row r="50" spans="1:8" hidden="1" x14ac:dyDescent="0.3">
      <c r="A50" s="143" t="s">
        <v>184</v>
      </c>
      <c r="B50" s="297" t="s">
        <v>185</v>
      </c>
      <c r="C50" s="145" t="e">
        <f>+'Calculo IP ZDF'!#REF!</f>
        <v>#REF!</v>
      </c>
      <c r="D50" s="145" t="e">
        <f>+'Calculo IP ZDF'!#REF!</f>
        <v>#REF!</v>
      </c>
      <c r="E50" s="145"/>
      <c r="F50" s="182" t="e">
        <f>+'Calculo IP ZDF'!#REF!</f>
        <v>#REF!</v>
      </c>
      <c r="G50" s="198"/>
      <c r="H50" s="146" t="e">
        <f>+'Calculo IP ZDF'!#REF!</f>
        <v>#REF!</v>
      </c>
    </row>
    <row r="51" spans="1:8" hidden="1" x14ac:dyDescent="0.3">
      <c r="A51" s="143" t="s">
        <v>186</v>
      </c>
      <c r="B51" s="297" t="s">
        <v>187</v>
      </c>
      <c r="C51" s="153" t="s">
        <v>188</v>
      </c>
      <c r="D51" s="148" t="s">
        <v>188</v>
      </c>
      <c r="E51" s="198"/>
      <c r="F51" s="182">
        <v>526.26030379999997</v>
      </c>
      <c r="G51" s="198"/>
      <c r="H51" s="146">
        <v>503.70629078000002</v>
      </c>
    </row>
    <row r="52" spans="1:8" hidden="1" x14ac:dyDescent="0.3">
      <c r="A52" s="143"/>
      <c r="B52" s="297" t="s">
        <v>132</v>
      </c>
      <c r="C52" s="153" t="s">
        <v>188</v>
      </c>
      <c r="D52" s="148" t="s">
        <v>188</v>
      </c>
      <c r="E52" s="198"/>
      <c r="F52" s="298" t="s">
        <v>217</v>
      </c>
      <c r="G52" s="741"/>
      <c r="H52" s="148" t="s">
        <v>217</v>
      </c>
    </row>
    <row r="53" spans="1:8" hidden="1" x14ac:dyDescent="0.3">
      <c r="A53" s="143"/>
      <c r="B53" s="297" t="s">
        <v>134</v>
      </c>
      <c r="C53" s="153">
        <v>148</v>
      </c>
      <c r="D53" s="148">
        <v>166</v>
      </c>
      <c r="E53" s="198"/>
      <c r="F53" s="209">
        <v>148</v>
      </c>
      <c r="G53" s="198"/>
      <c r="H53" s="148">
        <v>166</v>
      </c>
    </row>
    <row r="54" spans="1:8" hidden="1" x14ac:dyDescent="0.3">
      <c r="A54" s="143" t="s">
        <v>191</v>
      </c>
      <c r="B54" s="297" t="s">
        <v>192</v>
      </c>
      <c r="C54" s="153" t="s">
        <v>188</v>
      </c>
      <c r="D54" s="148" t="s">
        <v>188</v>
      </c>
      <c r="E54" s="198"/>
      <c r="F54" s="153" t="s">
        <v>188</v>
      </c>
      <c r="G54" s="746"/>
      <c r="H54" s="148" t="s">
        <v>188</v>
      </c>
    </row>
    <row r="55" spans="1:8" hidden="1" x14ac:dyDescent="0.3">
      <c r="A55" s="143" t="s">
        <v>193</v>
      </c>
      <c r="B55" s="297" t="s">
        <v>194</v>
      </c>
      <c r="C55" s="153" t="s">
        <v>188</v>
      </c>
      <c r="D55" s="148" t="s">
        <v>188</v>
      </c>
      <c r="E55" s="198"/>
      <c r="F55" s="153" t="s">
        <v>188</v>
      </c>
      <c r="G55" s="746"/>
      <c r="H55" s="148" t="s">
        <v>188</v>
      </c>
    </row>
    <row r="56" spans="1:8" hidden="1" x14ac:dyDescent="0.3">
      <c r="A56" s="143" t="s">
        <v>195</v>
      </c>
      <c r="B56" s="297" t="s">
        <v>288</v>
      </c>
      <c r="C56" s="153">
        <v>12.2</v>
      </c>
      <c r="D56" s="148">
        <f>+C56</f>
        <v>12.2</v>
      </c>
      <c r="E56" s="198"/>
      <c r="F56" s="153">
        <f>+D56</f>
        <v>12.2</v>
      </c>
      <c r="G56" s="746"/>
      <c r="H56" s="148">
        <f>+C56</f>
        <v>12.2</v>
      </c>
    </row>
    <row r="57" spans="1:8" hidden="1" x14ac:dyDescent="0.3">
      <c r="A57" s="143"/>
      <c r="B57" s="297" t="s">
        <v>197</v>
      </c>
      <c r="C57" s="145">
        <v>71.510000000000005</v>
      </c>
      <c r="D57" s="146">
        <f>+C57</f>
        <v>71.510000000000005</v>
      </c>
      <c r="E57" s="201"/>
      <c r="F57" s="145">
        <f>+C57</f>
        <v>71.510000000000005</v>
      </c>
      <c r="G57" s="201"/>
      <c r="H57" s="146">
        <f>+D57</f>
        <v>71.510000000000005</v>
      </c>
    </row>
    <row r="58" spans="1:8" hidden="1" x14ac:dyDescent="0.3">
      <c r="A58" s="150" t="s">
        <v>198</v>
      </c>
      <c r="B58" s="299" t="s">
        <v>199</v>
      </c>
      <c r="C58" s="151" t="e">
        <f>SUM(C50:C57)</f>
        <v>#REF!</v>
      </c>
      <c r="D58" s="152" t="e">
        <f t="shared" ref="D58:H58" si="8">SUM(D50:D57)</f>
        <v>#REF!</v>
      </c>
      <c r="E58" s="207"/>
      <c r="F58" s="151" t="e">
        <f t="shared" si="8"/>
        <v>#REF!</v>
      </c>
      <c r="G58" s="207"/>
      <c r="H58" s="152" t="e">
        <f t="shared" si="8"/>
        <v>#REF!</v>
      </c>
    </row>
    <row r="59" spans="1:8" hidden="1" x14ac:dyDescent="0.3">
      <c r="A59" s="143" t="s">
        <v>200</v>
      </c>
      <c r="B59" s="297" t="s">
        <v>265</v>
      </c>
      <c r="C59" s="145" t="s">
        <v>232</v>
      </c>
      <c r="D59" s="146" t="s">
        <v>232</v>
      </c>
      <c r="E59" s="201"/>
      <c r="F59" s="145" t="s">
        <v>232</v>
      </c>
      <c r="G59" s="201"/>
      <c r="H59" s="146" t="s">
        <v>232</v>
      </c>
    </row>
    <row r="60" spans="1:8" hidden="1" x14ac:dyDescent="0.3">
      <c r="A60" s="143" t="s">
        <v>204</v>
      </c>
      <c r="B60" s="297" t="s">
        <v>139</v>
      </c>
      <c r="C60" s="145" t="s">
        <v>234</v>
      </c>
      <c r="D60" s="146" t="s">
        <v>234</v>
      </c>
      <c r="E60" s="201"/>
      <c r="F60" s="145" t="s">
        <v>234</v>
      </c>
      <c r="G60" s="201"/>
      <c r="H60" s="146" t="s">
        <v>234</v>
      </c>
    </row>
    <row r="61" spans="1:8" hidden="1" x14ac:dyDescent="0.3">
      <c r="A61" s="150" t="s">
        <v>206</v>
      </c>
      <c r="B61" s="299" t="s">
        <v>207</v>
      </c>
      <c r="C61" s="151">
        <v>5316.4418400000004</v>
      </c>
      <c r="D61" s="152">
        <v>5474.7219600000008</v>
      </c>
      <c r="E61" s="207"/>
      <c r="F61" s="151">
        <v>6314.9703037999998</v>
      </c>
      <c r="G61" s="207"/>
      <c r="H61" s="152">
        <v>6956.0162907800004</v>
      </c>
    </row>
    <row r="62" spans="1:8" hidden="1" x14ac:dyDescent="0.3">
      <c r="A62" s="143" t="s">
        <v>208</v>
      </c>
      <c r="B62" s="297" t="s">
        <v>160</v>
      </c>
      <c r="C62" s="145" t="s">
        <v>232</v>
      </c>
      <c r="D62" s="146" t="s">
        <v>232</v>
      </c>
      <c r="E62" s="201"/>
      <c r="F62" s="145" t="s">
        <v>232</v>
      </c>
      <c r="G62" s="201"/>
      <c r="H62" s="146" t="s">
        <v>232</v>
      </c>
    </row>
    <row r="63" spans="1:8" hidden="1" x14ac:dyDescent="0.3">
      <c r="A63" s="143" t="s">
        <v>209</v>
      </c>
      <c r="B63" s="297" t="s">
        <v>210</v>
      </c>
      <c r="C63" s="182" t="s">
        <v>236</v>
      </c>
      <c r="D63" s="146" t="s">
        <v>211</v>
      </c>
      <c r="E63" s="201"/>
      <c r="F63" s="145" t="s">
        <v>236</v>
      </c>
      <c r="G63" s="201"/>
      <c r="H63" s="148" t="s">
        <v>211</v>
      </c>
    </row>
    <row r="64" spans="1:8" hidden="1" x14ac:dyDescent="0.3">
      <c r="A64" s="143" t="s">
        <v>212</v>
      </c>
      <c r="B64" s="297" t="s">
        <v>289</v>
      </c>
      <c r="C64" s="182" t="s">
        <v>237</v>
      </c>
      <c r="D64" s="148" t="s">
        <v>237</v>
      </c>
      <c r="E64" s="198"/>
      <c r="F64" s="182" t="s">
        <v>237</v>
      </c>
      <c r="G64" s="198"/>
      <c r="H64" s="148" t="s">
        <v>237</v>
      </c>
    </row>
    <row r="65" spans="1:22" ht="15" hidden="1" thickBot="1" x14ac:dyDescent="0.35">
      <c r="A65" s="154" t="s">
        <v>214</v>
      </c>
      <c r="B65" s="300" t="s">
        <v>215</v>
      </c>
      <c r="C65" s="183"/>
      <c r="D65" s="183"/>
      <c r="E65" s="183"/>
      <c r="F65" s="183"/>
      <c r="G65" s="233"/>
      <c r="H65" s="157"/>
    </row>
    <row r="66" spans="1:22" hidden="1" x14ac:dyDescent="0.3">
      <c r="A66" s="159"/>
      <c r="B66" s="301"/>
      <c r="C66" s="301"/>
      <c r="D66" s="302"/>
      <c r="E66" s="302"/>
      <c r="F66" s="302"/>
      <c r="G66" s="302"/>
      <c r="H66" s="302"/>
      <c r="I66" s="302"/>
      <c r="J66" s="303"/>
      <c r="K66" s="303"/>
      <c r="L66" s="303"/>
      <c r="M66" s="303"/>
      <c r="N66" s="303"/>
      <c r="O66" s="303"/>
      <c r="P66" s="303"/>
      <c r="Q66" s="303"/>
      <c r="R66" s="303"/>
      <c r="S66" s="303"/>
      <c r="T66" s="303"/>
      <c r="U66" s="261"/>
      <c r="V66" s="261"/>
    </row>
    <row r="67" spans="1:22" hidden="1" x14ac:dyDescent="0.3">
      <c r="A67" s="159"/>
      <c r="B67" s="266" t="s">
        <v>228</v>
      </c>
      <c r="C67" s="160"/>
      <c r="D67" s="161"/>
      <c r="E67" s="161"/>
      <c r="F67" s="161"/>
      <c r="G67" s="161"/>
      <c r="H67" s="161"/>
      <c r="I67" s="161"/>
      <c r="J67" s="161"/>
      <c r="K67" s="161"/>
      <c r="L67" s="161"/>
      <c r="M67" s="161"/>
      <c r="N67" s="262"/>
      <c r="O67" s="262"/>
      <c r="P67" s="262"/>
      <c r="Q67" s="262"/>
      <c r="R67" s="262"/>
      <c r="S67" s="262"/>
      <c r="T67" s="262"/>
      <c r="U67" s="261"/>
      <c r="V67" s="261"/>
    </row>
    <row r="68" spans="1:22" hidden="1" x14ac:dyDescent="0.3">
      <c r="A68" s="159"/>
      <c r="B68" s="160"/>
      <c r="C68" s="160"/>
      <c r="D68" s="161"/>
      <c r="E68" s="161"/>
      <c r="F68" s="161"/>
      <c r="G68" s="161"/>
      <c r="H68" s="161"/>
      <c r="I68" s="161"/>
      <c r="J68" s="161"/>
      <c r="K68" s="161"/>
      <c r="L68" s="161"/>
      <c r="M68" s="161"/>
      <c r="N68" s="262"/>
      <c r="O68" s="262"/>
      <c r="P68" s="262"/>
      <c r="Q68" s="262"/>
      <c r="R68" s="262"/>
      <c r="S68" s="262"/>
      <c r="T68" s="262"/>
      <c r="U68" s="261"/>
      <c r="V68" s="261"/>
    </row>
    <row r="69" spans="1:22" hidden="1" x14ac:dyDescent="0.3">
      <c r="A69" s="162" t="s">
        <v>190</v>
      </c>
      <c r="B69" s="901" t="s">
        <v>261</v>
      </c>
      <c r="C69" s="901"/>
      <c r="D69" s="901"/>
      <c r="E69" s="901"/>
      <c r="F69" s="901"/>
      <c r="G69" s="901"/>
      <c r="H69" s="901"/>
      <c r="I69" s="901"/>
      <c r="J69" s="901"/>
      <c r="K69" s="691"/>
      <c r="L69" s="738"/>
      <c r="M69" s="161"/>
      <c r="N69" s="262"/>
      <c r="O69" s="262"/>
      <c r="P69" s="262"/>
      <c r="Q69" s="262"/>
      <c r="R69" s="262"/>
      <c r="S69" s="262"/>
      <c r="T69" s="262"/>
      <c r="U69" s="261"/>
      <c r="V69" s="261"/>
    </row>
    <row r="70" spans="1:22" hidden="1" x14ac:dyDescent="0.3">
      <c r="A70" s="162" t="s">
        <v>133</v>
      </c>
      <c r="B70" s="853" t="s">
        <v>242</v>
      </c>
      <c r="C70" s="853"/>
      <c r="D70" s="853"/>
      <c r="E70" s="853"/>
      <c r="F70" s="853"/>
      <c r="G70" s="853"/>
      <c r="H70" s="853"/>
      <c r="I70" s="853"/>
      <c r="J70" s="853"/>
      <c r="K70" s="689"/>
      <c r="L70" s="735"/>
      <c r="M70" s="161"/>
      <c r="N70" s="262"/>
      <c r="O70" s="262"/>
      <c r="P70" s="262"/>
      <c r="Q70" s="262"/>
      <c r="R70" s="262"/>
      <c r="S70" s="262"/>
      <c r="T70" s="262"/>
      <c r="U70" s="261"/>
      <c r="V70" s="261"/>
    </row>
    <row r="71" spans="1:22" hidden="1" x14ac:dyDescent="0.3">
      <c r="A71" s="162"/>
      <c r="B71" s="278"/>
      <c r="C71" s="278"/>
      <c r="D71" s="278"/>
      <c r="E71" s="689"/>
      <c r="F71" s="278"/>
      <c r="G71" s="735"/>
      <c r="H71" s="278"/>
      <c r="I71" s="278"/>
      <c r="J71" s="278"/>
      <c r="K71" s="689"/>
      <c r="L71" s="735"/>
      <c r="M71" s="161"/>
      <c r="N71" s="262"/>
      <c r="O71" s="262"/>
      <c r="P71" s="262"/>
      <c r="Q71" s="262"/>
      <c r="R71" s="262"/>
      <c r="S71" s="262"/>
      <c r="T71" s="262"/>
      <c r="U71" s="261"/>
      <c r="V71" s="261"/>
    </row>
    <row r="72" spans="1:22" hidden="1" x14ac:dyDescent="0.3">
      <c r="A72" s="162"/>
      <c r="B72" s="184" t="s">
        <v>158</v>
      </c>
      <c r="C72" s="184"/>
      <c r="D72" s="215"/>
      <c r="E72" s="215"/>
      <c r="F72" s="215"/>
      <c r="G72" s="215"/>
      <c r="H72" s="215"/>
      <c r="I72" s="215"/>
      <c r="J72" s="215"/>
      <c r="K72" s="215"/>
      <c r="L72" s="215"/>
      <c r="M72" s="215"/>
      <c r="N72" s="262"/>
      <c r="O72" s="262"/>
      <c r="P72" s="262"/>
      <c r="Q72" s="262"/>
      <c r="R72" s="262"/>
      <c r="S72" s="262"/>
      <c r="T72" s="262"/>
      <c r="U72" s="261"/>
      <c r="V72" s="261"/>
    </row>
    <row r="73" spans="1:22" hidden="1" x14ac:dyDescent="0.3">
      <c r="A73" s="185" t="s">
        <v>102</v>
      </c>
      <c r="B73" s="839" t="s">
        <v>229</v>
      </c>
      <c r="C73" s="839"/>
      <c r="D73" s="839"/>
      <c r="E73" s="839"/>
      <c r="F73" s="839"/>
      <c r="G73" s="839"/>
      <c r="H73" s="839"/>
      <c r="I73" s="839"/>
      <c r="J73" s="839"/>
      <c r="K73" s="686"/>
      <c r="L73" s="734"/>
      <c r="M73" s="261"/>
      <c r="N73" s="262"/>
      <c r="O73" s="262"/>
      <c r="P73" s="262"/>
      <c r="Q73" s="262"/>
      <c r="R73" s="262"/>
      <c r="S73" s="262"/>
      <c r="T73" s="262"/>
      <c r="U73" s="261"/>
      <c r="V73" s="261"/>
    </row>
    <row r="74" spans="1:22" hidden="1" x14ac:dyDescent="0.3">
      <c r="A74" s="185" t="s">
        <v>230</v>
      </c>
      <c r="B74" s="839" t="s">
        <v>262</v>
      </c>
      <c r="C74" s="839"/>
      <c r="D74" s="839"/>
      <c r="E74" s="839"/>
      <c r="F74" s="839"/>
      <c r="G74" s="839"/>
      <c r="H74" s="839"/>
      <c r="I74" s="839"/>
      <c r="J74" s="839"/>
      <c r="K74" s="839"/>
      <c r="L74" s="839"/>
      <c r="M74" s="839"/>
      <c r="N74" s="262"/>
      <c r="O74" s="262"/>
      <c r="P74" s="262"/>
      <c r="Q74" s="262"/>
      <c r="R74" s="262"/>
      <c r="S74" s="262"/>
      <c r="T74" s="262"/>
      <c r="U74" s="261"/>
      <c r="V74" s="261"/>
    </row>
    <row r="75" spans="1:22" hidden="1" x14ac:dyDescent="0.3">
      <c r="A75" s="185" t="s">
        <v>232</v>
      </c>
      <c r="B75" s="839" t="s">
        <v>272</v>
      </c>
      <c r="C75" s="839"/>
      <c r="D75" s="839"/>
      <c r="E75" s="839"/>
      <c r="F75" s="839"/>
      <c r="G75" s="839"/>
      <c r="H75" s="839"/>
      <c r="I75" s="839"/>
      <c r="J75" s="839"/>
      <c r="K75" s="839"/>
      <c r="L75" s="839"/>
      <c r="M75" s="839"/>
      <c r="N75" s="262"/>
      <c r="O75" s="262"/>
      <c r="P75" s="262"/>
      <c r="Q75" s="262"/>
      <c r="R75" s="262"/>
      <c r="S75" s="262"/>
      <c r="T75" s="262"/>
      <c r="U75" s="261"/>
      <c r="V75" s="261"/>
    </row>
    <row r="76" spans="1:22" hidden="1" x14ac:dyDescent="0.3">
      <c r="A76" s="185" t="s">
        <v>234</v>
      </c>
      <c r="B76" s="839" t="s">
        <v>267</v>
      </c>
      <c r="C76" s="839"/>
      <c r="D76" s="839"/>
      <c r="E76" s="839"/>
      <c r="F76" s="839"/>
      <c r="G76" s="839"/>
      <c r="H76" s="839"/>
      <c r="I76" s="839"/>
      <c r="J76" s="839"/>
      <c r="K76" s="839"/>
      <c r="L76" s="839"/>
      <c r="M76" s="839"/>
      <c r="N76" s="262"/>
      <c r="O76" s="262"/>
      <c r="P76" s="262"/>
      <c r="Q76" s="262"/>
      <c r="R76" s="262"/>
      <c r="S76" s="262"/>
      <c r="T76" s="262"/>
      <c r="U76" s="261"/>
      <c r="V76" s="261"/>
    </row>
    <row r="77" spans="1:22" hidden="1" x14ac:dyDescent="0.3">
      <c r="A77" s="185" t="s">
        <v>236</v>
      </c>
      <c r="B77" s="839" t="s">
        <v>238</v>
      </c>
      <c r="C77" s="839"/>
      <c r="D77" s="839"/>
      <c r="E77" s="839"/>
      <c r="F77" s="839"/>
      <c r="G77" s="839"/>
      <c r="H77" s="839"/>
      <c r="I77" s="839"/>
      <c r="J77" s="275"/>
      <c r="K77" s="686"/>
      <c r="L77" s="734"/>
      <c r="M77" s="262"/>
      <c r="N77" s="262"/>
      <c r="O77" s="262"/>
      <c r="P77" s="262"/>
      <c r="Q77" s="262"/>
      <c r="R77" s="262"/>
      <c r="S77" s="262"/>
      <c r="T77" s="262"/>
      <c r="U77" s="261"/>
      <c r="V77" s="261"/>
    </row>
    <row r="78" spans="1:22" hidden="1" x14ac:dyDescent="0.3">
      <c r="A78" s="185" t="s">
        <v>237</v>
      </c>
      <c r="B78" s="839" t="s">
        <v>268</v>
      </c>
      <c r="C78" s="839"/>
      <c r="D78" s="839"/>
      <c r="E78" s="839"/>
      <c r="F78" s="839"/>
      <c r="G78" s="839"/>
      <c r="H78" s="839"/>
      <c r="I78" s="839"/>
      <c r="J78" s="839"/>
      <c r="K78" s="839"/>
      <c r="L78" s="839"/>
      <c r="M78" s="839"/>
      <c r="N78" s="262"/>
      <c r="O78" s="262"/>
      <c r="P78" s="262"/>
      <c r="Q78" s="262"/>
      <c r="R78" s="262"/>
      <c r="S78" s="262"/>
      <c r="T78" s="262"/>
      <c r="U78" s="261"/>
      <c r="V78" s="261"/>
    </row>
    <row r="79" spans="1:22" hidden="1" x14ac:dyDescent="0.3">
      <c r="A79" s="243"/>
      <c r="B79" s="244"/>
      <c r="C79" s="244"/>
      <c r="D79" s="244"/>
      <c r="E79" s="244"/>
      <c r="F79" s="244"/>
      <c r="G79" s="244"/>
      <c r="H79" s="244"/>
      <c r="I79" s="244"/>
      <c r="J79" s="244"/>
      <c r="K79" s="244"/>
      <c r="L79" s="244"/>
      <c r="M79" s="244"/>
      <c r="N79" s="262"/>
      <c r="O79" s="262"/>
      <c r="P79" s="262"/>
      <c r="Q79" s="262"/>
      <c r="R79" s="262"/>
      <c r="S79" s="262"/>
      <c r="T79" s="262"/>
      <c r="U79" s="261"/>
      <c r="V79" s="261"/>
    </row>
    <row r="80" spans="1:22" hidden="1" x14ac:dyDescent="0.3">
      <c r="A80" s="862" t="s">
        <v>147</v>
      </c>
      <c r="B80" s="862"/>
      <c r="C80" s="862"/>
      <c r="D80" s="862"/>
      <c r="E80" s="862"/>
      <c r="F80" s="862"/>
      <c r="G80" s="862"/>
      <c r="H80" s="862"/>
      <c r="I80" s="862"/>
      <c r="J80" s="862"/>
      <c r="K80" s="688"/>
      <c r="L80" s="737"/>
      <c r="N80" s="262"/>
      <c r="O80" s="262"/>
      <c r="P80" s="262"/>
      <c r="Q80" s="262"/>
      <c r="R80" s="262"/>
      <c r="S80" s="262"/>
      <c r="T80" s="262"/>
      <c r="U80" s="261"/>
      <c r="V80" s="261"/>
    </row>
    <row r="81" spans="1:22" hidden="1" x14ac:dyDescent="0.3">
      <c r="A81" s="304"/>
      <c r="B81" s="184"/>
      <c r="C81" s="184"/>
      <c r="D81" s="262"/>
      <c r="E81" s="262"/>
      <c r="F81" s="262"/>
      <c r="G81" s="262"/>
      <c r="H81" s="262"/>
      <c r="I81" s="262"/>
      <c r="J81" s="262"/>
      <c r="K81" s="262"/>
      <c r="L81" s="262"/>
      <c r="M81" s="262"/>
      <c r="N81" s="262"/>
      <c r="O81" s="262"/>
      <c r="P81" s="262"/>
      <c r="Q81" s="262"/>
      <c r="R81" s="262"/>
      <c r="S81" s="262"/>
      <c r="T81" s="262"/>
      <c r="U81" s="261"/>
      <c r="V81" s="261"/>
    </row>
    <row r="82" spans="1:22" hidden="1" x14ac:dyDescent="0.3">
      <c r="A82" s="304"/>
      <c r="B82" s="184"/>
      <c r="C82" s="184"/>
      <c r="D82" s="262"/>
      <c r="E82" s="262"/>
      <c r="F82" s="262"/>
      <c r="G82" s="262"/>
      <c r="H82" s="262"/>
      <c r="I82" s="262"/>
      <c r="J82" s="262"/>
      <c r="K82" s="262"/>
      <c r="L82" s="262"/>
      <c r="M82" s="262"/>
      <c r="N82" s="262"/>
      <c r="O82" s="262"/>
      <c r="P82" s="262"/>
      <c r="Q82" s="262"/>
      <c r="R82" s="262"/>
      <c r="S82" s="262"/>
      <c r="T82" s="262"/>
      <c r="U82" s="261"/>
      <c r="V82" s="261"/>
    </row>
    <row r="83" spans="1:22" hidden="1" x14ac:dyDescent="0.3">
      <c r="A83" s="304"/>
      <c r="B83" s="184"/>
      <c r="C83" s="184"/>
      <c r="D83" s="262"/>
      <c r="E83" s="262"/>
      <c r="F83" s="262"/>
      <c r="G83" s="262"/>
      <c r="H83" s="262"/>
      <c r="I83" s="262"/>
      <c r="J83" s="262"/>
      <c r="K83" s="262"/>
      <c r="L83" s="262"/>
      <c r="M83" s="262"/>
      <c r="N83" s="262"/>
      <c r="O83" s="262"/>
      <c r="P83" s="262"/>
      <c r="Q83" s="262"/>
      <c r="R83" s="262"/>
      <c r="S83" s="262"/>
      <c r="T83" s="262"/>
      <c r="U83" s="261"/>
      <c r="V83" s="261"/>
    </row>
  </sheetData>
  <sheetProtection algorithmName="SHA-512" hashValue="FkyE+LtUp9QoBj2T/+r8TggyT9N95RBZFk+J39Td0o+enUTwEhvfClRVR5BtlgioGzNGenz1zKq9vNBr4XfkCQ==" saltValue="5SZDskq7Au5fqaRXH2r79A==" spinCount="100000" sheet="1" objects="1" scenarios="1"/>
  <mergeCells count="32">
    <mergeCell ref="B77:I77"/>
    <mergeCell ref="B78:M78"/>
    <mergeCell ref="A80:J80"/>
    <mergeCell ref="B70:J70"/>
    <mergeCell ref="B73:J73"/>
    <mergeCell ref="B74:M74"/>
    <mergeCell ref="B75:M75"/>
    <mergeCell ref="B76:M76"/>
    <mergeCell ref="C3:I4"/>
    <mergeCell ref="J3:M4"/>
    <mergeCell ref="A5:A7"/>
    <mergeCell ref="B5:B7"/>
    <mergeCell ref="C5:C6"/>
    <mergeCell ref="I5:I6"/>
    <mergeCell ref="A44:Q44"/>
    <mergeCell ref="B29:J29"/>
    <mergeCell ref="B30:J30"/>
    <mergeCell ref="B31:J31"/>
    <mergeCell ref="B34:J34"/>
    <mergeCell ref="B35:M35"/>
    <mergeCell ref="B36:M36"/>
    <mergeCell ref="B37:M37"/>
    <mergeCell ref="B38:I38"/>
    <mergeCell ref="B39:M39"/>
    <mergeCell ref="A41:J41"/>
    <mergeCell ref="B32:I32"/>
    <mergeCell ref="A47:A49"/>
    <mergeCell ref="B47:B49"/>
    <mergeCell ref="B69:J69"/>
    <mergeCell ref="C45:D46"/>
    <mergeCell ref="F45:H46"/>
    <mergeCell ref="B45:B46"/>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H17:I21 M19 M17 J20:J21 H22 M21 M23:M24 C17:D21 J24 J17 F17:F21" formula="1"/>
    <ignoredError sqref="H12:I12 C12:D12 F12" numberStoredAsText="1"/>
    <ignoredError sqref="M15 M12 H13:I15 D14:D15 J14:J15 F13:F15"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P40"/>
  <sheetViews>
    <sheetView topLeftCell="A2" zoomScale="85" zoomScaleNormal="85" workbookViewId="0">
      <selection activeCell="B10" sqref="B10"/>
    </sheetView>
  </sheetViews>
  <sheetFormatPr baseColWidth="10" defaultRowHeight="14.4" x14ac:dyDescent="0.3"/>
  <cols>
    <col min="2" max="2" width="47.33203125" customWidth="1"/>
    <col min="3" max="3" width="12.33203125" customWidth="1"/>
    <col min="4" max="4" width="15.77734375" customWidth="1"/>
    <col min="5" max="5" width="13.6640625" customWidth="1"/>
    <col min="6" max="6" width="9" hidden="1" customWidth="1"/>
    <col min="7" max="7" width="21.109375" customWidth="1"/>
    <col min="8" max="8" width="12.5546875" hidden="1" customWidth="1"/>
    <col min="10" max="10" width="14" customWidth="1"/>
  </cols>
  <sheetData>
    <row r="1" spans="1:9" x14ac:dyDescent="0.3">
      <c r="A1" s="138"/>
      <c r="B1" s="138" t="str">
        <f>+AMAZONAS!C1</f>
        <v>Vigencia: 12 de marzo de 2022; 00:00 horas</v>
      </c>
      <c r="D1" s="476"/>
    </row>
    <row r="2" spans="1:9" ht="15" thickBot="1" x14ac:dyDescent="0.35">
      <c r="A2" s="165" t="s">
        <v>179</v>
      </c>
      <c r="B2" s="165"/>
    </row>
    <row r="3" spans="1:9" ht="15.9" customHeight="1" thickTop="1" x14ac:dyDescent="0.3">
      <c r="A3" s="195"/>
      <c r="B3" s="196" t="s">
        <v>290</v>
      </c>
      <c r="C3" s="863" t="s">
        <v>180</v>
      </c>
      <c r="D3" s="864"/>
      <c r="E3" s="864"/>
      <c r="F3" s="865"/>
      <c r="G3" s="869" t="s">
        <v>250</v>
      </c>
      <c r="H3" s="870"/>
      <c r="I3" s="505"/>
    </row>
    <row r="4" spans="1:9" x14ac:dyDescent="0.3">
      <c r="A4" s="140"/>
      <c r="B4" s="197" t="s">
        <v>291</v>
      </c>
      <c r="C4" s="866"/>
      <c r="D4" s="867"/>
      <c r="E4" s="867"/>
      <c r="F4" s="868"/>
      <c r="G4" s="871"/>
      <c r="H4" s="872"/>
    </row>
    <row r="5" spans="1:9" ht="38.25" customHeight="1" x14ac:dyDescent="0.3">
      <c r="A5" s="855" t="s">
        <v>181</v>
      </c>
      <c r="B5" s="857" t="s">
        <v>182</v>
      </c>
      <c r="C5" s="840" t="s">
        <v>241</v>
      </c>
      <c r="D5" s="171" t="s">
        <v>96</v>
      </c>
      <c r="E5" s="171" t="s">
        <v>172</v>
      </c>
      <c r="F5" s="171" t="str">
        <f>+NARIÑO!H5</f>
        <v>Biodiesel B11</v>
      </c>
      <c r="G5" s="171" t="s">
        <v>96</v>
      </c>
      <c r="H5" s="277" t="str">
        <f>+F5</f>
        <v>Biodiesel B11</v>
      </c>
    </row>
    <row r="6" spans="1:9" x14ac:dyDescent="0.3">
      <c r="A6" s="855"/>
      <c r="B6" s="857"/>
      <c r="C6" s="841"/>
      <c r="D6" s="554">
        <v>0.08</v>
      </c>
      <c r="E6" s="189">
        <v>0.02</v>
      </c>
      <c r="F6" s="172">
        <f>+NARIÑO!H6</f>
        <v>0.11</v>
      </c>
      <c r="G6" s="554">
        <v>0.08</v>
      </c>
      <c r="H6" s="172">
        <f>+F6</f>
        <v>0.11</v>
      </c>
    </row>
    <row r="7" spans="1:9" x14ac:dyDescent="0.3">
      <c r="A7" s="856"/>
      <c r="B7" s="858"/>
      <c r="C7" s="141" t="s">
        <v>183</v>
      </c>
      <c r="D7" s="171" t="s">
        <v>183</v>
      </c>
      <c r="E7" s="171" t="s">
        <v>183</v>
      </c>
      <c r="F7" s="171" t="s">
        <v>183</v>
      </c>
      <c r="G7" s="141" t="s">
        <v>183</v>
      </c>
      <c r="H7" s="277" t="s">
        <v>183</v>
      </c>
    </row>
    <row r="8" spans="1:9" x14ac:dyDescent="0.3">
      <c r="A8" s="143" t="s">
        <v>184</v>
      </c>
      <c r="B8" s="149" t="s">
        <v>185</v>
      </c>
      <c r="C8" s="213">
        <f>+'Calculo IP ZDF'!B37</f>
        <v>4842</v>
      </c>
      <c r="D8" s="219">
        <f>+'Calculo IP ZDF'!B37</f>
        <v>4842</v>
      </c>
      <c r="E8" s="221">
        <f>+'Calculo IP ZDF'!F37</f>
        <v>4558.2266</v>
      </c>
      <c r="F8" s="220">
        <f>+'Calculo IP ZDF'!J37</f>
        <v>6102.7631900000006</v>
      </c>
      <c r="G8" s="198">
        <f>+'GAS CTE'!C6</f>
        <v>4842</v>
      </c>
      <c r="H8" s="223">
        <f>+BIODIESEL!H9</f>
        <v>6110.2880000000005</v>
      </c>
    </row>
    <row r="9" spans="1:9" ht="18" customHeight="1" x14ac:dyDescent="0.3">
      <c r="A9" s="143" t="s">
        <v>186</v>
      </c>
      <c r="B9" s="149" t="s">
        <v>187</v>
      </c>
      <c r="C9" s="199" t="str">
        <f t="shared" ref="C9:C12" si="0">+D9</f>
        <v>------------------</v>
      </c>
      <c r="D9" s="200" t="s">
        <v>188</v>
      </c>
      <c r="E9" s="200" t="s">
        <v>188</v>
      </c>
      <c r="F9" s="146" t="s">
        <v>188</v>
      </c>
      <c r="G9" s="198">
        <f>+'GAS CTE'!C10</f>
        <v>586.25</v>
      </c>
      <c r="H9" s="224">
        <f>+BIODIESEL!H10</f>
        <v>505.00800000000004</v>
      </c>
    </row>
    <row r="10" spans="1:9" ht="18" customHeight="1" x14ac:dyDescent="0.3">
      <c r="A10" s="143"/>
      <c r="B10" s="149" t="s">
        <v>132</v>
      </c>
      <c r="C10" s="199" t="str">
        <f>+D10</f>
        <v>------------------</v>
      </c>
      <c r="D10" s="200" t="s">
        <v>188</v>
      </c>
      <c r="E10" s="200" t="s">
        <v>188</v>
      </c>
      <c r="F10" s="146" t="s">
        <v>188</v>
      </c>
      <c r="G10" s="214" t="str">
        <f>+COMBUSTIBLES!B12</f>
        <v>(3)</v>
      </c>
      <c r="H10" s="224" t="str">
        <f>+BIODIESEL!H11</f>
        <v>(3)</v>
      </c>
    </row>
    <row r="11" spans="1:9" x14ac:dyDescent="0.3">
      <c r="A11" s="143"/>
      <c r="B11" s="149" t="s">
        <v>134</v>
      </c>
      <c r="C11" s="199">
        <f>+'GAS CTE'!C12</f>
        <v>169</v>
      </c>
      <c r="D11" s="200">
        <f>+'GAS CTE'!C12</f>
        <v>169</v>
      </c>
      <c r="E11" s="200">
        <f>+BIODIESEL!E12</f>
        <v>187.18</v>
      </c>
      <c r="F11" s="146">
        <f>+BIODIESEL!H12</f>
        <v>171.9</v>
      </c>
      <c r="G11" s="198">
        <f>+'GAS CTE'!C12</f>
        <v>169</v>
      </c>
      <c r="H11" s="220">
        <f>+BIODIESEL!H12</f>
        <v>171.9</v>
      </c>
    </row>
    <row r="12" spans="1:9" x14ac:dyDescent="0.3">
      <c r="A12" s="143" t="s">
        <v>189</v>
      </c>
      <c r="B12" s="149" t="s">
        <v>292</v>
      </c>
      <c r="C12" s="199" t="str">
        <f t="shared" si="0"/>
        <v>(2)</v>
      </c>
      <c r="D12" s="147" t="s">
        <v>217</v>
      </c>
      <c r="E12" s="147" t="s">
        <v>217</v>
      </c>
      <c r="F12" s="146" t="s">
        <v>217</v>
      </c>
      <c r="G12" s="198" t="str">
        <f>+F12</f>
        <v>(2)</v>
      </c>
      <c r="H12" s="223" t="s">
        <v>217</v>
      </c>
    </row>
    <row r="13" spans="1:9" x14ac:dyDescent="0.3">
      <c r="A13" s="143" t="s">
        <v>191</v>
      </c>
      <c r="B13" s="149" t="s">
        <v>192</v>
      </c>
      <c r="C13" s="199">
        <f>+RUBROS!AC21</f>
        <v>23.500029293035123</v>
      </c>
      <c r="D13" s="147">
        <f>+C13</f>
        <v>23.500029293035123</v>
      </c>
      <c r="E13" s="147">
        <f>+D13</f>
        <v>23.500029293035123</v>
      </c>
      <c r="F13" s="146">
        <f>+E13</f>
        <v>23.500029293035123</v>
      </c>
      <c r="G13" s="198">
        <f>+C13</f>
        <v>23.500029293035123</v>
      </c>
      <c r="H13" s="223">
        <f>+G13</f>
        <v>23.500029293035123</v>
      </c>
    </row>
    <row r="14" spans="1:9" x14ac:dyDescent="0.3">
      <c r="A14" s="143" t="s">
        <v>193</v>
      </c>
      <c r="B14" s="149" t="s">
        <v>194</v>
      </c>
      <c r="C14" s="199">
        <f>+RUBROS!AC57</f>
        <v>112.57839385457117</v>
      </c>
      <c r="D14" s="147">
        <f>+C14</f>
        <v>112.57839385457117</v>
      </c>
      <c r="E14" s="147">
        <f>+C14</f>
        <v>112.57839385457117</v>
      </c>
      <c r="F14" s="146">
        <f>+C14</f>
        <v>112.57839385457117</v>
      </c>
      <c r="G14" s="198">
        <f>+C14</f>
        <v>112.57839385457117</v>
      </c>
      <c r="H14" s="223">
        <f>+G14</f>
        <v>112.57839385457117</v>
      </c>
    </row>
    <row r="15" spans="1:9" x14ac:dyDescent="0.3">
      <c r="A15" s="143" t="s">
        <v>195</v>
      </c>
      <c r="B15" s="218" t="s">
        <v>196</v>
      </c>
      <c r="C15" s="199">
        <f>+RUBROS!AU32</f>
        <v>13.326421256197724</v>
      </c>
      <c r="D15" s="147">
        <f>+C15</f>
        <v>13.326421256197724</v>
      </c>
      <c r="E15" s="201">
        <f>+C15</f>
        <v>13.326421256197724</v>
      </c>
      <c r="F15" s="146">
        <f>+C15</f>
        <v>13.326421256197724</v>
      </c>
      <c r="G15" s="198">
        <f>+C15</f>
        <v>13.326421256197724</v>
      </c>
      <c r="H15" s="223">
        <f>+C15</f>
        <v>13.326421256197724</v>
      </c>
    </row>
    <row r="16" spans="1:9" hidden="1" x14ac:dyDescent="0.3">
      <c r="A16" s="143"/>
      <c r="B16" s="149" t="s">
        <v>197</v>
      </c>
      <c r="C16" s="199"/>
      <c r="D16" s="202"/>
      <c r="E16" s="203"/>
      <c r="F16" s="146"/>
      <c r="G16" s="198"/>
      <c r="H16" s="225"/>
    </row>
    <row r="17" spans="1:16" x14ac:dyDescent="0.3">
      <c r="A17" s="150" t="s">
        <v>198</v>
      </c>
      <c r="B17" s="180" t="s">
        <v>199</v>
      </c>
      <c r="C17" s="204">
        <f>SUM(C8:C16)</f>
        <v>5160.4048444038044</v>
      </c>
      <c r="D17" s="205">
        <f t="shared" ref="D17:H17" si="1">SUM(D8:D16)</f>
        <v>5160.4048444038044</v>
      </c>
      <c r="E17" s="205">
        <f t="shared" si="1"/>
        <v>4894.8114444038047</v>
      </c>
      <c r="F17" s="206">
        <f t="shared" si="1"/>
        <v>6424.0680344038046</v>
      </c>
      <c r="G17" s="207">
        <f t="shared" si="1"/>
        <v>5746.6548444038044</v>
      </c>
      <c r="H17" s="226">
        <f t="shared" si="1"/>
        <v>6936.6008444038043</v>
      </c>
    </row>
    <row r="18" spans="1:16" x14ac:dyDescent="0.3">
      <c r="A18" s="143" t="s">
        <v>200</v>
      </c>
      <c r="B18" s="149" t="s">
        <v>201</v>
      </c>
      <c r="C18" s="199" t="s">
        <v>232</v>
      </c>
      <c r="D18" s="208" t="str">
        <f>+C18</f>
        <v>***</v>
      </c>
      <c r="E18" s="208" t="str">
        <f>+C18</f>
        <v>***</v>
      </c>
      <c r="F18" s="146" t="str">
        <f>+C18</f>
        <v>***</v>
      </c>
      <c r="G18" s="201" t="str">
        <f>+H18</f>
        <v>***</v>
      </c>
      <c r="H18" s="227" t="s">
        <v>232</v>
      </c>
    </row>
    <row r="19" spans="1:16" x14ac:dyDescent="0.3">
      <c r="A19" s="143" t="s">
        <v>202</v>
      </c>
      <c r="B19" s="149" t="s">
        <v>203</v>
      </c>
      <c r="C19" s="199" t="str">
        <f>+D19</f>
        <v>**</v>
      </c>
      <c r="D19" s="209" t="s">
        <v>230</v>
      </c>
      <c r="E19" s="209" t="s">
        <v>230</v>
      </c>
      <c r="F19" s="146" t="s">
        <v>230</v>
      </c>
      <c r="G19" s="201" t="str">
        <f>+H19</f>
        <v>**</v>
      </c>
      <c r="H19" s="220" t="s">
        <v>230</v>
      </c>
    </row>
    <row r="20" spans="1:16" x14ac:dyDescent="0.3">
      <c r="A20" s="143" t="s">
        <v>204</v>
      </c>
      <c r="B20" s="149" t="s">
        <v>205</v>
      </c>
      <c r="C20" s="199" t="str">
        <f>+D20</f>
        <v>****</v>
      </c>
      <c r="D20" s="147" t="s">
        <v>234</v>
      </c>
      <c r="E20" s="147" t="str">
        <f>+D20</f>
        <v>****</v>
      </c>
      <c r="F20" s="146" t="str">
        <f>+E20</f>
        <v>****</v>
      </c>
      <c r="G20" s="201" t="str">
        <f>+F20</f>
        <v>****</v>
      </c>
      <c r="H20" s="223" t="str">
        <f>+F20</f>
        <v>****</v>
      </c>
    </row>
    <row r="21" spans="1:16" x14ac:dyDescent="0.3">
      <c r="A21" s="150" t="s">
        <v>206</v>
      </c>
      <c r="B21" s="180" t="s">
        <v>207</v>
      </c>
      <c r="C21" s="204">
        <f t="shared" ref="C21:H21" si="2">+C17</f>
        <v>5160.4048444038044</v>
      </c>
      <c r="D21" s="204">
        <f t="shared" si="2"/>
        <v>5160.4048444038044</v>
      </c>
      <c r="E21" s="204">
        <f t="shared" si="2"/>
        <v>4894.8114444038047</v>
      </c>
      <c r="F21" s="222">
        <f t="shared" si="2"/>
        <v>6424.0680344038046</v>
      </c>
      <c r="G21" s="204">
        <f t="shared" si="2"/>
        <v>5746.6548444038044</v>
      </c>
      <c r="H21" s="222">
        <f t="shared" si="2"/>
        <v>6936.6008444038043</v>
      </c>
    </row>
    <row r="22" spans="1:16" x14ac:dyDescent="0.3">
      <c r="A22" s="143" t="s">
        <v>208</v>
      </c>
      <c r="B22" s="149" t="s">
        <v>160</v>
      </c>
      <c r="C22" s="199" t="s">
        <v>232</v>
      </c>
      <c r="D22" s="147" t="str">
        <f>+C22</f>
        <v>***</v>
      </c>
      <c r="E22" s="147" t="str">
        <f>+D22</f>
        <v>***</v>
      </c>
      <c r="F22" s="146" t="str">
        <f>+E22</f>
        <v>***</v>
      </c>
      <c r="G22" s="201" t="str">
        <f>+H22</f>
        <v>***</v>
      </c>
      <c r="H22" s="223" t="s">
        <v>232</v>
      </c>
    </row>
    <row r="23" spans="1:16" x14ac:dyDescent="0.3">
      <c r="A23" s="143" t="s">
        <v>209</v>
      </c>
      <c r="B23" s="144" t="s">
        <v>210</v>
      </c>
      <c r="C23" s="199" t="str">
        <f>+D23</f>
        <v>*****</v>
      </c>
      <c r="D23" s="147" t="s">
        <v>236</v>
      </c>
      <c r="E23" s="147" t="s">
        <v>254</v>
      </c>
      <c r="F23" s="146" t="s">
        <v>211</v>
      </c>
      <c r="G23" s="201" t="str">
        <f>+D23</f>
        <v>*****</v>
      </c>
      <c r="H23" s="223" t="s">
        <v>255</v>
      </c>
      <c r="K23" s="19"/>
    </row>
    <row r="24" spans="1:16" x14ac:dyDescent="0.3">
      <c r="A24" s="143" t="s">
        <v>212</v>
      </c>
      <c r="B24" s="149" t="s">
        <v>213</v>
      </c>
      <c r="C24" s="199" t="str">
        <f>+D24</f>
        <v>******</v>
      </c>
      <c r="D24" s="209" t="s">
        <v>237</v>
      </c>
      <c r="E24" s="209" t="str">
        <f>+D24</f>
        <v>******</v>
      </c>
      <c r="F24" s="148" t="str">
        <f>+E24</f>
        <v>******</v>
      </c>
      <c r="G24" s="201" t="str">
        <f>+F24</f>
        <v>******</v>
      </c>
      <c r="H24" s="220" t="str">
        <f>+G24</f>
        <v>******</v>
      </c>
    </row>
    <row r="25" spans="1:16" ht="15" thickBot="1" x14ac:dyDescent="0.35">
      <c r="A25" s="154" t="s">
        <v>214</v>
      </c>
      <c r="B25" s="155" t="s">
        <v>215</v>
      </c>
      <c r="C25" s="210"/>
      <c r="D25" s="158"/>
      <c r="E25" s="211"/>
      <c r="F25" s="157"/>
      <c r="G25" s="211"/>
      <c r="H25" s="228"/>
    </row>
    <row r="26" spans="1:16" ht="15" thickTop="1" x14ac:dyDescent="0.3"/>
    <row r="27" spans="1:16" x14ac:dyDescent="0.3">
      <c r="A27" s="162"/>
      <c r="B27" s="266" t="s">
        <v>228</v>
      </c>
      <c r="C27" s="215"/>
      <c r="D27" s="215"/>
      <c r="E27" s="215"/>
      <c r="F27" s="215"/>
      <c r="G27" s="194"/>
      <c r="H27" s="194"/>
      <c r="I27" s="194"/>
      <c r="J27" s="194"/>
      <c r="K27" s="194"/>
      <c r="L27" s="194"/>
      <c r="M27" s="194"/>
      <c r="N27" s="194"/>
      <c r="O27" s="194"/>
      <c r="P27" s="194"/>
    </row>
    <row r="28" spans="1:16" x14ac:dyDescent="0.3">
      <c r="A28" s="162"/>
      <c r="B28" s="184"/>
      <c r="C28" s="215"/>
      <c r="D28" s="215"/>
      <c r="E28" s="215"/>
      <c r="F28" s="215"/>
      <c r="G28" s="194"/>
      <c r="H28" s="194"/>
      <c r="I28" s="194"/>
      <c r="J28" s="194"/>
      <c r="K28" s="194"/>
      <c r="L28" s="194"/>
      <c r="M28" s="194"/>
      <c r="N28" s="194"/>
      <c r="O28" s="194"/>
      <c r="P28" s="194"/>
    </row>
    <row r="29" spans="1:16" ht="15" customHeight="1" x14ac:dyDescent="0.3">
      <c r="A29" s="162" t="s">
        <v>190</v>
      </c>
      <c r="B29" s="853" t="str">
        <f>+NARIÑO!B29</f>
        <v>De acuerdo con lo establecido en la Resolución MME 91349 de 2014</v>
      </c>
      <c r="C29" s="853"/>
      <c r="D29" s="853"/>
      <c r="E29" s="853"/>
      <c r="F29" s="853"/>
      <c r="G29" s="853"/>
      <c r="H29" s="853"/>
      <c r="I29" s="853"/>
      <c r="J29" s="853"/>
      <c r="K29" s="216"/>
      <c r="L29" s="216"/>
      <c r="M29" s="216"/>
      <c r="N29" s="216"/>
      <c r="O29" s="216"/>
      <c r="P29" s="216"/>
    </row>
    <row r="30" spans="1:16" ht="26.25" customHeight="1" x14ac:dyDescent="0.3">
      <c r="A30" s="162" t="s">
        <v>217</v>
      </c>
      <c r="B30" s="838" t="s">
        <v>271</v>
      </c>
      <c r="C30" s="838"/>
      <c r="D30" s="838"/>
      <c r="E30" s="838"/>
      <c r="F30" s="838"/>
      <c r="G30" s="838"/>
      <c r="H30" s="838"/>
      <c r="I30" s="838"/>
      <c r="J30" s="838"/>
      <c r="K30" s="194"/>
      <c r="L30" s="194"/>
      <c r="M30" s="194"/>
      <c r="N30" s="194"/>
      <c r="O30" s="194"/>
      <c r="P30" s="194"/>
    </row>
    <row r="31" spans="1:16" ht="88.8" customHeight="1" x14ac:dyDescent="0.3">
      <c r="A31" s="162" t="s">
        <v>133</v>
      </c>
      <c r="B31" s="853" t="s">
        <v>334</v>
      </c>
      <c r="C31" s="853"/>
      <c r="D31" s="853"/>
      <c r="E31" s="853"/>
      <c r="F31" s="853"/>
      <c r="G31" s="853"/>
      <c r="H31" s="853"/>
      <c r="I31" s="853"/>
      <c r="J31" s="853"/>
      <c r="K31" s="194"/>
      <c r="L31" s="194"/>
      <c r="M31" s="194"/>
      <c r="N31" s="194"/>
      <c r="O31" s="194"/>
      <c r="P31" s="194"/>
    </row>
    <row r="32" spans="1:16" ht="51" customHeight="1" x14ac:dyDescent="0.3">
      <c r="A32" s="162"/>
      <c r="B32" s="853" t="s">
        <v>518</v>
      </c>
      <c r="C32" s="853"/>
      <c r="D32" s="853"/>
      <c r="E32" s="853"/>
      <c r="F32" s="853"/>
      <c r="G32" s="853"/>
      <c r="H32" s="853"/>
      <c r="I32" s="853"/>
      <c r="J32" s="853"/>
      <c r="K32" s="194"/>
      <c r="L32" s="194"/>
      <c r="M32" s="194"/>
      <c r="N32" s="194"/>
      <c r="O32" s="194"/>
      <c r="P32" s="194"/>
    </row>
    <row r="33" spans="1:16" ht="15" customHeight="1" x14ac:dyDescent="0.3">
      <c r="A33" s="185" t="s">
        <v>102</v>
      </c>
      <c r="B33" s="839" t="s">
        <v>229</v>
      </c>
      <c r="C33" s="839"/>
      <c r="D33" s="839"/>
      <c r="E33" s="839"/>
      <c r="F33" s="839"/>
      <c r="G33" s="839"/>
      <c r="H33" s="839"/>
      <c r="I33" s="839"/>
      <c r="J33" s="839"/>
      <c r="K33" s="194"/>
      <c r="L33" s="194"/>
      <c r="M33" s="194"/>
      <c r="N33" s="194"/>
      <c r="O33" s="194"/>
      <c r="P33" s="194"/>
    </row>
    <row r="34" spans="1:16" ht="15" customHeight="1" x14ac:dyDescent="0.3">
      <c r="A34" s="185" t="s">
        <v>230</v>
      </c>
      <c r="B34" s="853" t="s">
        <v>258</v>
      </c>
      <c r="C34" s="853"/>
      <c r="D34" s="853"/>
      <c r="E34" s="853"/>
      <c r="F34" s="853"/>
      <c r="G34" s="853"/>
      <c r="H34" s="853"/>
      <c r="I34" s="853"/>
      <c r="J34" s="853"/>
      <c r="K34" s="194"/>
      <c r="L34" s="194"/>
      <c r="M34" s="194"/>
      <c r="N34" s="194"/>
      <c r="O34" s="194"/>
      <c r="P34" s="194"/>
    </row>
    <row r="35" spans="1:16" ht="15" customHeight="1" x14ac:dyDescent="0.3">
      <c r="A35" s="162" t="s">
        <v>232</v>
      </c>
      <c r="B35" s="853" t="s">
        <v>233</v>
      </c>
      <c r="C35" s="853"/>
      <c r="D35" s="853"/>
      <c r="E35" s="853"/>
      <c r="F35" s="853"/>
      <c r="G35" s="853"/>
      <c r="H35" s="853"/>
      <c r="I35" s="162"/>
      <c r="J35" s="839"/>
      <c r="K35" s="839"/>
      <c r="L35" s="839"/>
      <c r="M35" s="839"/>
      <c r="N35" s="839"/>
      <c r="O35" s="839"/>
      <c r="P35" s="839"/>
    </row>
    <row r="36" spans="1:16" ht="36.6" customHeight="1" x14ac:dyDescent="0.3">
      <c r="A36" s="162" t="s">
        <v>234</v>
      </c>
      <c r="B36" s="839" t="s">
        <v>472</v>
      </c>
      <c r="C36" s="839"/>
      <c r="D36" s="839"/>
      <c r="E36" s="839"/>
      <c r="F36" s="839"/>
      <c r="G36" s="839"/>
      <c r="H36" s="839"/>
      <c r="I36" s="162"/>
      <c r="J36" s="275"/>
      <c r="K36" s="275"/>
      <c r="L36" s="275"/>
      <c r="M36" s="275"/>
      <c r="N36" s="275"/>
      <c r="O36" s="275"/>
      <c r="P36" s="275"/>
    </row>
    <row r="37" spans="1:16" ht="23.4" customHeight="1" x14ac:dyDescent="0.3">
      <c r="A37" s="185" t="s">
        <v>236</v>
      </c>
      <c r="B37" s="853" t="s">
        <v>238</v>
      </c>
      <c r="C37" s="853"/>
      <c r="D37" s="853"/>
      <c r="E37" s="853"/>
      <c r="F37" s="853"/>
      <c r="G37" s="853"/>
      <c r="H37" s="853"/>
      <c r="I37" s="853"/>
      <c r="J37" s="853"/>
      <c r="K37" s="194"/>
      <c r="L37" s="194"/>
      <c r="M37" s="194"/>
      <c r="N37" s="194"/>
      <c r="O37" s="194"/>
      <c r="P37" s="194"/>
    </row>
    <row r="38" spans="1:16" x14ac:dyDescent="0.3">
      <c r="A38" s="185" t="s">
        <v>237</v>
      </c>
      <c r="B38" s="853" t="s">
        <v>293</v>
      </c>
      <c r="C38" s="853"/>
      <c r="D38" s="853"/>
      <c r="E38" s="853"/>
      <c r="F38" s="853"/>
      <c r="G38" s="853"/>
      <c r="H38" s="853"/>
      <c r="I38" s="853"/>
      <c r="J38" s="853"/>
      <c r="K38" s="194"/>
      <c r="L38" s="194"/>
      <c r="M38" s="194"/>
      <c r="N38" s="194"/>
      <c r="O38" s="194"/>
      <c r="P38" s="194"/>
    </row>
    <row r="39" spans="1:16" x14ac:dyDescent="0.3">
      <c r="B39" s="898" t="s">
        <v>461</v>
      </c>
      <c r="C39" s="898"/>
      <c r="D39" s="898"/>
      <c r="E39" s="898"/>
      <c r="F39" s="898"/>
      <c r="G39" s="898"/>
      <c r="H39" s="898"/>
      <c r="I39" s="898"/>
    </row>
    <row r="40" spans="1:16" ht="87.9" customHeight="1" x14ac:dyDescent="0.3">
      <c r="A40" s="862" t="s">
        <v>147</v>
      </c>
      <c r="B40" s="862"/>
      <c r="C40" s="862"/>
      <c r="D40" s="862"/>
      <c r="E40" s="862"/>
      <c r="F40" s="862"/>
      <c r="G40" s="862"/>
      <c r="H40" s="862"/>
      <c r="I40" s="862"/>
      <c r="J40" s="862"/>
    </row>
  </sheetData>
  <sheetProtection algorithmName="SHA-512" hashValue="T89B0spAyRXOD7rAiYoKCXxeym6ar5VgCKp4s1gx5QA2bY0WD8xtkxMvJT/1s68X2CmxCV12+20XBd94ImS+7Q==" saltValue="ynQXyn5m6KBg7vfg/wPBZw==" spinCount="100000" sheet="1" objects="1" scenarios="1"/>
  <mergeCells count="18">
    <mergeCell ref="B36:H36"/>
    <mergeCell ref="B37:J37"/>
    <mergeCell ref="B38:J38"/>
    <mergeCell ref="A40:J40"/>
    <mergeCell ref="B30:J30"/>
    <mergeCell ref="B31:J31"/>
    <mergeCell ref="B33:J33"/>
    <mergeCell ref="B34:J34"/>
    <mergeCell ref="B35:H35"/>
    <mergeCell ref="J35:P35"/>
    <mergeCell ref="B39:I39"/>
    <mergeCell ref="B32:J32"/>
    <mergeCell ref="B29:J29"/>
    <mergeCell ref="C3:F4"/>
    <mergeCell ref="G3:H4"/>
    <mergeCell ref="A5:A7"/>
    <mergeCell ref="B5:B7"/>
    <mergeCell ref="C5:C6"/>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D17:H17 D21:F21 D13:H13 D14:H14 D15:H15 E11:F11 H11" formula="1"/>
    <ignoredError sqref="C12:H12"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1"/>
  <sheetViews>
    <sheetView topLeftCell="A2" zoomScale="85" zoomScaleNormal="85" workbookViewId="0">
      <selection activeCell="O13" sqref="O13"/>
    </sheetView>
  </sheetViews>
  <sheetFormatPr baseColWidth="10" defaultRowHeight="14.4" x14ac:dyDescent="0.3"/>
  <cols>
    <col min="2" max="2" width="45.88671875" customWidth="1"/>
    <col min="3" max="3" width="12.33203125" customWidth="1"/>
    <col min="4" max="4" width="15.77734375" hidden="1" customWidth="1"/>
    <col min="5" max="5" width="15.77734375" style="685" customWidth="1"/>
    <col min="6" max="6" width="9.6640625" hidden="1" customWidth="1"/>
    <col min="7" max="7" width="17" style="685" customWidth="1"/>
    <col min="8" max="8" width="16.44140625" hidden="1" customWidth="1"/>
    <col min="9" max="9" width="11.109375" hidden="1" customWidth="1"/>
    <col min="10" max="11" width="18.33203125" style="685" customWidth="1"/>
    <col min="12" max="12" width="17.77734375" hidden="1" customWidth="1"/>
    <col min="14" max="14" width="0" hidden="1" customWidth="1"/>
  </cols>
  <sheetData>
    <row r="1" spans="1:14" x14ac:dyDescent="0.3">
      <c r="A1" s="138"/>
      <c r="B1" s="138" t="str">
        <f>+AMAZONAS!C1</f>
        <v>Vigencia: 12 de marzo de 2022; 00:00 horas</v>
      </c>
    </row>
    <row r="2" spans="1:14" ht="15" thickBot="1" x14ac:dyDescent="0.35">
      <c r="A2" s="165" t="s">
        <v>179</v>
      </c>
      <c r="B2" s="165"/>
      <c r="D2" s="560"/>
      <c r="E2" s="560"/>
    </row>
    <row r="3" spans="1:14" ht="15.9" customHeight="1" thickTop="1" x14ac:dyDescent="0.3">
      <c r="A3" s="195"/>
      <c r="B3" s="196" t="s">
        <v>322</v>
      </c>
      <c r="C3" s="863" t="s">
        <v>180</v>
      </c>
      <c r="D3" s="864"/>
      <c r="E3" s="864"/>
      <c r="F3" s="864"/>
      <c r="G3" s="864"/>
      <c r="H3" s="865"/>
      <c r="I3" s="869" t="s">
        <v>250</v>
      </c>
      <c r="J3" s="895"/>
      <c r="K3" s="895"/>
      <c r="L3" s="870"/>
    </row>
    <row r="4" spans="1:14" x14ac:dyDescent="0.3">
      <c r="A4" s="140"/>
      <c r="B4" s="287" t="s">
        <v>323</v>
      </c>
      <c r="C4" s="866"/>
      <c r="D4" s="867"/>
      <c r="E4" s="867"/>
      <c r="F4" s="867"/>
      <c r="G4" s="867"/>
      <c r="H4" s="868"/>
      <c r="I4" s="871"/>
      <c r="J4" s="896"/>
      <c r="K4" s="896"/>
      <c r="L4" s="872"/>
    </row>
    <row r="5" spans="1:14" ht="38.25" customHeight="1" x14ac:dyDescent="0.3">
      <c r="A5" s="855" t="s">
        <v>181</v>
      </c>
      <c r="B5" s="857" t="s">
        <v>182</v>
      </c>
      <c r="C5" s="840" t="s">
        <v>241</v>
      </c>
      <c r="D5" s="422" t="s">
        <v>96</v>
      </c>
      <c r="E5" s="694" t="s">
        <v>96</v>
      </c>
      <c r="F5" s="422" t="s">
        <v>172</v>
      </c>
      <c r="G5" s="739" t="s">
        <v>408</v>
      </c>
      <c r="H5" s="422" t="str">
        <f>+'NORTE SANTANDER'!F5</f>
        <v>Biodiesel B11</v>
      </c>
      <c r="I5" s="422" t="s">
        <v>96</v>
      </c>
      <c r="J5" s="694" t="s">
        <v>96</v>
      </c>
      <c r="K5" s="736" t="str">
        <f>+G5</f>
        <v>Biodiesel B10</v>
      </c>
      <c r="L5" s="420" t="str">
        <f>+H5</f>
        <v>Biodiesel B11</v>
      </c>
    </row>
    <row r="6" spans="1:14" x14ac:dyDescent="0.3">
      <c r="A6" s="855"/>
      <c r="B6" s="857"/>
      <c r="C6" s="841"/>
      <c r="D6" s="576" t="s">
        <v>509</v>
      </c>
      <c r="E6" s="576" t="s">
        <v>515</v>
      </c>
      <c r="F6" s="189">
        <v>0.02</v>
      </c>
      <c r="G6" s="172">
        <v>0.1</v>
      </c>
      <c r="H6" s="172">
        <f>+'NORTE SANTANDER'!F6</f>
        <v>0.11</v>
      </c>
      <c r="I6" s="552" t="str">
        <f>+D6</f>
        <v>Oxigena 5%</v>
      </c>
      <c r="J6" s="552" t="str">
        <f>+E6</f>
        <v>Oxigena 6%</v>
      </c>
      <c r="K6" s="172">
        <f>+G6</f>
        <v>0.1</v>
      </c>
      <c r="L6" s="172">
        <f>+H6</f>
        <v>0.11</v>
      </c>
    </row>
    <row r="7" spans="1:14" x14ac:dyDescent="0.3">
      <c r="A7" s="856"/>
      <c r="B7" s="858"/>
      <c r="C7" s="421" t="s">
        <v>183</v>
      </c>
      <c r="D7" s="422" t="s">
        <v>183</v>
      </c>
      <c r="E7" s="694" t="s">
        <v>183</v>
      </c>
      <c r="F7" s="422" t="s">
        <v>183</v>
      </c>
      <c r="G7" s="739" t="s">
        <v>183</v>
      </c>
      <c r="H7" s="422" t="s">
        <v>183</v>
      </c>
      <c r="I7" s="421" t="s">
        <v>183</v>
      </c>
      <c r="J7" s="693" t="s">
        <v>183</v>
      </c>
      <c r="K7" s="736" t="s">
        <v>183</v>
      </c>
      <c r="L7" s="420" t="s">
        <v>183</v>
      </c>
    </row>
    <row r="8" spans="1:14" x14ac:dyDescent="0.3">
      <c r="A8" s="143" t="s">
        <v>184</v>
      </c>
      <c r="B8" s="149" t="s">
        <v>185</v>
      </c>
      <c r="C8" s="213">
        <f>+'Calculo IP ZDF'!B38</f>
        <v>4842</v>
      </c>
      <c r="D8" s="219">
        <f>+'Calculo IP ZDF'!H38</f>
        <v>5252.3104999999996</v>
      </c>
      <c r="E8" s="701">
        <f>+'Calculo IP ZDF'!I38</f>
        <v>5334.3725999999997</v>
      </c>
      <c r="F8" s="221">
        <f>+'Calculo IP ZDF'!F38</f>
        <v>4332.4866000000002</v>
      </c>
      <c r="G8" s="220">
        <f>+'Calculo IP ZDF'!K38</f>
        <v>5895.4546745000007</v>
      </c>
      <c r="H8" s="220">
        <f>+'Calculo IP ZDF'!J38</f>
        <v>6090.8255114500007</v>
      </c>
      <c r="I8" s="198">
        <f>+'GAS CTE'!E9</f>
        <v>5252.3104999999996</v>
      </c>
      <c r="J8" s="700">
        <f>+'GAS CTE'!F9</f>
        <v>5334.3725999999997</v>
      </c>
      <c r="K8" s="223">
        <f>+BIODIESEL!H9</f>
        <v>6110.2880000000005</v>
      </c>
      <c r="L8" s="223">
        <f>+BIODIESEL!I9</f>
        <v>6303.2718000000004</v>
      </c>
    </row>
    <row r="9" spans="1:14" ht="18.600000000000001" customHeight="1" x14ac:dyDescent="0.3">
      <c r="A9" s="143" t="s">
        <v>186</v>
      </c>
      <c r="B9" s="149" t="s">
        <v>187</v>
      </c>
      <c r="C9" s="199" t="str">
        <f t="shared" ref="C9:C13" si="0">+D9</f>
        <v>------------------</v>
      </c>
      <c r="D9" s="174" t="s">
        <v>188</v>
      </c>
      <c r="E9" s="699" t="s">
        <v>188</v>
      </c>
      <c r="F9" s="200" t="s">
        <v>188</v>
      </c>
      <c r="G9" s="146" t="s">
        <v>188</v>
      </c>
      <c r="H9" s="146" t="s">
        <v>188</v>
      </c>
      <c r="I9" s="198">
        <f>+'GAS CTE'!E10</f>
        <v>556.9375</v>
      </c>
      <c r="J9" s="700">
        <f>+'GAS CTE'!F10</f>
        <v>551.07499999999993</v>
      </c>
      <c r="K9" s="224">
        <f>+BIODIESEL!H10</f>
        <v>505.00800000000004</v>
      </c>
      <c r="L9" s="224">
        <f>+BIODIESEL!I10</f>
        <v>499.39679999999998</v>
      </c>
    </row>
    <row r="10" spans="1:14" ht="21" customHeight="1" x14ac:dyDescent="0.3">
      <c r="A10" s="143"/>
      <c r="B10" s="149" t="s">
        <v>132</v>
      </c>
      <c r="C10" s="199" t="str">
        <f>+D10</f>
        <v>------------------</v>
      </c>
      <c r="D10" s="174" t="s">
        <v>188</v>
      </c>
      <c r="E10" s="699" t="s">
        <v>188</v>
      </c>
      <c r="F10" s="200" t="s">
        <v>188</v>
      </c>
      <c r="G10" s="146" t="s">
        <v>188</v>
      </c>
      <c r="H10" s="146" t="s">
        <v>188</v>
      </c>
      <c r="I10" s="214" t="str">
        <f>+COMBUSTIBLES!B12</f>
        <v>(3)</v>
      </c>
      <c r="J10" s="703" t="str">
        <f>+I10</f>
        <v>(3)</v>
      </c>
      <c r="K10" s="224" t="s">
        <v>133</v>
      </c>
      <c r="L10" s="224" t="str">
        <f>+BIODIESEL!H11</f>
        <v>(3)</v>
      </c>
    </row>
    <row r="11" spans="1:14" x14ac:dyDescent="0.3">
      <c r="A11" s="143"/>
      <c r="B11" s="149" t="s">
        <v>134</v>
      </c>
      <c r="C11" s="199" t="str">
        <f>+GUAINIA!C11</f>
        <v>(4)</v>
      </c>
      <c r="D11" s="174" t="str">
        <f>+C11</f>
        <v>(4)</v>
      </c>
      <c r="E11" s="699" t="str">
        <f>+D11</f>
        <v>(4)</v>
      </c>
      <c r="F11" s="200" t="str">
        <f>+C11</f>
        <v>(4)</v>
      </c>
      <c r="G11" s="146" t="s">
        <v>218</v>
      </c>
      <c r="H11" s="146" t="str">
        <f>+C11</f>
        <v>(4)</v>
      </c>
      <c r="I11" s="198" t="str">
        <f>+D11</f>
        <v>(4)</v>
      </c>
      <c r="J11" s="700" t="str">
        <f>+E11</f>
        <v>(4)</v>
      </c>
      <c r="K11" s="220" t="s">
        <v>218</v>
      </c>
      <c r="L11" s="220" t="str">
        <f>+H11</f>
        <v>(4)</v>
      </c>
    </row>
    <row r="12" spans="1:14" x14ac:dyDescent="0.3">
      <c r="A12" s="143" t="s">
        <v>189</v>
      </c>
      <c r="B12" s="149" t="s">
        <v>270</v>
      </c>
      <c r="C12" s="199" t="str">
        <f t="shared" si="0"/>
        <v>(2)</v>
      </c>
      <c r="D12" s="173" t="s">
        <v>217</v>
      </c>
      <c r="E12" s="698" t="s">
        <v>217</v>
      </c>
      <c r="F12" s="147" t="s">
        <v>217</v>
      </c>
      <c r="G12" s="146" t="s">
        <v>217</v>
      </c>
      <c r="H12" s="146" t="s">
        <v>217</v>
      </c>
      <c r="I12" s="198" t="str">
        <f>+H12</f>
        <v>(2)</v>
      </c>
      <c r="J12" s="700" t="str">
        <f>+I12</f>
        <v>(2)</v>
      </c>
      <c r="K12" s="223" t="s">
        <v>217</v>
      </c>
      <c r="L12" s="223" t="s">
        <v>217</v>
      </c>
    </row>
    <row r="13" spans="1:14" x14ac:dyDescent="0.3">
      <c r="A13" s="143" t="s">
        <v>252</v>
      </c>
      <c r="B13" s="149" t="s">
        <v>431</v>
      </c>
      <c r="C13" s="199" t="str">
        <f t="shared" si="0"/>
        <v>N.A.</v>
      </c>
      <c r="D13" s="173" t="s">
        <v>254</v>
      </c>
      <c r="E13" s="698" t="s">
        <v>254</v>
      </c>
      <c r="F13" s="200" t="s">
        <v>218</v>
      </c>
      <c r="G13" s="148" t="s">
        <v>218</v>
      </c>
      <c r="H13" s="148" t="str">
        <f>+F13</f>
        <v>(4)</v>
      </c>
      <c r="I13" s="198" t="s">
        <v>254</v>
      </c>
      <c r="J13" s="700" t="s">
        <v>254</v>
      </c>
      <c r="K13" s="220" t="s">
        <v>218</v>
      </c>
      <c r="L13" s="220" t="str">
        <f>+H13</f>
        <v>(4)</v>
      </c>
    </row>
    <row r="14" spans="1:14" x14ac:dyDescent="0.3">
      <c r="A14" s="143" t="s">
        <v>191</v>
      </c>
      <c r="B14" s="149" t="s">
        <v>192</v>
      </c>
      <c r="C14" s="199">
        <f>+RUBROS!AC19</f>
        <v>23.500029293035123</v>
      </c>
      <c r="D14" s="173">
        <f>+C14</f>
        <v>23.500029293035123</v>
      </c>
      <c r="E14" s="702">
        <f>+D14</f>
        <v>23.500029293035123</v>
      </c>
      <c r="F14" s="147">
        <f>+C14</f>
        <v>23.500029293035123</v>
      </c>
      <c r="G14" s="146">
        <f>+C14</f>
        <v>23.500029293035123</v>
      </c>
      <c r="H14" s="146">
        <f>+C14</f>
        <v>23.500029293035123</v>
      </c>
      <c r="I14" s="198">
        <f>+C14</f>
        <v>23.500029293035123</v>
      </c>
      <c r="J14" s="700">
        <f>+D14</f>
        <v>23.500029293035123</v>
      </c>
      <c r="K14" s="223">
        <f>+I14</f>
        <v>23.500029293035123</v>
      </c>
      <c r="L14" s="223">
        <f>+I14</f>
        <v>23.500029293035123</v>
      </c>
      <c r="N14" s="443" t="s">
        <v>426</v>
      </c>
    </row>
    <row r="15" spans="1:14" x14ac:dyDescent="0.3">
      <c r="A15" s="143" t="s">
        <v>195</v>
      </c>
      <c r="B15" s="218" t="s">
        <v>196</v>
      </c>
      <c r="C15" s="199">
        <f>+RUBROS!AU41</f>
        <v>13.326421256197724</v>
      </c>
      <c r="D15" s="173">
        <f>+C15</f>
        <v>13.326421256197724</v>
      </c>
      <c r="E15" s="201">
        <f>+D15</f>
        <v>13.326421256197724</v>
      </c>
      <c r="F15" s="201">
        <f>+C15</f>
        <v>13.326421256197724</v>
      </c>
      <c r="G15" s="146">
        <f>+C15</f>
        <v>13.326421256197724</v>
      </c>
      <c r="H15" s="146">
        <f>+C15</f>
        <v>13.326421256197724</v>
      </c>
      <c r="I15" s="198">
        <f>+C15</f>
        <v>13.326421256197724</v>
      </c>
      <c r="J15" s="198">
        <f>+D15</f>
        <v>13.326421256197724</v>
      </c>
      <c r="K15" s="223">
        <f>+C15</f>
        <v>13.326421256197724</v>
      </c>
      <c r="L15" s="223">
        <f>+C15</f>
        <v>13.326421256197724</v>
      </c>
      <c r="N15" s="443" t="s">
        <v>426</v>
      </c>
    </row>
    <row r="16" spans="1:14" hidden="1" x14ac:dyDescent="0.3">
      <c r="A16" s="143"/>
      <c r="B16" s="149" t="s">
        <v>197</v>
      </c>
      <c r="C16" s="199"/>
      <c r="D16" s="330"/>
      <c r="E16" s="203"/>
      <c r="F16" s="203"/>
      <c r="G16" s="146"/>
      <c r="H16" s="146"/>
      <c r="I16" s="198"/>
      <c r="J16" s="198"/>
      <c r="K16" s="225"/>
      <c r="L16" s="225"/>
    </row>
    <row r="17" spans="1:20" x14ac:dyDescent="0.3">
      <c r="A17" s="150" t="s">
        <v>198</v>
      </c>
      <c r="B17" s="180" t="s">
        <v>199</v>
      </c>
      <c r="C17" s="204">
        <f>SUM(C8:C16)</f>
        <v>4878.8264505492334</v>
      </c>
      <c r="D17" s="331">
        <f t="shared" ref="D17:L17" si="1">SUM(D8:D16)</f>
        <v>5289.136950549233</v>
      </c>
      <c r="E17" s="331">
        <f t="shared" si="1"/>
        <v>5371.1990505492331</v>
      </c>
      <c r="F17" s="205">
        <f t="shared" si="1"/>
        <v>4369.3130505492336</v>
      </c>
      <c r="G17" s="206">
        <f t="shared" si="1"/>
        <v>5932.2811250492341</v>
      </c>
      <c r="H17" s="206">
        <f t="shared" si="1"/>
        <v>6127.6519619992341</v>
      </c>
      <c r="I17" s="207">
        <f t="shared" si="1"/>
        <v>5846.074450549233</v>
      </c>
      <c r="J17" s="207">
        <f t="shared" ref="J17" si="2">SUM(J8:J16)</f>
        <v>5922.2740505492329</v>
      </c>
      <c r="K17" s="226">
        <f t="shared" si="1"/>
        <v>6652.1224505492337</v>
      </c>
      <c r="L17" s="226">
        <f t="shared" si="1"/>
        <v>6839.4950505492343</v>
      </c>
    </row>
    <row r="18" spans="1:20" x14ac:dyDescent="0.3">
      <c r="A18" s="143" t="s">
        <v>200</v>
      </c>
      <c r="B18" s="149" t="s">
        <v>201</v>
      </c>
      <c r="C18" s="199" t="s">
        <v>232</v>
      </c>
      <c r="D18" s="332" t="str">
        <f>+C18</f>
        <v>***</v>
      </c>
      <c r="E18" s="332" t="str">
        <f>+D18</f>
        <v>***</v>
      </c>
      <c r="F18" s="208" t="str">
        <f>+C18</f>
        <v>***</v>
      </c>
      <c r="G18" s="146" t="s">
        <v>232</v>
      </c>
      <c r="H18" s="146" t="str">
        <f>+C18</f>
        <v>***</v>
      </c>
      <c r="I18" s="201" t="str">
        <f>+L18</f>
        <v>***</v>
      </c>
      <c r="J18" s="201">
        <f>+M18</f>
        <v>0</v>
      </c>
      <c r="K18" s="227" t="s">
        <v>232</v>
      </c>
      <c r="L18" s="227" t="s">
        <v>232</v>
      </c>
    </row>
    <row r="19" spans="1:20" x14ac:dyDescent="0.3">
      <c r="A19" s="143" t="s">
        <v>202</v>
      </c>
      <c r="B19" s="149" t="s">
        <v>203</v>
      </c>
      <c r="C19" s="199" t="str">
        <f>+D19</f>
        <v>**</v>
      </c>
      <c r="D19" s="179" t="s">
        <v>230</v>
      </c>
      <c r="E19" s="179" t="s">
        <v>230</v>
      </c>
      <c r="F19" s="209" t="s">
        <v>230</v>
      </c>
      <c r="G19" s="146" t="s">
        <v>230</v>
      </c>
      <c r="H19" s="146" t="s">
        <v>230</v>
      </c>
      <c r="I19" s="201" t="str">
        <f>+L19</f>
        <v>**</v>
      </c>
      <c r="J19" s="201">
        <f>+M19</f>
        <v>0</v>
      </c>
      <c r="K19" s="220" t="s">
        <v>230</v>
      </c>
      <c r="L19" s="220" t="s">
        <v>230</v>
      </c>
    </row>
    <row r="20" spans="1:20" x14ac:dyDescent="0.3">
      <c r="A20" s="143" t="s">
        <v>204</v>
      </c>
      <c r="B20" s="149" t="s">
        <v>205</v>
      </c>
      <c r="C20" s="199" t="str">
        <f>+D20</f>
        <v>****</v>
      </c>
      <c r="D20" s="173" t="s">
        <v>234</v>
      </c>
      <c r="E20" s="173" t="s">
        <v>234</v>
      </c>
      <c r="F20" s="147" t="str">
        <f>+D20</f>
        <v>****</v>
      </c>
      <c r="G20" s="146" t="s">
        <v>234</v>
      </c>
      <c r="H20" s="146" t="str">
        <f>+F20</f>
        <v>****</v>
      </c>
      <c r="I20" s="201" t="str">
        <f>+H20</f>
        <v>****</v>
      </c>
      <c r="J20" s="201" t="str">
        <f>+I20</f>
        <v>****</v>
      </c>
      <c r="K20" s="223" t="str">
        <f>+G20</f>
        <v>****</v>
      </c>
      <c r="L20" s="223" t="str">
        <f>+H20</f>
        <v>****</v>
      </c>
    </row>
    <row r="21" spans="1:20" x14ac:dyDescent="0.3">
      <c r="A21" s="150" t="s">
        <v>206</v>
      </c>
      <c r="B21" s="180" t="s">
        <v>207</v>
      </c>
      <c r="C21" s="204">
        <f t="shared" ref="C21:L21" si="3">+C17</f>
        <v>4878.8264505492334</v>
      </c>
      <c r="D21" s="333">
        <f t="shared" si="3"/>
        <v>5289.136950549233</v>
      </c>
      <c r="E21" s="333">
        <f t="shared" ref="E21" si="4">+E17</f>
        <v>5371.1990505492331</v>
      </c>
      <c r="F21" s="204">
        <f t="shared" si="3"/>
        <v>4369.3130505492336</v>
      </c>
      <c r="G21" s="222">
        <f t="shared" si="3"/>
        <v>5932.2811250492341</v>
      </c>
      <c r="H21" s="222">
        <f t="shared" si="3"/>
        <v>6127.6519619992341</v>
      </c>
      <c r="I21" s="204">
        <f t="shared" si="3"/>
        <v>5846.074450549233</v>
      </c>
      <c r="J21" s="204">
        <f t="shared" ref="J21" si="5">+J17</f>
        <v>5922.2740505492329</v>
      </c>
      <c r="K21" s="222">
        <f t="shared" si="3"/>
        <v>6652.1224505492337</v>
      </c>
      <c r="L21" s="222">
        <f t="shared" si="3"/>
        <v>6839.4950505492343</v>
      </c>
    </row>
    <row r="22" spans="1:20" x14ac:dyDescent="0.3">
      <c r="A22" s="143" t="s">
        <v>208</v>
      </c>
      <c r="B22" s="149" t="s">
        <v>160</v>
      </c>
      <c r="C22" s="199" t="s">
        <v>232</v>
      </c>
      <c r="D22" s="173" t="str">
        <f>+C22</f>
        <v>***</v>
      </c>
      <c r="E22" s="173" t="str">
        <f>+D22</f>
        <v>***</v>
      </c>
      <c r="F22" s="147" t="str">
        <f>+D22</f>
        <v>***</v>
      </c>
      <c r="G22" s="146" t="s">
        <v>232</v>
      </c>
      <c r="H22" s="146" t="str">
        <f>+F22</f>
        <v>***</v>
      </c>
      <c r="I22" s="201" t="str">
        <f>+L22</f>
        <v>***</v>
      </c>
      <c r="J22" s="201">
        <f>+M22</f>
        <v>0</v>
      </c>
      <c r="K22" s="223" t="s">
        <v>232</v>
      </c>
      <c r="L22" s="223" t="s">
        <v>232</v>
      </c>
    </row>
    <row r="23" spans="1:20" x14ac:dyDescent="0.3">
      <c r="A23" s="143" t="s">
        <v>209</v>
      </c>
      <c r="B23" s="144" t="s">
        <v>210</v>
      </c>
      <c r="C23" s="199" t="str">
        <f>+D23</f>
        <v>*****</v>
      </c>
      <c r="D23" s="173" t="s">
        <v>236</v>
      </c>
      <c r="E23" s="173" t="s">
        <v>236</v>
      </c>
      <c r="F23" s="147" t="s">
        <v>254</v>
      </c>
      <c r="G23" s="146" t="s">
        <v>211</v>
      </c>
      <c r="H23" s="146" t="s">
        <v>211</v>
      </c>
      <c r="I23" s="201" t="str">
        <f>+D23</f>
        <v>*****</v>
      </c>
      <c r="J23" s="201" t="str">
        <f>+E23</f>
        <v>*****</v>
      </c>
      <c r="K23" s="223" t="s">
        <v>255</v>
      </c>
      <c r="L23" s="223" t="s">
        <v>255</v>
      </c>
    </row>
    <row r="24" spans="1:20" x14ac:dyDescent="0.3">
      <c r="A24" s="143" t="s">
        <v>212</v>
      </c>
      <c r="B24" s="149" t="s">
        <v>213</v>
      </c>
      <c r="C24" s="199" t="str">
        <f>+D24</f>
        <v>******</v>
      </c>
      <c r="D24" s="179" t="s">
        <v>237</v>
      </c>
      <c r="E24" s="179" t="s">
        <v>237</v>
      </c>
      <c r="F24" s="209" t="str">
        <f>+D24</f>
        <v>******</v>
      </c>
      <c r="G24" s="148" t="s">
        <v>237</v>
      </c>
      <c r="H24" s="148" t="str">
        <f>+F24</f>
        <v>******</v>
      </c>
      <c r="I24" s="201" t="str">
        <f>+H24</f>
        <v>******</v>
      </c>
      <c r="J24" s="201" t="str">
        <f>+I24</f>
        <v>******</v>
      </c>
      <c r="K24" s="220" t="str">
        <f>+H24</f>
        <v>******</v>
      </c>
      <c r="L24" s="220" t="str">
        <f>+I24</f>
        <v>******</v>
      </c>
    </row>
    <row r="25" spans="1:20" ht="15" thickBot="1" x14ac:dyDescent="0.35">
      <c r="A25" s="154" t="s">
        <v>214</v>
      </c>
      <c r="B25" s="155" t="s">
        <v>215</v>
      </c>
      <c r="C25" s="210"/>
      <c r="D25" s="158"/>
      <c r="E25" s="211"/>
      <c r="F25" s="211"/>
      <c r="G25" s="211"/>
      <c r="H25" s="157"/>
      <c r="I25" s="211"/>
      <c r="J25" s="211"/>
      <c r="K25" s="211"/>
      <c r="L25" s="228"/>
    </row>
    <row r="26" spans="1:20" ht="15" thickTop="1" x14ac:dyDescent="0.3"/>
    <row r="27" spans="1:20" x14ac:dyDescent="0.3">
      <c r="A27" s="162"/>
      <c r="B27" s="266" t="s">
        <v>228</v>
      </c>
      <c r="C27" s="215"/>
      <c r="D27" s="215"/>
      <c r="E27" s="215"/>
      <c r="F27" s="215"/>
      <c r="G27" s="215"/>
      <c r="H27" s="215"/>
      <c r="I27" s="194"/>
      <c r="J27" s="194"/>
      <c r="K27" s="194"/>
      <c r="L27" s="194"/>
      <c r="M27" s="194"/>
      <c r="N27" s="194"/>
      <c r="O27" s="194"/>
      <c r="P27" s="194"/>
      <c r="Q27" s="194"/>
      <c r="R27" s="194"/>
      <c r="S27" s="194"/>
      <c r="T27" s="194"/>
    </row>
    <row r="28" spans="1:20" x14ac:dyDescent="0.3">
      <c r="A28" s="162"/>
      <c r="B28" s="184"/>
      <c r="C28" s="215"/>
      <c r="D28" s="215"/>
      <c r="E28" s="215"/>
      <c r="F28" s="215"/>
      <c r="G28" s="215"/>
      <c r="H28" s="215"/>
      <c r="I28" s="194"/>
      <c r="J28" s="194"/>
      <c r="K28" s="194"/>
      <c r="L28" s="194"/>
      <c r="M28" s="194"/>
      <c r="N28" s="194"/>
      <c r="O28" s="194"/>
      <c r="P28" s="194"/>
      <c r="Q28" s="194"/>
      <c r="R28" s="194"/>
      <c r="S28" s="194"/>
      <c r="T28" s="194"/>
    </row>
    <row r="29" spans="1:20" ht="15" customHeight="1" x14ac:dyDescent="0.3">
      <c r="A29" s="162" t="s">
        <v>190</v>
      </c>
      <c r="B29" s="853" t="str">
        <f>+'NORTE SANTANDER'!B29:J29</f>
        <v>De acuerdo con lo establecido en la Resolución MME 91349 de 2014</v>
      </c>
      <c r="C29" s="853"/>
      <c r="D29" s="853"/>
      <c r="E29" s="853"/>
      <c r="F29" s="853"/>
      <c r="G29" s="853"/>
      <c r="H29" s="853"/>
      <c r="I29" s="853"/>
      <c r="J29" s="853"/>
      <c r="K29" s="853"/>
      <c r="L29" s="853"/>
      <c r="M29" s="853"/>
      <c r="N29" s="853"/>
      <c r="O29" s="216"/>
      <c r="P29" s="216"/>
      <c r="Q29" s="216"/>
      <c r="R29" s="216"/>
      <c r="S29" s="216"/>
      <c r="T29" s="216"/>
    </row>
    <row r="30" spans="1:20" ht="27.15" customHeight="1" x14ac:dyDescent="0.3">
      <c r="A30" s="162" t="s">
        <v>217</v>
      </c>
      <c r="B30" s="838" t="s">
        <v>271</v>
      </c>
      <c r="C30" s="838"/>
      <c r="D30" s="838"/>
      <c r="E30" s="838"/>
      <c r="F30" s="838"/>
      <c r="G30" s="838"/>
      <c r="H30" s="838"/>
      <c r="I30" s="838"/>
      <c r="J30" s="838"/>
      <c r="K30" s="838"/>
      <c r="L30" s="838"/>
      <c r="M30" s="838"/>
      <c r="N30" s="838"/>
      <c r="O30" s="194"/>
      <c r="P30" s="194"/>
      <c r="Q30" s="194"/>
      <c r="R30" s="194"/>
      <c r="S30" s="194"/>
      <c r="T30" s="194"/>
    </row>
    <row r="31" spans="1:20" ht="65.25" customHeight="1" x14ac:dyDescent="0.3">
      <c r="A31" s="162" t="s">
        <v>133</v>
      </c>
      <c r="B31" s="853" t="s">
        <v>334</v>
      </c>
      <c r="C31" s="853"/>
      <c r="D31" s="853"/>
      <c r="E31" s="853"/>
      <c r="F31" s="853"/>
      <c r="G31" s="853"/>
      <c r="H31" s="853"/>
      <c r="I31" s="853"/>
      <c r="J31" s="853"/>
      <c r="K31" s="853"/>
      <c r="L31" s="853"/>
      <c r="M31" s="853"/>
      <c r="N31" s="853"/>
      <c r="O31" s="194"/>
      <c r="P31" s="194"/>
      <c r="Q31" s="194"/>
      <c r="R31" s="194"/>
      <c r="S31" s="194"/>
      <c r="T31" s="194"/>
    </row>
    <row r="32" spans="1:20" ht="65.25" customHeight="1" x14ac:dyDescent="0.3">
      <c r="A32" s="162" t="s">
        <v>218</v>
      </c>
      <c r="B32" s="852" t="s">
        <v>409</v>
      </c>
      <c r="C32" s="852"/>
      <c r="D32" s="852"/>
      <c r="E32" s="852"/>
      <c r="F32" s="852"/>
      <c r="G32" s="852"/>
      <c r="H32" s="852"/>
      <c r="I32" s="852"/>
      <c r="J32" s="852"/>
      <c r="K32" s="852"/>
      <c r="L32" s="852"/>
      <c r="M32" s="852"/>
      <c r="N32" s="852"/>
      <c r="O32" s="194"/>
      <c r="P32" s="194"/>
      <c r="Q32" s="194"/>
      <c r="R32" s="194"/>
      <c r="S32" s="194"/>
      <c r="T32" s="194"/>
    </row>
    <row r="33" spans="1:20" ht="17.399999999999999" customHeight="1" x14ac:dyDescent="0.3">
      <c r="A33" s="162"/>
      <c r="B33" s="852"/>
      <c r="C33" s="852"/>
      <c r="D33" s="852"/>
      <c r="E33" s="852"/>
      <c r="F33" s="852"/>
      <c r="G33" s="852"/>
      <c r="H33" s="852"/>
      <c r="I33" s="852"/>
      <c r="J33" s="852"/>
      <c r="K33" s="852"/>
      <c r="L33" s="852"/>
      <c r="M33" s="852"/>
      <c r="N33" s="194"/>
      <c r="O33" s="194"/>
      <c r="P33" s="194"/>
      <c r="Q33" s="194"/>
      <c r="R33" s="194"/>
      <c r="S33" s="194"/>
      <c r="T33" s="194"/>
    </row>
    <row r="34" spans="1:20" ht="15" customHeight="1" x14ac:dyDescent="0.3">
      <c r="A34" s="185" t="s">
        <v>102</v>
      </c>
      <c r="B34" s="839" t="s">
        <v>229</v>
      </c>
      <c r="C34" s="839"/>
      <c r="D34" s="839"/>
      <c r="E34" s="839"/>
      <c r="F34" s="839"/>
      <c r="G34" s="839"/>
      <c r="H34" s="839"/>
      <c r="I34" s="839"/>
      <c r="J34" s="839"/>
      <c r="K34" s="839"/>
      <c r="L34" s="839"/>
      <c r="M34" s="839"/>
      <c r="N34" s="839"/>
      <c r="O34" s="194"/>
      <c r="P34" s="194"/>
      <c r="Q34" s="194"/>
      <c r="R34" s="194"/>
      <c r="S34" s="194"/>
      <c r="T34" s="194"/>
    </row>
    <row r="35" spans="1:20" ht="15" customHeight="1" x14ac:dyDescent="0.3">
      <c r="A35" s="185" t="s">
        <v>230</v>
      </c>
      <c r="B35" s="853" t="s">
        <v>324</v>
      </c>
      <c r="C35" s="853"/>
      <c r="D35" s="853"/>
      <c r="E35" s="853"/>
      <c r="F35" s="853"/>
      <c r="G35" s="853"/>
      <c r="H35" s="853"/>
      <c r="I35" s="853"/>
      <c r="J35" s="853"/>
      <c r="K35" s="853"/>
      <c r="L35" s="853"/>
      <c r="M35" s="853"/>
      <c r="N35" s="853"/>
      <c r="O35" s="194"/>
      <c r="P35" s="194"/>
      <c r="Q35" s="194"/>
      <c r="R35" s="194"/>
      <c r="S35" s="194"/>
      <c r="T35" s="194"/>
    </row>
    <row r="36" spans="1:20" ht="15" customHeight="1" x14ac:dyDescent="0.3">
      <c r="A36" s="162" t="s">
        <v>232</v>
      </c>
      <c r="B36" s="853" t="s">
        <v>233</v>
      </c>
      <c r="C36" s="853"/>
      <c r="D36" s="853"/>
      <c r="E36" s="853"/>
      <c r="F36" s="853"/>
      <c r="G36" s="853"/>
      <c r="H36" s="853"/>
      <c r="I36" s="853"/>
      <c r="J36" s="853"/>
      <c r="K36" s="853"/>
      <c r="L36" s="853"/>
      <c r="M36" s="162"/>
      <c r="N36" s="839"/>
      <c r="O36" s="839"/>
      <c r="P36" s="839"/>
      <c r="Q36" s="839"/>
      <c r="R36" s="839"/>
      <c r="S36" s="839"/>
      <c r="T36" s="839"/>
    </row>
    <row r="37" spans="1:20" ht="15" customHeight="1" x14ac:dyDescent="0.3">
      <c r="A37" s="162" t="s">
        <v>234</v>
      </c>
      <c r="B37" s="839" t="s">
        <v>472</v>
      </c>
      <c r="C37" s="839"/>
      <c r="D37" s="839"/>
      <c r="E37" s="839"/>
      <c r="F37" s="839"/>
      <c r="G37" s="839"/>
      <c r="H37" s="839"/>
      <c r="I37" s="839"/>
      <c r="J37" s="839"/>
      <c r="K37" s="839"/>
      <c r="L37" s="839"/>
      <c r="M37" s="162"/>
      <c r="N37" s="419"/>
      <c r="O37" s="419"/>
      <c r="P37" s="419"/>
      <c r="Q37" s="419"/>
      <c r="R37" s="419"/>
      <c r="S37" s="419"/>
      <c r="T37" s="419"/>
    </row>
    <row r="38" spans="1:20" ht="24" customHeight="1" x14ac:dyDescent="0.3">
      <c r="A38" s="185" t="s">
        <v>236</v>
      </c>
      <c r="B38" s="853" t="s">
        <v>238</v>
      </c>
      <c r="C38" s="853"/>
      <c r="D38" s="853"/>
      <c r="E38" s="853"/>
      <c r="F38" s="853"/>
      <c r="G38" s="853"/>
      <c r="H38" s="853"/>
      <c r="I38" s="853"/>
      <c r="J38" s="853"/>
      <c r="K38" s="853"/>
      <c r="L38" s="853"/>
      <c r="M38" s="853"/>
      <c r="N38" s="853"/>
      <c r="O38" s="194"/>
      <c r="P38" s="194"/>
      <c r="Q38" s="194"/>
      <c r="R38" s="194"/>
      <c r="S38" s="194"/>
      <c r="T38" s="194"/>
    </row>
    <row r="39" spans="1:20" x14ac:dyDescent="0.3">
      <c r="A39" s="185" t="s">
        <v>237</v>
      </c>
      <c r="B39" s="853" t="s">
        <v>278</v>
      </c>
      <c r="C39" s="853"/>
      <c r="D39" s="853"/>
      <c r="E39" s="853"/>
      <c r="F39" s="853"/>
      <c r="G39" s="853"/>
      <c r="H39" s="853"/>
      <c r="I39" s="853"/>
      <c r="J39" s="853"/>
      <c r="K39" s="853"/>
      <c r="L39" s="853"/>
      <c r="M39" s="853"/>
      <c r="N39" s="853"/>
      <c r="O39" s="194"/>
      <c r="P39" s="194"/>
      <c r="Q39" s="194"/>
      <c r="R39" s="194"/>
      <c r="S39" s="194"/>
      <c r="T39" s="194"/>
    </row>
    <row r="41" spans="1:20" ht="87.9" customHeight="1" x14ac:dyDescent="0.3">
      <c r="A41" s="862" t="s">
        <v>147</v>
      </c>
      <c r="B41" s="862"/>
      <c r="C41" s="862"/>
      <c r="D41" s="862"/>
      <c r="E41" s="862"/>
      <c r="F41" s="862"/>
      <c r="G41" s="862"/>
      <c r="H41" s="862"/>
      <c r="I41" s="862"/>
      <c r="J41" s="862"/>
      <c r="K41" s="862"/>
      <c r="L41" s="862"/>
      <c r="M41" s="862"/>
      <c r="N41" s="862"/>
    </row>
  </sheetData>
  <sheetProtection algorithmName="SHA-512" hashValue="FUMaU0meQr2Z6oeB6jqhR249EHsIhkHKcfn6K0oyDyNMRCeuwtQvsXF/Y5NBeAArImwZRuXOCxbe8pUTR7OfCg==" saltValue="vU4Sz5LKRYbH2qdQXX4rGA==" spinCount="100000" sheet="1" objects="1" scenarios="1"/>
  <mergeCells count="18">
    <mergeCell ref="B37:L37"/>
    <mergeCell ref="B38:N38"/>
    <mergeCell ref="B39:N39"/>
    <mergeCell ref="A41:N41"/>
    <mergeCell ref="B30:N30"/>
    <mergeCell ref="B31:N31"/>
    <mergeCell ref="B32:N32"/>
    <mergeCell ref="B34:N34"/>
    <mergeCell ref="B35:N35"/>
    <mergeCell ref="B36:L36"/>
    <mergeCell ref="N36:T36"/>
    <mergeCell ref="B33:M33"/>
    <mergeCell ref="B29:N29"/>
    <mergeCell ref="C3:H4"/>
    <mergeCell ref="I3:L4"/>
    <mergeCell ref="A5:A7"/>
    <mergeCell ref="B5:B7"/>
    <mergeCell ref="C5:C6"/>
  </mergeCells>
  <hyperlinks>
    <hyperlink ref="B27" location="PUTUMAYO!A40" display="Ver Nota Informativa" xr:uid="{00000000-0004-0000-1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R41"/>
  <sheetViews>
    <sheetView zoomScale="90" zoomScaleNormal="90" workbookViewId="0">
      <selection activeCell="D8" sqref="D8"/>
    </sheetView>
  </sheetViews>
  <sheetFormatPr baseColWidth="10" defaultRowHeight="14.4" x14ac:dyDescent="0.3"/>
  <cols>
    <col min="2" max="2" width="47.33203125" customWidth="1"/>
    <col min="3" max="4" width="12.33203125" customWidth="1"/>
    <col min="5" max="5" width="13.77734375" hidden="1" customWidth="1"/>
    <col min="6" max="6" width="13.6640625" customWidth="1"/>
    <col min="7" max="7" width="9.77734375" hidden="1" customWidth="1"/>
    <col min="8" max="8" width="17" hidden="1" customWidth="1"/>
    <col min="9" max="9" width="17" customWidth="1"/>
    <col min="10" max="10" width="15" customWidth="1"/>
    <col min="12" max="12" width="9.5546875" customWidth="1"/>
  </cols>
  <sheetData>
    <row r="1" spans="1:11" x14ac:dyDescent="0.3">
      <c r="A1" s="138"/>
      <c r="B1" s="138" t="str">
        <f>+AMAZONAS!C1</f>
        <v>Vigencia: 12 de marzo de 2022; 00:00 horas</v>
      </c>
    </row>
    <row r="2" spans="1:11" ht="15" thickBot="1" x14ac:dyDescent="0.35">
      <c r="A2" s="165" t="s">
        <v>179</v>
      </c>
      <c r="B2" s="165"/>
      <c r="E2" s="476"/>
      <c r="K2" s="505"/>
    </row>
    <row r="3" spans="1:11" ht="15.9" customHeight="1" thickTop="1" x14ac:dyDescent="0.3">
      <c r="A3" s="195"/>
      <c r="B3" s="196" t="s">
        <v>294</v>
      </c>
      <c r="C3" s="863" t="s">
        <v>180</v>
      </c>
      <c r="D3" s="864"/>
      <c r="E3" s="864"/>
      <c r="F3" s="864"/>
      <c r="G3" s="865"/>
      <c r="H3" s="869" t="s">
        <v>250</v>
      </c>
      <c r="I3" s="895"/>
      <c r="J3" s="870"/>
    </row>
    <row r="4" spans="1:11" x14ac:dyDescent="0.3">
      <c r="A4" s="140"/>
      <c r="B4" s="197" t="s">
        <v>295</v>
      </c>
      <c r="C4" s="866"/>
      <c r="D4" s="867"/>
      <c r="E4" s="867"/>
      <c r="F4" s="867"/>
      <c r="G4" s="868"/>
      <c r="H4" s="871"/>
      <c r="I4" s="896"/>
      <c r="J4" s="872"/>
    </row>
    <row r="5" spans="1:11" ht="38.25" customHeight="1" x14ac:dyDescent="0.3">
      <c r="A5" s="855" t="s">
        <v>181</v>
      </c>
      <c r="B5" s="857" t="s">
        <v>182</v>
      </c>
      <c r="C5" s="840" t="s">
        <v>241</v>
      </c>
      <c r="D5" s="642" t="s">
        <v>96</v>
      </c>
      <c r="E5" s="171" t="s">
        <v>96</v>
      </c>
      <c r="F5" s="171" t="s">
        <v>502</v>
      </c>
      <c r="G5" s="171"/>
      <c r="H5" s="171" t="s">
        <v>96</v>
      </c>
      <c r="I5" s="642" t="s">
        <v>96</v>
      </c>
      <c r="J5" s="277" t="str">
        <f>+F5</f>
        <v xml:space="preserve">Biodiesel B5 con destino a mezcla </v>
      </c>
    </row>
    <row r="6" spans="1:11" x14ac:dyDescent="0.3">
      <c r="A6" s="855"/>
      <c r="B6" s="857"/>
      <c r="C6" s="841"/>
      <c r="D6" s="576" t="s">
        <v>501</v>
      </c>
      <c r="E6" s="576" t="s">
        <v>501</v>
      </c>
      <c r="F6" s="189">
        <v>0.05</v>
      </c>
      <c r="G6" s="395"/>
      <c r="H6" s="554" t="str">
        <f>+E6</f>
        <v>Oxigenada 5%</v>
      </c>
      <c r="I6" s="576" t="s">
        <v>501</v>
      </c>
      <c r="J6" s="172">
        <f>+F6</f>
        <v>0.05</v>
      </c>
    </row>
    <row r="7" spans="1:11" x14ac:dyDescent="0.3">
      <c r="A7" s="856"/>
      <c r="B7" s="858"/>
      <c r="C7" s="141" t="s">
        <v>183</v>
      </c>
      <c r="D7" s="642" t="s">
        <v>183</v>
      </c>
      <c r="E7" s="171" t="s">
        <v>183</v>
      </c>
      <c r="F7" s="171" t="s">
        <v>183</v>
      </c>
      <c r="G7" s="171"/>
      <c r="H7" s="141" t="s">
        <v>183</v>
      </c>
      <c r="I7" s="641" t="s">
        <v>183</v>
      </c>
      <c r="J7" s="277" t="s">
        <v>183</v>
      </c>
    </row>
    <row r="8" spans="1:11" x14ac:dyDescent="0.3">
      <c r="A8" s="143" t="s">
        <v>184</v>
      </c>
      <c r="B8" s="149" t="s">
        <v>185</v>
      </c>
      <c r="C8" s="213">
        <f>+'Calculo IP ZDF'!B39</f>
        <v>4633.7939999999999</v>
      </c>
      <c r="D8" s="213">
        <f>+'Calculo IP ZDF'!H39</f>
        <v>5054.5147999999999</v>
      </c>
      <c r="E8" s="667">
        <f>+'Calculo IP ZDF'!O39</f>
        <v>5054.5147999999999</v>
      </c>
      <c r="F8" s="221">
        <f>+'Calculo IP ZDF'!P39</f>
        <v>4827.6548000000003</v>
      </c>
      <c r="G8" s="220"/>
      <c r="H8" s="666">
        <f>+'GAS CTE'!E9</f>
        <v>5252.3104999999996</v>
      </c>
      <c r="I8" s="198">
        <f>+'GAS CTE'!E9</f>
        <v>5252.3104999999996</v>
      </c>
      <c r="J8" s="223">
        <f>+BIODIESEL!G9</f>
        <v>5145.3689999999997</v>
      </c>
    </row>
    <row r="9" spans="1:11" x14ac:dyDescent="0.3">
      <c r="A9" s="143" t="s">
        <v>186</v>
      </c>
      <c r="B9" s="149" t="s">
        <v>187</v>
      </c>
      <c r="C9" s="199" t="str">
        <f t="shared" ref="C9:C12" si="0">+E9</f>
        <v>------------------</v>
      </c>
      <c r="D9" s="200" t="s">
        <v>188</v>
      </c>
      <c r="E9" s="668" t="s">
        <v>188</v>
      </c>
      <c r="F9" s="200" t="s">
        <v>188</v>
      </c>
      <c r="G9" s="146"/>
      <c r="H9" s="666">
        <f>+'GAS CTE'!E10</f>
        <v>556.9375</v>
      </c>
      <c r="I9" s="198">
        <f>+'GAS CTE'!E10</f>
        <v>556.9375</v>
      </c>
      <c r="J9" s="224">
        <f>+BIODIESEL!G10</f>
        <v>533.06399999999996</v>
      </c>
    </row>
    <row r="10" spans="1:11" x14ac:dyDescent="0.3">
      <c r="A10" s="143"/>
      <c r="B10" s="149" t="s">
        <v>132</v>
      </c>
      <c r="C10" s="199" t="str">
        <f>+E10</f>
        <v>------------------</v>
      </c>
      <c r="D10" s="200" t="s">
        <v>188</v>
      </c>
      <c r="E10" s="668" t="s">
        <v>188</v>
      </c>
      <c r="F10" s="200" t="s">
        <v>188</v>
      </c>
      <c r="G10" s="146"/>
      <c r="H10" s="674" t="str">
        <f>+COMBUSTIBLES!B12</f>
        <v>(3)</v>
      </c>
      <c r="I10" s="214" t="s">
        <v>133</v>
      </c>
      <c r="J10" s="224" t="str">
        <f>+BIODIESEL!H11</f>
        <v>(3)</v>
      </c>
    </row>
    <row r="11" spans="1:11" x14ac:dyDescent="0.3">
      <c r="A11" s="143"/>
      <c r="B11" s="149" t="s">
        <v>134</v>
      </c>
      <c r="C11" s="199" t="str">
        <f>+PUTUMAYO!C11</f>
        <v>(4)</v>
      </c>
      <c r="D11" s="199" t="str">
        <f>+C11</f>
        <v>(4)</v>
      </c>
      <c r="E11" s="668" t="str">
        <f>+C11</f>
        <v>(4)</v>
      </c>
      <c r="F11" s="200" t="str">
        <f>+C11</f>
        <v>(4)</v>
      </c>
      <c r="G11" s="146"/>
      <c r="H11" s="666" t="str">
        <f>+C11</f>
        <v>(4)</v>
      </c>
      <c r="I11" s="198" t="s">
        <v>218</v>
      </c>
      <c r="J11" s="220" t="str">
        <f>+C11</f>
        <v>(4)</v>
      </c>
    </row>
    <row r="12" spans="1:11" x14ac:dyDescent="0.3">
      <c r="A12" s="143" t="s">
        <v>189</v>
      </c>
      <c r="B12" s="149" t="s">
        <v>292</v>
      </c>
      <c r="C12" s="199" t="str">
        <f t="shared" si="0"/>
        <v>(2)</v>
      </c>
      <c r="D12" s="199" t="str">
        <f>+C12</f>
        <v>(2)</v>
      </c>
      <c r="E12" s="669" t="s">
        <v>217</v>
      </c>
      <c r="F12" s="147" t="s">
        <v>217</v>
      </c>
      <c r="G12" s="146"/>
      <c r="H12" s="666" t="str">
        <f>+E12</f>
        <v>(2)</v>
      </c>
      <c r="I12" s="198" t="str">
        <f>+D12</f>
        <v>(2)</v>
      </c>
      <c r="J12" s="223" t="s">
        <v>217</v>
      </c>
    </row>
    <row r="13" spans="1:11" x14ac:dyDescent="0.3">
      <c r="A13" s="143" t="s">
        <v>191</v>
      </c>
      <c r="B13" s="149" t="s">
        <v>192</v>
      </c>
      <c r="C13" s="199">
        <f>+RUBROS!AC19</f>
        <v>23.500029293035123</v>
      </c>
      <c r="D13" s="199">
        <f>+C13</f>
        <v>23.500029293035123</v>
      </c>
      <c r="E13" s="669">
        <f>+C13</f>
        <v>23.500029293035123</v>
      </c>
      <c r="F13" s="147">
        <f>+E13</f>
        <v>23.500029293035123</v>
      </c>
      <c r="G13" s="146"/>
      <c r="H13" s="666">
        <f>+C13</f>
        <v>23.500029293035123</v>
      </c>
      <c r="I13" s="198">
        <f>+C13</f>
        <v>23.500029293035123</v>
      </c>
      <c r="J13" s="223">
        <f>+H13</f>
        <v>23.500029293035123</v>
      </c>
    </row>
    <row r="14" spans="1:11" x14ac:dyDescent="0.3">
      <c r="A14" s="143" t="s">
        <v>195</v>
      </c>
      <c r="B14" s="218" t="s">
        <v>196</v>
      </c>
      <c r="C14" s="199">
        <f>+RUBROS!AU41</f>
        <v>13.326421256197724</v>
      </c>
      <c r="D14" s="199">
        <f>+C14</f>
        <v>13.326421256197724</v>
      </c>
      <c r="E14" s="669">
        <f>+C14</f>
        <v>13.326421256197724</v>
      </c>
      <c r="F14" s="201">
        <f>+C14</f>
        <v>13.326421256197724</v>
      </c>
      <c r="G14" s="146"/>
      <c r="H14" s="666">
        <f>+C14</f>
        <v>13.326421256197724</v>
      </c>
      <c r="I14" s="198">
        <f>+C14</f>
        <v>13.326421256197724</v>
      </c>
      <c r="J14" s="223">
        <f>+C14</f>
        <v>13.326421256197724</v>
      </c>
    </row>
    <row r="15" spans="1:11" hidden="1" x14ac:dyDescent="0.3">
      <c r="A15" s="143"/>
      <c r="B15" s="149" t="s">
        <v>197</v>
      </c>
      <c r="C15" s="199"/>
      <c r="D15" s="643"/>
      <c r="E15" s="670"/>
      <c r="F15" s="203"/>
      <c r="G15" s="146"/>
      <c r="H15" s="666"/>
      <c r="I15" s="649"/>
      <c r="J15" s="225"/>
    </row>
    <row r="16" spans="1:11" x14ac:dyDescent="0.3">
      <c r="A16" s="150" t="s">
        <v>198</v>
      </c>
      <c r="B16" s="180" t="s">
        <v>199</v>
      </c>
      <c r="C16" s="204">
        <f>SUM(C8:C15)</f>
        <v>4670.6204505492333</v>
      </c>
      <c r="D16" s="205">
        <f t="shared" ref="D16:J16" si="1">SUM(D8:D15)</f>
        <v>5091.3412505492333</v>
      </c>
      <c r="E16" s="671">
        <f t="shared" si="1"/>
        <v>5091.3412505492333</v>
      </c>
      <c r="F16" s="205">
        <f t="shared" si="1"/>
        <v>4864.4812505492337</v>
      </c>
      <c r="G16" s="206"/>
      <c r="H16" s="666">
        <f t="shared" si="1"/>
        <v>5846.074450549233</v>
      </c>
      <c r="I16" s="207">
        <f t="shared" si="1"/>
        <v>5846.074450549233</v>
      </c>
      <c r="J16" s="226">
        <f t="shared" si="1"/>
        <v>5715.2594505492334</v>
      </c>
    </row>
    <row r="17" spans="1:18" x14ac:dyDescent="0.3">
      <c r="A17" s="143" t="s">
        <v>200</v>
      </c>
      <c r="B17" s="149" t="s">
        <v>201</v>
      </c>
      <c r="C17" s="199" t="s">
        <v>232</v>
      </c>
      <c r="D17" s="644" t="str">
        <f>+C17</f>
        <v>***</v>
      </c>
      <c r="E17" s="672" t="str">
        <f>+C17</f>
        <v>***</v>
      </c>
      <c r="F17" s="208" t="str">
        <f>+C17</f>
        <v>***</v>
      </c>
      <c r="G17" s="146"/>
      <c r="H17" s="666" t="str">
        <f>+J17</f>
        <v>***</v>
      </c>
      <c r="I17" s="650" t="str">
        <f>+C17</f>
        <v>***</v>
      </c>
      <c r="J17" s="227" t="s">
        <v>232</v>
      </c>
    </row>
    <row r="18" spans="1:18" x14ac:dyDescent="0.3">
      <c r="A18" s="143" t="s">
        <v>202</v>
      </c>
      <c r="B18" s="149" t="s">
        <v>203</v>
      </c>
      <c r="C18" s="199" t="str">
        <f>+E18</f>
        <v>**</v>
      </c>
      <c r="D18" s="199" t="str">
        <f>+C18</f>
        <v>**</v>
      </c>
      <c r="E18" s="669" t="s">
        <v>230</v>
      </c>
      <c r="F18" s="209" t="s">
        <v>230</v>
      </c>
      <c r="G18" s="146"/>
      <c r="H18" s="666" t="str">
        <f>+J18</f>
        <v>**</v>
      </c>
      <c r="I18" s="201" t="str">
        <f>+C18</f>
        <v>**</v>
      </c>
      <c r="J18" s="220" t="s">
        <v>230</v>
      </c>
      <c r="N18" s="19"/>
    </row>
    <row r="19" spans="1:18" x14ac:dyDescent="0.3">
      <c r="A19" s="143" t="s">
        <v>204</v>
      </c>
      <c r="B19" s="149" t="s">
        <v>205</v>
      </c>
      <c r="C19" s="199" t="str">
        <f>+E19</f>
        <v>****</v>
      </c>
      <c r="D19" s="199" t="str">
        <f>+C19</f>
        <v>****</v>
      </c>
      <c r="E19" s="669" t="s">
        <v>234</v>
      </c>
      <c r="F19" s="147" t="str">
        <f>+E19</f>
        <v>****</v>
      </c>
      <c r="G19" s="146"/>
      <c r="H19" s="666" t="str">
        <f>+C19</f>
        <v>****</v>
      </c>
      <c r="I19" s="201" t="str">
        <f>+C19</f>
        <v>****</v>
      </c>
      <c r="J19" s="223" t="s">
        <v>234</v>
      </c>
    </row>
    <row r="20" spans="1:18" x14ac:dyDescent="0.3">
      <c r="A20" s="150" t="s">
        <v>206</v>
      </c>
      <c r="B20" s="180" t="s">
        <v>207</v>
      </c>
      <c r="C20" s="204">
        <f t="shared" ref="C20:J20" si="2">+C16</f>
        <v>4670.6204505492333</v>
      </c>
      <c r="D20" s="204">
        <f t="shared" si="2"/>
        <v>5091.3412505492333</v>
      </c>
      <c r="E20" s="673">
        <f t="shared" si="2"/>
        <v>5091.3412505492333</v>
      </c>
      <c r="F20" s="204">
        <f t="shared" si="2"/>
        <v>4864.4812505492337</v>
      </c>
      <c r="G20" s="222"/>
      <c r="H20" s="673">
        <f t="shared" si="2"/>
        <v>5846.074450549233</v>
      </c>
      <c r="I20" s="204">
        <f t="shared" si="2"/>
        <v>5846.074450549233</v>
      </c>
      <c r="J20" s="222">
        <f t="shared" si="2"/>
        <v>5715.2594505492334</v>
      </c>
      <c r="O20" s="19"/>
    </row>
    <row r="21" spans="1:18" x14ac:dyDescent="0.3">
      <c r="A21" s="143" t="s">
        <v>208</v>
      </c>
      <c r="B21" s="149" t="s">
        <v>160</v>
      </c>
      <c r="C21" s="199" t="s">
        <v>232</v>
      </c>
      <c r="D21" s="199" t="str">
        <f>+C21</f>
        <v>***</v>
      </c>
      <c r="E21" s="669" t="str">
        <f>+C21</f>
        <v>***</v>
      </c>
      <c r="F21" s="147" t="str">
        <f>+E21</f>
        <v>***</v>
      </c>
      <c r="G21" s="146"/>
      <c r="H21" s="666" t="str">
        <f>+C21</f>
        <v>***</v>
      </c>
      <c r="I21" s="201" t="str">
        <f>+C21</f>
        <v>***</v>
      </c>
      <c r="J21" s="223" t="s">
        <v>232</v>
      </c>
    </row>
    <row r="22" spans="1:18" x14ac:dyDescent="0.3">
      <c r="A22" s="143" t="s">
        <v>209</v>
      </c>
      <c r="B22" s="144" t="s">
        <v>210</v>
      </c>
      <c r="C22" s="199" t="str">
        <f>+E22</f>
        <v>*****</v>
      </c>
      <c r="D22" s="199" t="str">
        <f>+C22</f>
        <v>*****</v>
      </c>
      <c r="E22" s="669" t="s">
        <v>236</v>
      </c>
      <c r="F22" s="147" t="s">
        <v>254</v>
      </c>
      <c r="G22" s="146"/>
      <c r="H22" s="666" t="str">
        <f>+C22</f>
        <v>*****</v>
      </c>
      <c r="I22" s="201" t="str">
        <f>+C22</f>
        <v>*****</v>
      </c>
      <c r="J22" s="223" t="s">
        <v>255</v>
      </c>
    </row>
    <row r="23" spans="1:18" x14ac:dyDescent="0.3">
      <c r="A23" s="143" t="s">
        <v>212</v>
      </c>
      <c r="B23" s="149" t="s">
        <v>297</v>
      </c>
      <c r="C23" s="199" t="str">
        <f>+E23</f>
        <v>******</v>
      </c>
      <c r="D23" s="199" t="str">
        <f>+C23</f>
        <v>******</v>
      </c>
      <c r="E23" s="669" t="s">
        <v>237</v>
      </c>
      <c r="F23" s="209" t="str">
        <f>+E23</f>
        <v>******</v>
      </c>
      <c r="G23" s="148"/>
      <c r="H23" s="666">
        <f>+G23</f>
        <v>0</v>
      </c>
      <c r="I23" s="201" t="str">
        <f>+C23</f>
        <v>******</v>
      </c>
      <c r="J23" s="220">
        <f>+H23</f>
        <v>0</v>
      </c>
    </row>
    <row r="24" spans="1:18" ht="15" thickBot="1" x14ac:dyDescent="0.35">
      <c r="A24" s="154" t="s">
        <v>214</v>
      </c>
      <c r="B24" s="155" t="s">
        <v>215</v>
      </c>
      <c r="C24" s="210"/>
      <c r="D24" s="210"/>
      <c r="E24" s="158"/>
      <c r="F24" s="211"/>
      <c r="G24" s="157"/>
      <c r="H24" s="211"/>
      <c r="I24" s="211"/>
      <c r="J24" s="228"/>
    </row>
    <row r="25" spans="1:18" ht="15" thickTop="1" x14ac:dyDescent="0.3"/>
    <row r="26" spans="1:18" x14ac:dyDescent="0.3">
      <c r="A26" s="162"/>
      <c r="B26" s="266" t="s">
        <v>228</v>
      </c>
      <c r="C26" s="215"/>
      <c r="D26" s="215"/>
      <c r="E26" s="215"/>
      <c r="F26" s="215"/>
      <c r="G26" s="215"/>
      <c r="H26" s="194"/>
      <c r="I26" s="194"/>
      <c r="J26" s="194"/>
      <c r="K26" s="194"/>
      <c r="L26" s="194"/>
      <c r="M26" s="194"/>
      <c r="N26" s="194"/>
      <c r="P26" s="194"/>
      <c r="Q26" s="194"/>
      <c r="R26" s="194"/>
    </row>
    <row r="27" spans="1:18" x14ac:dyDescent="0.3">
      <c r="A27" s="162"/>
      <c r="B27" s="184"/>
      <c r="C27" s="215"/>
      <c r="D27" s="215"/>
      <c r="E27" s="215"/>
      <c r="F27" s="215"/>
      <c r="G27" s="215"/>
      <c r="H27" s="194"/>
      <c r="I27" s="194"/>
      <c r="J27" s="194"/>
      <c r="K27" s="194"/>
      <c r="L27" s="194"/>
      <c r="M27" s="194"/>
      <c r="N27" s="194"/>
      <c r="O27" s="194"/>
      <c r="P27" s="194"/>
      <c r="Q27" s="194"/>
      <c r="R27" s="194"/>
    </row>
    <row r="28" spans="1:18" ht="15" customHeight="1" x14ac:dyDescent="0.3">
      <c r="A28" s="162" t="s">
        <v>190</v>
      </c>
      <c r="B28" s="853" t="s">
        <v>413</v>
      </c>
      <c r="C28" s="853"/>
      <c r="D28" s="853"/>
      <c r="E28" s="853"/>
      <c r="F28" s="853"/>
      <c r="G28" s="853"/>
      <c r="H28" s="853"/>
      <c r="I28" s="853"/>
      <c r="J28" s="853"/>
      <c r="K28" s="853"/>
      <c r="L28" s="853"/>
      <c r="M28" s="216"/>
      <c r="N28" s="216"/>
      <c r="O28" s="216"/>
      <c r="P28" s="216"/>
      <c r="Q28" s="216"/>
      <c r="R28" s="216"/>
    </row>
    <row r="29" spans="1:18" ht="26.25" customHeight="1" x14ac:dyDescent="0.3">
      <c r="A29" s="162" t="s">
        <v>217</v>
      </c>
      <c r="B29" s="838" t="s">
        <v>271</v>
      </c>
      <c r="C29" s="838"/>
      <c r="D29" s="838"/>
      <c r="E29" s="838"/>
      <c r="F29" s="838"/>
      <c r="G29" s="838"/>
      <c r="H29" s="838"/>
      <c r="I29" s="838"/>
      <c r="J29" s="838"/>
      <c r="K29" s="838"/>
      <c r="L29" s="838"/>
      <c r="M29" s="194"/>
      <c r="N29" s="194"/>
      <c r="O29" s="194"/>
      <c r="P29" s="194"/>
      <c r="Q29" s="194"/>
      <c r="R29" s="194"/>
    </row>
    <row r="30" spans="1:18" ht="54.6" customHeight="1" x14ac:dyDescent="0.3">
      <c r="A30" s="162" t="s">
        <v>133</v>
      </c>
      <c r="B30" s="853" t="s">
        <v>334</v>
      </c>
      <c r="C30" s="853"/>
      <c r="D30" s="853"/>
      <c r="E30" s="853"/>
      <c r="F30" s="853"/>
      <c r="G30" s="853"/>
      <c r="H30" s="853"/>
      <c r="I30" s="853"/>
      <c r="J30" s="853"/>
      <c r="K30" s="853"/>
      <c r="L30" s="853"/>
      <c r="M30" s="194"/>
      <c r="N30" s="194"/>
      <c r="O30" s="194"/>
      <c r="P30" s="194"/>
      <c r="Q30" s="194"/>
      <c r="R30" s="194"/>
    </row>
    <row r="31" spans="1:18" ht="54.6" customHeight="1" x14ac:dyDescent="0.3">
      <c r="A31" s="162" t="s">
        <v>218</v>
      </c>
      <c r="B31" s="852" t="s">
        <v>409</v>
      </c>
      <c r="C31" s="852"/>
      <c r="D31" s="852"/>
      <c r="E31" s="852"/>
      <c r="F31" s="852"/>
      <c r="G31" s="852"/>
      <c r="H31" s="852"/>
      <c r="I31" s="852"/>
      <c r="J31" s="852"/>
      <c r="K31" s="852"/>
      <c r="L31" s="852"/>
      <c r="M31" s="194"/>
      <c r="N31" s="194"/>
      <c r="O31" s="194"/>
      <c r="P31" s="194"/>
      <c r="Q31" s="194"/>
      <c r="R31" s="194"/>
    </row>
    <row r="32" spans="1:18" ht="16.2" customHeight="1" x14ac:dyDescent="0.3">
      <c r="A32" s="162"/>
      <c r="B32" s="910"/>
      <c r="C32" s="910"/>
      <c r="D32" s="910"/>
      <c r="E32" s="910"/>
      <c r="F32" s="910"/>
      <c r="G32" s="910"/>
      <c r="H32" s="910"/>
      <c r="I32" s="910"/>
      <c r="J32" s="910"/>
      <c r="K32" s="910"/>
      <c r="L32" s="910"/>
      <c r="M32" s="194"/>
      <c r="N32" s="194"/>
      <c r="O32" s="194"/>
      <c r="P32" s="194"/>
      <c r="Q32" s="194"/>
      <c r="R32" s="194"/>
    </row>
    <row r="33" spans="1:18" x14ac:dyDescent="0.3">
      <c r="A33" s="162"/>
      <c r="B33" s="184"/>
      <c r="C33" s="215"/>
      <c r="D33" s="215"/>
      <c r="E33" s="215"/>
      <c r="F33" s="215"/>
      <c r="G33" s="215"/>
      <c r="H33" s="194"/>
      <c r="I33" s="194"/>
      <c r="J33" s="194"/>
      <c r="K33" s="194"/>
      <c r="L33" s="194"/>
      <c r="M33" s="194"/>
      <c r="N33" s="194"/>
      <c r="O33" s="194"/>
      <c r="P33" s="194"/>
      <c r="Q33" s="194"/>
      <c r="R33" s="194"/>
    </row>
    <row r="34" spans="1:18" ht="15" customHeight="1" x14ac:dyDescent="0.3">
      <c r="A34" s="185" t="s">
        <v>102</v>
      </c>
      <c r="B34" s="839" t="s">
        <v>229</v>
      </c>
      <c r="C34" s="839"/>
      <c r="D34" s="839"/>
      <c r="E34" s="839"/>
      <c r="F34" s="839"/>
      <c r="G34" s="839"/>
      <c r="H34" s="839"/>
      <c r="I34" s="839"/>
      <c r="J34" s="839"/>
      <c r="K34" s="839"/>
      <c r="L34" s="839"/>
      <c r="M34" s="194"/>
      <c r="N34" s="194"/>
      <c r="O34" s="194"/>
      <c r="P34" s="194"/>
      <c r="Q34" s="194"/>
      <c r="R34" s="194"/>
    </row>
    <row r="35" spans="1:18" ht="15" customHeight="1" x14ac:dyDescent="0.3">
      <c r="A35" s="185" t="s">
        <v>230</v>
      </c>
      <c r="B35" s="853" t="s">
        <v>296</v>
      </c>
      <c r="C35" s="853"/>
      <c r="D35" s="853"/>
      <c r="E35" s="853"/>
      <c r="F35" s="853"/>
      <c r="G35" s="853"/>
      <c r="H35" s="853"/>
      <c r="I35" s="853"/>
      <c r="J35" s="853"/>
      <c r="K35" s="853"/>
      <c r="L35" s="853"/>
      <c r="M35" s="194"/>
      <c r="N35" s="194"/>
      <c r="O35" s="194"/>
      <c r="P35" s="194"/>
      <c r="Q35" s="194"/>
      <c r="R35" s="194"/>
    </row>
    <row r="36" spans="1:18" ht="15" customHeight="1" x14ac:dyDescent="0.3">
      <c r="A36" s="162" t="s">
        <v>232</v>
      </c>
      <c r="B36" s="853" t="s">
        <v>233</v>
      </c>
      <c r="C36" s="853"/>
      <c r="D36" s="853"/>
      <c r="E36" s="853"/>
      <c r="F36" s="853"/>
      <c r="G36" s="853"/>
      <c r="H36" s="853"/>
      <c r="I36" s="853"/>
      <c r="J36" s="853"/>
      <c r="K36" s="162"/>
      <c r="L36" s="839"/>
      <c r="M36" s="839"/>
      <c r="N36" s="839"/>
      <c r="O36" s="839"/>
      <c r="P36" s="839"/>
      <c r="Q36" s="839"/>
      <c r="R36" s="839"/>
    </row>
    <row r="37" spans="1:18" ht="15" customHeight="1" x14ac:dyDescent="0.3">
      <c r="A37" s="162" t="s">
        <v>234</v>
      </c>
      <c r="B37" s="839" t="s">
        <v>472</v>
      </c>
      <c r="C37" s="839"/>
      <c r="D37" s="839"/>
      <c r="E37" s="839"/>
      <c r="F37" s="839"/>
      <c r="G37" s="839"/>
      <c r="H37" s="839"/>
      <c r="I37" s="839"/>
      <c r="J37" s="839"/>
      <c r="K37" s="162"/>
      <c r="L37" s="275"/>
      <c r="M37" s="275"/>
      <c r="N37" s="275"/>
      <c r="O37" s="275"/>
      <c r="P37" s="275"/>
      <c r="Q37" s="275"/>
      <c r="R37" s="275"/>
    </row>
    <row r="38" spans="1:18" ht="26.25" customHeight="1" x14ac:dyDescent="0.3">
      <c r="A38" s="185" t="s">
        <v>236</v>
      </c>
      <c r="B38" s="853" t="s">
        <v>238</v>
      </c>
      <c r="C38" s="853"/>
      <c r="D38" s="853"/>
      <c r="E38" s="853"/>
      <c r="F38" s="853"/>
      <c r="G38" s="853"/>
      <c r="H38" s="853"/>
      <c r="I38" s="853"/>
      <c r="J38" s="853"/>
      <c r="K38" s="853"/>
      <c r="L38" s="853"/>
      <c r="M38" s="194"/>
      <c r="N38" s="194"/>
      <c r="O38" s="194"/>
      <c r="P38" s="194"/>
      <c r="Q38" s="194"/>
      <c r="R38" s="194"/>
    </row>
    <row r="39" spans="1:18" x14ac:dyDescent="0.3">
      <c r="A39" s="185" t="s">
        <v>237</v>
      </c>
      <c r="B39" s="853" t="s">
        <v>298</v>
      </c>
      <c r="C39" s="853"/>
      <c r="D39" s="853"/>
      <c r="E39" s="853"/>
      <c r="F39" s="853"/>
      <c r="G39" s="853"/>
      <c r="H39" s="853"/>
      <c r="I39" s="853"/>
      <c r="J39" s="853"/>
      <c r="K39" s="853"/>
      <c r="L39" s="853"/>
      <c r="M39" s="194"/>
      <c r="N39" s="194"/>
      <c r="O39" s="194"/>
      <c r="P39" s="194"/>
      <c r="Q39" s="194"/>
      <c r="R39" s="194"/>
    </row>
    <row r="40" spans="1:18" x14ac:dyDescent="0.3">
      <c r="B40" s="898" t="s">
        <v>461</v>
      </c>
      <c r="C40" s="898"/>
      <c r="D40" s="898"/>
      <c r="E40" s="898"/>
      <c r="F40" s="898"/>
      <c r="G40" s="898"/>
      <c r="H40" s="898"/>
      <c r="I40" s="898"/>
      <c r="J40" s="898"/>
      <c r="K40" s="898"/>
    </row>
    <row r="41" spans="1:18" ht="87.9" customHeight="1" x14ac:dyDescent="0.3">
      <c r="A41" s="862" t="s">
        <v>147</v>
      </c>
      <c r="B41" s="862"/>
      <c r="C41" s="862"/>
      <c r="D41" s="862"/>
      <c r="E41" s="862"/>
      <c r="F41" s="862"/>
      <c r="G41" s="862"/>
      <c r="H41" s="862"/>
      <c r="I41" s="862"/>
      <c r="J41" s="862"/>
      <c r="K41" s="862"/>
      <c r="L41" s="862"/>
    </row>
  </sheetData>
  <sheetProtection algorithmName="SHA-512" hashValue="XWIcyNeLmbz0Wc62VCecTGlac3916JFzYh3kB1AMmkBzeW+XSOi0qUh56jpj6lm9vWOovSigET5KO0trhD1vNA==" saltValue="I9Ocxdosc2RXGBhNe7A84Q==" spinCount="100000" sheet="1" objects="1" scenarios="1"/>
  <mergeCells count="19">
    <mergeCell ref="B37:J37"/>
    <mergeCell ref="B38:L38"/>
    <mergeCell ref="B39:L39"/>
    <mergeCell ref="A41:L41"/>
    <mergeCell ref="B29:L29"/>
    <mergeCell ref="B30:L30"/>
    <mergeCell ref="B34:L34"/>
    <mergeCell ref="B35:L35"/>
    <mergeCell ref="B36:J36"/>
    <mergeCell ref="L36:R36"/>
    <mergeCell ref="B31:L31"/>
    <mergeCell ref="B40:K40"/>
    <mergeCell ref="B32:L32"/>
    <mergeCell ref="B28:L28"/>
    <mergeCell ref="C3:G4"/>
    <mergeCell ref="H3:J4"/>
    <mergeCell ref="A5:A7"/>
    <mergeCell ref="B5:B7"/>
    <mergeCell ref="C5:C6"/>
  </mergeCells>
  <hyperlinks>
    <hyperlink ref="B26" location="VAUPES!A40" display="Ver Nota Informativa" xr:uid="{00000000-0004-0000-1400-000000000000}"/>
  </hyperlinks>
  <pageMargins left="0.7" right="0.7" top="0.75" bottom="0.75" header="0.3" footer="0.3"/>
  <pageSetup orientation="portrait" r:id="rId1"/>
  <ignoredErrors>
    <ignoredError sqref="F20 E16:F16 H13" formula="1"/>
    <ignoredError sqref="E12:F12 J1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P64"/>
  <sheetViews>
    <sheetView showGridLines="0" zoomScale="90" zoomScaleNormal="90" workbookViewId="0">
      <selection activeCell="AC20" sqref="AC20"/>
    </sheetView>
  </sheetViews>
  <sheetFormatPr baseColWidth="10" defaultRowHeight="14.4" x14ac:dyDescent="0.3"/>
  <cols>
    <col min="3" max="3" width="31.109375" customWidth="1"/>
    <col min="4" max="4" width="19" customWidth="1"/>
    <col min="5" max="5" width="25" customWidth="1"/>
  </cols>
  <sheetData>
    <row r="3" spans="2:16" ht="47.25" customHeight="1" x14ac:dyDescent="0.3"/>
    <row r="5" spans="2:16" ht="28.8" x14ac:dyDescent="0.3">
      <c r="C5" s="487" t="s">
        <v>439</v>
      </c>
      <c r="D5" s="500" t="s">
        <v>440</v>
      </c>
      <c r="E5" s="488" t="s">
        <v>441</v>
      </c>
    </row>
    <row r="6" spans="2:16" x14ac:dyDescent="0.3">
      <c r="B6" s="786" t="s">
        <v>442</v>
      </c>
      <c r="C6" s="489" t="s">
        <v>443</v>
      </c>
      <c r="D6" s="490">
        <v>8.3800000000000008</v>
      </c>
      <c r="E6" s="490" t="s">
        <v>444</v>
      </c>
    </row>
    <row r="7" spans="2:16" x14ac:dyDescent="0.3">
      <c r="B7" s="787"/>
      <c r="C7" s="499" t="s">
        <v>454</v>
      </c>
      <c r="D7" s="490"/>
      <c r="E7" s="490" t="s">
        <v>457</v>
      </c>
      <c r="O7" s="476"/>
    </row>
    <row r="8" spans="2:16" x14ac:dyDescent="0.3">
      <c r="B8" s="786" t="s">
        <v>445</v>
      </c>
      <c r="C8" s="489" t="s">
        <v>449</v>
      </c>
      <c r="D8" s="490">
        <v>8.3800000000000008</v>
      </c>
      <c r="E8" s="490" t="s">
        <v>444</v>
      </c>
      <c r="H8" s="495"/>
      <c r="I8" s="496">
        <v>0.03</v>
      </c>
      <c r="J8" s="495"/>
      <c r="K8" s="495"/>
      <c r="L8" s="497">
        <v>2018</v>
      </c>
      <c r="M8" s="497">
        <v>2019</v>
      </c>
      <c r="N8" s="497">
        <v>2020</v>
      </c>
      <c r="O8" s="497">
        <v>2021</v>
      </c>
      <c r="P8" s="495"/>
    </row>
    <row r="9" spans="2:16" x14ac:dyDescent="0.3">
      <c r="B9" s="788"/>
      <c r="C9" s="499" t="s">
        <v>455</v>
      </c>
      <c r="D9" s="490"/>
      <c r="E9" s="490" t="str">
        <f>+E7</f>
        <v>4,55.</v>
      </c>
      <c r="H9" s="495">
        <v>6.82</v>
      </c>
      <c r="I9" s="495">
        <f t="shared" ref="I9:P11" si="0">+H9*(1+$I$8)</f>
        <v>7.0246000000000004</v>
      </c>
      <c r="J9" s="495">
        <f t="shared" si="0"/>
        <v>7.2353380000000005</v>
      </c>
      <c r="K9" s="495">
        <f t="shared" si="0"/>
        <v>7.4523981400000006</v>
      </c>
      <c r="L9" s="495">
        <f t="shared" si="0"/>
        <v>7.6759700842000012</v>
      </c>
      <c r="M9" s="495">
        <f t="shared" si="0"/>
        <v>7.9062491867260016</v>
      </c>
      <c r="N9" s="495">
        <f t="shared" si="0"/>
        <v>8.1434366623277814</v>
      </c>
      <c r="O9" s="498">
        <f t="shared" si="0"/>
        <v>8.3877397621976151</v>
      </c>
      <c r="P9" s="498">
        <f t="shared" si="0"/>
        <v>8.6393719550635435</v>
      </c>
    </row>
    <row r="10" spans="2:16" x14ac:dyDescent="0.3">
      <c r="B10" s="786" t="s">
        <v>446</v>
      </c>
      <c r="C10" s="489" t="s">
        <v>286</v>
      </c>
      <c r="D10" s="490">
        <v>8.3800000000000008</v>
      </c>
      <c r="E10" s="490" t="s">
        <v>444</v>
      </c>
      <c r="H10" s="495">
        <v>3.7</v>
      </c>
      <c r="I10" s="495">
        <f t="shared" si="0"/>
        <v>3.8110000000000004</v>
      </c>
      <c r="J10" s="495">
        <f t="shared" si="0"/>
        <v>3.9253300000000007</v>
      </c>
      <c r="K10" s="495">
        <f t="shared" si="0"/>
        <v>4.0430899000000009</v>
      </c>
      <c r="L10" s="495">
        <f t="shared" si="0"/>
        <v>4.1643825970000012</v>
      </c>
      <c r="M10" s="495">
        <f t="shared" si="0"/>
        <v>4.2893140749100018</v>
      </c>
      <c r="N10" s="495">
        <f t="shared" si="0"/>
        <v>4.4179934971573021</v>
      </c>
      <c r="O10" s="495">
        <f t="shared" si="0"/>
        <v>4.5505333020720213</v>
      </c>
      <c r="P10" s="495">
        <f t="shared" si="0"/>
        <v>4.6870493011341825</v>
      </c>
    </row>
    <row r="11" spans="2:16" x14ac:dyDescent="0.3">
      <c r="B11" s="788"/>
      <c r="C11" s="499" t="s">
        <v>456</v>
      </c>
      <c r="D11" s="490"/>
      <c r="E11" s="490" t="str">
        <f>+E9</f>
        <v>4,55.</v>
      </c>
      <c r="H11" s="495">
        <v>10.52</v>
      </c>
      <c r="I11" s="495">
        <f t="shared" si="0"/>
        <v>10.835599999999999</v>
      </c>
      <c r="J11" s="495">
        <f t="shared" si="0"/>
        <v>11.160667999999999</v>
      </c>
      <c r="K11" s="495">
        <f t="shared" si="0"/>
        <v>11.49548804</v>
      </c>
      <c r="L11" s="495">
        <f t="shared" si="0"/>
        <v>11.840352681200001</v>
      </c>
      <c r="M11" s="495">
        <f t="shared" si="0"/>
        <v>12.195563261636002</v>
      </c>
      <c r="N11" s="495">
        <f t="shared" si="0"/>
        <v>12.561430159485083</v>
      </c>
      <c r="O11" s="495">
        <f t="shared" si="0"/>
        <v>12.938273064269636</v>
      </c>
      <c r="P11" s="495">
        <f t="shared" si="0"/>
        <v>13.326421256197724</v>
      </c>
    </row>
    <row r="12" spans="2:16" x14ac:dyDescent="0.3">
      <c r="B12" s="787" t="s">
        <v>447</v>
      </c>
      <c r="C12" s="489" t="s">
        <v>450</v>
      </c>
      <c r="D12" s="490">
        <v>8.3800000000000008</v>
      </c>
      <c r="E12" s="490" t="s">
        <v>444</v>
      </c>
      <c r="H12" s="495"/>
      <c r="I12" s="495"/>
      <c r="J12" s="495"/>
      <c r="K12" s="495"/>
      <c r="L12" s="495"/>
      <c r="M12" s="495"/>
      <c r="N12" s="495"/>
      <c r="O12" s="495">
        <f>12.94-8.38</f>
        <v>4.5599999999999987</v>
      </c>
      <c r="P12" s="495"/>
    </row>
    <row r="13" spans="2:16" x14ac:dyDescent="0.3">
      <c r="B13" s="788"/>
      <c r="C13" s="489" t="s">
        <v>450</v>
      </c>
      <c r="D13" s="490"/>
      <c r="E13" s="490" t="str">
        <f>+E11</f>
        <v>4,55.</v>
      </c>
    </row>
    <row r="15" spans="2:16" x14ac:dyDescent="0.3">
      <c r="C15" s="447" t="s">
        <v>448</v>
      </c>
    </row>
    <row r="62" spans="3:3" x14ac:dyDescent="0.3">
      <c r="C62" t="s">
        <v>451</v>
      </c>
    </row>
    <row r="63" spans="3:3" x14ac:dyDescent="0.3">
      <c r="C63" t="s">
        <v>453</v>
      </c>
    </row>
    <row r="64" spans="3:3" x14ac:dyDescent="0.3">
      <c r="C64" t="s">
        <v>452</v>
      </c>
    </row>
  </sheetData>
  <mergeCells count="4">
    <mergeCell ref="B6:B7"/>
    <mergeCell ref="B8:B9"/>
    <mergeCell ref="B10:B11"/>
    <mergeCell ref="B12:B13"/>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R65"/>
  <sheetViews>
    <sheetView zoomScale="85" zoomScaleNormal="85" workbookViewId="0">
      <selection activeCell="I32" sqref="I32"/>
    </sheetView>
  </sheetViews>
  <sheetFormatPr baseColWidth="10" defaultRowHeight="14.4" x14ac:dyDescent="0.3"/>
  <cols>
    <col min="2" max="2" width="47.33203125" customWidth="1"/>
    <col min="3" max="3" width="12.33203125" customWidth="1"/>
    <col min="4" max="4" width="15.109375" customWidth="1"/>
    <col min="5" max="5" width="15.77734375" hidden="1" customWidth="1"/>
    <col min="6" max="6" width="16" customWidth="1"/>
    <col min="7" max="7" width="12.6640625" hidden="1" customWidth="1"/>
    <col min="8" max="8" width="17.109375" hidden="1" customWidth="1"/>
    <col min="9" max="9" width="17.44140625" customWidth="1"/>
    <col min="10" max="10" width="17.21875" customWidth="1"/>
    <col min="11" max="11" width="17.109375" customWidth="1"/>
    <col min="12" max="12" width="15.33203125" customWidth="1"/>
  </cols>
  <sheetData>
    <row r="1" spans="1:11" x14ac:dyDescent="0.3">
      <c r="A1" s="138"/>
      <c r="B1" s="138" t="str">
        <f>+AMAZONAS!C1</f>
        <v>Vigencia: 12 de marzo de 2022; 00:00 horas</v>
      </c>
    </row>
    <row r="2" spans="1:11" ht="15" thickBot="1" x14ac:dyDescent="0.35">
      <c r="A2" s="165" t="s">
        <v>179</v>
      </c>
      <c r="B2" s="165"/>
    </row>
    <row r="3" spans="1:11" ht="15.9" customHeight="1" thickTop="1" x14ac:dyDescent="0.3">
      <c r="A3" s="195"/>
      <c r="B3" s="196" t="s">
        <v>336</v>
      </c>
      <c r="C3" s="863" t="s">
        <v>180</v>
      </c>
      <c r="D3" s="864"/>
      <c r="E3" s="864"/>
      <c r="F3" s="864"/>
      <c r="G3" s="865"/>
      <c r="H3" s="869" t="s">
        <v>250</v>
      </c>
      <c r="I3" s="895"/>
      <c r="J3" s="870"/>
    </row>
    <row r="4" spans="1:11" x14ac:dyDescent="0.3">
      <c r="A4" s="140"/>
      <c r="B4" s="197" t="s">
        <v>335</v>
      </c>
      <c r="C4" s="866"/>
      <c r="D4" s="867"/>
      <c r="E4" s="867"/>
      <c r="F4" s="867"/>
      <c r="G4" s="868"/>
      <c r="H4" s="871"/>
      <c r="I4" s="896"/>
      <c r="J4" s="872"/>
    </row>
    <row r="5" spans="1:11" ht="38.25" customHeight="1" x14ac:dyDescent="0.3">
      <c r="A5" s="855" t="s">
        <v>181</v>
      </c>
      <c r="B5" s="857" t="s">
        <v>182</v>
      </c>
      <c r="C5" s="840" t="s">
        <v>241</v>
      </c>
      <c r="D5" s="642" t="s">
        <v>96</v>
      </c>
      <c r="E5" s="339" t="s">
        <v>96</v>
      </c>
      <c r="F5" s="339" t="s">
        <v>502</v>
      </c>
      <c r="G5" s="339"/>
      <c r="H5" s="339" t="s">
        <v>96</v>
      </c>
      <c r="I5" s="642" t="s">
        <v>96</v>
      </c>
      <c r="J5" s="337" t="str">
        <f>+F5</f>
        <v xml:space="preserve">Biodiesel B5 con destino a mezcla </v>
      </c>
    </row>
    <row r="6" spans="1:11" x14ac:dyDescent="0.3">
      <c r="A6" s="855"/>
      <c r="B6" s="857"/>
      <c r="C6" s="841"/>
      <c r="D6" s="576" t="s">
        <v>501</v>
      </c>
      <c r="E6" s="576" t="s">
        <v>501</v>
      </c>
      <c r="F6" s="189">
        <v>0.05</v>
      </c>
      <c r="G6" s="395"/>
      <c r="H6" s="554" t="str">
        <f>+E6</f>
        <v>Oxigenada 5%</v>
      </c>
      <c r="I6" s="576" t="s">
        <v>501</v>
      </c>
      <c r="J6" s="172">
        <f>+F6</f>
        <v>0.05</v>
      </c>
    </row>
    <row r="7" spans="1:11" x14ac:dyDescent="0.3">
      <c r="A7" s="856"/>
      <c r="B7" s="858"/>
      <c r="C7" s="338" t="s">
        <v>183</v>
      </c>
      <c r="D7" s="642" t="s">
        <v>183</v>
      </c>
      <c r="E7" s="339" t="s">
        <v>183</v>
      </c>
      <c r="F7" s="339" t="s">
        <v>183</v>
      </c>
      <c r="G7" s="339" t="s">
        <v>183</v>
      </c>
      <c r="H7" s="338" t="s">
        <v>183</v>
      </c>
      <c r="I7" s="641" t="s">
        <v>183</v>
      </c>
      <c r="J7" s="337" t="s">
        <v>183</v>
      </c>
    </row>
    <row r="8" spans="1:11" x14ac:dyDescent="0.3">
      <c r="A8" s="143" t="s">
        <v>184</v>
      </c>
      <c r="B8" s="149" t="s">
        <v>185</v>
      </c>
      <c r="C8" s="213">
        <f>+'Calculo IP ZDF'!B40</f>
        <v>4534.5330000000004</v>
      </c>
      <c r="D8" s="213">
        <f>+'Calculo IP ZDF'!H40</f>
        <v>4960.2168499999998</v>
      </c>
      <c r="E8" s="667">
        <f>+'Calculo IP ZDF'!O40</f>
        <v>4960.2168499999998</v>
      </c>
      <c r="F8" s="221">
        <f>+'Calculo IP ZDF'!P40</f>
        <v>4679.9176969999999</v>
      </c>
      <c r="G8" s="220">
        <f>+'Calculo IP ZDF'!J40</f>
        <v>5669.3341340000006</v>
      </c>
      <c r="H8" s="677">
        <f>+'GAS CTE'!E9</f>
        <v>5252.3104999999996</v>
      </c>
      <c r="I8" s="198">
        <f>+'GAS CTE'!E9</f>
        <v>5252.3104999999996</v>
      </c>
      <c r="J8" s="223">
        <f>+BIODIESEL!G9</f>
        <v>5145.3689999999997</v>
      </c>
    </row>
    <row r="9" spans="1:11" x14ac:dyDescent="0.3">
      <c r="A9" s="143" t="s">
        <v>186</v>
      </c>
      <c r="B9" s="149" t="s">
        <v>187</v>
      </c>
      <c r="C9" s="199" t="str">
        <f t="shared" ref="C9:C12" si="0">+E9</f>
        <v>------------------</v>
      </c>
      <c r="D9" s="676" t="s">
        <v>188</v>
      </c>
      <c r="E9" s="668" t="s">
        <v>188</v>
      </c>
      <c r="F9" s="200" t="s">
        <v>188</v>
      </c>
      <c r="G9" s="146" t="s">
        <v>188</v>
      </c>
      <c r="H9" s="677">
        <f>+'GAS CTE'!E10</f>
        <v>556.9375</v>
      </c>
      <c r="I9" s="198">
        <f>+'GAS CTE'!E10</f>
        <v>556.9375</v>
      </c>
      <c r="J9" s="224">
        <f>+BIODIESEL!G10</f>
        <v>533.06399999999996</v>
      </c>
    </row>
    <row r="10" spans="1:11" x14ac:dyDescent="0.3">
      <c r="A10" s="143"/>
      <c r="B10" s="149" t="s">
        <v>132</v>
      </c>
      <c r="C10" s="199" t="str">
        <f>+E10</f>
        <v>------------------</v>
      </c>
      <c r="D10" s="676" t="s">
        <v>188</v>
      </c>
      <c r="E10" s="668" t="s">
        <v>188</v>
      </c>
      <c r="F10" s="200" t="s">
        <v>188</v>
      </c>
      <c r="G10" s="146" t="s">
        <v>188</v>
      </c>
      <c r="H10" s="678" t="str">
        <f>+COMBUSTIBLES!B12</f>
        <v>(3)</v>
      </c>
      <c r="I10" s="214" t="s">
        <v>133</v>
      </c>
      <c r="J10" s="224" t="str">
        <f>+BIODIESEL!H11</f>
        <v>(3)</v>
      </c>
    </row>
    <row r="11" spans="1:11" x14ac:dyDescent="0.3">
      <c r="A11" s="143"/>
      <c r="B11" s="149" t="s">
        <v>134</v>
      </c>
      <c r="C11" s="199" t="str">
        <f>+VAUPES!C11</f>
        <v>(4)</v>
      </c>
      <c r="D11" s="199" t="str">
        <f>+C11</f>
        <v>(4)</v>
      </c>
      <c r="E11" s="668" t="str">
        <f>+C11</f>
        <v>(4)</v>
      </c>
      <c r="F11" s="200" t="str">
        <f>+C11</f>
        <v>(4)</v>
      </c>
      <c r="G11" s="146" t="str">
        <f>+C11</f>
        <v>(4)</v>
      </c>
      <c r="H11" s="677" t="str">
        <f>+C11</f>
        <v>(4)</v>
      </c>
      <c r="I11" s="198" t="str">
        <f>+C11</f>
        <v>(4)</v>
      </c>
      <c r="J11" s="220" t="str">
        <f>+C11</f>
        <v>(4)</v>
      </c>
    </row>
    <row r="12" spans="1:11" x14ac:dyDescent="0.3">
      <c r="A12" s="143" t="s">
        <v>189</v>
      </c>
      <c r="B12" s="149" t="s">
        <v>292</v>
      </c>
      <c r="C12" s="199" t="str">
        <f t="shared" si="0"/>
        <v>(2)</v>
      </c>
      <c r="D12" s="199" t="str">
        <f>+C12</f>
        <v>(2)</v>
      </c>
      <c r="E12" s="669" t="s">
        <v>217</v>
      </c>
      <c r="F12" s="147" t="s">
        <v>217</v>
      </c>
      <c r="G12" s="146" t="s">
        <v>217</v>
      </c>
      <c r="H12" s="677" t="str">
        <f>+G12</f>
        <v>(2)</v>
      </c>
      <c r="I12" s="198" t="str">
        <f>+C12</f>
        <v>(2)</v>
      </c>
      <c r="J12" s="223" t="s">
        <v>217</v>
      </c>
    </row>
    <row r="13" spans="1:11" x14ac:dyDescent="0.3">
      <c r="A13" s="143" t="s">
        <v>191</v>
      </c>
      <c r="B13" s="149" t="s">
        <v>192</v>
      </c>
      <c r="C13" s="199">
        <f>+RUBROS!AC20</f>
        <v>10.866833607342301</v>
      </c>
      <c r="D13" s="199">
        <f>+C13</f>
        <v>10.866833607342301</v>
      </c>
      <c r="E13" s="669">
        <f>+C13</f>
        <v>10.866833607342301</v>
      </c>
      <c r="F13" s="147">
        <f>+E13</f>
        <v>10.866833607342301</v>
      </c>
      <c r="G13" s="146">
        <f>+F13</f>
        <v>10.866833607342301</v>
      </c>
      <c r="H13" s="677">
        <f>+RUBROS!AA20</f>
        <v>22.249601678692599</v>
      </c>
      <c r="I13" s="198">
        <f>+RUBROS!AD20</f>
        <v>23.500029293035123</v>
      </c>
      <c r="J13" s="223">
        <f>+RUBROS!AD20</f>
        <v>23.500029293035123</v>
      </c>
      <c r="K13" s="473"/>
    </row>
    <row r="14" spans="1:11" x14ac:dyDescent="0.3">
      <c r="A14" s="143" t="s">
        <v>195</v>
      </c>
      <c r="B14" s="218" t="s">
        <v>196</v>
      </c>
      <c r="C14" s="199">
        <f>+RUBROS!AU31</f>
        <v>13.326421256197724</v>
      </c>
      <c r="D14" s="199">
        <f>+C14</f>
        <v>13.326421256197724</v>
      </c>
      <c r="E14" s="669">
        <f>+C14</f>
        <v>13.326421256197724</v>
      </c>
      <c r="F14" s="201">
        <f>+C14</f>
        <v>13.326421256197724</v>
      </c>
      <c r="G14" s="146">
        <f>+C14</f>
        <v>13.326421256197724</v>
      </c>
      <c r="H14" s="677">
        <f>+C14</f>
        <v>13.326421256197724</v>
      </c>
      <c r="I14" s="198">
        <f>+C14</f>
        <v>13.326421256197724</v>
      </c>
      <c r="J14" s="223">
        <f>+C14</f>
        <v>13.326421256197724</v>
      </c>
    </row>
    <row r="15" spans="1:11" hidden="1" x14ac:dyDescent="0.3">
      <c r="A15" s="143"/>
      <c r="B15" s="149" t="s">
        <v>197</v>
      </c>
      <c r="C15" s="199"/>
      <c r="D15" s="643"/>
      <c r="E15" s="670"/>
      <c r="F15" s="203"/>
      <c r="G15" s="146"/>
      <c r="H15" s="677"/>
      <c r="I15" s="649"/>
      <c r="J15" s="225"/>
    </row>
    <row r="16" spans="1:11" x14ac:dyDescent="0.3">
      <c r="A16" s="150" t="s">
        <v>198</v>
      </c>
      <c r="B16" s="180" t="s">
        <v>199</v>
      </c>
      <c r="C16" s="204">
        <f>SUM(C8:C15)</f>
        <v>4558.7262548635408</v>
      </c>
      <c r="D16" s="204">
        <f>SUM(D8:D15)</f>
        <v>4984.4101048635403</v>
      </c>
      <c r="E16" s="671">
        <f t="shared" ref="E16:J16" si="1">SUM(E8:E15)</f>
        <v>4984.4101048635403</v>
      </c>
      <c r="F16" s="205">
        <f t="shared" si="1"/>
        <v>4704.1109518635403</v>
      </c>
      <c r="G16" s="206">
        <f t="shared" si="1"/>
        <v>5693.5273888635411</v>
      </c>
      <c r="H16" s="677">
        <f t="shared" si="1"/>
        <v>5844.8240229348903</v>
      </c>
      <c r="I16" s="207">
        <f t="shared" si="1"/>
        <v>5846.074450549233</v>
      </c>
      <c r="J16" s="226">
        <f t="shared" si="1"/>
        <v>5715.2594505492334</v>
      </c>
    </row>
    <row r="17" spans="1:13" x14ac:dyDescent="0.3">
      <c r="A17" s="143" t="s">
        <v>200</v>
      </c>
      <c r="B17" s="149" t="s">
        <v>201</v>
      </c>
      <c r="C17" s="199" t="s">
        <v>232</v>
      </c>
      <c r="D17" s="644" t="s">
        <v>232</v>
      </c>
      <c r="E17" s="672" t="str">
        <f>+C17</f>
        <v>***</v>
      </c>
      <c r="F17" s="208" t="str">
        <f>+C17</f>
        <v>***</v>
      </c>
      <c r="G17" s="146" t="str">
        <f>+C17</f>
        <v>***</v>
      </c>
      <c r="H17" s="677" t="str">
        <f>+J17</f>
        <v>***</v>
      </c>
      <c r="I17" s="650" t="s">
        <v>232</v>
      </c>
      <c r="J17" s="227" t="s">
        <v>232</v>
      </c>
    </row>
    <row r="18" spans="1:13" x14ac:dyDescent="0.3">
      <c r="A18" s="143" t="s">
        <v>202</v>
      </c>
      <c r="B18" s="149" t="s">
        <v>203</v>
      </c>
      <c r="C18" s="199" t="str">
        <f>+E18</f>
        <v>**</v>
      </c>
      <c r="D18" s="199" t="s">
        <v>230</v>
      </c>
      <c r="E18" s="669" t="s">
        <v>230</v>
      </c>
      <c r="F18" s="209" t="s">
        <v>230</v>
      </c>
      <c r="G18" s="146" t="s">
        <v>230</v>
      </c>
      <c r="H18" s="677" t="str">
        <f>+J18</f>
        <v>**</v>
      </c>
      <c r="I18" s="201" t="s">
        <v>230</v>
      </c>
      <c r="J18" s="220" t="s">
        <v>230</v>
      </c>
    </row>
    <row r="19" spans="1:13" x14ac:dyDescent="0.3">
      <c r="A19" s="143" t="s">
        <v>204</v>
      </c>
      <c r="B19" s="149" t="s">
        <v>205</v>
      </c>
      <c r="C19" s="199" t="str">
        <f>+E19</f>
        <v>****</v>
      </c>
      <c r="D19" s="199" t="s">
        <v>234</v>
      </c>
      <c r="E19" s="669" t="s">
        <v>234</v>
      </c>
      <c r="F19" s="147" t="str">
        <f>+E19</f>
        <v>****</v>
      </c>
      <c r="G19" s="146" t="str">
        <f>+F19</f>
        <v>****</v>
      </c>
      <c r="H19" s="677" t="str">
        <f>+G19</f>
        <v>****</v>
      </c>
      <c r="I19" s="201" t="s">
        <v>234</v>
      </c>
      <c r="J19" s="223" t="str">
        <f>+G19</f>
        <v>****</v>
      </c>
    </row>
    <row r="20" spans="1:13" x14ac:dyDescent="0.3">
      <c r="A20" s="150" t="s">
        <v>206</v>
      </c>
      <c r="B20" s="180" t="s">
        <v>207</v>
      </c>
      <c r="C20" s="204">
        <f t="shared" ref="C20:J20" si="2">+C16</f>
        <v>4558.7262548635408</v>
      </c>
      <c r="D20" s="673">
        <f t="shared" si="2"/>
        <v>4984.4101048635403</v>
      </c>
      <c r="E20" s="673">
        <f t="shared" si="2"/>
        <v>4984.4101048635403</v>
      </c>
      <c r="F20" s="204">
        <f t="shared" si="2"/>
        <v>4704.1109518635403</v>
      </c>
      <c r="G20" s="222">
        <f t="shared" si="2"/>
        <v>5693.5273888635411</v>
      </c>
      <c r="H20" s="679">
        <f t="shared" si="2"/>
        <v>5844.8240229348903</v>
      </c>
      <c r="I20" s="204">
        <f t="shared" si="2"/>
        <v>5846.074450549233</v>
      </c>
      <c r="J20" s="222">
        <f t="shared" si="2"/>
        <v>5715.2594505492334</v>
      </c>
      <c r="M20" s="19"/>
    </row>
    <row r="21" spans="1:13" x14ac:dyDescent="0.3">
      <c r="A21" s="143" t="s">
        <v>208</v>
      </c>
      <c r="B21" s="149" t="s">
        <v>160</v>
      </c>
      <c r="C21" s="199" t="s">
        <v>232</v>
      </c>
      <c r="D21" s="199" t="s">
        <v>232</v>
      </c>
      <c r="E21" s="669" t="str">
        <f>+C21</f>
        <v>***</v>
      </c>
      <c r="F21" s="147" t="str">
        <f>+E21</f>
        <v>***</v>
      </c>
      <c r="G21" s="146" t="str">
        <f>+F21</f>
        <v>***</v>
      </c>
      <c r="H21" s="677" t="str">
        <f>+E21</f>
        <v>***</v>
      </c>
      <c r="I21" s="201" t="str">
        <f>+D21</f>
        <v>***</v>
      </c>
      <c r="J21" s="223" t="s">
        <v>232</v>
      </c>
    </row>
    <row r="22" spans="1:13" x14ac:dyDescent="0.3">
      <c r="A22" s="143" t="s">
        <v>209</v>
      </c>
      <c r="B22" s="144" t="s">
        <v>210</v>
      </c>
      <c r="C22" s="199" t="str">
        <f>+E22</f>
        <v>*****</v>
      </c>
      <c r="D22" s="199" t="s">
        <v>236</v>
      </c>
      <c r="E22" s="669" t="s">
        <v>236</v>
      </c>
      <c r="F22" s="147" t="s">
        <v>254</v>
      </c>
      <c r="G22" s="146" t="s">
        <v>211</v>
      </c>
      <c r="H22" s="677" t="str">
        <f>+E22</f>
        <v>*****</v>
      </c>
      <c r="I22" s="201" t="str">
        <f>+D22</f>
        <v>*****</v>
      </c>
      <c r="J22" s="223" t="s">
        <v>255</v>
      </c>
    </row>
    <row r="23" spans="1:13" x14ac:dyDescent="0.3">
      <c r="A23" s="143" t="s">
        <v>212</v>
      </c>
      <c r="B23" s="149" t="s">
        <v>297</v>
      </c>
      <c r="C23" s="199" t="str">
        <f>+E23</f>
        <v>******</v>
      </c>
      <c r="D23" s="199" t="s">
        <v>237</v>
      </c>
      <c r="E23" s="669" t="s">
        <v>237</v>
      </c>
      <c r="F23" s="209" t="str">
        <f>+E23</f>
        <v>******</v>
      </c>
      <c r="G23" s="148" t="str">
        <f>+F23</f>
        <v>******</v>
      </c>
      <c r="H23" s="677" t="str">
        <f>+G23</f>
        <v>******</v>
      </c>
      <c r="I23" s="201" t="str">
        <f>+D23</f>
        <v>******</v>
      </c>
      <c r="J23" s="220" t="str">
        <f>+H23</f>
        <v>******</v>
      </c>
    </row>
    <row r="24" spans="1:13" ht="15" thickBot="1" x14ac:dyDescent="0.35">
      <c r="A24" s="154" t="s">
        <v>214</v>
      </c>
      <c r="B24" s="155" t="s">
        <v>215</v>
      </c>
      <c r="C24" s="210"/>
      <c r="D24" s="210"/>
      <c r="E24" s="675"/>
      <c r="F24" s="211"/>
      <c r="G24" s="157"/>
      <c r="H24" s="211"/>
      <c r="I24" s="211"/>
      <c r="J24" s="228"/>
    </row>
    <row r="25" spans="1:13" ht="15" thickTop="1" x14ac:dyDescent="0.3"/>
    <row r="26" spans="1:13" ht="15" thickBot="1" x14ac:dyDescent="0.35"/>
    <row r="27" spans="1:13" ht="15" thickTop="1" x14ac:dyDescent="0.3">
      <c r="A27" s="195"/>
      <c r="B27" s="196" t="s">
        <v>506</v>
      </c>
      <c r="C27" s="863" t="s">
        <v>180</v>
      </c>
      <c r="D27" s="864"/>
      <c r="E27" s="864"/>
      <c r="F27" s="864"/>
      <c r="G27" s="865"/>
      <c r="H27" s="869" t="s">
        <v>250</v>
      </c>
      <c r="I27" s="895"/>
      <c r="J27" s="870"/>
    </row>
    <row r="28" spans="1:13" x14ac:dyDescent="0.3">
      <c r="A28" s="140"/>
      <c r="B28" s="197" t="s">
        <v>335</v>
      </c>
      <c r="C28" s="866"/>
      <c r="D28" s="867"/>
      <c r="E28" s="867"/>
      <c r="F28" s="867"/>
      <c r="G28" s="868"/>
      <c r="H28" s="871"/>
      <c r="I28" s="896"/>
      <c r="J28" s="872"/>
    </row>
    <row r="29" spans="1:13" ht="27.6" x14ac:dyDescent="0.3">
      <c r="A29" s="855" t="s">
        <v>181</v>
      </c>
      <c r="B29" s="857" t="s">
        <v>182</v>
      </c>
      <c r="C29" s="840" t="s">
        <v>241</v>
      </c>
      <c r="D29" s="642" t="s">
        <v>96</v>
      </c>
      <c r="E29" s="339" t="s">
        <v>96</v>
      </c>
      <c r="F29" s="339" t="s">
        <v>502</v>
      </c>
      <c r="G29" s="339"/>
      <c r="H29" s="339" t="s">
        <v>96</v>
      </c>
      <c r="I29" s="642" t="s">
        <v>96</v>
      </c>
      <c r="J29" s="337" t="str">
        <f>+F29</f>
        <v xml:space="preserve">Biodiesel B5 con destino a mezcla </v>
      </c>
    </row>
    <row r="30" spans="1:13" x14ac:dyDescent="0.3">
      <c r="A30" s="855"/>
      <c r="B30" s="857"/>
      <c r="C30" s="841"/>
      <c r="D30" s="576" t="s">
        <v>501</v>
      </c>
      <c r="E30" s="576" t="s">
        <v>501</v>
      </c>
      <c r="F30" s="189">
        <v>0.05</v>
      </c>
      <c r="G30" s="395"/>
      <c r="H30" s="554" t="str">
        <f>+E30</f>
        <v>Oxigenada 5%</v>
      </c>
      <c r="I30" s="576" t="s">
        <v>501</v>
      </c>
      <c r="J30" s="172">
        <f>+F30</f>
        <v>0.05</v>
      </c>
    </row>
    <row r="31" spans="1:13" x14ac:dyDescent="0.3">
      <c r="A31" s="856"/>
      <c r="B31" s="858"/>
      <c r="C31" s="338" t="s">
        <v>183</v>
      </c>
      <c r="D31" s="642" t="s">
        <v>183</v>
      </c>
      <c r="E31" s="339" t="s">
        <v>183</v>
      </c>
      <c r="F31" s="339" t="s">
        <v>183</v>
      </c>
      <c r="G31" s="339" t="s">
        <v>183</v>
      </c>
      <c r="H31" s="338" t="s">
        <v>183</v>
      </c>
      <c r="I31" s="642" t="s">
        <v>183</v>
      </c>
      <c r="J31" s="337" t="s">
        <v>183</v>
      </c>
    </row>
    <row r="32" spans="1:13" x14ac:dyDescent="0.3">
      <c r="A32" s="143" t="s">
        <v>184</v>
      </c>
      <c r="B32" s="149" t="s">
        <v>185</v>
      </c>
      <c r="C32" s="213">
        <f>+'Calculo IP ZDF'!B41</f>
        <v>4633.7939999999999</v>
      </c>
      <c r="D32" s="213">
        <f>+'Calculo IP ZDF'!H41</f>
        <v>5054.5147999999999</v>
      </c>
      <c r="E32" s="667">
        <f>+'Calculo IP ZDF'!O41</f>
        <v>5054.5147999999999</v>
      </c>
      <c r="F32" s="221">
        <f>+'Calculo IP ZDF'!P41</f>
        <v>4826.8605144999992</v>
      </c>
      <c r="G32" s="220">
        <f>+'Calculo IP ZDF'!J41</f>
        <v>5808.5431189999999</v>
      </c>
      <c r="H32" s="677">
        <f>+'GAS CTE'!E9</f>
        <v>5252.3104999999996</v>
      </c>
      <c r="I32" s="198">
        <f>+'GAS CTE'!E9</f>
        <v>5252.3104999999996</v>
      </c>
      <c r="J32" s="223">
        <f>+J8</f>
        <v>5145.3689999999997</v>
      </c>
    </row>
    <row r="33" spans="1:10" x14ac:dyDescent="0.3">
      <c r="A33" s="143" t="s">
        <v>186</v>
      </c>
      <c r="B33" s="149" t="s">
        <v>187</v>
      </c>
      <c r="C33" s="213" t="str">
        <f t="shared" ref="C33:J39" si="3">+C9</f>
        <v>------------------</v>
      </c>
      <c r="D33" s="213" t="str">
        <f t="shared" ref="D33" si="4">+D9</f>
        <v>------------------</v>
      </c>
      <c r="E33" s="667" t="str">
        <f t="shared" si="3"/>
        <v>------------------</v>
      </c>
      <c r="F33" s="221" t="str">
        <f t="shared" si="3"/>
        <v>------------------</v>
      </c>
      <c r="G33" s="220" t="str">
        <f t="shared" si="3"/>
        <v>------------------</v>
      </c>
      <c r="H33" s="677">
        <f>+'GAS CTE'!E10</f>
        <v>556.9375</v>
      </c>
      <c r="I33" s="198">
        <f>+'GAS CTE'!E10</f>
        <v>556.9375</v>
      </c>
      <c r="J33" s="223">
        <f t="shared" si="3"/>
        <v>533.06399999999996</v>
      </c>
    </row>
    <row r="34" spans="1:10" x14ac:dyDescent="0.3">
      <c r="A34" s="143"/>
      <c r="B34" s="149" t="s">
        <v>132</v>
      </c>
      <c r="C34" s="213" t="str">
        <f t="shared" si="3"/>
        <v>------------------</v>
      </c>
      <c r="D34" s="213" t="str">
        <f t="shared" ref="D34" si="5">+D10</f>
        <v>------------------</v>
      </c>
      <c r="E34" s="667" t="str">
        <f t="shared" si="3"/>
        <v>------------------</v>
      </c>
      <c r="F34" s="221" t="str">
        <f t="shared" si="3"/>
        <v>------------------</v>
      </c>
      <c r="G34" s="220" t="str">
        <f t="shared" si="3"/>
        <v>------------------</v>
      </c>
      <c r="H34" s="677" t="str">
        <f t="shared" si="3"/>
        <v>(3)</v>
      </c>
      <c r="I34" s="223" t="str">
        <f t="shared" ref="I34" si="6">+I10</f>
        <v>(3)</v>
      </c>
      <c r="J34" s="223" t="str">
        <f t="shared" si="3"/>
        <v>(3)</v>
      </c>
    </row>
    <row r="35" spans="1:10" x14ac:dyDescent="0.3">
      <c r="A35" s="143"/>
      <c r="B35" s="149" t="s">
        <v>134</v>
      </c>
      <c r="C35" s="731" t="str">
        <f t="shared" si="3"/>
        <v>(4)</v>
      </c>
      <c r="D35" s="731" t="str">
        <f t="shared" ref="D35" si="7">+D11</f>
        <v>(4)</v>
      </c>
      <c r="E35" s="667" t="str">
        <f t="shared" si="3"/>
        <v>(4)</v>
      </c>
      <c r="F35" s="221" t="str">
        <f t="shared" si="3"/>
        <v>(4)</v>
      </c>
      <c r="G35" s="220" t="str">
        <f t="shared" si="3"/>
        <v>(4)</v>
      </c>
      <c r="H35" s="677" t="str">
        <f t="shared" si="3"/>
        <v>(4)</v>
      </c>
      <c r="I35" s="223" t="str">
        <f t="shared" ref="I35" si="8">+I11</f>
        <v>(4)</v>
      </c>
      <c r="J35" s="223" t="str">
        <f t="shared" si="3"/>
        <v>(4)</v>
      </c>
    </row>
    <row r="36" spans="1:10" x14ac:dyDescent="0.3">
      <c r="A36" s="143" t="s">
        <v>189</v>
      </c>
      <c r="B36" s="149" t="s">
        <v>292</v>
      </c>
      <c r="C36" s="731" t="str">
        <f t="shared" si="3"/>
        <v>(2)</v>
      </c>
      <c r="D36" s="731" t="str">
        <f t="shared" ref="D36" si="9">+D12</f>
        <v>(2)</v>
      </c>
      <c r="E36" s="667" t="str">
        <f t="shared" si="3"/>
        <v>(2)</v>
      </c>
      <c r="F36" s="221" t="str">
        <f t="shared" si="3"/>
        <v>(2)</v>
      </c>
      <c r="G36" s="220" t="str">
        <f t="shared" si="3"/>
        <v>(2)</v>
      </c>
      <c r="H36" s="677" t="str">
        <f t="shared" si="3"/>
        <v>(2)</v>
      </c>
      <c r="I36" s="223" t="str">
        <f t="shared" ref="I36" si="10">+I12</f>
        <v>(2)</v>
      </c>
      <c r="J36" s="223" t="str">
        <f t="shared" si="3"/>
        <v>(2)</v>
      </c>
    </row>
    <row r="37" spans="1:10" x14ac:dyDescent="0.3">
      <c r="A37" s="143" t="s">
        <v>191</v>
      </c>
      <c r="B37" s="149" t="s">
        <v>192</v>
      </c>
      <c r="C37" s="213">
        <f t="shared" si="3"/>
        <v>10.866833607342301</v>
      </c>
      <c r="D37" s="213">
        <f t="shared" ref="D37" si="11">+D13</f>
        <v>10.866833607342301</v>
      </c>
      <c r="E37" s="667">
        <f t="shared" si="3"/>
        <v>10.866833607342301</v>
      </c>
      <c r="F37" s="221">
        <f t="shared" si="3"/>
        <v>10.866833607342301</v>
      </c>
      <c r="G37" s="220">
        <f t="shared" si="3"/>
        <v>10.866833607342301</v>
      </c>
      <c r="H37" s="677">
        <f t="shared" si="3"/>
        <v>22.249601678692599</v>
      </c>
      <c r="I37" s="223">
        <f t="shared" ref="I37" si="12">+I13</f>
        <v>23.500029293035123</v>
      </c>
      <c r="J37" s="223">
        <f t="shared" si="3"/>
        <v>23.500029293035123</v>
      </c>
    </row>
    <row r="38" spans="1:10" x14ac:dyDescent="0.3">
      <c r="A38" s="143" t="s">
        <v>195</v>
      </c>
      <c r="B38" s="218" t="s">
        <v>196</v>
      </c>
      <c r="C38" s="213">
        <f t="shared" si="3"/>
        <v>13.326421256197724</v>
      </c>
      <c r="D38" s="213">
        <f t="shared" ref="D38" si="13">+D14</f>
        <v>13.326421256197724</v>
      </c>
      <c r="E38" s="667">
        <f t="shared" si="3"/>
        <v>13.326421256197724</v>
      </c>
      <c r="F38" s="221">
        <f t="shared" si="3"/>
        <v>13.326421256197724</v>
      </c>
      <c r="G38" s="220">
        <f t="shared" si="3"/>
        <v>13.326421256197724</v>
      </c>
      <c r="H38" s="677">
        <f t="shared" si="3"/>
        <v>13.326421256197724</v>
      </c>
      <c r="I38" s="223">
        <f t="shared" ref="I38" si="14">+I14</f>
        <v>13.326421256197724</v>
      </c>
      <c r="J38" s="223">
        <f t="shared" si="3"/>
        <v>13.326421256197724</v>
      </c>
    </row>
    <row r="39" spans="1:10" hidden="1" x14ac:dyDescent="0.3">
      <c r="A39" s="143"/>
      <c r="B39" s="149" t="s">
        <v>197</v>
      </c>
      <c r="C39" s="213">
        <f t="shared" si="3"/>
        <v>0</v>
      </c>
      <c r="D39" s="213">
        <f t="shared" ref="D39" si="15">+D15</f>
        <v>0</v>
      </c>
      <c r="E39" s="667">
        <f t="shared" si="3"/>
        <v>0</v>
      </c>
      <c r="F39" s="221">
        <f t="shared" si="3"/>
        <v>0</v>
      </c>
      <c r="G39" s="220">
        <f t="shared" si="3"/>
        <v>0</v>
      </c>
      <c r="H39" s="677">
        <f t="shared" si="3"/>
        <v>0</v>
      </c>
      <c r="I39" s="198"/>
      <c r="J39" s="223">
        <f t="shared" si="3"/>
        <v>0</v>
      </c>
    </row>
    <row r="40" spans="1:10" x14ac:dyDescent="0.3">
      <c r="A40" s="150" t="s">
        <v>198</v>
      </c>
      <c r="B40" s="180" t="s">
        <v>199</v>
      </c>
      <c r="C40" s="204">
        <f>SUM(C32:C39)</f>
        <v>4657.9872548635403</v>
      </c>
      <c r="D40" s="671">
        <f t="shared" ref="D40:J40" si="16">SUM(D32:D39)</f>
        <v>5078.7080548635404</v>
      </c>
      <c r="E40" s="671">
        <f t="shared" si="16"/>
        <v>5078.7080548635404</v>
      </c>
      <c r="F40" s="205">
        <f t="shared" si="16"/>
        <v>4851.0537693635397</v>
      </c>
      <c r="G40" s="206">
        <f t="shared" si="16"/>
        <v>5832.7363738635404</v>
      </c>
      <c r="H40" s="677">
        <f t="shared" si="16"/>
        <v>5844.8240229348903</v>
      </c>
      <c r="I40" s="677">
        <f t="shared" si="16"/>
        <v>5846.074450549233</v>
      </c>
      <c r="J40" s="226">
        <f t="shared" si="16"/>
        <v>5715.2594505492334</v>
      </c>
    </row>
    <row r="41" spans="1:10" x14ac:dyDescent="0.3">
      <c r="A41" s="143" t="s">
        <v>200</v>
      </c>
      <c r="B41" s="149" t="s">
        <v>201</v>
      </c>
      <c r="C41" s="199" t="s">
        <v>232</v>
      </c>
      <c r="D41" s="644" t="s">
        <v>232</v>
      </c>
      <c r="E41" s="672" t="str">
        <f>+C41</f>
        <v>***</v>
      </c>
      <c r="F41" s="208" t="str">
        <f>+C41</f>
        <v>***</v>
      </c>
      <c r="G41" s="146" t="str">
        <f>+C41</f>
        <v>***</v>
      </c>
      <c r="H41" s="677" t="str">
        <f>+J41</f>
        <v>***</v>
      </c>
      <c r="I41" s="650" t="s">
        <v>232</v>
      </c>
      <c r="J41" s="227" t="s">
        <v>232</v>
      </c>
    </row>
    <row r="42" spans="1:10" x14ac:dyDescent="0.3">
      <c r="A42" s="143" t="s">
        <v>202</v>
      </c>
      <c r="B42" s="149" t="s">
        <v>203</v>
      </c>
      <c r="C42" s="199" t="str">
        <f>+E42</f>
        <v>**</v>
      </c>
      <c r="D42" s="199" t="s">
        <v>230</v>
      </c>
      <c r="E42" s="669" t="s">
        <v>230</v>
      </c>
      <c r="F42" s="209" t="s">
        <v>230</v>
      </c>
      <c r="G42" s="146" t="s">
        <v>230</v>
      </c>
      <c r="H42" s="677" t="str">
        <f>+J42</f>
        <v>**</v>
      </c>
      <c r="I42" s="201" t="s">
        <v>230</v>
      </c>
      <c r="J42" s="220" t="s">
        <v>230</v>
      </c>
    </row>
    <row r="43" spans="1:10" x14ac:dyDescent="0.3">
      <c r="A43" s="143" t="s">
        <v>204</v>
      </c>
      <c r="B43" s="149" t="s">
        <v>205</v>
      </c>
      <c r="C43" s="199" t="str">
        <f>+E43</f>
        <v>****</v>
      </c>
      <c r="D43" s="199" t="s">
        <v>234</v>
      </c>
      <c r="E43" s="669" t="s">
        <v>234</v>
      </c>
      <c r="F43" s="147" t="str">
        <f>+E43</f>
        <v>****</v>
      </c>
      <c r="G43" s="146" t="str">
        <f>+F43</f>
        <v>****</v>
      </c>
      <c r="H43" s="677" t="str">
        <f>+G43</f>
        <v>****</v>
      </c>
      <c r="I43" s="201" t="s">
        <v>234</v>
      </c>
      <c r="J43" s="223" t="str">
        <f>+G43</f>
        <v>****</v>
      </c>
    </row>
    <row r="44" spans="1:10" x14ac:dyDescent="0.3">
      <c r="A44" s="150" t="s">
        <v>206</v>
      </c>
      <c r="B44" s="180" t="s">
        <v>207</v>
      </c>
      <c r="C44" s="204">
        <f t="shared" ref="C44:J44" si="17">+C40</f>
        <v>4657.9872548635403</v>
      </c>
      <c r="D44" s="673">
        <f t="shared" si="17"/>
        <v>5078.7080548635404</v>
      </c>
      <c r="E44" s="673">
        <f t="shared" si="17"/>
        <v>5078.7080548635404</v>
      </c>
      <c r="F44" s="204">
        <f t="shared" si="17"/>
        <v>4851.0537693635397</v>
      </c>
      <c r="G44" s="222">
        <f t="shared" si="17"/>
        <v>5832.7363738635404</v>
      </c>
      <c r="H44" s="679">
        <f t="shared" si="17"/>
        <v>5844.8240229348903</v>
      </c>
      <c r="I44" s="679">
        <f t="shared" si="17"/>
        <v>5846.074450549233</v>
      </c>
      <c r="J44" s="222">
        <f t="shared" si="17"/>
        <v>5715.2594505492334</v>
      </c>
    </row>
    <row r="45" spans="1:10" x14ac:dyDescent="0.3">
      <c r="A45" s="143" t="s">
        <v>208</v>
      </c>
      <c r="B45" s="149" t="s">
        <v>160</v>
      </c>
      <c r="C45" s="199" t="s">
        <v>232</v>
      </c>
      <c r="D45" s="199" t="s">
        <v>232</v>
      </c>
      <c r="E45" s="669" t="str">
        <f>+C45</f>
        <v>***</v>
      </c>
      <c r="F45" s="147" t="str">
        <f>+E45</f>
        <v>***</v>
      </c>
      <c r="G45" s="146" t="str">
        <f>+F45</f>
        <v>***</v>
      </c>
      <c r="H45" s="677" t="str">
        <f>+E45</f>
        <v>***</v>
      </c>
      <c r="I45" s="201" t="str">
        <f>+D45</f>
        <v>***</v>
      </c>
      <c r="J45" s="223" t="s">
        <v>232</v>
      </c>
    </row>
    <row r="46" spans="1:10" x14ac:dyDescent="0.3">
      <c r="A46" s="143" t="s">
        <v>209</v>
      </c>
      <c r="B46" s="144" t="s">
        <v>210</v>
      </c>
      <c r="C46" s="199" t="str">
        <f>+E46</f>
        <v>*****</v>
      </c>
      <c r="D46" s="199" t="s">
        <v>236</v>
      </c>
      <c r="E46" s="669" t="s">
        <v>236</v>
      </c>
      <c r="F46" s="147" t="s">
        <v>254</v>
      </c>
      <c r="G46" s="146" t="s">
        <v>211</v>
      </c>
      <c r="H46" s="677" t="str">
        <f>+E46</f>
        <v>*****</v>
      </c>
      <c r="I46" s="201" t="str">
        <f>+D46</f>
        <v>*****</v>
      </c>
      <c r="J46" s="223" t="s">
        <v>255</v>
      </c>
    </row>
    <row r="47" spans="1:10" x14ac:dyDescent="0.3">
      <c r="A47" s="143" t="s">
        <v>212</v>
      </c>
      <c r="B47" s="149" t="s">
        <v>297</v>
      </c>
      <c r="C47" s="199" t="str">
        <f>+E47</f>
        <v>******</v>
      </c>
      <c r="D47" s="199" t="s">
        <v>237</v>
      </c>
      <c r="E47" s="669" t="s">
        <v>237</v>
      </c>
      <c r="F47" s="209" t="str">
        <f>+E47</f>
        <v>******</v>
      </c>
      <c r="G47" s="148" t="str">
        <f>+F47</f>
        <v>******</v>
      </c>
      <c r="H47" s="677" t="str">
        <f>+E47</f>
        <v>******</v>
      </c>
      <c r="I47" s="201" t="str">
        <f>+D47</f>
        <v>******</v>
      </c>
      <c r="J47" s="220" t="str">
        <f>+H47</f>
        <v>******</v>
      </c>
    </row>
    <row r="48" spans="1:10" ht="15" thickBot="1" x14ac:dyDescent="0.35">
      <c r="A48" s="154" t="s">
        <v>214</v>
      </c>
      <c r="B48" s="155" t="s">
        <v>215</v>
      </c>
      <c r="C48" s="210"/>
      <c r="D48" s="210"/>
      <c r="E48" s="158"/>
      <c r="F48" s="211"/>
      <c r="G48" s="157"/>
      <c r="H48" s="211"/>
      <c r="I48" s="211"/>
      <c r="J48" s="228"/>
    </row>
    <row r="49" spans="1:18" ht="15" thickTop="1" x14ac:dyDescent="0.3"/>
    <row r="51" spans="1:18" x14ac:dyDescent="0.3">
      <c r="A51" s="162"/>
      <c r="B51" s="266" t="s">
        <v>228</v>
      </c>
      <c r="C51" s="215"/>
      <c r="D51" s="215"/>
      <c r="E51" s="215"/>
      <c r="F51" s="215"/>
      <c r="G51" s="215"/>
      <c r="H51" s="194"/>
      <c r="I51" s="194"/>
      <c r="J51" s="194"/>
      <c r="K51" s="194"/>
      <c r="L51" s="194"/>
      <c r="M51" s="194"/>
      <c r="N51" s="194"/>
      <c r="O51" s="194"/>
      <c r="P51" s="194"/>
      <c r="Q51" s="194"/>
      <c r="R51" s="194"/>
    </row>
    <row r="52" spans="1:18" x14ac:dyDescent="0.3">
      <c r="A52" s="162"/>
      <c r="B52" s="184"/>
      <c r="C52" s="215"/>
      <c r="D52" s="215"/>
      <c r="E52" s="215"/>
      <c r="F52" s="215"/>
      <c r="G52" s="215"/>
      <c r="H52" s="194"/>
      <c r="I52" s="194"/>
      <c r="J52" s="194"/>
      <c r="K52" s="194"/>
      <c r="L52" s="194"/>
      <c r="M52" s="194"/>
      <c r="N52" s="194"/>
      <c r="O52" s="194"/>
      <c r="P52" s="194"/>
      <c r="Q52" s="194"/>
      <c r="R52" s="194"/>
    </row>
    <row r="53" spans="1:18" ht="15" customHeight="1" x14ac:dyDescent="0.3">
      <c r="A53" s="162" t="s">
        <v>190</v>
      </c>
      <c r="B53" s="853" t="str">
        <f>+VAUPES!B28</f>
        <v>De acuerdo con lo establecido en la Resolución MME 91349 de 2014</v>
      </c>
      <c r="C53" s="853"/>
      <c r="D53" s="853"/>
      <c r="E53" s="853"/>
      <c r="F53" s="853"/>
      <c r="G53" s="853"/>
      <c r="H53" s="853"/>
      <c r="I53" s="853"/>
      <c r="J53" s="853"/>
      <c r="K53" s="853"/>
      <c r="L53" s="853"/>
      <c r="M53" s="216"/>
      <c r="N53" s="216"/>
      <c r="O53" s="216"/>
      <c r="P53" s="216"/>
      <c r="Q53" s="216"/>
      <c r="R53" s="216"/>
    </row>
    <row r="54" spans="1:18" ht="26.25" customHeight="1" x14ac:dyDescent="0.3">
      <c r="A54" s="162" t="s">
        <v>217</v>
      </c>
      <c r="B54" s="838" t="s">
        <v>271</v>
      </c>
      <c r="C54" s="838"/>
      <c r="D54" s="838"/>
      <c r="E54" s="838"/>
      <c r="F54" s="838"/>
      <c r="G54" s="838"/>
      <c r="H54" s="838"/>
      <c r="I54" s="838"/>
      <c r="J54" s="838"/>
      <c r="K54" s="838"/>
      <c r="L54" s="838"/>
      <c r="M54" s="194"/>
      <c r="N54" s="194"/>
      <c r="O54" s="194"/>
      <c r="P54" s="194"/>
      <c r="Q54" s="194"/>
      <c r="R54" s="194"/>
    </row>
    <row r="55" spans="1:18" ht="54.6" customHeight="1" x14ac:dyDescent="0.3">
      <c r="A55" s="162" t="s">
        <v>133</v>
      </c>
      <c r="B55" s="853" t="s">
        <v>334</v>
      </c>
      <c r="C55" s="853"/>
      <c r="D55" s="853"/>
      <c r="E55" s="853"/>
      <c r="F55" s="853"/>
      <c r="G55" s="853"/>
      <c r="H55" s="853"/>
      <c r="I55" s="853"/>
      <c r="J55" s="853"/>
      <c r="K55" s="853"/>
      <c r="L55" s="853"/>
      <c r="M55" s="194"/>
      <c r="N55" s="194"/>
      <c r="O55" s="194"/>
      <c r="P55" s="194"/>
      <c r="Q55" s="194"/>
      <c r="R55" s="194"/>
    </row>
    <row r="56" spans="1:18" ht="54.6" customHeight="1" x14ac:dyDescent="0.3">
      <c r="A56" s="162" t="s">
        <v>218</v>
      </c>
      <c r="B56" s="852" t="s">
        <v>409</v>
      </c>
      <c r="C56" s="852"/>
      <c r="D56" s="852"/>
      <c r="E56" s="852"/>
      <c r="F56" s="852"/>
      <c r="G56" s="852"/>
      <c r="H56" s="852"/>
      <c r="I56" s="852"/>
      <c r="J56" s="852"/>
      <c r="K56" s="852"/>
      <c r="L56" s="852"/>
      <c r="M56" s="194"/>
      <c r="N56" s="194"/>
      <c r="O56" s="194"/>
      <c r="P56" s="194"/>
      <c r="Q56" s="194"/>
      <c r="R56" s="194"/>
    </row>
    <row r="57" spans="1:18" ht="19.8" customHeight="1" x14ac:dyDescent="0.3">
      <c r="A57" s="162"/>
      <c r="B57" s="910"/>
      <c r="C57" s="910"/>
      <c r="D57" s="910"/>
      <c r="E57" s="910"/>
      <c r="F57" s="910"/>
      <c r="G57" s="910"/>
      <c r="H57" s="910"/>
      <c r="I57" s="910"/>
      <c r="J57" s="910"/>
      <c r="K57" s="910"/>
      <c r="L57" s="910"/>
      <c r="M57" s="194"/>
      <c r="N57" s="194"/>
      <c r="O57" s="194"/>
      <c r="P57" s="194"/>
      <c r="Q57" s="194"/>
      <c r="R57" s="194"/>
    </row>
    <row r="58" spans="1:18" ht="15" customHeight="1" x14ac:dyDescent="0.3">
      <c r="A58" s="185" t="s">
        <v>102</v>
      </c>
      <c r="B58" s="839" t="s">
        <v>229</v>
      </c>
      <c r="C58" s="839"/>
      <c r="D58" s="839"/>
      <c r="E58" s="839"/>
      <c r="F58" s="839"/>
      <c r="G58" s="839"/>
      <c r="H58" s="839"/>
      <c r="I58" s="839"/>
      <c r="J58" s="839"/>
      <c r="K58" s="839"/>
      <c r="L58" s="839"/>
      <c r="M58" s="194"/>
      <c r="N58" s="194"/>
      <c r="O58" s="194"/>
      <c r="P58" s="194"/>
      <c r="Q58" s="194"/>
      <c r="R58" s="194"/>
    </row>
    <row r="59" spans="1:18" ht="15" customHeight="1" x14ac:dyDescent="0.3">
      <c r="A59" s="185" t="s">
        <v>230</v>
      </c>
      <c r="B59" s="853" t="s">
        <v>296</v>
      </c>
      <c r="C59" s="853"/>
      <c r="D59" s="853"/>
      <c r="E59" s="853"/>
      <c r="F59" s="853"/>
      <c r="G59" s="853"/>
      <c r="H59" s="853"/>
      <c r="I59" s="853"/>
      <c r="J59" s="853"/>
      <c r="K59" s="853"/>
      <c r="L59" s="853"/>
      <c r="M59" s="194"/>
      <c r="N59" s="194"/>
      <c r="O59" s="194"/>
      <c r="P59" s="194"/>
      <c r="Q59" s="194"/>
      <c r="R59" s="194"/>
    </row>
    <row r="60" spans="1:18" ht="15" customHeight="1" x14ac:dyDescent="0.3">
      <c r="A60" s="162" t="s">
        <v>232</v>
      </c>
      <c r="B60" s="853" t="s">
        <v>233</v>
      </c>
      <c r="C60" s="853"/>
      <c r="D60" s="853"/>
      <c r="E60" s="853"/>
      <c r="F60" s="853"/>
      <c r="G60" s="853"/>
      <c r="H60" s="853"/>
      <c r="I60" s="853"/>
      <c r="J60" s="853"/>
      <c r="K60" s="162"/>
      <c r="L60" s="839"/>
      <c r="M60" s="839"/>
      <c r="N60" s="839"/>
      <c r="O60" s="839"/>
      <c r="P60" s="839"/>
      <c r="Q60" s="839"/>
      <c r="R60" s="839"/>
    </row>
    <row r="61" spans="1:18" ht="15" customHeight="1" x14ac:dyDescent="0.3">
      <c r="A61" s="162" t="s">
        <v>234</v>
      </c>
      <c r="B61" s="839" t="s">
        <v>472</v>
      </c>
      <c r="C61" s="839"/>
      <c r="D61" s="839"/>
      <c r="E61" s="839"/>
      <c r="F61" s="839"/>
      <c r="G61" s="839"/>
      <c r="H61" s="839"/>
      <c r="I61" s="839"/>
      <c r="J61" s="839"/>
      <c r="K61" s="162"/>
      <c r="L61" s="336"/>
      <c r="M61" s="336"/>
      <c r="N61" s="336"/>
      <c r="O61" s="336"/>
      <c r="P61" s="336"/>
      <c r="Q61" s="336"/>
      <c r="R61" s="336"/>
    </row>
    <row r="62" spans="1:18" x14ac:dyDescent="0.3">
      <c r="A62" s="185" t="s">
        <v>236</v>
      </c>
      <c r="B62" s="853" t="s">
        <v>238</v>
      </c>
      <c r="C62" s="853"/>
      <c r="D62" s="853"/>
      <c r="E62" s="853"/>
      <c r="F62" s="853"/>
      <c r="G62" s="853"/>
      <c r="H62" s="853"/>
      <c r="I62" s="853"/>
      <c r="J62" s="853"/>
      <c r="K62" s="853"/>
      <c r="L62" s="853"/>
      <c r="M62" s="194"/>
      <c r="N62" s="194"/>
      <c r="O62" s="194"/>
      <c r="P62" s="194"/>
      <c r="Q62" s="194"/>
      <c r="R62" s="194"/>
    </row>
    <row r="63" spans="1:18" x14ac:dyDescent="0.3">
      <c r="A63" s="185" t="s">
        <v>237</v>
      </c>
      <c r="B63" s="853" t="s">
        <v>298</v>
      </c>
      <c r="C63" s="853"/>
      <c r="D63" s="853"/>
      <c r="E63" s="853"/>
      <c r="F63" s="853"/>
      <c r="G63" s="853"/>
      <c r="H63" s="853"/>
      <c r="I63" s="853"/>
      <c r="J63" s="853"/>
      <c r="K63" s="853"/>
      <c r="L63" s="853"/>
      <c r="M63" s="194"/>
      <c r="N63" s="194"/>
      <c r="O63" s="194"/>
      <c r="P63" s="194"/>
      <c r="Q63" s="194"/>
      <c r="R63" s="194"/>
    </row>
    <row r="65" spans="1:12" ht="87.9" customHeight="1" x14ac:dyDescent="0.3">
      <c r="A65" s="862" t="s">
        <v>147</v>
      </c>
      <c r="B65" s="862"/>
      <c r="C65" s="862"/>
      <c r="D65" s="862"/>
      <c r="E65" s="862"/>
      <c r="F65" s="862"/>
      <c r="G65" s="862"/>
      <c r="H65" s="862"/>
      <c r="I65" s="862"/>
      <c r="J65" s="862"/>
      <c r="K65" s="862"/>
      <c r="L65" s="862"/>
    </row>
  </sheetData>
  <sheetProtection algorithmName="SHA-512" hashValue="PI4tVG/ZZl+nwxHJO6nEAe6Ydk3wVCt6TvhO3qcVawexPlEBCZDHZBsfnbKiyUaKTSGMMVuT8C8QCfmQYKmY5Q==" saltValue="mzcrEyONgg1eVj9ZKiWH5g==" spinCount="100000" sheet="1" objects="1" scenarios="1"/>
  <mergeCells count="23">
    <mergeCell ref="B61:J61"/>
    <mergeCell ref="B62:L62"/>
    <mergeCell ref="B63:L63"/>
    <mergeCell ref="A65:L65"/>
    <mergeCell ref="B54:L54"/>
    <mergeCell ref="B55:L55"/>
    <mergeCell ref="B58:L58"/>
    <mergeCell ref="B59:L59"/>
    <mergeCell ref="B60:J60"/>
    <mergeCell ref="L60:R60"/>
    <mergeCell ref="B56:L56"/>
    <mergeCell ref="B57:L57"/>
    <mergeCell ref="B53:L53"/>
    <mergeCell ref="C3:G4"/>
    <mergeCell ref="H3:J4"/>
    <mergeCell ref="A5:A7"/>
    <mergeCell ref="B5:B7"/>
    <mergeCell ref="C5:C6"/>
    <mergeCell ref="C27:G28"/>
    <mergeCell ref="H27:J28"/>
    <mergeCell ref="A29:A31"/>
    <mergeCell ref="B29:B31"/>
    <mergeCell ref="C29:C30"/>
  </mergeCells>
  <hyperlinks>
    <hyperlink ref="B51" location="VAUPES!A40" display="Ver Nota Informativa" xr:uid="{00000000-0004-0000-15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J28" sqref="J28"/>
    </sheetView>
  </sheetViews>
  <sheetFormatPr baseColWidth="10" defaultRowHeight="14.4" x14ac:dyDescent="0.3"/>
  <cols>
    <col min="1" max="1" width="65.77734375" customWidth="1"/>
    <col min="2" max="2" width="32.33203125" customWidth="1"/>
    <col min="3" max="3" width="31" customWidth="1"/>
    <col min="4" max="4" width="25.5546875" hidden="1" customWidth="1"/>
    <col min="7" max="8" width="0" hidden="1" customWidth="1"/>
  </cols>
  <sheetData>
    <row r="1" spans="1:7" x14ac:dyDescent="0.3">
      <c r="A1" s="911" t="s">
        <v>299</v>
      </c>
      <c r="B1" s="911"/>
      <c r="C1" s="911"/>
      <c r="D1" s="911"/>
      <c r="E1" s="307">
        <v>2826.91</v>
      </c>
    </row>
    <row r="2" spans="1:7" x14ac:dyDescent="0.3">
      <c r="A2" s="911" t="s">
        <v>300</v>
      </c>
      <c r="B2" s="911"/>
      <c r="C2" s="911"/>
      <c r="D2" s="911"/>
      <c r="E2" s="306"/>
    </row>
    <row r="3" spans="1:7" x14ac:dyDescent="0.3">
      <c r="A3" s="911" t="s">
        <v>301</v>
      </c>
      <c r="B3" s="911"/>
      <c r="C3" s="911"/>
      <c r="D3" s="911"/>
      <c r="E3" s="306"/>
    </row>
    <row r="4" spans="1:7" x14ac:dyDescent="0.3">
      <c r="A4" s="305"/>
      <c r="B4" s="305"/>
      <c r="C4" s="306"/>
      <c r="D4" s="306"/>
      <c r="E4" s="306"/>
    </row>
    <row r="5" spans="1:7" ht="15" thickBot="1" x14ac:dyDescent="0.35">
      <c r="A5" s="308" t="str">
        <f>+AMAZONAS!C1</f>
        <v>Vigencia: 12 de marzo de 2022; 00:00 horas</v>
      </c>
      <c r="B5" s="305"/>
      <c r="D5" s="681" t="s">
        <v>510</v>
      </c>
      <c r="E5" s="306"/>
    </row>
    <row r="6" spans="1:7" ht="15.9" customHeight="1" thickTop="1" x14ac:dyDescent="0.3">
      <c r="A6" s="912" t="s">
        <v>302</v>
      </c>
      <c r="B6" s="914" t="s">
        <v>484</v>
      </c>
      <c r="C6" s="914" t="s">
        <v>485</v>
      </c>
      <c r="D6" s="916" t="s">
        <v>511</v>
      </c>
      <c r="E6" s="306"/>
    </row>
    <row r="7" spans="1:7" ht="31.65" customHeight="1" x14ac:dyDescent="0.3">
      <c r="A7" s="913"/>
      <c r="B7" s="915"/>
      <c r="C7" s="915"/>
      <c r="D7" s="857"/>
      <c r="E7" s="306"/>
    </row>
    <row r="8" spans="1:7" x14ac:dyDescent="0.3">
      <c r="A8" s="317" t="s">
        <v>303</v>
      </c>
      <c r="B8" s="318">
        <f>+BIODIESEL!C6</f>
        <v>4180.45</v>
      </c>
      <c r="C8" s="319">
        <f>+BIODIESEL!E9</f>
        <v>4566.4166000000005</v>
      </c>
      <c r="D8" s="320">
        <f>+BIODIESEL!F9</f>
        <v>4759.4013999999997</v>
      </c>
      <c r="E8" s="306"/>
      <c r="G8" s="426" t="s">
        <v>417</v>
      </c>
    </row>
    <row r="9" spans="1:7" x14ac:dyDescent="0.3">
      <c r="A9" s="317" t="s">
        <v>304</v>
      </c>
      <c r="B9" s="319" t="s">
        <v>133</v>
      </c>
      <c r="C9" s="319" t="s">
        <v>133</v>
      </c>
      <c r="D9" s="320" t="s">
        <v>133</v>
      </c>
      <c r="E9" s="306"/>
    </row>
    <row r="10" spans="1:7" x14ac:dyDescent="0.3">
      <c r="A10" s="317" t="s">
        <v>522</v>
      </c>
      <c r="B10" s="319">
        <f>+BIODIESEL!C12</f>
        <v>191</v>
      </c>
      <c r="C10" s="319">
        <f>+BIODIESEL!E12</f>
        <v>187.18</v>
      </c>
      <c r="D10" s="320">
        <f>+BIODIESEL!F12</f>
        <v>185.26999999999998</v>
      </c>
      <c r="E10" s="306"/>
    </row>
    <row r="11" spans="1:7" x14ac:dyDescent="0.3">
      <c r="A11" s="317" t="s">
        <v>305</v>
      </c>
      <c r="B11" s="321">
        <f>+BIODIESEL!D13</f>
        <v>8.6314000000000011</v>
      </c>
      <c r="C11" s="321">
        <f>+BIODIESEL!E13</f>
        <v>8.6314000000000011</v>
      </c>
      <c r="D11" s="322">
        <f>+C11</f>
        <v>8.6314000000000011</v>
      </c>
      <c r="E11" s="306"/>
    </row>
    <row r="12" spans="1:7" x14ac:dyDescent="0.3">
      <c r="A12" s="323" t="s">
        <v>306</v>
      </c>
      <c r="B12" s="324" t="s">
        <v>129</v>
      </c>
      <c r="C12" s="324" t="s">
        <v>129</v>
      </c>
      <c r="D12" s="325" t="s">
        <v>129</v>
      </c>
      <c r="E12" s="306"/>
    </row>
    <row r="13" spans="1:7" hidden="1" x14ac:dyDescent="0.3">
      <c r="A13" s="326" t="s">
        <v>307</v>
      </c>
      <c r="B13" s="321"/>
      <c r="C13" s="321"/>
      <c r="D13" s="322"/>
      <c r="E13" s="306"/>
    </row>
    <row r="14" spans="1:7" x14ac:dyDescent="0.3">
      <c r="A14" s="323" t="s">
        <v>308</v>
      </c>
      <c r="B14" s="324" t="s">
        <v>190</v>
      </c>
      <c r="C14" s="324" t="s">
        <v>190</v>
      </c>
      <c r="D14" s="325" t="s">
        <v>190</v>
      </c>
      <c r="E14" s="306"/>
    </row>
    <row r="15" spans="1:7" x14ac:dyDescent="0.3">
      <c r="A15" s="323" t="s">
        <v>309</v>
      </c>
      <c r="B15" s="321" t="s">
        <v>144</v>
      </c>
      <c r="C15" s="321" t="s">
        <v>144</v>
      </c>
      <c r="D15" s="322" t="s">
        <v>144</v>
      </c>
      <c r="E15" s="306"/>
    </row>
    <row r="16" spans="1:7" x14ac:dyDescent="0.3">
      <c r="A16" s="323" t="s">
        <v>310</v>
      </c>
      <c r="B16" s="321" t="s">
        <v>136</v>
      </c>
      <c r="C16" s="321" t="s">
        <v>136</v>
      </c>
      <c r="D16" s="322" t="s">
        <v>136</v>
      </c>
      <c r="E16" s="306"/>
    </row>
    <row r="17" spans="1:11" ht="15" thickBot="1" x14ac:dyDescent="0.35">
      <c r="A17" s="327" t="s">
        <v>311</v>
      </c>
      <c r="B17" s="328" t="s">
        <v>217</v>
      </c>
      <c r="C17" s="328" t="s">
        <v>217</v>
      </c>
      <c r="D17" s="329" t="s">
        <v>217</v>
      </c>
      <c r="E17" s="306"/>
    </row>
    <row r="18" spans="1:11" ht="15" thickTop="1" x14ac:dyDescent="0.3">
      <c r="A18" s="316" t="s">
        <v>312</v>
      </c>
      <c r="B18" s="309"/>
      <c r="C18" s="306"/>
      <c r="D18" s="306"/>
      <c r="E18" s="306"/>
    </row>
    <row r="19" spans="1:11" x14ac:dyDescent="0.3">
      <c r="A19" s="310" t="s">
        <v>158</v>
      </c>
      <c r="B19" s="311"/>
      <c r="C19" s="306"/>
      <c r="D19" s="306"/>
      <c r="E19" s="306"/>
    </row>
    <row r="20" spans="1:11" x14ac:dyDescent="0.3">
      <c r="A20" s="266" t="s">
        <v>228</v>
      </c>
      <c r="B20" s="311"/>
      <c r="C20" s="306"/>
      <c r="D20" s="306"/>
      <c r="E20" s="306"/>
    </row>
    <row r="21" spans="1:11" x14ac:dyDescent="0.3">
      <c r="A21" s="312" t="s">
        <v>313</v>
      </c>
      <c r="B21" s="313"/>
      <c r="C21" s="306"/>
      <c r="D21" s="306"/>
      <c r="E21" s="306"/>
    </row>
    <row r="22" spans="1:11" x14ac:dyDescent="0.3">
      <c r="A22" s="312" t="s">
        <v>314</v>
      </c>
      <c r="B22" s="314"/>
      <c r="C22" s="306"/>
      <c r="D22" s="437"/>
      <c r="E22" s="306"/>
    </row>
    <row r="23" spans="1:11" x14ac:dyDescent="0.3">
      <c r="A23" s="312" t="s">
        <v>315</v>
      </c>
      <c r="B23" s="315"/>
      <c r="C23" s="306"/>
      <c r="D23" s="306"/>
      <c r="E23" s="306"/>
    </row>
    <row r="24" spans="1:11" ht="12" customHeight="1" x14ac:dyDescent="0.3">
      <c r="A24" s="312"/>
      <c r="B24" s="315"/>
      <c r="C24" s="306"/>
      <c r="D24" s="306"/>
      <c r="E24" s="306"/>
    </row>
    <row r="25" spans="1:11" x14ac:dyDescent="0.3">
      <c r="A25" s="310" t="s">
        <v>316</v>
      </c>
      <c r="B25" s="310"/>
      <c r="C25" s="306"/>
      <c r="D25" s="306"/>
      <c r="E25" s="306"/>
    </row>
    <row r="26" spans="1:11" x14ac:dyDescent="0.3">
      <c r="A26" s="310" t="s">
        <v>317</v>
      </c>
      <c r="B26" s="310"/>
      <c r="C26" s="306"/>
      <c r="D26" s="306"/>
      <c r="E26" s="306"/>
    </row>
    <row r="27" spans="1:11" x14ac:dyDescent="0.3">
      <c r="A27" s="917" t="s">
        <v>333</v>
      </c>
      <c r="B27" s="917"/>
      <c r="C27" s="917"/>
      <c r="D27" s="917"/>
      <c r="E27" s="917"/>
    </row>
    <row r="28" spans="1:11" ht="41.4" customHeight="1" x14ac:dyDescent="0.3">
      <c r="A28" s="917"/>
      <c r="B28" s="917"/>
      <c r="C28" s="917"/>
      <c r="D28" s="917"/>
      <c r="E28" s="917"/>
    </row>
    <row r="29" spans="1:11" x14ac:dyDescent="0.3">
      <c r="A29" s="898" t="s">
        <v>462</v>
      </c>
      <c r="B29" s="898"/>
      <c r="C29" s="898"/>
      <c r="D29" s="898"/>
      <c r="E29" s="898"/>
      <c r="F29" s="898"/>
      <c r="G29" s="898"/>
      <c r="H29" s="898"/>
    </row>
    <row r="30" spans="1:11" ht="16.8" customHeight="1" x14ac:dyDescent="0.3">
      <c r="A30" s="910"/>
      <c r="B30" s="910"/>
      <c r="C30" s="910"/>
      <c r="D30" s="910"/>
      <c r="E30" s="910"/>
      <c r="F30" s="730"/>
      <c r="G30" s="730"/>
      <c r="H30" s="730"/>
      <c r="I30" s="730"/>
      <c r="J30" s="730"/>
      <c r="K30" s="730"/>
    </row>
    <row r="31" spans="1:11" ht="90" customHeight="1" x14ac:dyDescent="0.3">
      <c r="A31" s="800" t="s">
        <v>147</v>
      </c>
      <c r="B31" s="800"/>
      <c r="C31" s="800"/>
      <c r="D31" s="800"/>
      <c r="E31" s="800"/>
    </row>
  </sheetData>
  <sheetProtection algorithmName="SHA-512" hashValue="v8X6p44s0fF2qZ7WLqwMzKw5cASWyxU13J3Sus9l8jg1zd07GQRqlzbADUx15HomlimZafsNXAhj/n/LjAA2NQ==" saltValue="F+MwfFMK+YgA0Z1wCLuAM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dimension ref="A1:Z46"/>
  <sheetViews>
    <sheetView zoomScale="70" zoomScaleNormal="70" workbookViewId="0">
      <selection activeCell="M60" sqref="M60"/>
    </sheetView>
  </sheetViews>
  <sheetFormatPr baseColWidth="10" defaultColWidth="11.33203125" defaultRowHeight="14.4" x14ac:dyDescent="0.3"/>
  <cols>
    <col min="1" max="1" width="8.88671875" style="351" customWidth="1"/>
    <col min="2" max="2" width="9.6640625" style="351" customWidth="1"/>
    <col min="3" max="3" width="8.33203125" style="351" customWidth="1"/>
    <col min="4" max="4" width="4.6640625" style="351" customWidth="1"/>
    <col min="5" max="5" width="8.21875" style="351" customWidth="1"/>
    <col min="6" max="6" width="10.21875" style="351" customWidth="1"/>
    <col min="7" max="12" width="4.6640625" style="351" customWidth="1"/>
    <col min="13" max="13" width="10.21875" style="351" bestFit="1" customWidth="1"/>
    <col min="14" max="14" width="9" style="351" customWidth="1"/>
    <col min="15" max="15" width="15.77734375" style="351" customWidth="1"/>
    <col min="16" max="16" width="15.21875" style="353" customWidth="1"/>
    <col min="17" max="17" width="9.88671875" style="351" customWidth="1"/>
    <col min="18" max="18" width="13.33203125" style="351" bestFit="1" customWidth="1"/>
    <col min="19" max="19" width="17.109375" style="351" bestFit="1" customWidth="1"/>
    <col min="20" max="20" width="7.109375" style="351" customWidth="1"/>
    <col min="21" max="22" width="10.77734375" style="354" bestFit="1" customWidth="1"/>
    <col min="23" max="16384" width="11.33203125" style="351"/>
  </cols>
  <sheetData>
    <row r="1" spans="1:26" x14ac:dyDescent="0.3">
      <c r="A1" s="351" t="s">
        <v>350</v>
      </c>
      <c r="B1" s="351" t="s">
        <v>351</v>
      </c>
      <c r="C1" s="351" t="s">
        <v>352</v>
      </c>
      <c r="D1" s="351" t="s">
        <v>353</v>
      </c>
      <c r="E1" s="351" t="s">
        <v>354</v>
      </c>
      <c r="F1" s="351" t="s">
        <v>355</v>
      </c>
      <c r="G1" s="351" t="s">
        <v>356</v>
      </c>
      <c r="H1" s="351" t="s">
        <v>357</v>
      </c>
      <c r="I1" s="351" t="s">
        <v>358</v>
      </c>
      <c r="J1" s="351" t="s">
        <v>359</v>
      </c>
      <c r="K1" s="351" t="s">
        <v>360</v>
      </c>
      <c r="L1" s="351" t="s">
        <v>361</v>
      </c>
      <c r="M1" s="351" t="s">
        <v>362</v>
      </c>
      <c r="N1" s="351" t="s">
        <v>363</v>
      </c>
      <c r="O1" s="352" t="s">
        <v>364</v>
      </c>
      <c r="P1" s="353" t="s">
        <v>365</v>
      </c>
      <c r="Q1" s="351" t="s">
        <v>366</v>
      </c>
      <c r="R1" s="351" t="s">
        <v>367</v>
      </c>
      <c r="S1" s="351" t="s">
        <v>368</v>
      </c>
      <c r="T1" s="351" t="s">
        <v>369</v>
      </c>
      <c r="U1" s="354" t="s">
        <v>370</v>
      </c>
      <c r="V1" s="354" t="s">
        <v>371</v>
      </c>
    </row>
    <row r="2" spans="1:26" x14ac:dyDescent="0.3">
      <c r="A2" s="372" t="s">
        <v>372</v>
      </c>
      <c r="B2" s="372">
        <v>543</v>
      </c>
      <c r="C2" s="372" t="s">
        <v>373</v>
      </c>
      <c r="D2" s="372"/>
      <c r="E2" s="372"/>
      <c r="F2" s="372" t="s">
        <v>158</v>
      </c>
      <c r="G2" s="372"/>
      <c r="H2" s="372"/>
      <c r="I2" s="372"/>
      <c r="J2" s="372"/>
      <c r="K2" s="372"/>
      <c r="L2" s="372"/>
      <c r="M2" s="415" t="str">
        <f>+'Calculo IP ZDF'!L28</f>
        <v>Z61</v>
      </c>
      <c r="N2" s="372"/>
      <c r="O2" s="356">
        <f>+'Calculo IP ZDF'!B49</f>
        <v>30000002129</v>
      </c>
      <c r="P2" s="616">
        <f>ROUND('Calculo IP ZDF'!D28,2)</f>
        <v>3863.32</v>
      </c>
      <c r="Q2" s="372" t="s">
        <v>374</v>
      </c>
      <c r="R2" s="372">
        <v>1</v>
      </c>
      <c r="S2" s="372" t="s">
        <v>375</v>
      </c>
      <c r="T2" s="372" t="s">
        <v>376</v>
      </c>
      <c r="U2" s="355" t="str">
        <f>+'Calculo IP ZDF'!B46</f>
        <v>01.02.2022</v>
      </c>
      <c r="V2" s="355" t="str">
        <f>+'Calculo IP ZDF'!C46</f>
        <v>25.03.2022</v>
      </c>
      <c r="X2" s="351">
        <v>4242.59</v>
      </c>
      <c r="Y2" s="351">
        <f>+P2-X2</f>
        <v>-379.27</v>
      </c>
      <c r="Z2" s="436" t="s">
        <v>419</v>
      </c>
    </row>
    <row r="3" spans="1:26" hidden="1" x14ac:dyDescent="0.3">
      <c r="A3" s="351" t="s">
        <v>372</v>
      </c>
      <c r="B3" s="351">
        <v>543</v>
      </c>
      <c r="C3" s="351" t="s">
        <v>373</v>
      </c>
      <c r="F3" s="351" t="s">
        <v>158</v>
      </c>
      <c r="M3" s="357" t="str">
        <f>+'Calculo IP ZDF'!L29</f>
        <v>Z68</v>
      </c>
      <c r="O3" s="356">
        <f>+O2</f>
        <v>30000002129</v>
      </c>
      <c r="P3" s="352">
        <f>ROUND('Calculo IP ZDF'!D29,2)</f>
        <v>3619.15</v>
      </c>
      <c r="Q3" s="351" t="s">
        <v>374</v>
      </c>
      <c r="R3" s="351">
        <v>1</v>
      </c>
      <c r="S3" s="351" t="s">
        <v>375</v>
      </c>
      <c r="T3" s="351" t="s">
        <v>376</v>
      </c>
      <c r="U3" s="355" t="str">
        <f>+U2</f>
        <v>01.02.2022</v>
      </c>
      <c r="V3" s="355" t="str">
        <f>+V2</f>
        <v>25.03.2022</v>
      </c>
      <c r="X3" s="351">
        <v>4026.31</v>
      </c>
      <c r="Y3" s="351">
        <f t="shared" ref="Y3:Y46" si="0">+P3-X3</f>
        <v>-407.15999999999985</v>
      </c>
      <c r="Z3" s="436" t="s">
        <v>419</v>
      </c>
    </row>
    <row r="4" spans="1:26" hidden="1" x14ac:dyDescent="0.3">
      <c r="A4" s="351" t="s">
        <v>372</v>
      </c>
      <c r="B4" s="351">
        <v>543</v>
      </c>
      <c r="C4" s="351" t="s">
        <v>373</v>
      </c>
      <c r="M4" s="357" t="str">
        <f>+'Calculo IP ZDF'!L30</f>
        <v>Z67</v>
      </c>
      <c r="O4" s="356">
        <f t="shared" ref="O4:O27" si="1">+O3</f>
        <v>30000002129</v>
      </c>
      <c r="P4" s="352">
        <f>ROUND('Calculo IP ZDF'!D30,2)</f>
        <v>3947.31</v>
      </c>
      <c r="Q4" s="351" t="s">
        <v>374</v>
      </c>
      <c r="R4" s="351">
        <v>1</v>
      </c>
      <c r="S4" s="351" t="s">
        <v>375</v>
      </c>
      <c r="T4" s="351" t="s">
        <v>376</v>
      </c>
      <c r="U4" s="355" t="str">
        <f t="shared" ref="U4:V20" si="2">+U3</f>
        <v>01.02.2022</v>
      </c>
      <c r="V4" s="355" t="str">
        <f t="shared" si="2"/>
        <v>25.03.2022</v>
      </c>
      <c r="X4" s="351">
        <v>4147.91</v>
      </c>
      <c r="Y4" s="351">
        <f t="shared" si="0"/>
        <v>-200.59999999999991</v>
      </c>
      <c r="Z4" s="436" t="s">
        <v>419</v>
      </c>
    </row>
    <row r="5" spans="1:26" hidden="1" x14ac:dyDescent="0.3">
      <c r="A5" s="409" t="s">
        <v>372</v>
      </c>
      <c r="B5" s="409">
        <v>543</v>
      </c>
      <c r="C5" s="409" t="s">
        <v>373</v>
      </c>
      <c r="D5" s="409"/>
      <c r="E5" s="409"/>
      <c r="F5" s="409"/>
      <c r="G5" s="409"/>
      <c r="H5" s="409"/>
      <c r="I5" s="409"/>
      <c r="J5" s="409"/>
      <c r="K5" s="409"/>
      <c r="L5" s="409"/>
      <c r="M5" s="408" t="str">
        <f>+'Calculo IP ZDF'!L31</f>
        <v xml:space="preserve">Z64  </v>
      </c>
      <c r="N5" s="409"/>
      <c r="O5" s="410">
        <f t="shared" si="1"/>
        <v>30000002129</v>
      </c>
      <c r="P5" s="411">
        <f>ROUND('Calculo IP ZDF'!D31,2)</f>
        <v>4096.84</v>
      </c>
      <c r="Q5" s="409" t="s">
        <v>374</v>
      </c>
      <c r="R5" s="409">
        <v>1</v>
      </c>
      <c r="S5" s="409" t="s">
        <v>375</v>
      </c>
      <c r="T5" s="409" t="s">
        <v>376</v>
      </c>
      <c r="U5" s="412" t="str">
        <f t="shared" si="2"/>
        <v>01.02.2022</v>
      </c>
      <c r="V5" s="412" t="str">
        <f t="shared" si="2"/>
        <v>25.03.2022</v>
      </c>
      <c r="X5" s="351">
        <v>4618.07</v>
      </c>
      <c r="Y5" s="351">
        <f t="shared" si="0"/>
        <v>-521.22999999999956</v>
      </c>
      <c r="Z5" s="436" t="s">
        <v>419</v>
      </c>
    </row>
    <row r="6" spans="1:26" hidden="1" x14ac:dyDescent="0.3">
      <c r="A6" s="351" t="s">
        <v>372</v>
      </c>
      <c r="B6" s="351">
        <v>543</v>
      </c>
      <c r="C6" s="351" t="s">
        <v>373</v>
      </c>
      <c r="M6" s="357" t="s">
        <v>411</v>
      </c>
      <c r="O6" s="356">
        <f t="shared" si="1"/>
        <v>30000002129</v>
      </c>
      <c r="P6" s="352">
        <f>ROUND('Calculo IP ZDF'!D32,2)</f>
        <v>4096.84</v>
      </c>
      <c r="Q6" s="351" t="s">
        <v>374</v>
      </c>
      <c r="R6" s="351">
        <v>1</v>
      </c>
      <c r="S6" s="351" t="s">
        <v>375</v>
      </c>
      <c r="T6" s="351" t="s">
        <v>376</v>
      </c>
      <c r="U6" s="355" t="str">
        <f t="shared" si="2"/>
        <v>01.02.2022</v>
      </c>
      <c r="V6" s="355" t="str">
        <f t="shared" si="2"/>
        <v>25.03.2022</v>
      </c>
      <c r="X6" s="351">
        <v>4029.1</v>
      </c>
      <c r="Y6" s="351">
        <f t="shared" si="0"/>
        <v>67.740000000000236</v>
      </c>
      <c r="Z6" s="436" t="s">
        <v>419</v>
      </c>
    </row>
    <row r="7" spans="1:26" hidden="1" x14ac:dyDescent="0.3">
      <c r="A7" s="351" t="s">
        <v>372</v>
      </c>
      <c r="B7" s="351">
        <v>543</v>
      </c>
      <c r="C7" s="351" t="s">
        <v>373</v>
      </c>
      <c r="M7" s="357" t="str">
        <f>+'Calculo IP ZDF'!L33</f>
        <v>Z65</v>
      </c>
      <c r="O7" s="356">
        <f t="shared" si="1"/>
        <v>30000002129</v>
      </c>
      <c r="P7" s="352">
        <f>ROUND('Calculo IP ZDF'!D33,2)</f>
        <v>3863.32</v>
      </c>
      <c r="Q7" s="351" t="s">
        <v>374</v>
      </c>
      <c r="R7" s="351">
        <v>1</v>
      </c>
      <c r="S7" s="351" t="s">
        <v>375</v>
      </c>
      <c r="T7" s="351" t="s">
        <v>376</v>
      </c>
      <c r="U7" s="355" t="str">
        <f t="shared" si="2"/>
        <v>01.02.2022</v>
      </c>
      <c r="V7" s="355" t="str">
        <f t="shared" si="2"/>
        <v>25.03.2022</v>
      </c>
      <c r="X7" s="351">
        <v>4618.07</v>
      </c>
      <c r="Y7" s="351">
        <f t="shared" si="0"/>
        <v>-754.74999999999955</v>
      </c>
      <c r="Z7" s="436" t="s">
        <v>419</v>
      </c>
    </row>
    <row r="8" spans="1:26" hidden="1" x14ac:dyDescent="0.3">
      <c r="A8" s="351" t="s">
        <v>372</v>
      </c>
      <c r="B8" s="351">
        <v>543</v>
      </c>
      <c r="C8" s="351" t="s">
        <v>373</v>
      </c>
      <c r="M8" s="357" t="str">
        <f>+'Calculo IP ZDF'!L34</f>
        <v>Z69</v>
      </c>
      <c r="O8" s="356">
        <f t="shared" si="1"/>
        <v>30000002129</v>
      </c>
      <c r="P8" s="352">
        <f>ROUND('Calculo IP ZDF'!D34,2)</f>
        <v>3912.48</v>
      </c>
      <c r="Q8" s="351" t="s">
        <v>374</v>
      </c>
      <c r="R8" s="351">
        <v>1</v>
      </c>
      <c r="S8" s="351" t="s">
        <v>375</v>
      </c>
      <c r="T8" s="351" t="s">
        <v>376</v>
      </c>
      <c r="U8" s="355" t="str">
        <f t="shared" si="2"/>
        <v>01.02.2022</v>
      </c>
      <c r="V8" s="355" t="str">
        <f t="shared" si="2"/>
        <v>25.03.2022</v>
      </c>
      <c r="X8" s="351">
        <v>4413.8599999999997</v>
      </c>
      <c r="Y8" s="351">
        <f t="shared" si="0"/>
        <v>-501.37999999999965</v>
      </c>
      <c r="Z8" s="436" t="s">
        <v>419</v>
      </c>
    </row>
    <row r="9" spans="1:26" hidden="1" x14ac:dyDescent="0.3">
      <c r="A9" s="351" t="s">
        <v>372</v>
      </c>
      <c r="B9" s="351">
        <v>543</v>
      </c>
      <c r="C9" s="351" t="s">
        <v>373</v>
      </c>
      <c r="M9" s="357" t="str">
        <f>+'Calculo IP ZDF'!L36</f>
        <v>Z62</v>
      </c>
      <c r="O9" s="356">
        <f>+O8</f>
        <v>30000002129</v>
      </c>
      <c r="P9" s="352">
        <f>ROUND('Calculo IP ZDF'!D36,2)</f>
        <v>3854.31</v>
      </c>
      <c r="Q9" s="351" t="s">
        <v>374</v>
      </c>
      <c r="R9" s="351">
        <v>1</v>
      </c>
      <c r="S9" s="351" t="s">
        <v>375</v>
      </c>
      <c r="T9" s="351" t="s">
        <v>376</v>
      </c>
      <c r="U9" s="355" t="str">
        <f>+U8</f>
        <v>01.02.2022</v>
      </c>
      <c r="V9" s="355" t="str">
        <f>+V8</f>
        <v>25.03.2022</v>
      </c>
      <c r="X9" s="351">
        <v>4406.43</v>
      </c>
      <c r="Y9" s="351">
        <f t="shared" si="0"/>
        <v>-552.12000000000035</v>
      </c>
      <c r="Z9" s="436" t="s">
        <v>419</v>
      </c>
    </row>
    <row r="10" spans="1:26" s="364" customFormat="1" hidden="1" x14ac:dyDescent="0.3">
      <c r="A10" s="364" t="s">
        <v>372</v>
      </c>
      <c r="B10" s="364">
        <v>543</v>
      </c>
      <c r="C10" s="364" t="s">
        <v>373</v>
      </c>
      <c r="M10" s="365" t="str">
        <f>+M9</f>
        <v>Z62</v>
      </c>
      <c r="O10" s="366">
        <f>+'Calculo IP ZDF'!B51</f>
        <v>30000009250</v>
      </c>
      <c r="P10" s="367">
        <f>+P9</f>
        <v>3854.31</v>
      </c>
      <c r="Q10" s="364" t="s">
        <v>374</v>
      </c>
      <c r="R10" s="364">
        <v>1</v>
      </c>
      <c r="S10" s="364" t="s">
        <v>375</v>
      </c>
      <c r="T10" s="364" t="s">
        <v>376</v>
      </c>
      <c r="U10" s="368" t="str">
        <f>+U9</f>
        <v>01.02.2022</v>
      </c>
      <c r="V10" s="368" t="str">
        <f>+V9</f>
        <v>25.03.2022</v>
      </c>
      <c r="X10" s="364">
        <v>4406.43</v>
      </c>
      <c r="Y10" s="351">
        <f t="shared" si="0"/>
        <v>-552.12000000000035</v>
      </c>
      <c r="Z10" s="364" t="s">
        <v>419</v>
      </c>
    </row>
    <row r="11" spans="1:26" hidden="1" x14ac:dyDescent="0.3">
      <c r="A11" s="351" t="s">
        <v>372</v>
      </c>
      <c r="B11" s="351">
        <v>543</v>
      </c>
      <c r="C11" s="351" t="s">
        <v>373</v>
      </c>
      <c r="M11" s="357" t="str">
        <f>+'Calculo IP ZDF'!L37</f>
        <v>Z60</v>
      </c>
      <c r="O11" s="356">
        <f>+O2</f>
        <v>30000002129</v>
      </c>
      <c r="P11" s="352">
        <f>ROUND('Calculo IP ZDF'!D37,2)</f>
        <v>4088.65</v>
      </c>
      <c r="Q11" s="351" t="s">
        <v>374</v>
      </c>
      <c r="R11" s="351">
        <v>1</v>
      </c>
      <c r="S11" s="351" t="s">
        <v>375</v>
      </c>
      <c r="T11" s="351" t="s">
        <v>376</v>
      </c>
      <c r="U11" s="355" t="str">
        <f>+U9</f>
        <v>01.02.2022</v>
      </c>
      <c r="V11" s="355" t="str">
        <f>+V9</f>
        <v>25.03.2022</v>
      </c>
      <c r="X11" s="351">
        <v>4334.03</v>
      </c>
      <c r="Y11" s="351">
        <f t="shared" si="0"/>
        <v>-245.37999999999965</v>
      </c>
      <c r="Z11" s="436" t="s">
        <v>419</v>
      </c>
    </row>
    <row r="12" spans="1:26" hidden="1" x14ac:dyDescent="0.3">
      <c r="A12" s="372" t="s">
        <v>372</v>
      </c>
      <c r="B12" s="372">
        <v>543</v>
      </c>
      <c r="C12" s="372" t="s">
        <v>373</v>
      </c>
      <c r="D12" s="372"/>
      <c r="E12" s="372"/>
      <c r="F12" s="372"/>
      <c r="G12" s="372"/>
      <c r="H12" s="372"/>
      <c r="I12" s="372"/>
      <c r="J12" s="372"/>
      <c r="K12" s="372"/>
      <c r="L12" s="372"/>
      <c r="M12" s="415" t="str">
        <f>+'Calculo IP ZDF'!L38</f>
        <v>Z63</v>
      </c>
      <c r="N12" s="372"/>
      <c r="O12" s="356">
        <f t="shared" si="1"/>
        <v>30000002129</v>
      </c>
      <c r="P12" s="416">
        <f>ROUND('Calculo IP ZDF'!D38,2)</f>
        <v>3862.91</v>
      </c>
      <c r="Q12" s="372" t="s">
        <v>374</v>
      </c>
      <c r="R12" s="372">
        <v>1</v>
      </c>
      <c r="S12" s="372" t="s">
        <v>375</v>
      </c>
      <c r="T12" s="372" t="s">
        <v>376</v>
      </c>
      <c r="U12" s="355" t="str">
        <f>+U11</f>
        <v>01.02.2022</v>
      </c>
      <c r="V12" s="355" t="str">
        <f>+'Calculo IP ZDF'!C46</f>
        <v>25.03.2022</v>
      </c>
      <c r="X12" s="351">
        <v>4399.01</v>
      </c>
      <c r="Y12" s="351">
        <f t="shared" si="0"/>
        <v>-536.10000000000036</v>
      </c>
      <c r="Z12" s="436" t="s">
        <v>419</v>
      </c>
    </row>
    <row r="13" spans="1:26" hidden="1" x14ac:dyDescent="0.3">
      <c r="A13" s="351" t="s">
        <v>372</v>
      </c>
      <c r="B13" s="351">
        <v>543</v>
      </c>
      <c r="C13" s="351" t="s">
        <v>373</v>
      </c>
      <c r="M13" s="357" t="str">
        <f>+'Calculo IP ZDF'!L39</f>
        <v>Z70</v>
      </c>
      <c r="O13" s="356">
        <f t="shared" si="1"/>
        <v>30000002129</v>
      </c>
      <c r="P13" s="352">
        <f>ROUND('Calculo IP ZDF'!D39,2)</f>
        <v>3769.09</v>
      </c>
      <c r="Q13" s="351" t="s">
        <v>374</v>
      </c>
      <c r="R13" s="351">
        <v>1</v>
      </c>
      <c r="S13" s="351" t="s">
        <v>375</v>
      </c>
      <c r="T13" s="351" t="s">
        <v>376</v>
      </c>
      <c r="U13" s="355" t="str">
        <f t="shared" si="2"/>
        <v>01.02.2022</v>
      </c>
      <c r="V13" s="355" t="str">
        <f t="shared" si="2"/>
        <v>25.03.2022</v>
      </c>
      <c r="X13" s="351">
        <v>4618.07</v>
      </c>
      <c r="Y13" s="351">
        <f t="shared" si="0"/>
        <v>-848.97999999999956</v>
      </c>
      <c r="Z13" s="436" t="s">
        <v>419</v>
      </c>
    </row>
    <row r="14" spans="1:26" hidden="1" x14ac:dyDescent="0.3">
      <c r="A14" s="351" t="s">
        <v>372</v>
      </c>
      <c r="B14" s="351">
        <v>543</v>
      </c>
      <c r="C14" s="351" t="s">
        <v>373</v>
      </c>
      <c r="M14" s="357" t="str">
        <f>+'Calculo IP ZDF'!L40</f>
        <v>Z75</v>
      </c>
      <c r="O14" s="356">
        <f t="shared" si="1"/>
        <v>30000002129</v>
      </c>
      <c r="P14" s="352">
        <f>ROUND('Calculo IP ZDF'!D40,2)</f>
        <v>3616.69</v>
      </c>
      <c r="Q14" s="351" t="s">
        <v>374</v>
      </c>
      <c r="R14" s="351">
        <v>1</v>
      </c>
      <c r="S14" s="351" t="s">
        <v>375</v>
      </c>
      <c r="T14" s="351" t="s">
        <v>376</v>
      </c>
      <c r="U14" s="355" t="str">
        <f t="shared" si="2"/>
        <v>01.02.2022</v>
      </c>
      <c r="V14" s="355" t="str">
        <f t="shared" si="2"/>
        <v>25.03.2022</v>
      </c>
      <c r="X14" s="351">
        <v>4017.03</v>
      </c>
      <c r="Y14" s="351">
        <f t="shared" si="0"/>
        <v>-400.34000000000015</v>
      </c>
      <c r="Z14" s="436" t="s">
        <v>419</v>
      </c>
    </row>
    <row r="15" spans="1:26" x14ac:dyDescent="0.3">
      <c r="A15" s="372" t="s">
        <v>377</v>
      </c>
      <c r="B15" s="372">
        <v>543</v>
      </c>
      <c r="C15" s="372" t="s">
        <v>373</v>
      </c>
      <c r="D15" s="372"/>
      <c r="E15" s="372"/>
      <c r="F15" s="372"/>
      <c r="G15" s="372"/>
      <c r="H15" s="372"/>
      <c r="I15" s="372"/>
      <c r="J15" s="372"/>
      <c r="K15" s="372"/>
      <c r="L15" s="372"/>
      <c r="M15" s="415" t="str">
        <f>+'Calculo IP ZDF'!L28</f>
        <v>Z61</v>
      </c>
      <c r="N15" s="372"/>
      <c r="O15" s="356">
        <f t="shared" si="1"/>
        <v>30000002129</v>
      </c>
      <c r="P15" s="417">
        <f>ROUND('Calculo IP ZDF'!E28,2)</f>
        <v>469.58</v>
      </c>
      <c r="Q15" s="372" t="s">
        <v>374</v>
      </c>
      <c r="R15" s="372">
        <v>1</v>
      </c>
      <c r="S15" s="372" t="s">
        <v>375</v>
      </c>
      <c r="T15" s="372" t="s">
        <v>376</v>
      </c>
      <c r="U15" s="355" t="str">
        <f>+U14</f>
        <v>01.02.2022</v>
      </c>
      <c r="V15" s="355" t="str">
        <f>+V12</f>
        <v>25.03.2022</v>
      </c>
      <c r="X15" s="351">
        <v>230.3</v>
      </c>
      <c r="Y15" s="351">
        <f t="shared" si="0"/>
        <v>239.27999999999997</v>
      </c>
      <c r="Z15" s="436" t="s">
        <v>419</v>
      </c>
    </row>
    <row r="16" spans="1:26" hidden="1" x14ac:dyDescent="0.3">
      <c r="A16" s="351" t="s">
        <v>377</v>
      </c>
      <c r="B16" s="351">
        <v>543</v>
      </c>
      <c r="C16" s="351" t="s">
        <v>373</v>
      </c>
      <c r="M16" s="357" t="str">
        <f>+'Calculo IP ZDF'!L29</f>
        <v>Z68</v>
      </c>
      <c r="O16" s="356">
        <f t="shared" si="1"/>
        <v>30000002129</v>
      </c>
      <c r="P16" s="353">
        <f>ROUND('Calculo IP ZDF'!E29,2)</f>
        <v>469.58</v>
      </c>
      <c r="Q16" s="351" t="s">
        <v>374</v>
      </c>
      <c r="R16" s="351">
        <v>1</v>
      </c>
      <c r="S16" s="351" t="s">
        <v>375</v>
      </c>
      <c r="T16" s="351" t="s">
        <v>376</v>
      </c>
      <c r="U16" s="355" t="str">
        <f t="shared" si="2"/>
        <v>01.02.2022</v>
      </c>
      <c r="V16" s="355" t="str">
        <f t="shared" si="2"/>
        <v>25.03.2022</v>
      </c>
      <c r="X16" s="351">
        <v>230.3</v>
      </c>
      <c r="Y16" s="351">
        <f t="shared" si="0"/>
        <v>239.27999999999997</v>
      </c>
      <c r="Z16" s="436" t="s">
        <v>419</v>
      </c>
    </row>
    <row r="17" spans="1:26" hidden="1" x14ac:dyDescent="0.3">
      <c r="A17" s="351" t="s">
        <v>377</v>
      </c>
      <c r="B17" s="351">
        <v>543</v>
      </c>
      <c r="C17" s="351" t="s">
        <v>373</v>
      </c>
      <c r="M17" s="357" t="str">
        <f>+'Calculo IP ZDF'!L30</f>
        <v>Z67</v>
      </c>
      <c r="O17" s="356">
        <f t="shared" si="1"/>
        <v>30000002129</v>
      </c>
      <c r="P17" s="353">
        <f>ROUND('Calculo IP ZDF'!E30,2)</f>
        <v>469.58</v>
      </c>
      <c r="Q17" s="351" t="s">
        <v>374</v>
      </c>
      <c r="R17" s="351">
        <v>1</v>
      </c>
      <c r="S17" s="351" t="s">
        <v>375</v>
      </c>
      <c r="T17" s="351" t="s">
        <v>376</v>
      </c>
      <c r="U17" s="355" t="str">
        <f t="shared" si="2"/>
        <v>01.02.2022</v>
      </c>
      <c r="V17" s="355" t="str">
        <f t="shared" si="2"/>
        <v>25.03.2022</v>
      </c>
      <c r="X17" s="351">
        <v>230.3</v>
      </c>
      <c r="Y17" s="351">
        <f t="shared" si="0"/>
        <v>239.27999999999997</v>
      </c>
      <c r="Z17" s="436" t="s">
        <v>419</v>
      </c>
    </row>
    <row r="18" spans="1:26" hidden="1" x14ac:dyDescent="0.3">
      <c r="A18" s="409" t="s">
        <v>377</v>
      </c>
      <c r="B18" s="409">
        <v>543</v>
      </c>
      <c r="C18" s="409" t="s">
        <v>373</v>
      </c>
      <c r="D18" s="409"/>
      <c r="E18" s="409"/>
      <c r="F18" s="409"/>
      <c r="G18" s="409"/>
      <c r="H18" s="409"/>
      <c r="I18" s="409"/>
      <c r="J18" s="409"/>
      <c r="K18" s="409"/>
      <c r="L18" s="409"/>
      <c r="M18" s="408" t="str">
        <f>+M5</f>
        <v xml:space="preserve">Z64  </v>
      </c>
      <c r="N18" s="409"/>
      <c r="O18" s="410">
        <f t="shared" si="1"/>
        <v>30000002129</v>
      </c>
      <c r="P18" s="373">
        <f>ROUND('Calculo IP ZDF'!E31,2)</f>
        <v>469.58</v>
      </c>
      <c r="Q18" s="409" t="s">
        <v>374</v>
      </c>
      <c r="R18" s="409">
        <v>1</v>
      </c>
      <c r="S18" s="409" t="s">
        <v>375</v>
      </c>
      <c r="T18" s="409" t="s">
        <v>376</v>
      </c>
      <c r="U18" s="412" t="str">
        <f t="shared" si="2"/>
        <v>01.02.2022</v>
      </c>
      <c r="V18" s="412" t="str">
        <f t="shared" si="2"/>
        <v>25.03.2022</v>
      </c>
      <c r="X18" s="351">
        <v>230.3</v>
      </c>
      <c r="Y18" s="351">
        <f t="shared" si="0"/>
        <v>239.27999999999997</v>
      </c>
      <c r="Z18" s="436" t="s">
        <v>419</v>
      </c>
    </row>
    <row r="19" spans="1:26" hidden="1" x14ac:dyDescent="0.3">
      <c r="A19" s="351" t="s">
        <v>377</v>
      </c>
      <c r="B19" s="351">
        <v>543</v>
      </c>
      <c r="C19" s="351" t="s">
        <v>373</v>
      </c>
      <c r="M19" s="357" t="str">
        <f>+M6</f>
        <v>Z74</v>
      </c>
      <c r="O19" s="356">
        <f t="shared" si="1"/>
        <v>30000002129</v>
      </c>
      <c r="P19" s="353">
        <f>ROUND('Calculo IP ZDF'!E32,2)</f>
        <v>469.58</v>
      </c>
      <c r="Q19" s="351" t="s">
        <v>374</v>
      </c>
      <c r="R19" s="351">
        <v>1</v>
      </c>
      <c r="S19" s="351" t="s">
        <v>375</v>
      </c>
      <c r="T19" s="351" t="s">
        <v>376</v>
      </c>
      <c r="U19" s="355" t="str">
        <f t="shared" si="2"/>
        <v>01.02.2022</v>
      </c>
      <c r="V19" s="355" t="str">
        <f t="shared" si="2"/>
        <v>25.03.2022</v>
      </c>
      <c r="X19" s="351">
        <v>230.3</v>
      </c>
      <c r="Y19" s="351">
        <f t="shared" si="0"/>
        <v>239.27999999999997</v>
      </c>
      <c r="Z19" s="436" t="s">
        <v>419</v>
      </c>
    </row>
    <row r="20" spans="1:26" hidden="1" x14ac:dyDescent="0.3">
      <c r="A20" s="351" t="s">
        <v>377</v>
      </c>
      <c r="B20" s="351">
        <v>543</v>
      </c>
      <c r="C20" s="351" t="s">
        <v>373</v>
      </c>
      <c r="M20" s="357" t="str">
        <f>+'Calculo IP ZDF'!L33</f>
        <v>Z65</v>
      </c>
      <c r="O20" s="356">
        <f t="shared" si="1"/>
        <v>30000002129</v>
      </c>
      <c r="P20" s="353">
        <f>ROUND('Calculo IP ZDF'!E33,2)</f>
        <v>469.58</v>
      </c>
      <c r="Q20" s="351" t="s">
        <v>374</v>
      </c>
      <c r="R20" s="351">
        <v>1</v>
      </c>
      <c r="S20" s="351" t="s">
        <v>375</v>
      </c>
      <c r="T20" s="351" t="s">
        <v>376</v>
      </c>
      <c r="U20" s="355" t="str">
        <f t="shared" si="2"/>
        <v>01.02.2022</v>
      </c>
      <c r="V20" s="355" t="str">
        <f t="shared" si="2"/>
        <v>25.03.2022</v>
      </c>
      <c r="X20" s="351">
        <v>230.3</v>
      </c>
      <c r="Y20" s="351">
        <f t="shared" si="0"/>
        <v>239.27999999999997</v>
      </c>
      <c r="Z20" s="436" t="s">
        <v>419</v>
      </c>
    </row>
    <row r="21" spans="1:26" hidden="1" x14ac:dyDescent="0.3">
      <c r="A21" s="351" t="s">
        <v>377</v>
      </c>
      <c r="B21" s="351">
        <v>543</v>
      </c>
      <c r="C21" s="351" t="s">
        <v>373</v>
      </c>
      <c r="M21" s="357" t="str">
        <f>+'Calculo IP ZDF'!L34</f>
        <v>Z69</v>
      </c>
      <c r="O21" s="356">
        <f t="shared" si="1"/>
        <v>30000002129</v>
      </c>
      <c r="P21" s="353">
        <f>ROUND('Calculo IP ZDF'!E34,2)</f>
        <v>469.58</v>
      </c>
      <c r="Q21" s="351" t="s">
        <v>374</v>
      </c>
      <c r="R21" s="351">
        <v>1</v>
      </c>
      <c r="S21" s="351" t="s">
        <v>375</v>
      </c>
      <c r="T21" s="351" t="s">
        <v>376</v>
      </c>
      <c r="U21" s="355" t="str">
        <f t="shared" ref="U21:V36" si="3">+U20</f>
        <v>01.02.2022</v>
      </c>
      <c r="V21" s="355" t="str">
        <f t="shared" si="3"/>
        <v>25.03.2022</v>
      </c>
      <c r="X21" s="351">
        <v>230.3</v>
      </c>
      <c r="Y21" s="351">
        <f t="shared" si="0"/>
        <v>239.27999999999997</v>
      </c>
      <c r="Z21" s="436" t="s">
        <v>419</v>
      </c>
    </row>
    <row r="22" spans="1:26" hidden="1" x14ac:dyDescent="0.3">
      <c r="A22" s="351" t="s">
        <v>377</v>
      </c>
      <c r="B22" s="351">
        <v>543</v>
      </c>
      <c r="C22" s="351" t="s">
        <v>373</v>
      </c>
      <c r="M22" s="357" t="str">
        <f>+'Calculo IP ZDF'!L36</f>
        <v>Z62</v>
      </c>
      <c r="O22" s="356">
        <f t="shared" si="1"/>
        <v>30000002129</v>
      </c>
      <c r="P22" s="353">
        <f>ROUND('Calculo IP ZDF'!E36,2)</f>
        <v>469.58</v>
      </c>
      <c r="Q22" s="351" t="s">
        <v>374</v>
      </c>
      <c r="R22" s="351">
        <v>1</v>
      </c>
      <c r="S22" s="351" t="s">
        <v>375</v>
      </c>
      <c r="T22" s="351" t="s">
        <v>376</v>
      </c>
      <c r="U22" s="355" t="str">
        <f>+U21</f>
        <v>01.02.2022</v>
      </c>
      <c r="V22" s="355" t="str">
        <f>+V21</f>
        <v>25.03.2022</v>
      </c>
      <c r="X22" s="351">
        <v>230.3</v>
      </c>
      <c r="Y22" s="351">
        <f t="shared" si="0"/>
        <v>239.27999999999997</v>
      </c>
      <c r="Z22" s="436" t="s">
        <v>419</v>
      </c>
    </row>
    <row r="23" spans="1:26" s="364" customFormat="1" hidden="1" x14ac:dyDescent="0.3">
      <c r="A23" s="364" t="s">
        <v>377</v>
      </c>
      <c r="B23" s="364">
        <v>543</v>
      </c>
      <c r="C23" s="364" t="s">
        <v>373</v>
      </c>
      <c r="M23" s="365" t="str">
        <f>+M22</f>
        <v>Z62</v>
      </c>
      <c r="O23" s="369">
        <f>+O10</f>
        <v>30000009250</v>
      </c>
      <c r="P23" s="370">
        <f>ROUND('Calculo IP ZDF'!E37,2)</f>
        <v>469.58</v>
      </c>
      <c r="Q23" s="364" t="s">
        <v>374</v>
      </c>
      <c r="R23" s="364">
        <v>1</v>
      </c>
      <c r="S23" s="364" t="s">
        <v>375</v>
      </c>
      <c r="T23" s="364" t="s">
        <v>376</v>
      </c>
      <c r="U23" s="368" t="str">
        <f>+U22</f>
        <v>01.02.2022</v>
      </c>
      <c r="V23" s="368" t="str">
        <f>+V22</f>
        <v>25.03.2022</v>
      </c>
      <c r="X23" s="364">
        <v>230.3</v>
      </c>
      <c r="Y23" s="351">
        <f t="shared" si="0"/>
        <v>239.27999999999997</v>
      </c>
      <c r="Z23" s="364" t="s">
        <v>419</v>
      </c>
    </row>
    <row r="24" spans="1:26" hidden="1" x14ac:dyDescent="0.3">
      <c r="A24" s="351" t="s">
        <v>377</v>
      </c>
      <c r="B24" s="351">
        <v>543</v>
      </c>
      <c r="C24" s="351" t="s">
        <v>373</v>
      </c>
      <c r="M24" s="357" t="str">
        <f>+'Calculo IP ZDF'!L37</f>
        <v>Z60</v>
      </c>
      <c r="O24" s="356">
        <f>+O22</f>
        <v>30000002129</v>
      </c>
      <c r="P24" s="353">
        <f>ROUND('Calculo IP ZDF'!E37,2)</f>
        <v>469.58</v>
      </c>
      <c r="Q24" s="351" t="s">
        <v>374</v>
      </c>
      <c r="R24" s="351">
        <v>1</v>
      </c>
      <c r="S24" s="351" t="s">
        <v>375</v>
      </c>
      <c r="T24" s="351" t="s">
        <v>376</v>
      </c>
      <c r="U24" s="355" t="str">
        <f>+U22</f>
        <v>01.02.2022</v>
      </c>
      <c r="V24" s="355" t="str">
        <f>+V22</f>
        <v>25.03.2022</v>
      </c>
      <c r="X24" s="351">
        <v>230.3</v>
      </c>
      <c r="Y24" s="351">
        <f t="shared" si="0"/>
        <v>239.27999999999997</v>
      </c>
      <c r="Z24" s="436" t="s">
        <v>419</v>
      </c>
    </row>
    <row r="25" spans="1:26" hidden="1" x14ac:dyDescent="0.3">
      <c r="A25" s="372" t="s">
        <v>377</v>
      </c>
      <c r="B25" s="372">
        <v>543</v>
      </c>
      <c r="C25" s="372" t="s">
        <v>373</v>
      </c>
      <c r="D25" s="372"/>
      <c r="E25" s="372"/>
      <c r="F25" s="372"/>
      <c r="G25" s="372"/>
      <c r="H25" s="372"/>
      <c r="I25" s="372"/>
      <c r="J25" s="372"/>
      <c r="K25" s="372"/>
      <c r="L25" s="372"/>
      <c r="M25" s="415" t="str">
        <f>+'Calculo IP ZDF'!L38</f>
        <v>Z63</v>
      </c>
      <c r="N25" s="372"/>
      <c r="O25" s="356">
        <f t="shared" si="1"/>
        <v>30000002129</v>
      </c>
      <c r="P25" s="417">
        <f>ROUND('Calculo IP ZDF'!E38,2)</f>
        <v>469.58</v>
      </c>
      <c r="Q25" s="372" t="s">
        <v>374</v>
      </c>
      <c r="R25" s="372">
        <v>1</v>
      </c>
      <c r="S25" s="372" t="s">
        <v>375</v>
      </c>
      <c r="T25" s="372" t="s">
        <v>376</v>
      </c>
      <c r="U25" s="355" t="str">
        <f>+U24</f>
        <v>01.02.2022</v>
      </c>
      <c r="V25" s="355" t="str">
        <f>+V15</f>
        <v>25.03.2022</v>
      </c>
      <c r="X25" s="351">
        <v>230.3</v>
      </c>
      <c r="Y25" s="351">
        <f t="shared" si="0"/>
        <v>239.27999999999997</v>
      </c>
      <c r="Z25" s="436" t="s">
        <v>419</v>
      </c>
    </row>
    <row r="26" spans="1:26" hidden="1" x14ac:dyDescent="0.3">
      <c r="A26" s="351" t="s">
        <v>377</v>
      </c>
      <c r="B26" s="351">
        <v>543</v>
      </c>
      <c r="C26" s="351" t="s">
        <v>373</v>
      </c>
      <c r="M26" s="357" t="str">
        <f>+'Calculo IP ZDF'!L39</f>
        <v>Z70</v>
      </c>
      <c r="O26" s="356">
        <f t="shared" si="1"/>
        <v>30000002129</v>
      </c>
      <c r="P26" s="353">
        <f>ROUND('Calculo IP ZDF'!E39,2)</f>
        <v>469.58</v>
      </c>
      <c r="Q26" s="351" t="s">
        <v>374</v>
      </c>
      <c r="R26" s="351">
        <v>1</v>
      </c>
      <c r="S26" s="351" t="s">
        <v>375</v>
      </c>
      <c r="T26" s="351" t="s">
        <v>376</v>
      </c>
      <c r="U26" s="355" t="str">
        <f t="shared" si="3"/>
        <v>01.02.2022</v>
      </c>
      <c r="V26" s="355" t="str">
        <f t="shared" si="3"/>
        <v>25.03.2022</v>
      </c>
      <c r="X26" s="351">
        <v>230.3</v>
      </c>
      <c r="Y26" s="351">
        <f t="shared" si="0"/>
        <v>239.27999999999997</v>
      </c>
      <c r="Z26" s="436" t="s">
        <v>419</v>
      </c>
    </row>
    <row r="27" spans="1:26" hidden="1" x14ac:dyDescent="0.3">
      <c r="A27" s="351" t="s">
        <v>377</v>
      </c>
      <c r="B27" s="351">
        <v>543</v>
      </c>
      <c r="C27" s="351" t="s">
        <v>373</v>
      </c>
      <c r="M27" s="357" t="str">
        <f>+'Calculo IP ZDF'!L40</f>
        <v>Z75</v>
      </c>
      <c r="O27" s="356">
        <f t="shared" si="1"/>
        <v>30000002129</v>
      </c>
      <c r="P27" s="353">
        <f>ROUND('Calculo IP ZDF'!E40,2)</f>
        <v>469.58</v>
      </c>
      <c r="Q27" s="351" t="s">
        <v>374</v>
      </c>
      <c r="R27" s="351">
        <v>1</v>
      </c>
      <c r="S27" s="351" t="s">
        <v>375</v>
      </c>
      <c r="T27" s="351" t="s">
        <v>376</v>
      </c>
      <c r="U27" s="355" t="str">
        <f t="shared" si="3"/>
        <v>01.02.2022</v>
      </c>
      <c r="V27" s="355" t="str">
        <f t="shared" si="3"/>
        <v>25.03.2022</v>
      </c>
      <c r="X27" s="351">
        <v>230.3</v>
      </c>
      <c r="Y27" s="351">
        <f t="shared" si="0"/>
        <v>239.27999999999997</v>
      </c>
      <c r="Z27" s="436" t="s">
        <v>419</v>
      </c>
    </row>
    <row r="28" spans="1:26" x14ac:dyDescent="0.3">
      <c r="A28" s="372" t="s">
        <v>378</v>
      </c>
      <c r="B28" s="372">
        <v>543</v>
      </c>
      <c r="C28" s="372" t="s">
        <v>373</v>
      </c>
      <c r="D28" s="372"/>
      <c r="E28" s="372"/>
      <c r="F28" s="372"/>
      <c r="G28" s="372"/>
      <c r="H28" s="372"/>
      <c r="I28" s="372"/>
      <c r="J28" s="372"/>
      <c r="K28" s="372"/>
      <c r="L28" s="372"/>
      <c r="M28" s="415" t="str">
        <f>+'Calculo IP ZDF'!L28</f>
        <v>Z61</v>
      </c>
      <c r="N28" s="372"/>
      <c r="O28" s="372">
        <f>+'Calculo IP ZDF'!B50</f>
        <v>30000000070</v>
      </c>
      <c r="P28" s="417">
        <f>ROUND('Calculo IP ZDF'!B28,2)</f>
        <v>4842</v>
      </c>
      <c r="Q28" s="372" t="s">
        <v>374</v>
      </c>
      <c r="R28" s="372">
        <v>1</v>
      </c>
      <c r="S28" s="372" t="s">
        <v>375</v>
      </c>
      <c r="T28" s="372" t="s">
        <v>376</v>
      </c>
      <c r="U28" s="355" t="str">
        <f>+U27</f>
        <v>01.02.2022</v>
      </c>
      <c r="V28" s="355" t="str">
        <f>+V25</f>
        <v>25.03.2022</v>
      </c>
      <c r="X28" s="351">
        <v>3980</v>
      </c>
      <c r="Y28" s="351">
        <f t="shared" si="0"/>
        <v>862</v>
      </c>
      <c r="Z28" s="435" t="s">
        <v>421</v>
      </c>
    </row>
    <row r="29" spans="1:26" hidden="1" x14ac:dyDescent="0.3">
      <c r="A29" s="351" t="s">
        <v>378</v>
      </c>
      <c r="B29" s="351">
        <v>543</v>
      </c>
      <c r="C29" s="351" t="s">
        <v>373</v>
      </c>
      <c r="M29" s="357" t="str">
        <f>+'Calculo IP ZDF'!L29</f>
        <v>Z68</v>
      </c>
      <c r="O29" s="351">
        <f>+O28</f>
        <v>30000000070</v>
      </c>
      <c r="P29" s="353">
        <f>ROUND('Calculo IP ZDF'!B29,2)</f>
        <v>4535.0200000000004</v>
      </c>
      <c r="Q29" s="351" t="s">
        <v>374</v>
      </c>
      <c r="R29" s="351">
        <v>1</v>
      </c>
      <c r="S29" s="351" t="s">
        <v>375</v>
      </c>
      <c r="T29" s="351" t="s">
        <v>376</v>
      </c>
      <c r="U29" s="355" t="str">
        <f t="shared" si="3"/>
        <v>01.02.2022</v>
      </c>
      <c r="V29" s="355" t="str">
        <f t="shared" si="3"/>
        <v>25.03.2022</v>
      </c>
      <c r="X29" s="351">
        <v>3980</v>
      </c>
      <c r="Y29" s="351">
        <f t="shared" si="0"/>
        <v>555.02000000000044</v>
      </c>
      <c r="Z29" s="435" t="s">
        <v>421</v>
      </c>
    </row>
    <row r="30" spans="1:26" hidden="1" x14ac:dyDescent="0.3">
      <c r="A30" s="351" t="s">
        <v>378</v>
      </c>
      <c r="B30" s="351">
        <v>543</v>
      </c>
      <c r="C30" s="351" t="s">
        <v>373</v>
      </c>
      <c r="M30" s="357" t="str">
        <f>+'Calculo IP ZDF'!L30</f>
        <v>Z67</v>
      </c>
      <c r="O30" s="351">
        <f t="shared" ref="O30:O39" si="4">+O29</f>
        <v>30000000070</v>
      </c>
      <c r="P30" s="353">
        <f>ROUND('Calculo IP ZDF'!B30,2)</f>
        <v>4842</v>
      </c>
      <c r="Q30" s="351" t="s">
        <v>374</v>
      </c>
      <c r="R30" s="351">
        <v>1</v>
      </c>
      <c r="S30" s="351" t="s">
        <v>375</v>
      </c>
      <c r="T30" s="351" t="s">
        <v>376</v>
      </c>
      <c r="U30" s="355" t="str">
        <f t="shared" si="3"/>
        <v>01.02.2022</v>
      </c>
      <c r="V30" s="355" t="str">
        <f t="shared" si="3"/>
        <v>25.03.2022</v>
      </c>
      <c r="X30" s="351">
        <v>3980</v>
      </c>
      <c r="Y30" s="351">
        <f t="shared" si="0"/>
        <v>862</v>
      </c>
      <c r="Z30" s="435" t="s">
        <v>421</v>
      </c>
    </row>
    <row r="31" spans="1:26" hidden="1" x14ac:dyDescent="0.3">
      <c r="A31" s="409" t="s">
        <v>378</v>
      </c>
      <c r="B31" s="409">
        <v>543</v>
      </c>
      <c r="C31" s="409" t="s">
        <v>373</v>
      </c>
      <c r="D31" s="409"/>
      <c r="E31" s="409"/>
      <c r="F31" s="409"/>
      <c r="G31" s="409"/>
      <c r="H31" s="409"/>
      <c r="I31" s="409"/>
      <c r="J31" s="409"/>
      <c r="K31" s="409"/>
      <c r="L31" s="409"/>
      <c r="M31" s="408" t="str">
        <f>+M18</f>
        <v xml:space="preserve">Z64  </v>
      </c>
      <c r="N31" s="409"/>
      <c r="O31" s="409">
        <f t="shared" si="4"/>
        <v>30000000070</v>
      </c>
      <c r="P31" s="373">
        <f>ROUND('Calculo IP ZDF'!B31,2)</f>
        <v>4842</v>
      </c>
      <c r="Q31" s="409" t="s">
        <v>374</v>
      </c>
      <c r="R31" s="409">
        <v>1</v>
      </c>
      <c r="S31" s="409" t="s">
        <v>375</v>
      </c>
      <c r="T31" s="409" t="s">
        <v>376</v>
      </c>
      <c r="U31" s="412" t="str">
        <f t="shared" si="3"/>
        <v>01.02.2022</v>
      </c>
      <c r="V31" s="412" t="str">
        <f t="shared" si="3"/>
        <v>25.03.2022</v>
      </c>
      <c r="X31" s="351">
        <v>3980</v>
      </c>
      <c r="Y31" s="351">
        <f t="shared" si="0"/>
        <v>862</v>
      </c>
      <c r="Z31" s="435" t="s">
        <v>421</v>
      </c>
    </row>
    <row r="32" spans="1:26" hidden="1" x14ac:dyDescent="0.3">
      <c r="A32" s="351" t="s">
        <v>378</v>
      </c>
      <c r="B32" s="351">
        <v>543</v>
      </c>
      <c r="C32" s="351" t="s">
        <v>373</v>
      </c>
      <c r="M32" s="357" t="str">
        <f>+M19</f>
        <v>Z74</v>
      </c>
      <c r="O32" s="351">
        <f t="shared" si="4"/>
        <v>30000000070</v>
      </c>
      <c r="P32" s="353">
        <f>ROUND('Calculo IP ZDF'!B32,2)</f>
        <v>4842</v>
      </c>
      <c r="Q32" s="351" t="s">
        <v>374</v>
      </c>
      <c r="R32" s="351">
        <v>1</v>
      </c>
      <c r="S32" s="351" t="s">
        <v>375</v>
      </c>
      <c r="T32" s="351" t="s">
        <v>376</v>
      </c>
      <c r="U32" s="355" t="str">
        <f t="shared" si="3"/>
        <v>01.02.2022</v>
      </c>
      <c r="V32" s="355" t="str">
        <f t="shared" si="3"/>
        <v>25.03.2022</v>
      </c>
      <c r="X32" s="351">
        <v>3980</v>
      </c>
      <c r="Y32" s="351">
        <f t="shared" si="0"/>
        <v>862</v>
      </c>
      <c r="Z32" s="435" t="s">
        <v>421</v>
      </c>
    </row>
    <row r="33" spans="1:26" hidden="1" x14ac:dyDescent="0.3">
      <c r="A33" s="351" t="s">
        <v>378</v>
      </c>
      <c r="B33" s="351">
        <v>543</v>
      </c>
      <c r="C33" s="351" t="s">
        <v>373</v>
      </c>
      <c r="M33" s="357" t="str">
        <f>+'Calculo IP ZDF'!L33</f>
        <v>Z65</v>
      </c>
      <c r="O33" s="351">
        <f t="shared" si="4"/>
        <v>30000000070</v>
      </c>
      <c r="P33" s="353">
        <f>ROUND('Calculo IP ZDF'!B33,2)</f>
        <v>4842</v>
      </c>
      <c r="Q33" s="351" t="s">
        <v>374</v>
      </c>
      <c r="R33" s="351">
        <v>1</v>
      </c>
      <c r="S33" s="351" t="s">
        <v>375</v>
      </c>
      <c r="T33" s="351" t="s">
        <v>376</v>
      </c>
      <c r="U33" s="355" t="str">
        <f t="shared" si="3"/>
        <v>01.02.2022</v>
      </c>
      <c r="V33" s="355" t="str">
        <f t="shared" si="3"/>
        <v>25.03.2022</v>
      </c>
      <c r="X33" s="351">
        <v>3980</v>
      </c>
      <c r="Y33" s="351">
        <f t="shared" si="0"/>
        <v>862</v>
      </c>
      <c r="Z33" s="435" t="s">
        <v>421</v>
      </c>
    </row>
    <row r="34" spans="1:26" hidden="1" x14ac:dyDescent="0.3">
      <c r="A34" s="351" t="s">
        <v>378</v>
      </c>
      <c r="B34" s="351">
        <v>543</v>
      </c>
      <c r="C34" s="351" t="s">
        <v>373</v>
      </c>
      <c r="M34" s="357" t="str">
        <f>+'Calculo IP ZDF'!L34</f>
        <v>Z69</v>
      </c>
      <c r="O34" s="351">
        <f t="shared" si="4"/>
        <v>30000000070</v>
      </c>
      <c r="P34" s="353">
        <f>ROUND('Calculo IP ZDF'!B34,2)</f>
        <v>4633.79</v>
      </c>
      <c r="Q34" s="351" t="s">
        <v>374</v>
      </c>
      <c r="R34" s="351">
        <v>1</v>
      </c>
      <c r="S34" s="351" t="s">
        <v>375</v>
      </c>
      <c r="T34" s="351" t="s">
        <v>376</v>
      </c>
      <c r="U34" s="355" t="str">
        <f t="shared" si="3"/>
        <v>01.02.2022</v>
      </c>
      <c r="V34" s="355" t="str">
        <f t="shared" si="3"/>
        <v>25.03.2022</v>
      </c>
      <c r="X34" s="351">
        <v>3980</v>
      </c>
      <c r="Y34" s="351">
        <f t="shared" si="0"/>
        <v>653.79</v>
      </c>
      <c r="Z34" s="435" t="s">
        <v>421</v>
      </c>
    </row>
    <row r="35" spans="1:26" hidden="1" x14ac:dyDescent="0.3">
      <c r="A35" s="351" t="s">
        <v>378</v>
      </c>
      <c r="B35" s="351">
        <v>543</v>
      </c>
      <c r="C35" s="351" t="s">
        <v>373</v>
      </c>
      <c r="M35" s="357" t="str">
        <f>+'Calculo IP ZDF'!L36</f>
        <v>Z62</v>
      </c>
      <c r="O35" s="351">
        <f t="shared" si="4"/>
        <v>30000000070</v>
      </c>
      <c r="P35" s="353">
        <f>ROUND('Calculo IP ZDF'!B36,2)</f>
        <v>4835.22</v>
      </c>
      <c r="Q35" s="351" t="s">
        <v>374</v>
      </c>
      <c r="R35" s="351">
        <v>1</v>
      </c>
      <c r="S35" s="351" t="s">
        <v>375</v>
      </c>
      <c r="T35" s="351" t="s">
        <v>376</v>
      </c>
      <c r="U35" s="355" t="str">
        <f t="shared" si="3"/>
        <v>01.02.2022</v>
      </c>
      <c r="V35" s="355" t="str">
        <f t="shared" si="3"/>
        <v>25.03.2022</v>
      </c>
      <c r="X35" s="351">
        <v>3980</v>
      </c>
      <c r="Y35" s="351">
        <f t="shared" si="0"/>
        <v>855.22000000000025</v>
      </c>
      <c r="Z35" s="435" t="s">
        <v>421</v>
      </c>
    </row>
    <row r="36" spans="1:26" hidden="1" x14ac:dyDescent="0.3">
      <c r="A36" s="351" t="s">
        <v>378</v>
      </c>
      <c r="B36" s="351">
        <v>543</v>
      </c>
      <c r="C36" s="351" t="s">
        <v>373</v>
      </c>
      <c r="M36" s="357" t="str">
        <f>+'Calculo IP ZDF'!L37</f>
        <v>Z60</v>
      </c>
      <c r="O36" s="351">
        <f t="shared" si="4"/>
        <v>30000000070</v>
      </c>
      <c r="P36" s="353">
        <f>ROUND('Calculo IP ZDF'!B37,2)</f>
        <v>4842</v>
      </c>
      <c r="Q36" s="351" t="s">
        <v>374</v>
      </c>
      <c r="R36" s="351">
        <v>1</v>
      </c>
      <c r="S36" s="351" t="s">
        <v>375</v>
      </c>
      <c r="T36" s="351" t="s">
        <v>376</v>
      </c>
      <c r="U36" s="355" t="str">
        <f t="shared" si="3"/>
        <v>01.02.2022</v>
      </c>
      <c r="V36" s="355" t="str">
        <f t="shared" si="3"/>
        <v>25.03.2022</v>
      </c>
      <c r="X36" s="351">
        <v>3980</v>
      </c>
      <c r="Y36" s="351">
        <f t="shared" si="0"/>
        <v>862</v>
      </c>
      <c r="Z36" s="435" t="s">
        <v>421</v>
      </c>
    </row>
    <row r="37" spans="1:26" hidden="1" x14ac:dyDescent="0.3">
      <c r="A37" s="372" t="s">
        <v>378</v>
      </c>
      <c r="B37" s="372">
        <v>543</v>
      </c>
      <c r="C37" s="372" t="s">
        <v>373</v>
      </c>
      <c r="D37" s="372"/>
      <c r="E37" s="372"/>
      <c r="F37" s="372"/>
      <c r="G37" s="372"/>
      <c r="H37" s="372"/>
      <c r="I37" s="372"/>
      <c r="J37" s="372"/>
      <c r="K37" s="372"/>
      <c r="L37" s="372"/>
      <c r="M37" s="415" t="str">
        <f>+'Calculo IP ZDF'!L38</f>
        <v>Z63</v>
      </c>
      <c r="N37" s="372"/>
      <c r="O37" s="372">
        <f t="shared" si="4"/>
        <v>30000000070</v>
      </c>
      <c r="P37" s="417">
        <f>ROUND('Calculo IP ZDF'!B38,2)</f>
        <v>4842</v>
      </c>
      <c r="Q37" s="372" t="s">
        <v>374</v>
      </c>
      <c r="R37" s="372">
        <v>1</v>
      </c>
      <c r="S37" s="372" t="s">
        <v>375</v>
      </c>
      <c r="T37" s="372" t="s">
        <v>376</v>
      </c>
      <c r="U37" s="355" t="str">
        <f>+U36</f>
        <v>01.02.2022</v>
      </c>
      <c r="V37" s="355" t="str">
        <f>+V28</f>
        <v>25.03.2022</v>
      </c>
      <c r="X37" s="351">
        <v>3980</v>
      </c>
      <c r="Y37" s="351">
        <f t="shared" si="0"/>
        <v>862</v>
      </c>
      <c r="Z37" s="435" t="s">
        <v>421</v>
      </c>
    </row>
    <row r="38" spans="1:26" hidden="1" x14ac:dyDescent="0.3">
      <c r="A38" s="351" t="s">
        <v>378</v>
      </c>
      <c r="B38" s="351">
        <v>543</v>
      </c>
      <c r="C38" s="351" t="s">
        <v>373</v>
      </c>
      <c r="M38" s="357" t="str">
        <f>+'Calculo IP ZDF'!L39</f>
        <v>Z70</v>
      </c>
      <c r="O38" s="351">
        <f t="shared" si="4"/>
        <v>30000000070</v>
      </c>
      <c r="P38" s="353">
        <f>ROUND('Calculo IP ZDF'!B39,2)</f>
        <v>4633.79</v>
      </c>
      <c r="Q38" s="351" t="s">
        <v>374</v>
      </c>
      <c r="R38" s="351">
        <v>1</v>
      </c>
      <c r="S38" s="351" t="s">
        <v>375</v>
      </c>
      <c r="T38" s="351" t="s">
        <v>376</v>
      </c>
      <c r="U38" s="355" t="str">
        <f t="shared" ref="U38:V43" si="5">+U37</f>
        <v>01.02.2022</v>
      </c>
      <c r="V38" s="355" t="str">
        <f t="shared" si="5"/>
        <v>25.03.2022</v>
      </c>
      <c r="X38" s="351">
        <v>3980</v>
      </c>
      <c r="Y38" s="351">
        <f t="shared" si="0"/>
        <v>653.79</v>
      </c>
      <c r="Z38" s="435" t="s">
        <v>421</v>
      </c>
    </row>
    <row r="39" spans="1:26" hidden="1" x14ac:dyDescent="0.3">
      <c r="A39" s="351" t="s">
        <v>378</v>
      </c>
      <c r="B39" s="351">
        <v>543</v>
      </c>
      <c r="C39" s="351" t="s">
        <v>373</v>
      </c>
      <c r="M39" s="357" t="str">
        <f>+'Calculo IP ZDF'!L40</f>
        <v>Z75</v>
      </c>
      <c r="O39" s="351">
        <f t="shared" si="4"/>
        <v>30000000070</v>
      </c>
      <c r="P39" s="353">
        <f>ROUND('Calculo IP ZDF'!B40,2)</f>
        <v>4534.53</v>
      </c>
      <c r="Q39" s="351" t="s">
        <v>374</v>
      </c>
      <c r="R39" s="351">
        <v>1</v>
      </c>
      <c r="S39" s="351" t="s">
        <v>375</v>
      </c>
      <c r="T39" s="351" t="s">
        <v>376</v>
      </c>
      <c r="U39" s="355" t="str">
        <f t="shared" si="5"/>
        <v>01.02.2022</v>
      </c>
      <c r="V39" s="355" t="str">
        <f t="shared" si="5"/>
        <v>25.03.2022</v>
      </c>
      <c r="X39" s="351">
        <v>3980</v>
      </c>
      <c r="Y39" s="351">
        <f t="shared" si="0"/>
        <v>554.52999999999975</v>
      </c>
      <c r="Z39" s="435" t="s">
        <v>421</v>
      </c>
    </row>
    <row r="40" spans="1:26" hidden="1" x14ac:dyDescent="0.3">
      <c r="A40" s="351" t="s">
        <v>378</v>
      </c>
      <c r="B40" s="372">
        <v>587</v>
      </c>
      <c r="C40" s="351" t="s">
        <v>373</v>
      </c>
      <c r="F40" s="351">
        <v>3003</v>
      </c>
      <c r="M40" s="357" t="s">
        <v>345</v>
      </c>
      <c r="O40" s="351">
        <v>30000009113</v>
      </c>
      <c r="P40" s="353">
        <f>ROUND(+'Calculo IP ZDF'!B36,2)</f>
        <v>4835.22</v>
      </c>
      <c r="Q40" s="351" t="s">
        <v>374</v>
      </c>
      <c r="R40" s="351">
        <v>1</v>
      </c>
      <c r="S40" s="351" t="s">
        <v>375</v>
      </c>
      <c r="T40" s="351" t="s">
        <v>376</v>
      </c>
      <c r="U40" s="355" t="str">
        <f t="shared" si="5"/>
        <v>01.02.2022</v>
      </c>
      <c r="V40" s="355" t="str">
        <f t="shared" si="5"/>
        <v>25.03.2022</v>
      </c>
      <c r="X40" s="351">
        <v>3980</v>
      </c>
      <c r="Y40" s="351">
        <f t="shared" si="0"/>
        <v>855.22000000000025</v>
      </c>
      <c r="Z40" s="351" t="s">
        <v>420</v>
      </c>
    </row>
    <row r="41" spans="1:26" hidden="1" x14ac:dyDescent="0.3">
      <c r="A41" s="351" t="s">
        <v>399</v>
      </c>
      <c r="B41" s="372">
        <v>587</v>
      </c>
      <c r="C41" s="351" t="s">
        <v>373</v>
      </c>
      <c r="F41" s="351">
        <v>3003</v>
      </c>
      <c r="M41" s="357" t="s">
        <v>345</v>
      </c>
      <c r="O41" s="351">
        <v>30000009113</v>
      </c>
      <c r="P41" s="425">
        <v>8.6300000000000008</v>
      </c>
      <c r="Q41" s="351" t="s">
        <v>374</v>
      </c>
      <c r="R41" s="351">
        <v>1</v>
      </c>
      <c r="S41" s="351" t="s">
        <v>375</v>
      </c>
      <c r="T41" s="351" t="s">
        <v>376</v>
      </c>
      <c r="U41" s="355" t="str">
        <f t="shared" si="5"/>
        <v>01.02.2022</v>
      </c>
      <c r="V41" s="355" t="str">
        <f t="shared" si="5"/>
        <v>25.03.2022</v>
      </c>
      <c r="X41" s="351">
        <v>8.14</v>
      </c>
      <c r="Y41" s="351">
        <f t="shared" si="0"/>
        <v>0.49000000000000021</v>
      </c>
      <c r="Z41" s="351" t="s">
        <v>420</v>
      </c>
    </row>
    <row r="42" spans="1:26" hidden="1" x14ac:dyDescent="0.3">
      <c r="A42" s="351" t="s">
        <v>378</v>
      </c>
      <c r="B42" s="372">
        <v>587</v>
      </c>
      <c r="C42" s="351" t="s">
        <v>373</v>
      </c>
      <c r="F42" s="351">
        <v>3003</v>
      </c>
      <c r="M42" s="357" t="s">
        <v>345</v>
      </c>
      <c r="O42" s="351">
        <v>30000000003</v>
      </c>
      <c r="P42" s="353">
        <f>ROUND(+'Calculo IP ZDF'!C36,2)</f>
        <v>3932.97</v>
      </c>
      <c r="Q42" s="351" t="s">
        <v>374</v>
      </c>
      <c r="R42" s="351">
        <v>1</v>
      </c>
      <c r="S42" s="351" t="s">
        <v>375</v>
      </c>
      <c r="T42" s="351" t="s">
        <v>376</v>
      </c>
      <c r="U42" s="355" t="str">
        <f t="shared" si="5"/>
        <v>01.02.2022</v>
      </c>
      <c r="V42" s="355" t="str">
        <f t="shared" si="5"/>
        <v>25.03.2022</v>
      </c>
      <c r="X42" s="351">
        <v>4496.3599999999997</v>
      </c>
      <c r="Y42" s="351">
        <f t="shared" si="0"/>
        <v>-563.38999999999987</v>
      </c>
      <c r="Z42" s="351" t="s">
        <v>106</v>
      </c>
    </row>
    <row r="43" spans="1:26" hidden="1" x14ac:dyDescent="0.3">
      <c r="A43" s="351" t="s">
        <v>399</v>
      </c>
      <c r="B43" s="372">
        <v>587</v>
      </c>
      <c r="C43" s="351" t="s">
        <v>373</v>
      </c>
      <c r="F43" s="351">
        <v>3003</v>
      </c>
      <c r="M43" s="357" t="s">
        <v>345</v>
      </c>
      <c r="O43" s="351">
        <v>30000000003</v>
      </c>
      <c r="P43" s="373">
        <f>+P41</f>
        <v>8.6300000000000008</v>
      </c>
      <c r="Q43" s="351" t="s">
        <v>374</v>
      </c>
      <c r="R43" s="351">
        <v>1</v>
      </c>
      <c r="S43" s="351" t="s">
        <v>375</v>
      </c>
      <c r="T43" s="351" t="s">
        <v>376</v>
      </c>
      <c r="U43" s="355" t="str">
        <f t="shared" si="5"/>
        <v>01.02.2022</v>
      </c>
      <c r="V43" s="355" t="str">
        <f t="shared" si="5"/>
        <v>25.03.2022</v>
      </c>
      <c r="X43" s="351">
        <v>8.14</v>
      </c>
      <c r="Y43" s="351">
        <f t="shared" si="0"/>
        <v>0.49000000000000021</v>
      </c>
      <c r="Z43" s="351" t="s">
        <v>106</v>
      </c>
    </row>
    <row r="44" spans="1:26" hidden="1" x14ac:dyDescent="0.3">
      <c r="A44" s="351" t="s">
        <v>372</v>
      </c>
      <c r="B44" s="351">
        <v>543</v>
      </c>
      <c r="C44" s="351" t="s">
        <v>373</v>
      </c>
      <c r="M44" s="408" t="str">
        <f>+'Calculo IP ZDF'!L41</f>
        <v>Z66</v>
      </c>
      <c r="O44" s="351">
        <v>30000002129</v>
      </c>
      <c r="P44" s="353">
        <f>ROUND(+'Calculo IP ZDF'!D41,2)</f>
        <v>3768.27</v>
      </c>
      <c r="Q44" s="351" t="s">
        <v>374</v>
      </c>
      <c r="R44" s="351">
        <v>1</v>
      </c>
      <c r="S44" s="351" t="s">
        <v>375</v>
      </c>
      <c r="T44" s="351" t="s">
        <v>376</v>
      </c>
      <c r="U44" s="355" t="str">
        <f t="shared" ref="U44:V46" si="6">+U43</f>
        <v>01.02.2022</v>
      </c>
      <c r="V44" s="355" t="str">
        <f t="shared" si="6"/>
        <v>25.03.2022</v>
      </c>
      <c r="X44" s="351">
        <v>4618.07</v>
      </c>
      <c r="Y44" s="351">
        <f t="shared" si="0"/>
        <v>-849.79999999999973</v>
      </c>
      <c r="Z44" s="436" t="s">
        <v>419</v>
      </c>
    </row>
    <row r="45" spans="1:26" hidden="1" x14ac:dyDescent="0.3">
      <c r="A45" s="351" t="s">
        <v>377</v>
      </c>
      <c r="B45" s="351">
        <v>543</v>
      </c>
      <c r="C45" s="351" t="s">
        <v>373</v>
      </c>
      <c r="M45" s="408" t="str">
        <f>+M44</f>
        <v>Z66</v>
      </c>
      <c r="O45" s="351">
        <v>30000002129</v>
      </c>
      <c r="P45" s="353">
        <f>ROUND(+'Calculo IP ZDF'!E41,2)</f>
        <v>469.58</v>
      </c>
      <c r="Q45" s="351" t="s">
        <v>374</v>
      </c>
      <c r="R45" s="351">
        <v>1</v>
      </c>
      <c r="S45" s="351" t="s">
        <v>375</v>
      </c>
      <c r="T45" s="351" t="s">
        <v>376</v>
      </c>
      <c r="U45" s="355" t="str">
        <f t="shared" si="6"/>
        <v>01.02.2022</v>
      </c>
      <c r="V45" s="355" t="str">
        <f t="shared" si="6"/>
        <v>25.03.2022</v>
      </c>
      <c r="X45" s="351">
        <v>230.3</v>
      </c>
      <c r="Y45" s="351">
        <f t="shared" si="0"/>
        <v>239.27999999999997</v>
      </c>
      <c r="Z45" s="436" t="s">
        <v>419</v>
      </c>
    </row>
    <row r="46" spans="1:26" hidden="1" x14ac:dyDescent="0.3">
      <c r="A46" s="351" t="s">
        <v>378</v>
      </c>
      <c r="B46" s="351">
        <v>543</v>
      </c>
      <c r="C46" s="351" t="s">
        <v>373</v>
      </c>
      <c r="M46" s="357" t="str">
        <f>+M45</f>
        <v>Z66</v>
      </c>
      <c r="O46" s="351">
        <f>+'Calculo IP ZDF'!B50</f>
        <v>30000000070</v>
      </c>
      <c r="P46" s="353">
        <f>ROUND(+'Calculo IP ZDF'!B41,2)</f>
        <v>4633.79</v>
      </c>
      <c r="Q46" s="351" t="s">
        <v>374</v>
      </c>
      <c r="R46" s="351">
        <v>1</v>
      </c>
      <c r="S46" s="351" t="s">
        <v>375</v>
      </c>
      <c r="T46" s="351" t="s">
        <v>376</v>
      </c>
      <c r="U46" s="355" t="str">
        <f t="shared" si="6"/>
        <v>01.02.2022</v>
      </c>
      <c r="V46" s="355" t="str">
        <f t="shared" si="6"/>
        <v>25.03.2022</v>
      </c>
      <c r="X46" s="351">
        <v>3980</v>
      </c>
      <c r="Y46" s="351">
        <f t="shared" si="0"/>
        <v>653.79</v>
      </c>
      <c r="Z46" s="435" t="s">
        <v>421</v>
      </c>
    </row>
  </sheetData>
  <autoFilter ref="A1:V46" xr:uid="{00000000-0009-0000-0000-000017000000}">
    <filterColumn colId="12">
      <filters>
        <filter val="Z61"/>
      </filters>
    </filterColumn>
  </autoFilter>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M60" sqref="M60"/>
    </sheetView>
  </sheetViews>
  <sheetFormatPr baseColWidth="10" defaultColWidth="11.33203125" defaultRowHeight="14.4" x14ac:dyDescent="0.3"/>
  <cols>
    <col min="1" max="1" width="7.33203125" style="351" customWidth="1"/>
    <col min="2" max="2" width="9.21875" style="351" customWidth="1"/>
    <col min="3" max="3" width="7.6640625" style="351" customWidth="1"/>
    <col min="4" max="12" width="4.44140625" style="351" customWidth="1"/>
    <col min="13" max="13" width="6.88671875" style="351" customWidth="1"/>
    <col min="14" max="14" width="11.109375" style="351" customWidth="1"/>
    <col min="15" max="15" width="12.21875" style="351" bestFit="1" customWidth="1"/>
    <col min="16" max="16" width="11.77734375" style="353" bestFit="1" customWidth="1"/>
    <col min="17" max="17" width="7.6640625" style="351" customWidth="1"/>
    <col min="18" max="18" width="8.77734375" style="351" customWidth="1"/>
    <col min="19" max="19" width="9.88671875" style="351" customWidth="1"/>
    <col min="20" max="20" width="5.6640625" style="351" customWidth="1"/>
    <col min="21" max="22" width="10.77734375" style="354" bestFit="1" customWidth="1"/>
    <col min="23" max="16384" width="11.33203125" style="351"/>
  </cols>
  <sheetData>
    <row r="1" spans="1:24" x14ac:dyDescent="0.3">
      <c r="A1" s="351" t="s">
        <v>350</v>
      </c>
      <c r="B1" s="351" t="s">
        <v>351</v>
      </c>
      <c r="C1" s="351" t="s">
        <v>352</v>
      </c>
      <c r="D1" s="351" t="s">
        <v>353</v>
      </c>
      <c r="E1" s="351" t="s">
        <v>354</v>
      </c>
      <c r="F1" s="351" t="s">
        <v>355</v>
      </c>
      <c r="G1" s="351" t="s">
        <v>356</v>
      </c>
      <c r="H1" s="351" t="s">
        <v>357</v>
      </c>
      <c r="I1" s="351" t="s">
        <v>358</v>
      </c>
      <c r="J1" s="351" t="s">
        <v>359</v>
      </c>
      <c r="K1" s="351" t="s">
        <v>360</v>
      </c>
      <c r="L1" s="351" t="s">
        <v>361</v>
      </c>
      <c r="M1" s="351" t="s">
        <v>362</v>
      </c>
      <c r="N1" s="351" t="s">
        <v>363</v>
      </c>
      <c r="O1" s="352" t="s">
        <v>364</v>
      </c>
      <c r="P1" s="353" t="s">
        <v>365</v>
      </c>
      <c r="Q1" s="351" t="s">
        <v>366</v>
      </c>
      <c r="R1" s="351" t="s">
        <v>367</v>
      </c>
      <c r="S1" s="351" t="s">
        <v>368</v>
      </c>
      <c r="T1" s="351" t="s">
        <v>369</v>
      </c>
      <c r="U1" s="354" t="s">
        <v>370</v>
      </c>
      <c r="V1" s="354" t="s">
        <v>371</v>
      </c>
    </row>
    <row r="2" spans="1:24" x14ac:dyDescent="0.3">
      <c r="A2" s="351" t="s">
        <v>378</v>
      </c>
      <c r="B2" s="351">
        <v>543</v>
      </c>
      <c r="C2" s="351" t="s">
        <v>392</v>
      </c>
      <c r="F2" s="351" t="s">
        <v>158</v>
      </c>
      <c r="M2" s="415" t="s">
        <v>395</v>
      </c>
      <c r="O2" s="393">
        <v>30000000003</v>
      </c>
      <c r="P2" s="352">
        <f>ROUND('Calculo IP ZDF'!C31,2)</f>
        <v>4180.45</v>
      </c>
      <c r="Q2" s="351" t="s">
        <v>374</v>
      </c>
      <c r="R2" s="351">
        <v>1</v>
      </c>
      <c r="S2" s="351" t="s">
        <v>393</v>
      </c>
      <c r="T2" s="351" t="s">
        <v>376</v>
      </c>
      <c r="U2" s="355" t="str">
        <f>+'Calculo IP ZDF'!B46</f>
        <v>01.02.2022</v>
      </c>
      <c r="V2" s="355" t="str">
        <f>+'Calculo IP ZDF'!C46</f>
        <v>25.03.2022</v>
      </c>
      <c r="X2" s="372" t="s">
        <v>108</v>
      </c>
    </row>
    <row r="3" spans="1:24" x14ac:dyDescent="0.3">
      <c r="A3" s="351" t="s">
        <v>378</v>
      </c>
      <c r="B3" s="351">
        <v>543</v>
      </c>
      <c r="C3" s="351" t="s">
        <v>392</v>
      </c>
      <c r="M3" s="527" t="s">
        <v>394</v>
      </c>
      <c r="O3" s="393">
        <v>30000000003</v>
      </c>
      <c r="P3" s="352">
        <f>ROUND('Calculo IP ZDF'!C32,2)</f>
        <v>4180.45</v>
      </c>
      <c r="Q3" s="351" t="s">
        <v>374</v>
      </c>
      <c r="R3" s="351">
        <v>1</v>
      </c>
      <c r="S3" s="351" t="s">
        <v>393</v>
      </c>
      <c r="T3" s="351" t="s">
        <v>376</v>
      </c>
      <c r="U3" s="528" t="str">
        <f>+U2</f>
        <v>01.02.2022</v>
      </c>
      <c r="V3" s="528" t="str">
        <f>+V2</f>
        <v>25.03.2022</v>
      </c>
      <c r="X3" s="526" t="s">
        <v>483</v>
      </c>
    </row>
    <row r="4" spans="1:24" x14ac:dyDescent="0.3">
      <c r="A4" s="351" t="s">
        <v>378</v>
      </c>
      <c r="B4" s="351">
        <v>543</v>
      </c>
      <c r="C4" s="351" t="s">
        <v>392</v>
      </c>
      <c r="M4" s="522" t="str">
        <f>+'Calculo IP ZDF'!L33</f>
        <v>Z65</v>
      </c>
      <c r="O4" s="393">
        <v>30000000003</v>
      </c>
      <c r="P4" s="352">
        <f>ROUND('Calculo IP ZDF'!C33,2)</f>
        <v>3942.16</v>
      </c>
      <c r="Q4" s="351" t="s">
        <v>374</v>
      </c>
      <c r="R4" s="351">
        <v>1</v>
      </c>
      <c r="S4" s="351" t="s">
        <v>393</v>
      </c>
      <c r="T4" s="351" t="s">
        <v>376</v>
      </c>
      <c r="U4" s="523" t="str">
        <f t="shared" ref="U4:U6" si="0">+U3</f>
        <v>01.02.2022</v>
      </c>
      <c r="V4" s="523" t="str">
        <f t="shared" ref="V4:V6" si="1">+V3</f>
        <v>25.03.2022</v>
      </c>
      <c r="X4" s="521" t="s">
        <v>481</v>
      </c>
    </row>
    <row r="5" spans="1:24" x14ac:dyDescent="0.3">
      <c r="A5" s="351" t="s">
        <v>378</v>
      </c>
      <c r="B5" s="351">
        <v>543</v>
      </c>
      <c r="C5" s="351" t="s">
        <v>392</v>
      </c>
      <c r="M5" s="524" t="str">
        <f>+'Calculo IP ZDF'!L35</f>
        <v>Z73</v>
      </c>
      <c r="O5" s="393">
        <v>30000000003</v>
      </c>
      <c r="P5" s="352">
        <f>ROUND('Calculo IP ZDF'!C35,2)</f>
        <v>3846.01</v>
      </c>
      <c r="Q5" s="351" t="s">
        <v>374</v>
      </c>
      <c r="R5" s="351">
        <v>1</v>
      </c>
      <c r="S5" s="351" t="s">
        <v>393</v>
      </c>
      <c r="T5" s="351" t="s">
        <v>376</v>
      </c>
      <c r="U5" s="355" t="str">
        <f t="shared" si="0"/>
        <v>01.02.2022</v>
      </c>
      <c r="V5" s="355" t="str">
        <f t="shared" si="1"/>
        <v>25.03.2022</v>
      </c>
      <c r="X5" s="525" t="s">
        <v>482</v>
      </c>
    </row>
    <row r="6" spans="1:24" x14ac:dyDescent="0.3">
      <c r="A6" s="351" t="s">
        <v>378</v>
      </c>
      <c r="B6" s="351">
        <v>543</v>
      </c>
      <c r="C6" s="351" t="s">
        <v>392</v>
      </c>
      <c r="M6" s="520" t="str">
        <f>+'Calculo IP ZDF'!L36</f>
        <v>Z62</v>
      </c>
      <c r="O6" s="393">
        <v>30000000003</v>
      </c>
      <c r="P6" s="352">
        <f>ROUND('Calculo IP ZDF'!C36,2)</f>
        <v>3932.97</v>
      </c>
      <c r="Q6" s="351" t="s">
        <v>374</v>
      </c>
      <c r="R6" s="351">
        <v>1</v>
      </c>
      <c r="S6" s="351" t="s">
        <v>393</v>
      </c>
      <c r="T6" s="351" t="s">
        <v>376</v>
      </c>
      <c r="U6" s="518" t="str">
        <f t="shared" si="0"/>
        <v>01.02.2022</v>
      </c>
      <c r="V6" s="518" t="str">
        <f t="shared" si="1"/>
        <v>25.03.2022</v>
      </c>
      <c r="W6" s="519"/>
      <c r="X6" s="519" t="s">
        <v>110</v>
      </c>
    </row>
    <row r="7" spans="1:24" x14ac:dyDescent="0.3">
      <c r="A7" s="351" t="s">
        <v>378</v>
      </c>
      <c r="B7" s="351">
        <v>543</v>
      </c>
      <c r="C7" s="351" t="s">
        <v>392</v>
      </c>
      <c r="M7" s="415" t="str">
        <f>+M2</f>
        <v xml:space="preserve">Z64  </v>
      </c>
      <c r="O7" s="356">
        <v>30000000070</v>
      </c>
      <c r="P7" s="352">
        <f>ROUND('Calculo IP ZDF'!B31,2)</f>
        <v>4842</v>
      </c>
      <c r="Q7" s="351" t="s">
        <v>374</v>
      </c>
      <c r="R7" s="351">
        <v>1</v>
      </c>
      <c r="S7" s="351" t="s">
        <v>393</v>
      </c>
      <c r="T7" s="351" t="s">
        <v>376</v>
      </c>
      <c r="U7" s="355" t="str">
        <f t="shared" ref="U7:U10" si="2">+U6</f>
        <v>01.02.2022</v>
      </c>
      <c r="V7" s="355" t="str">
        <f t="shared" ref="V7:V21" si="3">+V6</f>
        <v>25.03.2022</v>
      </c>
      <c r="X7" s="372" t="s">
        <v>108</v>
      </c>
    </row>
    <row r="8" spans="1:24" x14ac:dyDescent="0.3">
      <c r="A8" s="351" t="s">
        <v>378</v>
      </c>
      <c r="B8" s="351">
        <v>543</v>
      </c>
      <c r="C8" s="351" t="s">
        <v>392</v>
      </c>
      <c r="M8" s="527" t="str">
        <f t="shared" ref="M8:M11" si="4">+M3</f>
        <v>Z51</v>
      </c>
      <c r="O8" s="356">
        <v>30000000070</v>
      </c>
      <c r="P8" s="352">
        <f>ROUND('Calculo IP ZDF'!B32,2)</f>
        <v>4842</v>
      </c>
      <c r="Q8" s="351" t="s">
        <v>374</v>
      </c>
      <c r="R8" s="351">
        <v>1</v>
      </c>
      <c r="S8" s="351" t="s">
        <v>393</v>
      </c>
      <c r="T8" s="351" t="s">
        <v>376</v>
      </c>
      <c r="U8" s="528" t="str">
        <f t="shared" si="2"/>
        <v>01.02.2022</v>
      </c>
      <c r="V8" s="528" t="str">
        <f t="shared" si="3"/>
        <v>25.03.2022</v>
      </c>
      <c r="X8" s="526" t="s">
        <v>483</v>
      </c>
    </row>
    <row r="9" spans="1:24" x14ac:dyDescent="0.3">
      <c r="A9" s="351" t="s">
        <v>378</v>
      </c>
      <c r="B9" s="351">
        <v>543</v>
      </c>
      <c r="C9" s="351" t="s">
        <v>392</v>
      </c>
      <c r="M9" s="522" t="str">
        <f t="shared" si="4"/>
        <v>Z65</v>
      </c>
      <c r="O9" s="356">
        <v>30000000070</v>
      </c>
      <c r="P9" s="352">
        <f>ROUND('Calculo IP ZDF'!B33,2)</f>
        <v>4842</v>
      </c>
      <c r="Q9" s="351" t="s">
        <v>374</v>
      </c>
      <c r="R9" s="351">
        <v>1</v>
      </c>
      <c r="S9" s="351" t="s">
        <v>393</v>
      </c>
      <c r="T9" s="351" t="s">
        <v>376</v>
      </c>
      <c r="U9" s="523" t="str">
        <f t="shared" si="2"/>
        <v>01.02.2022</v>
      </c>
      <c r="V9" s="523" t="str">
        <f t="shared" si="3"/>
        <v>25.03.2022</v>
      </c>
      <c r="X9" s="521" t="s">
        <v>481</v>
      </c>
    </row>
    <row r="10" spans="1:24" x14ac:dyDescent="0.3">
      <c r="A10" s="351" t="s">
        <v>378</v>
      </c>
      <c r="B10" s="351">
        <v>543</v>
      </c>
      <c r="C10" s="351" t="s">
        <v>392</v>
      </c>
      <c r="M10" s="524" t="str">
        <f t="shared" si="4"/>
        <v>Z73</v>
      </c>
      <c r="O10" s="356">
        <v>30000000070</v>
      </c>
      <c r="P10" s="352">
        <f>ROUND('Calculo IP ZDF'!B35,2)</f>
        <v>4303.09</v>
      </c>
      <c r="Q10" s="351" t="s">
        <v>374</v>
      </c>
      <c r="R10" s="351">
        <v>1</v>
      </c>
      <c r="S10" s="351" t="s">
        <v>393</v>
      </c>
      <c r="T10" s="351" t="s">
        <v>376</v>
      </c>
      <c r="U10" s="355" t="str">
        <f t="shared" si="2"/>
        <v>01.02.2022</v>
      </c>
      <c r="V10" s="355" t="str">
        <f t="shared" si="3"/>
        <v>25.03.2022</v>
      </c>
      <c r="X10" s="525" t="s">
        <v>482</v>
      </c>
    </row>
    <row r="11" spans="1:24" x14ac:dyDescent="0.3">
      <c r="A11" s="351" t="s">
        <v>378</v>
      </c>
      <c r="B11" s="351">
        <v>543</v>
      </c>
      <c r="C11" s="351" t="s">
        <v>392</v>
      </c>
      <c r="M11" s="520" t="str">
        <f t="shared" si="4"/>
        <v>Z62</v>
      </c>
      <c r="O11" s="356">
        <v>30000000070</v>
      </c>
      <c r="P11" s="352">
        <f>ROUND('Calculo IP ZDF'!B36,2)</f>
        <v>4835.22</v>
      </c>
      <c r="Q11" s="351" t="s">
        <v>374</v>
      </c>
      <c r="R11" s="351">
        <v>1</v>
      </c>
      <c r="S11" s="351" t="s">
        <v>393</v>
      </c>
      <c r="T11" s="351" t="s">
        <v>376</v>
      </c>
      <c r="U11" s="518" t="str">
        <f>+U10</f>
        <v>01.02.2022</v>
      </c>
      <c r="V11" s="518" t="str">
        <f t="shared" si="3"/>
        <v>25.03.2022</v>
      </c>
      <c r="W11" s="519"/>
      <c r="X11" s="519" t="s">
        <v>110</v>
      </c>
    </row>
    <row r="12" spans="1:24" x14ac:dyDescent="0.3">
      <c r="A12" s="351" t="s">
        <v>372</v>
      </c>
      <c r="B12" s="351">
        <v>543</v>
      </c>
      <c r="C12" s="351" t="s">
        <v>392</v>
      </c>
      <c r="F12" s="351" t="s">
        <v>158</v>
      </c>
      <c r="M12" s="415" t="str">
        <f t="shared" ref="M12:M21" si="5">+M2</f>
        <v xml:space="preserve">Z64  </v>
      </c>
      <c r="O12" s="369">
        <v>30000002129</v>
      </c>
      <c r="P12" s="352">
        <f>ROUND('Calculo IP ZDF'!D31,2)</f>
        <v>4096.84</v>
      </c>
      <c r="Q12" s="351" t="s">
        <v>374</v>
      </c>
      <c r="R12" s="351">
        <v>1</v>
      </c>
      <c r="S12" s="351" t="s">
        <v>393</v>
      </c>
      <c r="T12" s="351" t="s">
        <v>376</v>
      </c>
      <c r="U12" s="355" t="str">
        <f t="shared" ref="U12:U16" si="6">+U11</f>
        <v>01.02.2022</v>
      </c>
      <c r="V12" s="355" t="str">
        <f t="shared" si="3"/>
        <v>25.03.2022</v>
      </c>
      <c r="X12" s="372" t="s">
        <v>108</v>
      </c>
    </row>
    <row r="13" spans="1:24" x14ac:dyDescent="0.3">
      <c r="A13" s="351" t="s">
        <v>372</v>
      </c>
      <c r="B13" s="351">
        <v>543</v>
      </c>
      <c r="C13" s="351" t="s">
        <v>392</v>
      </c>
      <c r="M13" s="527" t="str">
        <f t="shared" si="5"/>
        <v>Z51</v>
      </c>
      <c r="O13" s="369">
        <v>30000002129</v>
      </c>
      <c r="P13" s="352">
        <f>ROUND('Calculo IP ZDF'!D32,2)</f>
        <v>4096.84</v>
      </c>
      <c r="Q13" s="351" t="s">
        <v>374</v>
      </c>
      <c r="R13" s="351">
        <v>1</v>
      </c>
      <c r="S13" s="351" t="s">
        <v>393</v>
      </c>
      <c r="T13" s="351" t="s">
        <v>376</v>
      </c>
      <c r="U13" s="528" t="str">
        <f t="shared" si="6"/>
        <v>01.02.2022</v>
      </c>
      <c r="V13" s="528" t="str">
        <f t="shared" si="3"/>
        <v>25.03.2022</v>
      </c>
      <c r="X13" s="526" t="s">
        <v>483</v>
      </c>
    </row>
    <row r="14" spans="1:24" x14ac:dyDescent="0.3">
      <c r="A14" s="351" t="s">
        <v>372</v>
      </c>
      <c r="B14" s="351">
        <v>543</v>
      </c>
      <c r="C14" s="351" t="s">
        <v>392</v>
      </c>
      <c r="M14" s="522" t="str">
        <f t="shared" si="5"/>
        <v>Z65</v>
      </c>
      <c r="O14" s="369">
        <v>30000002129</v>
      </c>
      <c r="P14" s="352">
        <f>ROUND('Calculo IP ZDF'!D33,2)</f>
        <v>3863.32</v>
      </c>
      <c r="Q14" s="351" t="s">
        <v>374</v>
      </c>
      <c r="R14" s="351">
        <v>1</v>
      </c>
      <c r="S14" s="351" t="s">
        <v>393</v>
      </c>
      <c r="T14" s="351" t="s">
        <v>376</v>
      </c>
      <c r="U14" s="523" t="str">
        <f t="shared" si="6"/>
        <v>01.02.2022</v>
      </c>
      <c r="V14" s="523" t="str">
        <f t="shared" si="3"/>
        <v>25.03.2022</v>
      </c>
      <c r="X14" s="521" t="s">
        <v>481</v>
      </c>
    </row>
    <row r="15" spans="1:24" x14ac:dyDescent="0.3">
      <c r="A15" s="351" t="s">
        <v>372</v>
      </c>
      <c r="B15" s="351">
        <v>543</v>
      </c>
      <c r="C15" s="351" t="s">
        <v>392</v>
      </c>
      <c r="M15" s="524" t="str">
        <f t="shared" si="5"/>
        <v>Z73</v>
      </c>
      <c r="O15" s="369">
        <v>30000002129</v>
      </c>
      <c r="P15" s="352">
        <f>ROUND('Calculo IP ZDF'!D35,2)</f>
        <v>3769.09</v>
      </c>
      <c r="Q15" s="351" t="s">
        <v>374</v>
      </c>
      <c r="R15" s="351">
        <v>1</v>
      </c>
      <c r="S15" s="351" t="s">
        <v>393</v>
      </c>
      <c r="T15" s="351" t="s">
        <v>376</v>
      </c>
      <c r="U15" s="355" t="str">
        <f t="shared" si="6"/>
        <v>01.02.2022</v>
      </c>
      <c r="V15" s="355" t="str">
        <f t="shared" si="3"/>
        <v>25.03.2022</v>
      </c>
      <c r="X15" s="525" t="s">
        <v>482</v>
      </c>
    </row>
    <row r="16" spans="1:24" x14ac:dyDescent="0.3">
      <c r="A16" s="351" t="s">
        <v>372</v>
      </c>
      <c r="B16" s="351">
        <v>543</v>
      </c>
      <c r="C16" s="351" t="s">
        <v>392</v>
      </c>
      <c r="M16" s="520" t="str">
        <f t="shared" si="5"/>
        <v>Z62</v>
      </c>
      <c r="O16" s="369">
        <v>30000002129</v>
      </c>
      <c r="P16" s="352">
        <f>ROUND('Calculo IP ZDF'!D36,2)</f>
        <v>3854.31</v>
      </c>
      <c r="Q16" s="351" t="s">
        <v>374</v>
      </c>
      <c r="R16" s="351">
        <v>1</v>
      </c>
      <c r="S16" s="351" t="s">
        <v>393</v>
      </c>
      <c r="T16" s="351" t="s">
        <v>376</v>
      </c>
      <c r="U16" s="518" t="str">
        <f t="shared" si="6"/>
        <v>01.02.2022</v>
      </c>
      <c r="V16" s="518" t="str">
        <f t="shared" si="3"/>
        <v>25.03.2022</v>
      </c>
      <c r="W16" s="519"/>
      <c r="X16" s="519" t="s">
        <v>110</v>
      </c>
    </row>
    <row r="17" spans="1:25" x14ac:dyDescent="0.3">
      <c r="A17" s="351" t="s">
        <v>377</v>
      </c>
      <c r="B17" s="351">
        <v>543</v>
      </c>
      <c r="C17" s="351" t="s">
        <v>392</v>
      </c>
      <c r="F17" s="351" t="s">
        <v>158</v>
      </c>
      <c r="M17" s="415" t="str">
        <f t="shared" si="5"/>
        <v xml:space="preserve">Z64  </v>
      </c>
      <c r="O17" s="369">
        <v>30000002129</v>
      </c>
      <c r="P17" s="352">
        <f>ROUND('Calculo IP ZDF'!E31,2)</f>
        <v>469.58</v>
      </c>
      <c r="Q17" s="351" t="s">
        <v>374</v>
      </c>
      <c r="R17" s="351">
        <v>1</v>
      </c>
      <c r="S17" s="351" t="s">
        <v>393</v>
      </c>
      <c r="T17" s="351" t="s">
        <v>376</v>
      </c>
      <c r="U17" s="355" t="str">
        <f t="shared" ref="U17:U21" si="7">+U16</f>
        <v>01.02.2022</v>
      </c>
      <c r="V17" s="355" t="str">
        <f t="shared" si="3"/>
        <v>25.03.2022</v>
      </c>
      <c r="X17" s="372" t="s">
        <v>108</v>
      </c>
    </row>
    <row r="18" spans="1:25" x14ac:dyDescent="0.3">
      <c r="A18" s="351" t="s">
        <v>377</v>
      </c>
      <c r="B18" s="351">
        <v>543</v>
      </c>
      <c r="C18" s="351" t="s">
        <v>392</v>
      </c>
      <c r="M18" s="527" t="str">
        <f t="shared" si="5"/>
        <v>Z51</v>
      </c>
      <c r="O18" s="369">
        <v>30000002129</v>
      </c>
      <c r="P18" s="352">
        <f>ROUND('Calculo IP ZDF'!E32,2)</f>
        <v>469.58</v>
      </c>
      <c r="Q18" s="351" t="s">
        <v>374</v>
      </c>
      <c r="R18" s="351">
        <v>1</v>
      </c>
      <c r="S18" s="351" t="s">
        <v>393</v>
      </c>
      <c r="T18" s="351" t="s">
        <v>376</v>
      </c>
      <c r="U18" s="528" t="str">
        <f t="shared" si="7"/>
        <v>01.02.2022</v>
      </c>
      <c r="V18" s="528" t="str">
        <f t="shared" si="3"/>
        <v>25.03.2022</v>
      </c>
      <c r="X18" s="526" t="s">
        <v>483</v>
      </c>
    </row>
    <row r="19" spans="1:25" x14ac:dyDescent="0.3">
      <c r="A19" s="351" t="s">
        <v>377</v>
      </c>
      <c r="B19" s="351">
        <v>543</v>
      </c>
      <c r="C19" s="351" t="s">
        <v>392</v>
      </c>
      <c r="M19" s="522" t="str">
        <f t="shared" si="5"/>
        <v>Z65</v>
      </c>
      <c r="O19" s="369">
        <v>30000002129</v>
      </c>
      <c r="P19" s="352">
        <f>ROUND('Calculo IP ZDF'!E33,2)</f>
        <v>469.58</v>
      </c>
      <c r="Q19" s="351" t="s">
        <v>374</v>
      </c>
      <c r="R19" s="351">
        <v>1</v>
      </c>
      <c r="S19" s="351" t="s">
        <v>393</v>
      </c>
      <c r="T19" s="351" t="s">
        <v>376</v>
      </c>
      <c r="U19" s="523" t="str">
        <f t="shared" si="7"/>
        <v>01.02.2022</v>
      </c>
      <c r="V19" s="523" t="str">
        <f t="shared" si="3"/>
        <v>25.03.2022</v>
      </c>
      <c r="X19" s="521" t="s">
        <v>481</v>
      </c>
    </row>
    <row r="20" spans="1:25" x14ac:dyDescent="0.3">
      <c r="A20" s="351" t="s">
        <v>377</v>
      </c>
      <c r="B20" s="351">
        <v>543</v>
      </c>
      <c r="C20" s="351" t="s">
        <v>392</v>
      </c>
      <c r="M20" s="524" t="str">
        <f t="shared" si="5"/>
        <v>Z73</v>
      </c>
      <c r="O20" s="369">
        <v>30000002129</v>
      </c>
      <c r="P20" s="352">
        <f>ROUND('Calculo IP ZDF'!E35,2)</f>
        <v>469.58</v>
      </c>
      <c r="Q20" s="351" t="s">
        <v>374</v>
      </c>
      <c r="R20" s="351">
        <v>1</v>
      </c>
      <c r="S20" s="351" t="s">
        <v>393</v>
      </c>
      <c r="T20" s="351" t="s">
        <v>376</v>
      </c>
      <c r="U20" s="355" t="str">
        <f t="shared" si="7"/>
        <v>01.02.2022</v>
      </c>
      <c r="V20" s="355" t="str">
        <f t="shared" si="3"/>
        <v>25.03.2022</v>
      </c>
      <c r="X20" s="525" t="s">
        <v>482</v>
      </c>
    </row>
    <row r="21" spans="1:25" x14ac:dyDescent="0.3">
      <c r="A21" s="351" t="s">
        <v>377</v>
      </c>
      <c r="B21" s="351">
        <v>543</v>
      </c>
      <c r="C21" s="351" t="s">
        <v>392</v>
      </c>
      <c r="M21" s="520" t="str">
        <f t="shared" si="5"/>
        <v>Z62</v>
      </c>
      <c r="O21" s="369">
        <v>30000002129</v>
      </c>
      <c r="P21" s="352">
        <f>ROUND('Calculo IP ZDF'!E36,2)</f>
        <v>469.58</v>
      </c>
      <c r="Q21" s="351" t="s">
        <v>374</v>
      </c>
      <c r="R21" s="351">
        <v>1</v>
      </c>
      <c r="S21" s="351" t="s">
        <v>393</v>
      </c>
      <c r="T21" s="351" t="s">
        <v>376</v>
      </c>
      <c r="U21" s="518" t="str">
        <f t="shared" si="7"/>
        <v>01.02.2022</v>
      </c>
      <c r="V21" s="518" t="str">
        <f t="shared" si="3"/>
        <v>25.03.2022</v>
      </c>
      <c r="W21" s="519"/>
      <c r="X21" s="519" t="s">
        <v>110</v>
      </c>
    </row>
    <row r="22" spans="1:25" x14ac:dyDescent="0.3">
      <c r="A22" s="555" t="s">
        <v>378</v>
      </c>
      <c r="B22" s="555">
        <v>549</v>
      </c>
      <c r="C22" s="555" t="s">
        <v>392</v>
      </c>
      <c r="D22" s="555"/>
      <c r="E22" s="555"/>
      <c r="F22" s="555"/>
      <c r="G22" s="555"/>
      <c r="H22" s="555"/>
      <c r="I22" s="555">
        <v>9000014799</v>
      </c>
      <c r="J22" s="555"/>
      <c r="K22" s="555"/>
      <c r="L22" s="555"/>
      <c r="M22" s="556" t="str">
        <f>+M21</f>
        <v>Z62</v>
      </c>
      <c r="N22" s="555"/>
      <c r="O22" s="555">
        <v>30000000003</v>
      </c>
      <c r="P22" s="557">
        <f>ROUND('Calculo IP ZDF'!C36,2)</f>
        <v>3932.97</v>
      </c>
      <c r="Q22" s="555" t="s">
        <v>374</v>
      </c>
      <c r="R22" s="555">
        <v>1</v>
      </c>
      <c r="S22" s="555" t="s">
        <v>393</v>
      </c>
      <c r="T22" s="555" t="s">
        <v>376</v>
      </c>
      <c r="U22" s="558" t="str">
        <f>+U21</f>
        <v>01.02.2022</v>
      </c>
      <c r="V22" s="558" t="str">
        <f>+V21</f>
        <v>25.03.2022</v>
      </c>
      <c r="W22" s="399" t="s">
        <v>407</v>
      </c>
      <c r="X22" s="400"/>
      <c r="Y22" s="400"/>
    </row>
    <row r="27" spans="1:25" x14ac:dyDescent="0.3">
      <c r="I27" s="372" t="s">
        <v>438</v>
      </c>
      <c r="J27" s="372"/>
      <c r="K27" s="372"/>
      <c r="L27" s="372"/>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3203125" defaultRowHeight="14.4" x14ac:dyDescent="0.3"/>
  <cols>
    <col min="1" max="1" width="0" style="2" hidden="1" customWidth="1"/>
    <col min="2" max="2" width="11.33203125" style="2"/>
    <col min="3" max="3" width="3.88671875" style="2" customWidth="1"/>
    <col min="4" max="4" width="81.21875" style="2" customWidth="1"/>
    <col min="5" max="5" width="15.88671875" style="3" customWidth="1"/>
    <col min="6" max="6" width="21.21875" style="2" customWidth="1"/>
    <col min="7" max="10" width="11.33203125" style="2"/>
    <col min="11" max="11" width="12.88671875" style="2" customWidth="1"/>
    <col min="12" max="16384" width="11.33203125" style="2"/>
  </cols>
  <sheetData>
    <row r="2" spans="2:12" ht="36.6" x14ac:dyDescent="0.7">
      <c r="B2" s="1">
        <v>3</v>
      </c>
      <c r="D2" s="2" t="s">
        <v>13</v>
      </c>
    </row>
    <row r="4" spans="2:12" ht="21" x14ac:dyDescent="0.4">
      <c r="D4" s="4" t="s">
        <v>0</v>
      </c>
      <c r="E4" s="5" t="s">
        <v>1</v>
      </c>
      <c r="F4" s="6" t="s">
        <v>2</v>
      </c>
    </row>
    <row r="5" spans="2:12" ht="21" x14ac:dyDescent="0.4">
      <c r="D5" s="4"/>
      <c r="E5" s="5"/>
      <c r="F5" s="6" t="s">
        <v>14</v>
      </c>
    </row>
    <row r="6" spans="2:12" x14ac:dyDescent="0.3">
      <c r="D6" s="11" t="s">
        <v>15</v>
      </c>
      <c r="E6" s="7" t="s">
        <v>16</v>
      </c>
      <c r="F6" s="789" t="s">
        <v>17</v>
      </c>
      <c r="G6" s="789"/>
      <c r="H6" s="789"/>
      <c r="I6" s="789"/>
      <c r="J6" s="789"/>
      <c r="K6" s="8">
        <v>4169.6138703799988</v>
      </c>
      <c r="L6" s="13"/>
    </row>
    <row r="7" spans="2:12" x14ac:dyDescent="0.3">
      <c r="D7" s="11" t="s">
        <v>18</v>
      </c>
      <c r="E7" s="7" t="s">
        <v>19</v>
      </c>
      <c r="F7" s="789" t="s">
        <v>17</v>
      </c>
      <c r="G7" s="789"/>
      <c r="H7" s="789"/>
      <c r="I7" s="789"/>
      <c r="J7" s="789"/>
      <c r="K7" s="8">
        <v>4923.01</v>
      </c>
      <c r="L7" s="13"/>
    </row>
    <row r="10" spans="2:12" ht="21" x14ac:dyDescent="0.4">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1" x14ac:dyDescent="0.4">
      <c r="D19" s="790" t="s">
        <v>9</v>
      </c>
      <c r="E19" s="791" t="s">
        <v>1</v>
      </c>
      <c r="F19" s="792" t="s">
        <v>2</v>
      </c>
      <c r="G19" s="793"/>
      <c r="H19" s="793"/>
      <c r="I19" s="793"/>
      <c r="J19" s="794"/>
    </row>
    <row r="20" spans="4:12" ht="21" x14ac:dyDescent="0.4">
      <c r="D20" s="790"/>
      <c r="E20" s="791"/>
      <c r="F20" s="795" t="s">
        <v>23</v>
      </c>
      <c r="G20" s="796"/>
      <c r="H20" s="796"/>
      <c r="I20" s="796"/>
      <c r="J20" s="797"/>
    </row>
    <row r="21" spans="4:12" x14ac:dyDescent="0.3">
      <c r="D21" s="12" t="s">
        <v>24</v>
      </c>
      <c r="E21" s="14" t="s">
        <v>10</v>
      </c>
      <c r="F21" s="789" t="s">
        <v>25</v>
      </c>
      <c r="G21" s="789"/>
      <c r="H21" s="789"/>
      <c r="I21" s="789"/>
      <c r="J21" s="789"/>
      <c r="K21" s="15">
        <v>4915.26</v>
      </c>
      <c r="L21" s="2" t="s">
        <v>325</v>
      </c>
    </row>
    <row r="22" spans="4:12" x14ac:dyDescent="0.3">
      <c r="D22" s="12" t="s">
        <v>26</v>
      </c>
      <c r="E22" s="14" t="s">
        <v>11</v>
      </c>
      <c r="F22" s="789" t="s">
        <v>27</v>
      </c>
      <c r="G22" s="789"/>
      <c r="H22" s="789"/>
      <c r="I22" s="789"/>
      <c r="J22" s="789"/>
      <c r="K22" s="15">
        <v>203.74</v>
      </c>
      <c r="L22" s="2" t="s">
        <v>325</v>
      </c>
    </row>
    <row r="23" spans="4:12" x14ac:dyDescent="0.3">
      <c r="D23" s="12" t="s">
        <v>28</v>
      </c>
      <c r="E23" s="14" t="s">
        <v>4</v>
      </c>
      <c r="F23" s="789" t="s">
        <v>29</v>
      </c>
      <c r="G23" s="789"/>
      <c r="H23" s="789"/>
      <c r="I23" s="789"/>
      <c r="J23" s="789"/>
      <c r="K23" s="15">
        <v>4923.01</v>
      </c>
      <c r="L23" s="2" t="s">
        <v>325</v>
      </c>
    </row>
    <row r="24" spans="4:12" x14ac:dyDescent="0.3">
      <c r="D24" s="12" t="s">
        <v>30</v>
      </c>
      <c r="E24" s="14" t="s">
        <v>3</v>
      </c>
      <c r="F24" s="789" t="s">
        <v>29</v>
      </c>
      <c r="G24" s="789"/>
      <c r="H24" s="789"/>
      <c r="I24" s="789"/>
      <c r="J24" s="789"/>
      <c r="K24" s="15">
        <v>5015.57</v>
      </c>
      <c r="L24" s="2" t="s">
        <v>327</v>
      </c>
    </row>
    <row r="25" spans="4:12" x14ac:dyDescent="0.3">
      <c r="D25" s="12" t="s">
        <v>31</v>
      </c>
      <c r="E25" s="14" t="s">
        <v>12</v>
      </c>
      <c r="F25" s="789" t="s">
        <v>32</v>
      </c>
      <c r="G25" s="789"/>
      <c r="H25" s="789"/>
      <c r="I25" s="789"/>
      <c r="J25" s="789"/>
      <c r="K25" s="15">
        <v>4254.7080309999992</v>
      </c>
      <c r="L25" s="342" t="s">
        <v>325</v>
      </c>
    </row>
    <row r="26" spans="4:12" x14ac:dyDescent="0.3">
      <c r="D26" s="12" t="s">
        <v>33</v>
      </c>
      <c r="E26" s="14" t="s">
        <v>34</v>
      </c>
      <c r="F26" s="789" t="s">
        <v>32</v>
      </c>
      <c r="G26" s="789"/>
      <c r="H26" s="789"/>
      <c r="I26" s="789"/>
      <c r="J26" s="789"/>
      <c r="K26" s="15">
        <v>4391.8172209999993</v>
      </c>
      <c r="L26" s="2" t="s">
        <v>325</v>
      </c>
    </row>
    <row r="27" spans="4:12" ht="15" customHeight="1" x14ac:dyDescent="0.3">
      <c r="D27" s="12" t="s">
        <v>35</v>
      </c>
      <c r="E27" s="14" t="s">
        <v>36</v>
      </c>
      <c r="F27" s="789" t="s">
        <v>32</v>
      </c>
      <c r="G27" s="789"/>
      <c r="H27" s="789"/>
      <c r="I27" s="789"/>
      <c r="J27" s="789"/>
      <c r="K27" s="15">
        <v>4384.4327060000005</v>
      </c>
      <c r="L27" s="2" t="s">
        <v>325</v>
      </c>
    </row>
    <row r="28" spans="4:12" ht="15" customHeight="1" x14ac:dyDescent="0.3">
      <c r="D28" s="12" t="s">
        <v>37</v>
      </c>
      <c r="E28" s="14" t="s">
        <v>38</v>
      </c>
      <c r="F28" s="789" t="s">
        <v>32</v>
      </c>
      <c r="G28" s="789"/>
      <c r="H28" s="789"/>
      <c r="I28" s="789"/>
      <c r="J28" s="789"/>
      <c r="K28" s="15">
        <v>4505.5387520000004</v>
      </c>
      <c r="L28" s="2" t="s">
        <v>325</v>
      </c>
    </row>
    <row r="29" spans="4:12" ht="15" customHeight="1" x14ac:dyDescent="0.3">
      <c r="D29" s="12" t="s">
        <v>39</v>
      </c>
      <c r="E29" s="14" t="s">
        <v>40</v>
      </c>
      <c r="F29" s="789" t="s">
        <v>32</v>
      </c>
      <c r="G29" s="789"/>
      <c r="H29" s="789"/>
      <c r="I29" s="789"/>
      <c r="J29" s="789"/>
      <c r="K29" s="15">
        <v>4234.7732020000003</v>
      </c>
      <c r="L29" s="2" t="s">
        <v>325</v>
      </c>
    </row>
    <row r="30" spans="4:12" x14ac:dyDescent="0.3">
      <c r="D30" s="12" t="s">
        <v>41</v>
      </c>
      <c r="E30" s="14" t="s">
        <v>42</v>
      </c>
      <c r="F30" s="789" t="s">
        <v>32</v>
      </c>
      <c r="G30" s="789"/>
      <c r="H30" s="789"/>
      <c r="I30" s="789"/>
      <c r="J30" s="789"/>
      <c r="K30" s="15">
        <v>4923.01</v>
      </c>
      <c r="L30" s="2" t="s">
        <v>325</v>
      </c>
    </row>
    <row r="31" spans="4:12" x14ac:dyDescent="0.3">
      <c r="D31" s="12" t="s">
        <v>43</v>
      </c>
      <c r="E31" s="14" t="s">
        <v>4</v>
      </c>
      <c r="F31" s="789" t="s">
        <v>29</v>
      </c>
      <c r="G31" s="789"/>
      <c r="H31" s="789"/>
      <c r="I31" s="789"/>
      <c r="J31" s="789"/>
      <c r="K31" s="15">
        <v>4923.01</v>
      </c>
      <c r="L31" s="2" t="s">
        <v>325</v>
      </c>
    </row>
    <row r="32" spans="4:12" x14ac:dyDescent="0.3">
      <c r="D32" s="12" t="s">
        <v>44</v>
      </c>
      <c r="E32" s="14" t="s">
        <v>40</v>
      </c>
      <c r="F32" s="789" t="s">
        <v>45</v>
      </c>
      <c r="G32" s="789"/>
      <c r="H32" s="789"/>
      <c r="I32" s="789"/>
      <c r="J32" s="789"/>
      <c r="K32" s="15">
        <v>4923.01</v>
      </c>
      <c r="L32" s="2" t="s">
        <v>325</v>
      </c>
    </row>
    <row r="33" spans="4:12" x14ac:dyDescent="0.3">
      <c r="D33" s="12" t="s">
        <v>46</v>
      </c>
      <c r="E33" s="14" t="s">
        <v>47</v>
      </c>
      <c r="F33" s="789" t="s">
        <v>32</v>
      </c>
      <c r="G33" s="789"/>
      <c r="H33" s="789"/>
      <c r="I33" s="789"/>
      <c r="J33" s="789"/>
      <c r="K33" s="15">
        <v>4056.8112165399998</v>
      </c>
      <c r="L33" s="2" t="s">
        <v>327</v>
      </c>
    </row>
    <row r="34" spans="4:12" x14ac:dyDescent="0.3">
      <c r="D34" s="12" t="s">
        <v>48</v>
      </c>
      <c r="E34" s="14">
        <v>0</v>
      </c>
      <c r="F34" s="789"/>
      <c r="G34" s="789"/>
      <c r="H34" s="789"/>
      <c r="I34" s="789"/>
      <c r="J34" s="789"/>
      <c r="K34" s="15"/>
      <c r="L34" s="2" t="s">
        <v>325</v>
      </c>
    </row>
    <row r="35" spans="4:12" x14ac:dyDescent="0.3">
      <c r="D35" s="12" t="s">
        <v>49</v>
      </c>
      <c r="E35" s="14" t="s">
        <v>50</v>
      </c>
      <c r="F35" s="789" t="s">
        <v>32</v>
      </c>
      <c r="G35" s="789"/>
      <c r="H35" s="789"/>
      <c r="I35" s="789"/>
      <c r="J35" s="789"/>
      <c r="K35" s="15">
        <v>3853.07121654</v>
      </c>
      <c r="L35" s="2" t="s">
        <v>325</v>
      </c>
    </row>
    <row r="36" spans="4:12" x14ac:dyDescent="0.3">
      <c r="D36" s="12" t="s">
        <v>51</v>
      </c>
      <c r="E36" s="14" t="s">
        <v>52</v>
      </c>
      <c r="F36" s="789" t="s">
        <v>32</v>
      </c>
      <c r="G36" s="789"/>
      <c r="H36" s="789"/>
      <c r="I36" s="789"/>
      <c r="J36" s="789"/>
      <c r="K36" s="15">
        <v>203.74</v>
      </c>
      <c r="L36" s="2" t="s">
        <v>325</v>
      </c>
    </row>
    <row r="37" spans="4:12" x14ac:dyDescent="0.3">
      <c r="D37" s="12" t="s">
        <v>53</v>
      </c>
      <c r="E37" s="14" t="s">
        <v>54</v>
      </c>
      <c r="F37" s="789" t="s">
        <v>55</v>
      </c>
      <c r="G37" s="789"/>
      <c r="H37" s="789"/>
      <c r="I37" s="789"/>
      <c r="J37" s="789"/>
      <c r="K37" s="15">
        <v>4345.8234222199999</v>
      </c>
      <c r="L37" s="16" t="s">
        <v>326</v>
      </c>
    </row>
    <row r="38" spans="4:12" x14ac:dyDescent="0.3">
      <c r="D38" s="12" t="s">
        <v>56</v>
      </c>
      <c r="E38" s="14" t="s">
        <v>57</v>
      </c>
      <c r="F38" s="789" t="s">
        <v>55</v>
      </c>
      <c r="G38" s="789"/>
      <c r="H38" s="789"/>
      <c r="I38" s="789"/>
      <c r="J38" s="789"/>
      <c r="K38" s="15">
        <v>4142.0884222200002</v>
      </c>
      <c r="L38" s="2" t="s">
        <v>325</v>
      </c>
    </row>
    <row r="39" spans="4:12" x14ac:dyDescent="0.3">
      <c r="D39" s="12" t="s">
        <v>58</v>
      </c>
      <c r="E39" s="14" t="s">
        <v>59</v>
      </c>
      <c r="F39" s="789" t="s">
        <v>55</v>
      </c>
      <c r="G39" s="789"/>
      <c r="H39" s="789"/>
      <c r="I39" s="789"/>
      <c r="J39" s="789"/>
      <c r="K39" s="15">
        <v>203.73500000000001</v>
      </c>
      <c r="L39" s="2" t="s">
        <v>325</v>
      </c>
    </row>
    <row r="40" spans="4:12" x14ac:dyDescent="0.3">
      <c r="D40" s="12" t="s">
        <v>60</v>
      </c>
      <c r="E40" s="14" t="s">
        <v>61</v>
      </c>
      <c r="F40" s="789" t="s">
        <v>62</v>
      </c>
      <c r="G40" s="789"/>
      <c r="H40" s="789"/>
      <c r="I40" s="789"/>
      <c r="J40" s="789"/>
      <c r="K40" s="15">
        <v>4180.670733259999</v>
      </c>
      <c r="L40" s="16" t="s">
        <v>326</v>
      </c>
    </row>
    <row r="41" spans="4:12" x14ac:dyDescent="0.3">
      <c r="D41" s="12" t="s">
        <v>63</v>
      </c>
      <c r="E41" s="14" t="s">
        <v>64</v>
      </c>
      <c r="F41" s="789" t="s">
        <v>62</v>
      </c>
      <c r="G41" s="789"/>
      <c r="H41" s="789"/>
      <c r="I41" s="789"/>
      <c r="J41" s="789"/>
      <c r="K41" s="15">
        <v>3976.9357332599993</v>
      </c>
      <c r="L41" s="17" t="s">
        <v>325</v>
      </c>
    </row>
    <row r="42" spans="4:12" x14ac:dyDescent="0.3">
      <c r="D42" s="12" t="s">
        <v>65</v>
      </c>
      <c r="E42" s="14" t="s">
        <v>66</v>
      </c>
      <c r="F42" s="789" t="s">
        <v>62</v>
      </c>
      <c r="G42" s="789"/>
      <c r="H42" s="789"/>
      <c r="I42" s="789"/>
      <c r="J42" s="789"/>
      <c r="K42" s="15">
        <v>203.73500000000001</v>
      </c>
      <c r="L42" s="2" t="s">
        <v>325</v>
      </c>
    </row>
    <row r="43" spans="4:12" x14ac:dyDescent="0.3">
      <c r="D43" s="12" t="s">
        <v>67</v>
      </c>
      <c r="E43" s="14" t="s">
        <v>68</v>
      </c>
      <c r="F43" s="789" t="s">
        <v>69</v>
      </c>
      <c r="G43" s="789"/>
      <c r="H43" s="789"/>
      <c r="I43" s="789"/>
      <c r="J43" s="789"/>
      <c r="K43" s="15">
        <v>4373.3488703799985</v>
      </c>
      <c r="L43" s="16" t="s">
        <v>325</v>
      </c>
    </row>
    <row r="44" spans="4:12" x14ac:dyDescent="0.3">
      <c r="D44" s="12" t="s">
        <v>70</v>
      </c>
      <c r="E44" s="14" t="s">
        <v>16</v>
      </c>
      <c r="F44" s="789" t="s">
        <v>69</v>
      </c>
      <c r="G44" s="789"/>
      <c r="H44" s="789"/>
      <c r="I44" s="789"/>
      <c r="J44" s="789"/>
      <c r="K44" s="15">
        <v>4169.6138703799988</v>
      </c>
      <c r="L44" s="2" t="s">
        <v>325</v>
      </c>
    </row>
    <row r="45" spans="4:12" x14ac:dyDescent="0.3">
      <c r="D45" s="12" t="s">
        <v>71</v>
      </c>
      <c r="E45" s="14" t="s">
        <v>72</v>
      </c>
      <c r="F45" s="789" t="s">
        <v>69</v>
      </c>
      <c r="G45" s="789"/>
      <c r="H45" s="789"/>
      <c r="I45" s="789"/>
      <c r="J45" s="789"/>
      <c r="K45" s="15">
        <v>203.73500000000001</v>
      </c>
      <c r="L45" s="2" t="s">
        <v>325</v>
      </c>
    </row>
    <row r="46" spans="4:12" x14ac:dyDescent="0.3">
      <c r="D46" s="12" t="s">
        <v>73</v>
      </c>
      <c r="E46" s="10">
        <v>0</v>
      </c>
      <c r="F46" s="789"/>
      <c r="G46" s="789"/>
      <c r="H46" s="789"/>
      <c r="I46" s="789"/>
      <c r="J46" s="789"/>
      <c r="K46" s="15"/>
      <c r="L46" s="2" t="s">
        <v>327</v>
      </c>
    </row>
    <row r="47" spans="4:12" x14ac:dyDescent="0.3">
      <c r="D47" s="341" t="s">
        <v>328</v>
      </c>
      <c r="E47" s="18"/>
      <c r="F47" s="2" t="s">
        <v>329</v>
      </c>
      <c r="K47" s="2">
        <f>+'Calculo IP ZDF'!C36</f>
        <v>3932.9673599999996</v>
      </c>
      <c r="L47" s="2" t="s">
        <v>325</v>
      </c>
    </row>
    <row r="48" spans="4:12" x14ac:dyDescent="0.3">
      <c r="D48" s="341" t="s">
        <v>330</v>
      </c>
      <c r="E48" s="18"/>
      <c r="F48" s="2" t="s">
        <v>331</v>
      </c>
      <c r="K48" s="2">
        <f>+'Calculo IP ZDF'!C32</f>
        <v>4180.45</v>
      </c>
      <c r="L48" s="342" t="s">
        <v>325</v>
      </c>
    </row>
    <row r="49" spans="4:12" x14ac:dyDescent="0.3">
      <c r="D49" s="340" t="s">
        <v>332</v>
      </c>
      <c r="K49" s="2">
        <f>+'Calculo IP ZDF'!C35</f>
        <v>3846.0140000000001</v>
      </c>
      <c r="L49" s="342" t="s">
        <v>325</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V52"/>
  <sheetViews>
    <sheetView topLeftCell="A19" zoomScale="85" zoomScaleNormal="85" workbookViewId="0">
      <selection activeCell="AC19" sqref="AC19"/>
    </sheetView>
  </sheetViews>
  <sheetFormatPr baseColWidth="10" defaultRowHeight="14.4" x14ac:dyDescent="0.3"/>
  <cols>
    <col min="1" max="1" width="28.21875" customWidth="1"/>
    <col min="2" max="2" width="11.6640625" customWidth="1"/>
    <col min="4" max="5" width="11.33203125" customWidth="1"/>
    <col min="6" max="6" width="15.5546875" customWidth="1"/>
    <col min="7" max="7" width="14.33203125" customWidth="1"/>
    <col min="8" max="8" width="16.88671875" customWidth="1"/>
    <col min="9" max="9" width="14.21875" customWidth="1"/>
    <col min="10" max="10" width="22.88671875" customWidth="1"/>
    <col min="11" max="11" width="22.88671875" style="685" customWidth="1"/>
    <col min="12" max="12" width="19.77734375" customWidth="1"/>
    <col min="13" max="13" width="16.109375" customWidth="1"/>
    <col min="14" max="14" width="14.44140625" customWidth="1"/>
    <col min="15" max="15" width="13.77734375" customWidth="1"/>
    <col min="16" max="16" width="27.6640625" customWidth="1"/>
  </cols>
  <sheetData>
    <row r="1" spans="1:18" x14ac:dyDescent="0.3">
      <c r="A1" s="345"/>
      <c r="R1" t="s">
        <v>158</v>
      </c>
    </row>
    <row r="2" spans="1:18" x14ac:dyDescent="0.3">
      <c r="A2" s="799" t="s">
        <v>120</v>
      </c>
      <c r="B2" s="798" t="s">
        <v>119</v>
      </c>
      <c r="C2" s="798"/>
      <c r="G2" t="s">
        <v>158</v>
      </c>
    </row>
    <row r="3" spans="1:18" x14ac:dyDescent="0.3">
      <c r="A3" s="799"/>
      <c r="B3" s="346" t="s">
        <v>418</v>
      </c>
      <c r="C3" s="347" t="s">
        <v>106</v>
      </c>
    </row>
    <row r="4" spans="1:18" x14ac:dyDescent="0.3">
      <c r="A4" s="21" t="s">
        <v>107</v>
      </c>
      <c r="B4" s="747">
        <v>1</v>
      </c>
      <c r="C4" s="747">
        <v>0.94299999999999995</v>
      </c>
      <c r="F4" s="443" t="s">
        <v>527</v>
      </c>
      <c r="G4" s="443"/>
      <c r="H4" s="443"/>
      <c r="I4" s="443"/>
    </row>
    <row r="5" spans="1:18" x14ac:dyDescent="0.3">
      <c r="A5" s="21" t="s">
        <v>115</v>
      </c>
      <c r="B5" s="747">
        <v>0.93659999999999999</v>
      </c>
      <c r="C5" s="747">
        <v>0.88339999999999996</v>
      </c>
    </row>
    <row r="6" spans="1:18" x14ac:dyDescent="0.3">
      <c r="A6" s="21" t="s">
        <v>112</v>
      </c>
      <c r="B6" s="747">
        <v>1</v>
      </c>
      <c r="C6" s="747">
        <v>0.96350000000000002</v>
      </c>
    </row>
    <row r="7" spans="1:18" x14ac:dyDescent="0.3">
      <c r="A7" s="21" t="s">
        <v>108</v>
      </c>
      <c r="B7" s="747">
        <v>1</v>
      </c>
      <c r="C7" s="747">
        <v>1</v>
      </c>
    </row>
    <row r="8" spans="1:18" x14ac:dyDescent="0.3">
      <c r="A8" s="21" t="s">
        <v>113</v>
      </c>
      <c r="B8" s="747">
        <v>1</v>
      </c>
      <c r="C8" s="747">
        <v>1</v>
      </c>
    </row>
    <row r="9" spans="1:18" x14ac:dyDescent="0.3">
      <c r="A9" s="21" t="s">
        <v>466</v>
      </c>
      <c r="B9" s="747">
        <v>1</v>
      </c>
      <c r="C9" s="747">
        <v>1</v>
      </c>
      <c r="D9" t="s">
        <v>465</v>
      </c>
    </row>
    <row r="10" spans="1:18" x14ac:dyDescent="0.3">
      <c r="A10" s="21" t="s">
        <v>467</v>
      </c>
      <c r="B10" s="747">
        <v>1</v>
      </c>
      <c r="C10" s="747">
        <v>1</v>
      </c>
      <c r="D10" t="s">
        <v>465</v>
      </c>
    </row>
    <row r="11" spans="1:18" x14ac:dyDescent="0.3">
      <c r="A11" s="21" t="s">
        <v>121</v>
      </c>
      <c r="B11" s="747">
        <v>1</v>
      </c>
      <c r="C11" s="747">
        <v>0.94299999999999995</v>
      </c>
    </row>
    <row r="12" spans="1:18" x14ac:dyDescent="0.3">
      <c r="A12" s="21" t="s">
        <v>116</v>
      </c>
      <c r="B12" s="747">
        <v>0.95699999999999996</v>
      </c>
      <c r="C12" s="747">
        <v>0.95499999999999996</v>
      </c>
    </row>
    <row r="13" spans="1:18" x14ac:dyDescent="0.3">
      <c r="A13" s="21" t="s">
        <v>111</v>
      </c>
      <c r="B13" s="747">
        <v>0.88870000000000005</v>
      </c>
      <c r="C13" s="747">
        <v>0.92</v>
      </c>
    </row>
    <row r="14" spans="1:18" x14ac:dyDescent="0.3">
      <c r="A14" s="21" t="s">
        <v>464</v>
      </c>
      <c r="B14" s="747">
        <v>0.88870000000000005</v>
      </c>
      <c r="C14" s="747">
        <v>0.92</v>
      </c>
      <c r="D14" t="s">
        <v>465</v>
      </c>
    </row>
    <row r="15" spans="1:18" x14ac:dyDescent="0.3">
      <c r="A15" s="21" t="s">
        <v>110</v>
      </c>
      <c r="B15" s="747">
        <v>0.99860000000000004</v>
      </c>
      <c r="C15" s="747">
        <v>0.94079999999999997</v>
      </c>
      <c r="I15" s="398"/>
    </row>
    <row r="16" spans="1:18" x14ac:dyDescent="0.3">
      <c r="A16" s="21" t="s">
        <v>109</v>
      </c>
      <c r="B16" s="747">
        <v>1</v>
      </c>
      <c r="C16" s="747">
        <v>0.998</v>
      </c>
    </row>
    <row r="17" spans="1:22" x14ac:dyDescent="0.3">
      <c r="A17" s="21" t="s">
        <v>321</v>
      </c>
      <c r="B17" s="747">
        <v>1</v>
      </c>
      <c r="C17" s="747">
        <v>0.94289999999999996</v>
      </c>
    </row>
    <row r="18" spans="1:22" x14ac:dyDescent="0.3">
      <c r="A18" s="21" t="s">
        <v>117</v>
      </c>
      <c r="B18" s="747">
        <v>0.95699999999999996</v>
      </c>
      <c r="C18" s="747">
        <v>0.92</v>
      </c>
    </row>
    <row r="19" spans="1:22" x14ac:dyDescent="0.3">
      <c r="A19" s="21" t="s">
        <v>114</v>
      </c>
      <c r="B19" s="747">
        <v>0.9365</v>
      </c>
      <c r="C19" s="747">
        <v>0.88280000000000003</v>
      </c>
    </row>
    <row r="20" spans="1:22" x14ac:dyDescent="0.3">
      <c r="A20" s="21" t="s">
        <v>507</v>
      </c>
      <c r="B20" s="747">
        <v>0.95699999999999996</v>
      </c>
      <c r="C20" s="747">
        <v>0.91979999999999995</v>
      </c>
    </row>
    <row r="23" spans="1:22" x14ac:dyDescent="0.3">
      <c r="A23" s="348" t="s">
        <v>245</v>
      </c>
      <c r="B23" s="348" t="s">
        <v>118</v>
      </c>
      <c r="C23" s="348" t="s">
        <v>244</v>
      </c>
      <c r="D23" s="348" t="s">
        <v>246</v>
      </c>
      <c r="E23" s="348" t="s">
        <v>247</v>
      </c>
      <c r="F23" s="343"/>
      <c r="G23" s="192"/>
    </row>
    <row r="24" spans="1:22" ht="15.9" customHeight="1" x14ac:dyDescent="0.4">
      <c r="A24" s="21" t="s">
        <v>337</v>
      </c>
      <c r="B24" s="748">
        <v>4842</v>
      </c>
      <c r="C24" s="748">
        <v>4180.45</v>
      </c>
      <c r="D24" s="748">
        <v>23478.83</v>
      </c>
      <c r="E24" s="748">
        <v>13048.21</v>
      </c>
      <c r="F24" s="617" t="s">
        <v>423</v>
      </c>
      <c r="G24" s="476"/>
      <c r="H24" s="476">
        <f>+C24*C15*0.9</f>
        <v>3539.6706239999999</v>
      </c>
    </row>
    <row r="25" spans="1:22" x14ac:dyDescent="0.3">
      <c r="B25" s="192"/>
      <c r="C25" s="192"/>
      <c r="D25" s="192"/>
      <c r="E25" s="192"/>
      <c r="H25">
        <f>+D24*0.1</f>
        <v>2347.8830000000003</v>
      </c>
    </row>
    <row r="26" spans="1:22" x14ac:dyDescent="0.3">
      <c r="B26" s="192"/>
      <c r="C26" s="192"/>
      <c r="D26" s="192"/>
      <c r="E26" s="192"/>
      <c r="G26" s="475"/>
      <c r="H26" s="680">
        <f>+H24+H25</f>
        <v>5887.5536240000001</v>
      </c>
      <c r="L26" t="s">
        <v>158</v>
      </c>
      <c r="S26" t="s">
        <v>390</v>
      </c>
      <c r="V26" t="s">
        <v>391</v>
      </c>
    </row>
    <row r="27" spans="1:22" s="344" customFormat="1" ht="66" customHeight="1" x14ac:dyDescent="0.3">
      <c r="A27" s="349" t="s">
        <v>243</v>
      </c>
      <c r="B27" s="350" t="s">
        <v>385</v>
      </c>
      <c r="C27" s="350" t="s">
        <v>386</v>
      </c>
      <c r="D27" s="361" t="s">
        <v>338</v>
      </c>
      <c r="E27" s="361" t="s">
        <v>339</v>
      </c>
      <c r="F27" s="362" t="s">
        <v>387</v>
      </c>
      <c r="G27" s="571" t="s">
        <v>474</v>
      </c>
      <c r="H27" s="572" t="s">
        <v>508</v>
      </c>
      <c r="I27" s="695" t="s">
        <v>514</v>
      </c>
      <c r="J27" s="349" t="s">
        <v>517</v>
      </c>
      <c r="K27" s="349" t="s">
        <v>526</v>
      </c>
      <c r="L27" s="571" t="s">
        <v>389</v>
      </c>
      <c r="M27" s="480" t="s">
        <v>433</v>
      </c>
      <c r="O27" s="562" t="s">
        <v>494</v>
      </c>
      <c r="P27" s="362" t="s">
        <v>490</v>
      </c>
      <c r="Q27"/>
    </row>
    <row r="28" spans="1:22" x14ac:dyDescent="0.3">
      <c r="A28" s="193" t="s">
        <v>107</v>
      </c>
      <c r="B28" s="407">
        <f>+B$24*B4</f>
        <v>4842</v>
      </c>
      <c r="C28" s="193">
        <f t="shared" ref="B28:C32" si="0">+C$24*C4</f>
        <v>3942.1643499999996</v>
      </c>
      <c r="D28" s="193">
        <f>+ROUND(C28*0.98,2)</f>
        <v>3863.32</v>
      </c>
      <c r="E28" s="193">
        <f>+D$24*0.02</f>
        <v>469.57660000000004</v>
      </c>
      <c r="F28" s="407">
        <f>+ROUND(D28+E28,2)</f>
        <v>4332.8999999999996</v>
      </c>
      <c r="G28" s="212">
        <f>(B28*96%)+('GAS CTE'!D$8)</f>
        <v>5170.2483999999995</v>
      </c>
      <c r="H28" s="212">
        <f>(B28*95%)+($E$24*5%)</f>
        <v>5252.3104999999996</v>
      </c>
      <c r="I28" s="696">
        <f>ROUND(($B28*94%),2)+($E$24*6%)</f>
        <v>5334.3725999999997</v>
      </c>
      <c r="J28" s="720">
        <f>(C28*89%)+(BIODIESEL!I$8)</f>
        <v>6091.1975714999999</v>
      </c>
      <c r="K28" s="743">
        <f>(C28*90%)+(BIODIESEL!H$8)</f>
        <v>5895.8309150000005</v>
      </c>
      <c r="L28" s="563" t="s">
        <v>340</v>
      </c>
      <c r="M28" s="447" t="s">
        <v>434</v>
      </c>
      <c r="Q28" s="573" t="s">
        <v>107</v>
      </c>
    </row>
    <row r="29" spans="1:22" x14ac:dyDescent="0.3">
      <c r="A29" s="193" t="s">
        <v>115</v>
      </c>
      <c r="B29" s="407">
        <f t="shared" si="0"/>
        <v>4535.0172000000002</v>
      </c>
      <c r="C29" s="193">
        <f>+C$24*C5</f>
        <v>3693.0095299999998</v>
      </c>
      <c r="D29" s="193">
        <f t="shared" ref="D29:D40" si="1">+C29*0.98</f>
        <v>3619.1493393999999</v>
      </c>
      <c r="E29" s="193">
        <f t="shared" ref="E29:E41" si="2">+D$24*0.02</f>
        <v>469.57660000000004</v>
      </c>
      <c r="F29" s="407">
        <f>+D29+E29</f>
        <v>4088.7259393999998</v>
      </c>
      <c r="G29" s="212">
        <f>(B29*96%)+('GAS CTE'!D$8)</f>
        <v>4875.5449120000003</v>
      </c>
      <c r="H29" s="212">
        <f>(B29*95%)+($E$24*5%)</f>
        <v>4960.6768400000001</v>
      </c>
      <c r="I29" s="697"/>
      <c r="J29" s="212">
        <f>(C29*90%)+(BIODIESEL!H$8)</f>
        <v>5671.5915770000001</v>
      </c>
      <c r="K29" s="358"/>
      <c r="L29" s="563" t="s">
        <v>341</v>
      </c>
      <c r="M29" s="478" t="s">
        <v>436</v>
      </c>
      <c r="O29" s="192">
        <f>(B29*95%)+5%*$E$24</f>
        <v>4960.6768400000001</v>
      </c>
      <c r="P29" s="192">
        <f>(C29*95%)+(5%*$D$24)</f>
        <v>4682.3005535000002</v>
      </c>
      <c r="Q29" s="573" t="s">
        <v>115</v>
      </c>
    </row>
    <row r="30" spans="1:22" ht="15.6" x14ac:dyDescent="0.3">
      <c r="A30" s="193" t="s">
        <v>112</v>
      </c>
      <c r="B30" s="407">
        <f t="shared" si="0"/>
        <v>4842</v>
      </c>
      <c r="C30" s="193">
        <f t="shared" si="0"/>
        <v>4027.8635749999999</v>
      </c>
      <c r="D30" s="193">
        <f t="shared" si="1"/>
        <v>3947.3063035</v>
      </c>
      <c r="E30" s="193">
        <f t="shared" si="2"/>
        <v>469.57660000000004</v>
      </c>
      <c r="F30" s="407">
        <f>+D30+E30</f>
        <v>4416.8829034999999</v>
      </c>
      <c r="G30" s="212">
        <f>(B30*96%)+('GAS CTE'!D$8)</f>
        <v>5170.2483999999995</v>
      </c>
      <c r="H30" s="212">
        <f>(B30*95%)+($E$24*5%)</f>
        <v>5252.3104999999996</v>
      </c>
      <c r="I30" s="696">
        <f>ROUND(($B30*94%),2)+($E$24*6%)</f>
        <v>5334.3725999999997</v>
      </c>
      <c r="J30" s="721">
        <f>(C30*89%)+(BIODIESEL!I$8)</f>
        <v>6167.4698817500002</v>
      </c>
      <c r="K30" s="744">
        <f>(C30*90%)+(BIODIESEL!H$8)</f>
        <v>5972.9602175</v>
      </c>
      <c r="L30" s="563" t="s">
        <v>342</v>
      </c>
      <c r="M30" s="479">
        <f>(C30*88%)+BIODIESEL!J8</f>
        <v>6361.9795460000005</v>
      </c>
      <c r="N30" s="475" t="s">
        <v>488</v>
      </c>
      <c r="Q30" s="573" t="s">
        <v>112</v>
      </c>
    </row>
    <row r="31" spans="1:22" ht="15.6" x14ac:dyDescent="0.3">
      <c r="A31" s="193" t="s">
        <v>108</v>
      </c>
      <c r="B31" s="407">
        <f t="shared" si="0"/>
        <v>4842</v>
      </c>
      <c r="C31" s="193">
        <f t="shared" si="0"/>
        <v>4180.45</v>
      </c>
      <c r="D31" s="193">
        <f t="shared" ref="D31:D39" si="3">+ROUND(C31*0.98,2)</f>
        <v>4096.84</v>
      </c>
      <c r="E31" s="193">
        <f t="shared" si="2"/>
        <v>469.57660000000004</v>
      </c>
      <c r="F31" s="407">
        <f t="shared" ref="F31:F41" si="4">+D31+E31</f>
        <v>4566.4166000000005</v>
      </c>
      <c r="G31" s="212">
        <f>(B31*96%)+('GAS CTE'!D$8)</f>
        <v>5170.2483999999995</v>
      </c>
      <c r="H31" s="212">
        <f>(B31*95%)+($E$24*5%)</f>
        <v>5252.3104999999996</v>
      </c>
      <c r="I31" s="696">
        <f>ROUND(($B31*94%),2)+($E$24*6%)</f>
        <v>5334.3725999999997</v>
      </c>
      <c r="J31" s="722">
        <f>(C31*89%)+(BIODIESEL!I$8)</f>
        <v>6303.2718000000004</v>
      </c>
      <c r="K31" s="744">
        <f>(C31*90%)+(BIODIESEL!H$8)</f>
        <v>6110.2880000000005</v>
      </c>
      <c r="L31" s="563" t="s">
        <v>395</v>
      </c>
      <c r="M31" s="479">
        <f>(C31*88%)+(BIODIESEL!J$8)</f>
        <v>6496.2556000000004</v>
      </c>
      <c r="N31" s="475" t="s">
        <v>435</v>
      </c>
      <c r="Q31" s="573" t="s">
        <v>108</v>
      </c>
    </row>
    <row r="32" spans="1:22" ht="15.6" x14ac:dyDescent="0.3">
      <c r="A32" s="193" t="s">
        <v>113</v>
      </c>
      <c r="B32" s="407">
        <f t="shared" si="0"/>
        <v>4842</v>
      </c>
      <c r="C32" s="193">
        <f t="shared" si="0"/>
        <v>4180.45</v>
      </c>
      <c r="D32" s="193">
        <f t="shared" si="3"/>
        <v>4096.84</v>
      </c>
      <c r="E32" s="193">
        <f t="shared" si="2"/>
        <v>469.57660000000004</v>
      </c>
      <c r="F32" s="407">
        <f t="shared" si="4"/>
        <v>4566.4166000000005</v>
      </c>
      <c r="G32" s="212">
        <f>(B32*96%)+('GAS CTE'!D$8)</f>
        <v>5170.2483999999995</v>
      </c>
      <c r="H32" s="512" t="s">
        <v>473</v>
      </c>
      <c r="I32" s="697"/>
      <c r="J32" s="722">
        <f>(C32*89%)+(BIODIESEL!I$8)</f>
        <v>6303.2718000000004</v>
      </c>
      <c r="K32" s="744">
        <f>(C32*90%)+(BIODIESEL!H$8)</f>
        <v>6110.2880000000005</v>
      </c>
      <c r="L32" s="563" t="s">
        <v>492</v>
      </c>
      <c r="M32" s="478" t="s">
        <v>436</v>
      </c>
      <c r="Q32" s="573" t="s">
        <v>113</v>
      </c>
    </row>
    <row r="33" spans="1:20" ht="15.6" x14ac:dyDescent="0.3">
      <c r="A33" s="193" t="s">
        <v>121</v>
      </c>
      <c r="B33" s="407">
        <f t="shared" ref="B33:C35" si="5">+B$24*B11</f>
        <v>4842</v>
      </c>
      <c r="C33" s="193">
        <f t="shared" si="5"/>
        <v>3942.1643499999996</v>
      </c>
      <c r="D33" s="193">
        <f t="shared" si="3"/>
        <v>3863.32</v>
      </c>
      <c r="E33" s="193">
        <f t="shared" si="2"/>
        <v>469.57660000000004</v>
      </c>
      <c r="F33" s="407">
        <f t="shared" si="4"/>
        <v>4332.8966</v>
      </c>
      <c r="G33" s="212">
        <f>(B33*96%)+('GAS CTE'!D$8)</f>
        <v>5170.2483999999995</v>
      </c>
      <c r="H33" s="212">
        <f>(B33*95%)+($E$24*5%)</f>
        <v>5252.3104999999996</v>
      </c>
      <c r="I33" s="696">
        <f>ROUND(($B33*94%),2)+($E$24*6%)</f>
        <v>5334.3725999999997</v>
      </c>
      <c r="J33" s="722">
        <f>(C33*89%)+(BIODIESEL!I$8)</f>
        <v>6091.1975714999999</v>
      </c>
      <c r="K33" s="744">
        <f>(C33*90%)+(BIODIESEL!H$8)</f>
        <v>5895.8309150000005</v>
      </c>
      <c r="L33" s="563" t="s">
        <v>343</v>
      </c>
      <c r="M33" s="447" t="s">
        <v>434</v>
      </c>
      <c r="Q33" s="573" t="s">
        <v>121</v>
      </c>
      <c r="R33" s="434" t="s">
        <v>392</v>
      </c>
    </row>
    <row r="34" spans="1:20" x14ac:dyDescent="0.3">
      <c r="A34" s="193" t="s">
        <v>116</v>
      </c>
      <c r="B34" s="407">
        <f t="shared" si="5"/>
        <v>4633.7939999999999</v>
      </c>
      <c r="C34" s="193">
        <f t="shared" si="5"/>
        <v>3992.3297499999999</v>
      </c>
      <c r="D34" s="193">
        <f t="shared" si="3"/>
        <v>3912.48</v>
      </c>
      <c r="E34" s="193">
        <f t="shared" si="2"/>
        <v>469.57660000000004</v>
      </c>
      <c r="F34" s="407">
        <f>+D34+E34</f>
        <v>4382.0565999999999</v>
      </c>
      <c r="G34" s="212">
        <f>(B34*96%)+('GAS CTE'!D$8)</f>
        <v>4970.3706399999992</v>
      </c>
      <c r="H34" s="212">
        <f>(B34*95%)+($E$24*5%)</f>
        <v>5054.5147999999999</v>
      </c>
      <c r="I34" s="697"/>
      <c r="J34" s="212">
        <f>(C34*90%)+(BIODIESEL!H$8)</f>
        <v>5940.9797749999998</v>
      </c>
      <c r="K34" s="358"/>
      <c r="L34" s="563" t="s">
        <v>344</v>
      </c>
      <c r="M34" s="478" t="s">
        <v>436</v>
      </c>
      <c r="O34" s="192">
        <f>(B34*95%)+5%*$E$24</f>
        <v>5054.5147999999999</v>
      </c>
      <c r="P34" s="192">
        <f>(C34*95%)+(5%*$D$24)</f>
        <v>4966.6547625000003</v>
      </c>
      <c r="Q34" s="573" t="s">
        <v>116</v>
      </c>
    </row>
    <row r="35" spans="1:20" x14ac:dyDescent="0.3">
      <c r="A35" s="193" t="s">
        <v>111</v>
      </c>
      <c r="B35" s="407">
        <f t="shared" si="5"/>
        <v>4303.0853999999999</v>
      </c>
      <c r="C35" s="193">
        <f t="shared" si="5"/>
        <v>3846.0140000000001</v>
      </c>
      <c r="D35" s="193">
        <f t="shared" si="3"/>
        <v>3769.09</v>
      </c>
      <c r="E35" s="193">
        <f t="shared" si="2"/>
        <v>469.57660000000004</v>
      </c>
      <c r="F35" s="407">
        <f t="shared" si="4"/>
        <v>4238.6666000000005</v>
      </c>
      <c r="G35" s="212">
        <f>(B35*96%)+('GAS CTE'!D$8)</f>
        <v>4652.8903839999994</v>
      </c>
      <c r="H35" s="212">
        <f>(B35*95%)+($E$24*5%)</f>
        <v>4740.3416299999999</v>
      </c>
      <c r="I35" s="697"/>
      <c r="J35" s="212">
        <f>(C35*90%)+(BIODIESEL!H$8)</f>
        <v>5809.2956000000004</v>
      </c>
      <c r="K35" s="358"/>
      <c r="L35" s="563" t="s">
        <v>388</v>
      </c>
      <c r="M35" s="478" t="s">
        <v>436</v>
      </c>
      <c r="O35" s="192">
        <f>(B35*95%)+5%*$E$24</f>
        <v>4740.3416299999999</v>
      </c>
      <c r="P35" s="192">
        <f>(C35*95%)+(5%*$D$24)</f>
        <v>4827.6548000000003</v>
      </c>
      <c r="Q35" s="573" t="s">
        <v>111</v>
      </c>
      <c r="R35" s="434" t="s">
        <v>392</v>
      </c>
    </row>
    <row r="36" spans="1:20" ht="15.6" x14ac:dyDescent="0.3">
      <c r="A36" s="193" t="s">
        <v>110</v>
      </c>
      <c r="B36" s="407">
        <f>+B$24*B15</f>
        <v>4835.2212</v>
      </c>
      <c r="C36" s="193">
        <f>+C$24*C15</f>
        <v>3932.9673599999996</v>
      </c>
      <c r="D36" s="193">
        <f t="shared" si="3"/>
        <v>3854.31</v>
      </c>
      <c r="E36" s="193">
        <f t="shared" si="2"/>
        <v>469.57660000000004</v>
      </c>
      <c r="F36" s="407">
        <f t="shared" si="4"/>
        <v>4323.8865999999998</v>
      </c>
      <c r="G36" s="212">
        <f>(B36*96%)+('GAS CTE'!D$8)</f>
        <v>5163.7407519999997</v>
      </c>
      <c r="H36" s="212">
        <f>(B36*95%)+($E$24*5%)</f>
        <v>5245.8706400000001</v>
      </c>
      <c r="I36" s="696">
        <f>ROUND(($B36*94%),2)+($E$24*6%)</f>
        <v>5328.0025999999998</v>
      </c>
      <c r="J36" s="722">
        <f>(C36*89%)+(BIODIESEL!I$8)</f>
        <v>6083.0122504000001</v>
      </c>
      <c r="K36" s="744">
        <f>(C36*90%)+(BIODIESEL!H$8)</f>
        <v>5887.5536240000001</v>
      </c>
      <c r="L36" s="563" t="s">
        <v>345</v>
      </c>
      <c r="M36" s="447" t="s">
        <v>434</v>
      </c>
      <c r="O36" s="192"/>
      <c r="P36" s="192"/>
      <c r="Q36" s="573" t="s">
        <v>110</v>
      </c>
    </row>
    <row r="37" spans="1:20" x14ac:dyDescent="0.3">
      <c r="A37" s="193" t="s">
        <v>109</v>
      </c>
      <c r="B37" s="407">
        <f t="shared" ref="B37:C41" si="6">+B$24*B16</f>
        <v>4842</v>
      </c>
      <c r="C37" s="193">
        <f t="shared" si="6"/>
        <v>4172.0891000000001</v>
      </c>
      <c r="D37" s="193">
        <f t="shared" si="3"/>
        <v>4088.65</v>
      </c>
      <c r="E37" s="193">
        <f t="shared" si="2"/>
        <v>469.57660000000004</v>
      </c>
      <c r="F37" s="407">
        <f t="shared" si="4"/>
        <v>4558.2266</v>
      </c>
      <c r="G37" s="212">
        <f>(B37*96%)+('GAS CTE'!D$8)</f>
        <v>5170.2483999999995</v>
      </c>
      <c r="H37" s="512" t="s">
        <v>473</v>
      </c>
      <c r="I37" s="697"/>
      <c r="J37" s="212">
        <f>(C37*90%)+(BIODIESEL!H$8)</f>
        <v>6102.7631900000006</v>
      </c>
      <c r="K37" s="358"/>
      <c r="L37" s="563" t="s">
        <v>346</v>
      </c>
      <c r="M37" s="478" t="s">
        <v>436</v>
      </c>
      <c r="Q37" s="573" t="s">
        <v>109</v>
      </c>
    </row>
    <row r="38" spans="1:20" ht="15.6" x14ac:dyDescent="0.3">
      <c r="A38" s="193" t="s">
        <v>321</v>
      </c>
      <c r="B38" s="407">
        <f t="shared" si="6"/>
        <v>4842</v>
      </c>
      <c r="C38" s="193">
        <f t="shared" si="6"/>
        <v>3941.7463049999997</v>
      </c>
      <c r="D38" s="193">
        <f t="shared" si="3"/>
        <v>3862.91</v>
      </c>
      <c r="E38" s="193">
        <f t="shared" si="2"/>
        <v>469.57660000000004</v>
      </c>
      <c r="F38" s="407">
        <f t="shared" si="4"/>
        <v>4332.4866000000002</v>
      </c>
      <c r="G38" s="212">
        <f>(B38*96%)+('GAS CTE'!D$8)</f>
        <v>5170.2483999999995</v>
      </c>
      <c r="H38" s="212">
        <f>(B38*95%)+($E$24*5%)</f>
        <v>5252.3104999999996</v>
      </c>
      <c r="I38" s="696">
        <f>ROUND(($B38*94%),2)+($E$24*6%)</f>
        <v>5334.3725999999997</v>
      </c>
      <c r="J38" s="722">
        <f>(C38*89%)+(BIODIESEL!I$8)</f>
        <v>6090.8255114500007</v>
      </c>
      <c r="K38" s="744">
        <f>(C38*90%)+(BIODIESEL!H$8)</f>
        <v>5895.4546745000007</v>
      </c>
      <c r="L38" s="563" t="s">
        <v>347</v>
      </c>
      <c r="M38" s="447" t="s">
        <v>434</v>
      </c>
      <c r="Q38" s="573" t="s">
        <v>321</v>
      </c>
    </row>
    <row r="39" spans="1:20" x14ac:dyDescent="0.3">
      <c r="A39" s="193" t="s">
        <v>117</v>
      </c>
      <c r="B39" s="407">
        <f t="shared" si="6"/>
        <v>4633.7939999999999</v>
      </c>
      <c r="C39" s="193">
        <f t="shared" si="6"/>
        <v>3846.0140000000001</v>
      </c>
      <c r="D39" s="193">
        <f t="shared" si="3"/>
        <v>3769.09</v>
      </c>
      <c r="E39" s="193">
        <f t="shared" si="2"/>
        <v>469.57660000000004</v>
      </c>
      <c r="F39" s="407">
        <f t="shared" si="4"/>
        <v>4238.6666000000005</v>
      </c>
      <c r="G39" s="212">
        <f>(B39*96%)+('GAS CTE'!D$8)</f>
        <v>4970.3706399999992</v>
      </c>
      <c r="H39" s="212">
        <f>(B39*95%)+($E$24*5%)</f>
        <v>5054.5147999999999</v>
      </c>
      <c r="I39" s="697"/>
      <c r="J39" s="212">
        <f>(C39*90%)+(BIODIESEL!H$8)</f>
        <v>5809.2956000000004</v>
      </c>
      <c r="K39" s="358"/>
      <c r="L39" s="563" t="s">
        <v>349</v>
      </c>
      <c r="M39" s="478" t="s">
        <v>436</v>
      </c>
      <c r="O39" s="192">
        <f>(B39*95%)+5%*$E$24</f>
        <v>5054.5147999999999</v>
      </c>
      <c r="P39" s="192">
        <f>(C39*95%)+(5%*$D$24)</f>
        <v>4827.6548000000003</v>
      </c>
      <c r="Q39" s="573" t="s">
        <v>117</v>
      </c>
    </row>
    <row r="40" spans="1:20" ht="15.9" customHeight="1" x14ac:dyDescent="0.3">
      <c r="A40" s="193" t="s">
        <v>398</v>
      </c>
      <c r="B40" s="407">
        <f t="shared" si="6"/>
        <v>4534.5330000000004</v>
      </c>
      <c r="C40" s="193">
        <f t="shared" si="6"/>
        <v>3690.50126</v>
      </c>
      <c r="D40" s="193">
        <f t="shared" si="1"/>
        <v>3616.6912348000001</v>
      </c>
      <c r="E40" s="193">
        <f t="shared" si="2"/>
        <v>469.57660000000004</v>
      </c>
      <c r="F40" s="407">
        <f t="shared" si="4"/>
        <v>4086.2678347999999</v>
      </c>
      <c r="G40" s="212">
        <f>(B40*96%)+('GAS CTE'!D$8)</f>
        <v>4875.0800799999997</v>
      </c>
      <c r="H40" s="577">
        <f>(B40*95%)+($E$24*5%)</f>
        <v>4960.2168499999998</v>
      </c>
      <c r="I40" s="696">
        <f>ROUND(($B40*94%),2)+($E$24*6%)</f>
        <v>5045.3526000000002</v>
      </c>
      <c r="J40" s="212">
        <f>(C40*90%)+(BIODIESEL!H$8)</f>
        <v>5669.3341340000006</v>
      </c>
      <c r="K40" s="358"/>
      <c r="L40" s="563" t="s">
        <v>410</v>
      </c>
      <c r="M40" s="478" t="s">
        <v>436</v>
      </c>
      <c r="O40" s="479">
        <f>(B40*95%)+5%*$E$24</f>
        <v>4960.2168499999998</v>
      </c>
      <c r="P40" s="192">
        <f>(C40*95%)+(5%*$D$24)</f>
        <v>4679.9176969999999</v>
      </c>
      <c r="Q40" s="573" t="s">
        <v>495</v>
      </c>
      <c r="T40" t="s">
        <v>158</v>
      </c>
    </row>
    <row r="41" spans="1:20" ht="15.9" customHeight="1" x14ac:dyDescent="0.3">
      <c r="A41" s="193" t="s">
        <v>397</v>
      </c>
      <c r="B41" s="407">
        <f t="shared" si="6"/>
        <v>4633.7939999999999</v>
      </c>
      <c r="C41" s="193">
        <f t="shared" si="6"/>
        <v>3845.1779099999994</v>
      </c>
      <c r="D41" s="193">
        <f>+ROUND(C41*0.98,2)</f>
        <v>3768.27</v>
      </c>
      <c r="E41" s="193">
        <f t="shared" si="2"/>
        <v>469.57660000000004</v>
      </c>
      <c r="F41" s="407">
        <f t="shared" si="4"/>
        <v>4237.8465999999999</v>
      </c>
      <c r="G41" s="212">
        <f>(B41*96%)+('GAS CTE'!D$8)</f>
        <v>4970.3706399999992</v>
      </c>
      <c r="H41" s="577">
        <f>(B41*95%)+($E$24*5%)</f>
        <v>5054.5147999999999</v>
      </c>
      <c r="I41" s="697"/>
      <c r="J41" s="212">
        <f>(C41*90%)+(BIODIESEL!H$8)</f>
        <v>5808.5431189999999</v>
      </c>
      <c r="K41" s="358"/>
      <c r="L41" s="563" t="s">
        <v>348</v>
      </c>
      <c r="M41" s="478" t="s">
        <v>436</v>
      </c>
      <c r="O41" s="479">
        <f>(B41*95%)+5%*$E$24</f>
        <v>5054.5147999999999</v>
      </c>
      <c r="P41" s="192">
        <f>(C41*95%)+(5%*$D$24)</f>
        <v>4826.8605144999992</v>
      </c>
      <c r="Q41" s="573" t="s">
        <v>496</v>
      </c>
    </row>
    <row r="42" spans="1:20" ht="15.9" customHeight="1" x14ac:dyDescent="0.3">
      <c r="A42" s="513" t="s">
        <v>466</v>
      </c>
      <c r="B42" s="514">
        <f>+B$24*B9</f>
        <v>4842</v>
      </c>
      <c r="C42" s="514">
        <f>+C$24*C9</f>
        <v>4180.45</v>
      </c>
      <c r="D42" s="514">
        <f t="shared" ref="D42" si="7">+ROUND(C42*0.98,2)</f>
        <v>4096.84</v>
      </c>
      <c r="E42" s="514">
        <f t="shared" ref="E42" si="8">+D$24*0.02</f>
        <v>469.57660000000004</v>
      </c>
      <c r="F42" s="514">
        <f t="shared" ref="F42:F44" si="9">+D42+E42</f>
        <v>4566.4166000000005</v>
      </c>
      <c r="G42" s="514">
        <f>(B42*96%)+('GAS CTE'!D$8)</f>
        <v>5170.2483999999995</v>
      </c>
      <c r="H42" s="514"/>
      <c r="I42" s="514"/>
      <c r="J42" s="514">
        <f>(C42*90%)+(BIODIESEL!H$8)</f>
        <v>6110.2880000000005</v>
      </c>
      <c r="K42" s="742"/>
      <c r="L42" s="515"/>
      <c r="M42" s="516">
        <f>(C42*88%)+(BIODIESEL!J$8)</f>
        <v>6496.2556000000004</v>
      </c>
    </row>
    <row r="43" spans="1:20" ht="15.9" customHeight="1" x14ac:dyDescent="0.3">
      <c r="A43" s="513" t="s">
        <v>467</v>
      </c>
      <c r="B43" s="514">
        <f>+B$24*B10</f>
        <v>4842</v>
      </c>
      <c r="C43" s="514">
        <f>+C$24*C10</f>
        <v>4180.45</v>
      </c>
      <c r="D43" s="514">
        <f t="shared" ref="D43:D44" si="10">+ROUND(C43*0.98,2)</f>
        <v>4096.84</v>
      </c>
      <c r="E43" s="514">
        <f t="shared" ref="E43:E44" si="11">+D$24*0.02</f>
        <v>469.57660000000004</v>
      </c>
      <c r="F43" s="514">
        <f t="shared" si="9"/>
        <v>4566.4166000000005</v>
      </c>
      <c r="G43" s="514">
        <f>(B43*96%)+('GAS CTE'!D$8)</f>
        <v>5170.2483999999995</v>
      </c>
      <c r="H43" s="514"/>
      <c r="I43" s="514"/>
      <c r="J43" s="514">
        <f>(C43*90%)+(BIODIESEL!H$8)</f>
        <v>6110.2880000000005</v>
      </c>
      <c r="K43" s="742"/>
      <c r="L43" s="515"/>
      <c r="M43" s="516">
        <f>(C43*88%)+(BIODIESEL!J$8)</f>
        <v>6496.2556000000004</v>
      </c>
    </row>
    <row r="44" spans="1:20" ht="15.9" customHeight="1" x14ac:dyDescent="0.3">
      <c r="A44" s="513" t="s">
        <v>464</v>
      </c>
      <c r="B44" s="514">
        <f>+B$24*B14</f>
        <v>4303.0853999999999</v>
      </c>
      <c r="C44" s="514">
        <f>+C$24*C14</f>
        <v>3846.0140000000001</v>
      </c>
      <c r="D44" s="514">
        <f t="shared" si="10"/>
        <v>3769.09</v>
      </c>
      <c r="E44" s="514">
        <f t="shared" si="11"/>
        <v>469.57660000000004</v>
      </c>
      <c r="F44" s="514">
        <f t="shared" si="9"/>
        <v>4238.6666000000005</v>
      </c>
      <c r="G44" s="514">
        <f>(B44*96%)+('GAS CTE'!D$8)</f>
        <v>4652.8903839999994</v>
      </c>
      <c r="H44" s="514"/>
      <c r="I44" s="514"/>
      <c r="J44" s="514">
        <f>(C44*90%)+(BIODIESEL!H$8)</f>
        <v>5809.2956000000004</v>
      </c>
      <c r="K44" s="742"/>
      <c r="L44" s="515"/>
      <c r="M44" s="517"/>
    </row>
    <row r="45" spans="1:20" x14ac:dyDescent="0.3">
      <c r="I45" s="685"/>
    </row>
    <row r="46" spans="1:20" ht="15.6" x14ac:dyDescent="0.3">
      <c r="A46" s="360" t="s">
        <v>384</v>
      </c>
      <c r="B46" s="618" t="s">
        <v>523</v>
      </c>
      <c r="C46" s="618" t="s">
        <v>524</v>
      </c>
      <c r="D46" s="423" t="s">
        <v>414</v>
      </c>
      <c r="E46" s="559"/>
      <c r="F46" s="560"/>
      <c r="G46" s="560"/>
      <c r="H46" s="560"/>
      <c r="I46" s="560"/>
      <c r="J46" s="560"/>
      <c r="K46" s="560"/>
      <c r="L46" s="560"/>
    </row>
    <row r="47" spans="1:20" x14ac:dyDescent="0.3">
      <c r="E47" s="559"/>
      <c r="F47" s="560"/>
      <c r="G47" s="560"/>
      <c r="H47" s="560"/>
      <c r="I47" s="560"/>
      <c r="J47" s="560"/>
      <c r="K47" s="560"/>
    </row>
    <row r="48" spans="1:20" x14ac:dyDescent="0.3">
      <c r="A48" s="371" t="s">
        <v>381</v>
      </c>
      <c r="B48" s="371" t="s">
        <v>379</v>
      </c>
      <c r="C48" s="371" t="s">
        <v>380</v>
      </c>
      <c r="D48" t="s">
        <v>158</v>
      </c>
      <c r="E48" s="561"/>
      <c r="F48" s="560"/>
      <c r="G48" s="560"/>
      <c r="H48" s="560"/>
      <c r="I48" s="560"/>
      <c r="J48" s="560"/>
      <c r="K48" s="560"/>
    </row>
    <row r="49" spans="1:11" x14ac:dyDescent="0.3">
      <c r="A49" s="358" t="s">
        <v>382</v>
      </c>
      <c r="B49" s="359">
        <v>30000002129</v>
      </c>
      <c r="C49" s="21"/>
      <c r="E49" s="559"/>
      <c r="F49" s="560"/>
      <c r="G49" s="560"/>
      <c r="H49" s="560"/>
      <c r="I49" s="560"/>
      <c r="J49" s="560"/>
      <c r="K49" s="560"/>
    </row>
    <row r="50" spans="1:11" x14ac:dyDescent="0.3">
      <c r="A50" s="358" t="s">
        <v>383</v>
      </c>
      <c r="B50" s="359">
        <v>30000000070</v>
      </c>
      <c r="C50" s="359">
        <v>30000000070</v>
      </c>
    </row>
    <row r="51" spans="1:11" x14ac:dyDescent="0.3">
      <c r="A51" s="358" t="s">
        <v>396</v>
      </c>
      <c r="B51" s="363">
        <v>30000009250</v>
      </c>
      <c r="C51" s="359"/>
      <c r="E51" t="s">
        <v>158</v>
      </c>
    </row>
    <row r="52" spans="1:11" x14ac:dyDescent="0.3">
      <c r="A52" s="358" t="s">
        <v>106</v>
      </c>
      <c r="B52" s="359" t="s">
        <v>158</v>
      </c>
      <c r="C52" s="359">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70" zoomScaleNormal="70" workbookViewId="0">
      <selection activeCell="AC19" sqref="AC19"/>
    </sheetView>
  </sheetViews>
  <sheetFormatPr baseColWidth="10" defaultColWidth="11.33203125" defaultRowHeight="13.8" outlineLevelCol="1" x14ac:dyDescent="0.3"/>
  <cols>
    <col min="1" max="1" width="59.88671875" style="87" customWidth="1"/>
    <col min="2" max="2" width="18.88671875" style="87" customWidth="1" outlineLevel="1"/>
    <col min="3" max="4" width="18.88671875" style="87" hidden="1" customWidth="1"/>
    <col min="5" max="5" width="18.88671875" style="87" customWidth="1" outlineLevel="1"/>
    <col min="6" max="6" width="19.33203125" style="87" customWidth="1"/>
    <col min="7" max="10" width="11.33203125" style="49"/>
    <col min="11" max="11" width="15.77734375" style="49" customWidth="1"/>
    <col min="12" max="16384" width="11.33203125" style="49"/>
  </cols>
  <sheetData>
    <row r="1" spans="1:10" ht="14.4" thickBot="1" x14ac:dyDescent="0.35">
      <c r="A1" s="44">
        <v>2020</v>
      </c>
      <c r="B1" s="45"/>
      <c r="C1" s="45">
        <v>7.2405999999999997</v>
      </c>
      <c r="D1" s="46"/>
      <c r="E1" s="47"/>
      <c r="F1" s="48"/>
    </row>
    <row r="2" spans="1:10" s="50" customFormat="1" ht="21.75" customHeight="1" thickTop="1" x14ac:dyDescent="0.3">
      <c r="A2" s="805" t="str">
        <f>CONCATENATE("ESTRUCTURAS DE PRECIOS DE COMBUSTIBLES LIQUIDOS VIGENTES A PARTIR DE ",$A$1)</f>
        <v>ESTRUCTURAS DE PRECIOS DE COMBUSTIBLES LIQUIDOS VIGENTES A PARTIR DE 2020</v>
      </c>
      <c r="B2" s="806"/>
      <c r="C2" s="806"/>
      <c r="D2" s="806"/>
      <c r="E2" s="806"/>
      <c r="F2" s="807"/>
    </row>
    <row r="3" spans="1:10" s="50" customFormat="1" ht="21.75" customHeight="1" x14ac:dyDescent="0.3">
      <c r="A3" s="51" t="s">
        <v>122</v>
      </c>
      <c r="B3" s="52"/>
      <c r="C3" s="52"/>
      <c r="D3" s="52"/>
      <c r="E3" s="52"/>
      <c r="F3" s="53"/>
    </row>
    <row r="4" spans="1:10" s="55" customFormat="1" ht="24" customHeight="1" x14ac:dyDescent="0.3">
      <c r="A4" s="808" t="s">
        <v>123</v>
      </c>
      <c r="B4" s="810" t="s">
        <v>96</v>
      </c>
      <c r="C4" s="812"/>
      <c r="D4" s="813"/>
      <c r="E4" s="810" t="s">
        <v>125</v>
      </c>
      <c r="F4" s="54"/>
    </row>
    <row r="5" spans="1:10" s="55" customFormat="1" ht="24" customHeight="1" x14ac:dyDescent="0.3">
      <c r="A5" s="808"/>
      <c r="B5" s="811"/>
      <c r="C5" s="56"/>
      <c r="D5" s="56"/>
      <c r="E5" s="811"/>
      <c r="F5" s="57"/>
    </row>
    <row r="6" spans="1:10" s="55" customFormat="1" ht="24" customHeight="1" thickBot="1" x14ac:dyDescent="0.35">
      <c r="A6" s="809"/>
      <c r="B6" s="58"/>
      <c r="C6" s="59"/>
      <c r="D6" s="58"/>
      <c r="E6" s="58"/>
      <c r="F6" s="60"/>
      <c r="G6" s="55" t="s">
        <v>424</v>
      </c>
      <c r="H6" s="55" t="s">
        <v>424</v>
      </c>
      <c r="I6" s="55" t="s">
        <v>424</v>
      </c>
    </row>
    <row r="7" spans="1:10" ht="22.65" customHeight="1" thickTop="1" x14ac:dyDescent="0.3">
      <c r="A7" s="61" t="s">
        <v>126</v>
      </c>
      <c r="B7" s="597">
        <v>4842</v>
      </c>
      <c r="C7" s="594"/>
      <c r="D7" s="595"/>
      <c r="E7" s="597">
        <v>4180.45</v>
      </c>
      <c r="F7" s="438"/>
      <c r="G7" s="62"/>
      <c r="J7" s="418" t="s">
        <v>415</v>
      </c>
    </row>
    <row r="8" spans="1:10" ht="22.65" customHeight="1" x14ac:dyDescent="0.3">
      <c r="A8" s="63" t="s">
        <v>127</v>
      </c>
      <c r="B8" s="601">
        <v>8.6300000000000008</v>
      </c>
      <c r="C8" s="64"/>
      <c r="D8" s="64"/>
      <c r="E8" s="597">
        <f>+B8</f>
        <v>8.6300000000000008</v>
      </c>
      <c r="F8" s="65"/>
    </row>
    <row r="9" spans="1:10" ht="22.65" customHeight="1" x14ac:dyDescent="0.3">
      <c r="A9" s="63" t="s">
        <v>128</v>
      </c>
      <c r="B9" s="598" t="s">
        <v>129</v>
      </c>
      <c r="C9" s="66"/>
      <c r="D9" s="66"/>
      <c r="E9" s="598" t="s">
        <v>129</v>
      </c>
      <c r="F9" s="67"/>
      <c r="H9" s="49" t="s">
        <v>129</v>
      </c>
      <c r="I9" s="49" t="s">
        <v>129</v>
      </c>
    </row>
    <row r="10" spans="1:10" ht="22.65" customHeight="1" x14ac:dyDescent="0.3">
      <c r="A10" s="63" t="s">
        <v>130</v>
      </c>
      <c r="B10" s="599">
        <v>0</v>
      </c>
      <c r="C10" s="64"/>
      <c r="D10" s="64"/>
      <c r="E10" s="599">
        <v>0</v>
      </c>
      <c r="F10" s="69"/>
    </row>
    <row r="11" spans="1:10" ht="22.65" customHeight="1" x14ac:dyDescent="0.3">
      <c r="A11" s="63" t="s">
        <v>131</v>
      </c>
      <c r="B11" s="602">
        <v>586.25</v>
      </c>
      <c r="C11" s="68"/>
      <c r="D11" s="68"/>
      <c r="E11" s="599">
        <v>561.12</v>
      </c>
      <c r="F11" s="70"/>
      <c r="H11" s="71"/>
      <c r="I11" s="71"/>
    </row>
    <row r="12" spans="1:10" ht="22.65" customHeight="1" x14ac:dyDescent="0.3">
      <c r="A12" s="63" t="s">
        <v>132</v>
      </c>
      <c r="B12" s="600" t="s">
        <v>133</v>
      </c>
      <c r="C12" s="596"/>
      <c r="D12" s="596"/>
      <c r="E12" s="600" t="s">
        <v>133</v>
      </c>
      <c r="F12" s="72"/>
      <c r="H12" s="49" t="s">
        <v>133</v>
      </c>
      <c r="I12" s="49" t="s">
        <v>133</v>
      </c>
    </row>
    <row r="13" spans="1:10" ht="22.65" customHeight="1" x14ac:dyDescent="0.3">
      <c r="A13" s="63" t="s">
        <v>134</v>
      </c>
      <c r="B13" s="602">
        <v>169</v>
      </c>
      <c r="C13" s="68"/>
      <c r="D13" s="68"/>
      <c r="E13" s="599">
        <v>191</v>
      </c>
      <c r="F13" s="70"/>
    </row>
    <row r="14" spans="1:10" ht="22.65" customHeight="1" x14ac:dyDescent="0.3">
      <c r="A14" s="63" t="s">
        <v>135</v>
      </c>
      <c r="B14" s="66" t="s">
        <v>136</v>
      </c>
      <c r="C14" s="66"/>
      <c r="D14" s="66"/>
      <c r="E14" s="66" t="s">
        <v>136</v>
      </c>
      <c r="F14" s="67"/>
    </row>
    <row r="15" spans="1:10" ht="22.65" customHeight="1" x14ac:dyDescent="0.3">
      <c r="A15" s="63" t="s">
        <v>137</v>
      </c>
      <c r="B15" s="66" t="s">
        <v>138</v>
      </c>
      <c r="C15" s="66"/>
      <c r="D15" s="66"/>
      <c r="E15" s="66" t="s">
        <v>138</v>
      </c>
      <c r="F15" s="73"/>
    </row>
    <row r="16" spans="1:10" ht="22.65" customHeight="1" x14ac:dyDescent="0.3">
      <c r="A16" s="63" t="s">
        <v>139</v>
      </c>
      <c r="B16" s="68"/>
      <c r="C16" s="68"/>
      <c r="D16" s="68"/>
      <c r="E16" s="68"/>
      <c r="F16" s="74"/>
    </row>
    <row r="17" spans="1:7" ht="22.65" customHeight="1" x14ac:dyDescent="0.3">
      <c r="A17" s="63" t="s">
        <v>141</v>
      </c>
      <c r="B17" s="66" t="s">
        <v>136</v>
      </c>
      <c r="C17" s="66"/>
      <c r="D17" s="66"/>
      <c r="E17" s="66" t="s">
        <v>136</v>
      </c>
      <c r="F17" s="74"/>
    </row>
    <row r="18" spans="1:7" ht="22.65" customHeight="1" x14ac:dyDescent="0.3">
      <c r="A18" s="63" t="s">
        <v>142</v>
      </c>
      <c r="B18" s="66" t="s">
        <v>138</v>
      </c>
      <c r="C18" s="66"/>
      <c r="D18" s="66"/>
      <c r="E18" s="66" t="s">
        <v>138</v>
      </c>
      <c r="F18" s="74"/>
    </row>
    <row r="19" spans="1:7" ht="22.65" customHeight="1" x14ac:dyDescent="0.3">
      <c r="A19" s="63" t="s">
        <v>143</v>
      </c>
      <c r="B19" s="66" t="s">
        <v>144</v>
      </c>
      <c r="C19" s="66"/>
      <c r="D19" s="66"/>
      <c r="E19" s="66"/>
      <c r="F19" s="75"/>
      <c r="G19" s="49" t="s">
        <v>140</v>
      </c>
    </row>
    <row r="20" spans="1:7" ht="22.65" customHeight="1" x14ac:dyDescent="0.3">
      <c r="A20" s="63" t="s">
        <v>145</v>
      </c>
      <c r="B20" s="66" t="s">
        <v>138</v>
      </c>
      <c r="C20" s="68"/>
      <c r="D20" s="68"/>
      <c r="E20" s="66" t="s">
        <v>138</v>
      </c>
      <c r="F20" s="74"/>
      <c r="G20" s="49" t="s">
        <v>140</v>
      </c>
    </row>
    <row r="21" spans="1:7" ht="22.65" customHeight="1" thickBot="1" x14ac:dyDescent="0.35">
      <c r="A21" s="76" t="s">
        <v>146</v>
      </c>
      <c r="B21" s="77" t="s">
        <v>136</v>
      </c>
      <c r="C21" s="77"/>
      <c r="D21" s="77"/>
      <c r="E21" s="77" t="s">
        <v>136</v>
      </c>
      <c r="F21" s="78"/>
      <c r="G21" s="49" t="s">
        <v>140</v>
      </c>
    </row>
    <row r="22" spans="1:7" ht="21.75" customHeight="1" thickTop="1" x14ac:dyDescent="0.3">
      <c r="A22" s="803"/>
      <c r="B22" s="804"/>
      <c r="C22" s="804"/>
      <c r="D22" s="804"/>
      <c r="E22" s="804"/>
      <c r="F22" s="804"/>
    </row>
    <row r="23" spans="1:7" s="79" customFormat="1" ht="30" customHeight="1" x14ac:dyDescent="0.3">
      <c r="A23" s="801"/>
      <c r="B23" s="801"/>
      <c r="C23" s="801"/>
      <c r="D23" s="801"/>
      <c r="E23" s="801"/>
      <c r="F23" s="801"/>
    </row>
    <row r="24" spans="1:7" s="79" customFormat="1" ht="11.25" customHeight="1" x14ac:dyDescent="0.3">
      <c r="A24" s="80"/>
      <c r="B24" s="80"/>
      <c r="C24" s="80"/>
      <c r="D24" s="80"/>
      <c r="E24" s="80"/>
      <c r="F24" s="80"/>
    </row>
    <row r="25" spans="1:7" s="79" customFormat="1" ht="31.65" customHeight="1" x14ac:dyDescent="0.3">
      <c r="A25" s="801"/>
      <c r="B25" s="801"/>
      <c r="C25" s="801"/>
      <c r="D25" s="801"/>
      <c r="E25" s="801"/>
      <c r="F25" s="801"/>
    </row>
    <row r="26" spans="1:7" s="79" customFormat="1" ht="7.5" customHeight="1" x14ac:dyDescent="0.3">
      <c r="A26" s="81"/>
      <c r="B26" s="82"/>
      <c r="C26" s="82"/>
      <c r="D26" s="82"/>
      <c r="E26" s="82"/>
      <c r="F26" s="82"/>
    </row>
    <row r="27" spans="1:7" ht="43.5" customHeight="1" x14ac:dyDescent="0.3">
      <c r="A27" s="802"/>
      <c r="B27" s="802"/>
      <c r="C27" s="802"/>
      <c r="D27" s="802"/>
      <c r="E27" s="802"/>
      <c r="F27" s="802"/>
    </row>
    <row r="28" spans="1:7" s="84" customFormat="1" ht="8.25" customHeight="1" x14ac:dyDescent="0.3">
      <c r="A28" s="83"/>
      <c r="B28" s="83"/>
      <c r="C28" s="83"/>
      <c r="D28" s="83"/>
      <c r="E28" s="83"/>
      <c r="F28" s="83"/>
    </row>
    <row r="29" spans="1:7" ht="18" customHeight="1" x14ac:dyDescent="0.3">
      <c r="A29" s="801"/>
      <c r="B29" s="801"/>
      <c r="C29" s="801"/>
      <c r="D29" s="801"/>
      <c r="E29" s="801"/>
      <c r="F29" s="801"/>
    </row>
    <row r="30" spans="1:7" ht="7.5" customHeight="1" x14ac:dyDescent="0.3">
      <c r="A30" s="803"/>
      <c r="B30" s="804"/>
      <c r="C30" s="804"/>
      <c r="D30" s="804"/>
      <c r="E30" s="804"/>
      <c r="F30" s="804"/>
    </row>
    <row r="31" spans="1:7" ht="29.25" customHeight="1" x14ac:dyDescent="0.3">
      <c r="A31" s="801"/>
      <c r="B31" s="801"/>
      <c r="C31" s="801"/>
      <c r="D31" s="801"/>
      <c r="E31" s="801"/>
      <c r="F31" s="801"/>
    </row>
    <row r="32" spans="1:7" s="85" customFormat="1" ht="18" customHeight="1" x14ac:dyDescent="0.3">
      <c r="A32" s="801"/>
      <c r="B32" s="801"/>
      <c r="C32" s="801"/>
      <c r="D32" s="801"/>
      <c r="E32" s="801"/>
      <c r="F32" s="801"/>
    </row>
    <row r="33" spans="1:6" s="85" customFormat="1" x14ac:dyDescent="0.3">
      <c r="A33" s="801"/>
      <c r="B33" s="801"/>
      <c r="C33" s="801"/>
      <c r="D33" s="801"/>
      <c r="E33" s="801"/>
      <c r="F33" s="801"/>
    </row>
    <row r="34" spans="1:6" s="85" customFormat="1" x14ac:dyDescent="0.3">
      <c r="A34" s="80"/>
      <c r="B34" s="80"/>
      <c r="C34" s="80"/>
      <c r="D34" s="80"/>
      <c r="E34" s="80"/>
      <c r="F34" s="80"/>
    </row>
    <row r="35" spans="1:6" s="85" customFormat="1" x14ac:dyDescent="0.3">
      <c r="A35" s="801"/>
      <c r="B35" s="801"/>
      <c r="C35" s="801"/>
      <c r="D35" s="801"/>
      <c r="E35" s="801"/>
      <c r="F35" s="801"/>
    </row>
    <row r="36" spans="1:6" s="85" customFormat="1" ht="14.25" customHeight="1" x14ac:dyDescent="0.3">
      <c r="A36" s="801"/>
      <c r="B36" s="801"/>
      <c r="C36" s="801"/>
      <c r="D36" s="801"/>
      <c r="E36" s="801"/>
      <c r="F36" s="801"/>
    </row>
    <row r="37" spans="1:6" s="85" customFormat="1" x14ac:dyDescent="0.3">
      <c r="A37" s="801"/>
      <c r="B37" s="801"/>
      <c r="C37" s="801"/>
      <c r="D37" s="801"/>
      <c r="E37" s="801"/>
      <c r="F37" s="801"/>
    </row>
    <row r="38" spans="1:6" s="85" customFormat="1" ht="90" customHeight="1" x14ac:dyDescent="0.3">
      <c r="A38" s="800"/>
      <c r="B38" s="800"/>
      <c r="C38" s="800"/>
      <c r="D38" s="800"/>
      <c r="E38" s="800"/>
      <c r="F38" s="86"/>
    </row>
    <row r="39" spans="1:6" s="85" customFormat="1" x14ac:dyDescent="0.3">
      <c r="A39" s="86"/>
      <c r="B39" s="86"/>
      <c r="C39" s="86"/>
      <c r="D39" s="86"/>
      <c r="E39" s="86"/>
      <c r="F39" s="86"/>
    </row>
    <row r="40" spans="1:6" s="85" customFormat="1" x14ac:dyDescent="0.3">
      <c r="A40" s="86"/>
      <c r="B40" s="86"/>
      <c r="C40" s="86"/>
      <c r="D40" s="86"/>
      <c r="E40" s="86"/>
      <c r="F40" s="86"/>
    </row>
    <row r="41" spans="1:6" s="85" customFormat="1" x14ac:dyDescent="0.3">
      <c r="A41" s="86"/>
      <c r="B41" s="86"/>
      <c r="C41" s="86"/>
      <c r="D41" s="86"/>
      <c r="E41" s="86"/>
      <c r="F41" s="86"/>
    </row>
    <row r="42" spans="1:6" s="85" customFormat="1" x14ac:dyDescent="0.3">
      <c r="A42" s="86"/>
      <c r="B42" s="86"/>
      <c r="C42" s="86"/>
      <c r="D42" s="86"/>
      <c r="E42" s="86"/>
      <c r="F42" s="86"/>
    </row>
    <row r="43" spans="1:6" s="85" customFormat="1" x14ac:dyDescent="0.3">
      <c r="A43" s="86"/>
      <c r="B43" s="86"/>
      <c r="C43" s="86"/>
      <c r="D43" s="86"/>
      <c r="E43" s="86"/>
      <c r="F43" s="86"/>
    </row>
    <row r="44" spans="1:6" s="85" customFormat="1" x14ac:dyDescent="0.3">
      <c r="A44" s="87"/>
      <c r="B44" s="87"/>
      <c r="C44" s="87"/>
      <c r="D44" s="87"/>
      <c r="E44" s="87"/>
      <c r="F44" s="87"/>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M41"/>
  <sheetViews>
    <sheetView zoomScale="60" zoomScaleNormal="60" workbookViewId="0">
      <selection activeCell="AC19" sqref="AC19"/>
    </sheetView>
  </sheetViews>
  <sheetFormatPr baseColWidth="10" defaultColWidth="54.21875" defaultRowHeight="14.4" x14ac:dyDescent="0.3"/>
  <cols>
    <col min="2" max="2" width="19.109375" customWidth="1"/>
    <col min="3" max="3" width="17.88671875" customWidth="1"/>
    <col min="4" max="4" width="18.44140625" customWidth="1"/>
    <col min="5" max="6" width="15.33203125" customWidth="1"/>
    <col min="7" max="7" width="17.5546875" customWidth="1"/>
    <col min="8" max="8" width="20.77734375" customWidth="1"/>
    <col min="9" max="9" width="12.44140625" customWidth="1"/>
    <col min="10" max="10" width="10.44140625" customWidth="1"/>
    <col min="11" max="11" width="19.33203125" customWidth="1"/>
    <col min="12" max="12" width="10.33203125" customWidth="1"/>
  </cols>
  <sheetData>
    <row r="1" spans="1:13" ht="33.9" customHeight="1" x14ac:dyDescent="0.3">
      <c r="A1" s="815" t="s">
        <v>422</v>
      </c>
      <c r="B1" s="816"/>
      <c r="C1" s="816"/>
      <c r="D1" s="816"/>
      <c r="E1" s="567"/>
      <c r="F1" s="614"/>
      <c r="G1" s="88"/>
    </row>
    <row r="2" spans="1:13" ht="17.399999999999999" x14ac:dyDescent="0.3">
      <c r="A2" s="817" t="s">
        <v>122</v>
      </c>
      <c r="B2" s="818"/>
      <c r="C2" s="818"/>
      <c r="D2" s="818"/>
      <c r="E2" s="52"/>
      <c r="F2" s="52"/>
      <c r="G2" s="88"/>
    </row>
    <row r="3" spans="1:13" ht="41.4" x14ac:dyDescent="0.3">
      <c r="A3" s="819" t="s">
        <v>123</v>
      </c>
      <c r="B3" s="820" t="s">
        <v>148</v>
      </c>
      <c r="C3" s="820" t="s">
        <v>149</v>
      </c>
      <c r="D3" s="89" t="s">
        <v>150</v>
      </c>
      <c r="E3" s="568" t="s">
        <v>150</v>
      </c>
      <c r="F3" s="615" t="s">
        <v>150</v>
      </c>
      <c r="G3" s="510" t="s">
        <v>150</v>
      </c>
      <c r="I3" s="529" t="s">
        <v>489</v>
      </c>
    </row>
    <row r="4" spans="1:13" x14ac:dyDescent="0.3">
      <c r="A4" s="808"/>
      <c r="B4" s="811"/>
      <c r="C4" s="811"/>
      <c r="D4" s="90">
        <v>0.04</v>
      </c>
      <c r="E4" s="90">
        <v>0.05</v>
      </c>
      <c r="F4" s="90">
        <v>0.06</v>
      </c>
      <c r="G4" s="553">
        <v>0.08</v>
      </c>
    </row>
    <row r="5" spans="1:13" ht="15" thickBot="1" x14ac:dyDescent="0.35">
      <c r="A5" s="809"/>
      <c r="B5" s="91"/>
      <c r="C5" s="59"/>
      <c r="D5" s="59"/>
      <c r="E5" s="59"/>
      <c r="F5" s="59"/>
      <c r="G5" s="59"/>
    </row>
    <row r="6" spans="1:13" ht="32.25" customHeight="1" thickTop="1" x14ac:dyDescent="0.3">
      <c r="A6" s="92" t="s">
        <v>126</v>
      </c>
      <c r="B6" s="603">
        <v>13048.21</v>
      </c>
      <c r="C6" s="603">
        <f>+COMBUSTIBLES!B7</f>
        <v>4842</v>
      </c>
      <c r="D6" s="578"/>
      <c r="E6" s="578"/>
      <c r="F6" s="714"/>
      <c r="G6" s="578"/>
      <c r="I6" s="418" t="s">
        <v>471</v>
      </c>
      <c r="J6" s="426"/>
      <c r="K6" s="532" t="s">
        <v>498</v>
      </c>
      <c r="L6" s="540">
        <v>0.06</v>
      </c>
    </row>
    <row r="7" spans="1:13" ht="27.6" x14ac:dyDescent="0.3">
      <c r="A7" s="93" t="s">
        <v>151</v>
      </c>
      <c r="B7" s="581"/>
      <c r="C7" s="582"/>
      <c r="D7" s="604">
        <f>+C6*0.96</f>
        <v>4648.32</v>
      </c>
      <c r="E7" s="579">
        <f>+C6*0.95</f>
        <v>4599.8999999999996</v>
      </c>
      <c r="F7" s="715">
        <f>+ROUND(C6*0.94,2)</f>
        <v>4551.4799999999996</v>
      </c>
      <c r="G7" s="579"/>
      <c r="I7" s="530">
        <f>C6*0.96</f>
        <v>4648.32</v>
      </c>
      <c r="J7" s="479">
        <f>+D7-I7</f>
        <v>0</v>
      </c>
      <c r="K7" s="533">
        <f>+C6*(1-L6)</f>
        <v>4551.4799999999996</v>
      </c>
      <c r="L7" s="534">
        <f>+K7-G7</f>
        <v>4551.4799999999996</v>
      </c>
      <c r="M7">
        <f>5023.9*0.94</f>
        <v>4722.4659999999994</v>
      </c>
    </row>
    <row r="8" spans="1:13" ht="22.2" customHeight="1" x14ac:dyDescent="0.3">
      <c r="A8" s="93" t="s">
        <v>152</v>
      </c>
      <c r="B8" s="581"/>
      <c r="C8" s="582"/>
      <c r="D8" s="604">
        <f>+B6*0.04</f>
        <v>521.92840000000001</v>
      </c>
      <c r="E8" s="579">
        <f>+B6*0.05</f>
        <v>652.41049999999996</v>
      </c>
      <c r="F8" s="715">
        <f>+B6*0.06</f>
        <v>782.8925999999999</v>
      </c>
      <c r="G8" s="579"/>
      <c r="H8">
        <f>+B6*0.07</f>
        <v>913.37470000000008</v>
      </c>
      <c r="I8" s="530">
        <f>+B6*4%</f>
        <v>521.92840000000001</v>
      </c>
      <c r="J8" s="479">
        <f>+D8-I8</f>
        <v>0</v>
      </c>
      <c r="K8" s="533">
        <f>+B6*L6</f>
        <v>782.8925999999999</v>
      </c>
      <c r="L8" s="534">
        <f>+K8-G8</f>
        <v>782.8925999999999</v>
      </c>
      <c r="M8">
        <f>10101.25*0.06</f>
        <v>606.07499999999993</v>
      </c>
    </row>
    <row r="9" spans="1:13" ht="27.6" x14ac:dyDescent="0.3">
      <c r="A9" s="93" t="s">
        <v>153</v>
      </c>
      <c r="B9" s="581"/>
      <c r="C9" s="582"/>
      <c r="D9" s="604">
        <f>+D7+D8</f>
        <v>5170.2483999999995</v>
      </c>
      <c r="E9" s="579">
        <f>+E7+E8</f>
        <v>5252.3104999999996</v>
      </c>
      <c r="F9" s="715">
        <f>+F7+F8</f>
        <v>5334.3725999999997</v>
      </c>
      <c r="G9" s="579"/>
      <c r="I9" s="531">
        <f>+I7+I8</f>
        <v>5170.2483999999995</v>
      </c>
      <c r="J9" s="479">
        <f>+D9-I9</f>
        <v>0</v>
      </c>
      <c r="K9" s="537">
        <f>+K7+K8</f>
        <v>5334.3725999999997</v>
      </c>
      <c r="L9" s="538">
        <f>+K9-G9</f>
        <v>5334.3725999999997</v>
      </c>
      <c r="M9">
        <f>+M7+M8</f>
        <v>5328.5409999999993</v>
      </c>
    </row>
    <row r="10" spans="1:13" ht="19.05" customHeight="1" x14ac:dyDescent="0.3">
      <c r="A10" s="239" t="s">
        <v>131</v>
      </c>
      <c r="B10" s="581"/>
      <c r="C10" s="729">
        <v>586.25</v>
      </c>
      <c r="D10" s="579">
        <f>+C10*0.96</f>
        <v>562.79999999999995</v>
      </c>
      <c r="E10" s="579">
        <f>+C10*0.95</f>
        <v>556.9375</v>
      </c>
      <c r="F10" s="715">
        <f>+C10*0.94</f>
        <v>551.07499999999993</v>
      </c>
      <c r="G10" s="579"/>
      <c r="H10" s="49"/>
      <c r="I10" s="536">
        <f>+C10*0.96</f>
        <v>562.79999999999995</v>
      </c>
      <c r="J10" s="479">
        <f>+I10-D10</f>
        <v>0</v>
      </c>
      <c r="K10" s="539">
        <f>+C10*(1-L6)</f>
        <v>551.07499999999993</v>
      </c>
      <c r="L10" s="538">
        <f>+G10-K10</f>
        <v>-551.07499999999993</v>
      </c>
    </row>
    <row r="11" spans="1:13" x14ac:dyDescent="0.3">
      <c r="A11" s="93" t="s">
        <v>132</v>
      </c>
      <c r="B11" s="581"/>
      <c r="C11" s="584" t="s">
        <v>133</v>
      </c>
      <c r="D11" s="579" t="s">
        <v>133</v>
      </c>
      <c r="E11" s="579"/>
      <c r="F11" s="715"/>
      <c r="G11" s="579"/>
      <c r="H11" s="49"/>
      <c r="I11" s="426"/>
      <c r="J11" s="426"/>
      <c r="K11" s="539"/>
      <c r="L11" s="539"/>
    </row>
    <row r="12" spans="1:13" ht="19.649999999999999" customHeight="1" x14ac:dyDescent="0.3">
      <c r="A12" s="238" t="s">
        <v>134</v>
      </c>
      <c r="B12" s="581"/>
      <c r="C12" s="729">
        <v>169</v>
      </c>
      <c r="D12" s="579">
        <f>+C12*0.96</f>
        <v>162.23999999999998</v>
      </c>
      <c r="E12" s="619">
        <f>+C12*0.95</f>
        <v>160.54999999999998</v>
      </c>
      <c r="F12" s="715">
        <f>+C12*0.94</f>
        <v>158.85999999999999</v>
      </c>
      <c r="G12" s="579"/>
      <c r="H12" s="49"/>
      <c r="I12" s="426">
        <f>+C12*0.96</f>
        <v>162.23999999999998</v>
      </c>
      <c r="J12" s="479">
        <f>+D12-I12</f>
        <v>0</v>
      </c>
      <c r="K12" s="539">
        <f>+C12*(1-L6)</f>
        <v>158.85999999999999</v>
      </c>
      <c r="L12" s="538">
        <f>+G12-K12</f>
        <v>-158.85999999999999</v>
      </c>
    </row>
    <row r="13" spans="1:13" x14ac:dyDescent="0.3">
      <c r="A13" s="93" t="s">
        <v>127</v>
      </c>
      <c r="B13" s="581"/>
      <c r="C13" s="583">
        <v>8.6300000000000008</v>
      </c>
      <c r="D13" s="579">
        <f>+C13</f>
        <v>8.6300000000000008</v>
      </c>
      <c r="E13" s="579"/>
      <c r="F13" s="715"/>
      <c r="G13" s="579"/>
      <c r="H13" s="49"/>
    </row>
    <row r="14" spans="1:13" ht="27.6" x14ac:dyDescent="0.3">
      <c r="A14" s="93" t="s">
        <v>154</v>
      </c>
      <c r="B14" s="581"/>
      <c r="C14" s="582"/>
      <c r="D14" s="580" t="s">
        <v>129</v>
      </c>
      <c r="E14" s="580"/>
      <c r="F14" s="716"/>
      <c r="G14" s="580"/>
      <c r="H14" s="535">
        <f>+D12/C12</f>
        <v>0.95999999999999985</v>
      </c>
    </row>
    <row r="15" spans="1:13" ht="27.6" x14ac:dyDescent="0.3">
      <c r="A15" s="93" t="s">
        <v>155</v>
      </c>
      <c r="B15" s="581"/>
      <c r="C15" s="585"/>
      <c r="D15" s="580" t="s">
        <v>136</v>
      </c>
      <c r="E15" s="580"/>
      <c r="F15" s="620"/>
      <c r="G15" s="580"/>
      <c r="H15" s="49"/>
    </row>
    <row r="16" spans="1:13" x14ac:dyDescent="0.3">
      <c r="A16" s="93" t="s">
        <v>248</v>
      </c>
      <c r="B16" s="581"/>
      <c r="C16" s="582"/>
      <c r="D16" s="580">
        <v>0</v>
      </c>
      <c r="E16" s="580"/>
      <c r="F16" s="620"/>
      <c r="G16" s="580"/>
      <c r="H16" s="474"/>
    </row>
    <row r="17" spans="1:8" x14ac:dyDescent="0.3">
      <c r="A17" s="93" t="s">
        <v>156</v>
      </c>
      <c r="B17" s="581"/>
      <c r="C17" s="582" t="s">
        <v>138</v>
      </c>
      <c r="D17" s="580" t="s">
        <v>138</v>
      </c>
      <c r="E17" s="580"/>
      <c r="F17" s="620"/>
      <c r="G17" s="580"/>
      <c r="H17" s="49"/>
    </row>
    <row r="18" spans="1:8" x14ac:dyDescent="0.3">
      <c r="A18" s="93" t="s">
        <v>139</v>
      </c>
      <c r="B18" s="581"/>
      <c r="C18" s="582"/>
      <c r="D18" s="580" t="s">
        <v>475</v>
      </c>
      <c r="E18" s="580"/>
      <c r="F18" s="620"/>
      <c r="G18" s="580"/>
      <c r="H18" s="49"/>
    </row>
    <row r="19" spans="1:8" x14ac:dyDescent="0.3">
      <c r="A19" s="93" t="s">
        <v>157</v>
      </c>
      <c r="B19" s="581"/>
      <c r="C19" s="583" t="s">
        <v>158</v>
      </c>
      <c r="D19" s="580" t="s">
        <v>144</v>
      </c>
      <c r="E19" s="580"/>
      <c r="F19" s="620"/>
      <c r="G19" s="580"/>
      <c r="H19" s="49"/>
    </row>
    <row r="20" spans="1:8" ht="27.6" x14ac:dyDescent="0.3">
      <c r="A20" s="93" t="s">
        <v>159</v>
      </c>
      <c r="B20" s="581"/>
      <c r="C20" s="582" t="s">
        <v>158</v>
      </c>
      <c r="D20" s="580" t="s">
        <v>138</v>
      </c>
      <c r="E20" s="580"/>
      <c r="F20" s="620"/>
      <c r="G20" s="580"/>
      <c r="H20" s="49"/>
    </row>
    <row r="21" spans="1:8" x14ac:dyDescent="0.3">
      <c r="A21" s="93" t="s">
        <v>160</v>
      </c>
      <c r="B21" s="581"/>
      <c r="C21" s="586" t="s">
        <v>158</v>
      </c>
      <c r="D21" s="580" t="s">
        <v>144</v>
      </c>
      <c r="E21" s="580"/>
      <c r="F21" s="620"/>
      <c r="G21" s="580"/>
      <c r="H21" s="49"/>
    </row>
    <row r="22" spans="1:8" x14ac:dyDescent="0.3">
      <c r="A22" s="93" t="s">
        <v>161</v>
      </c>
      <c r="B22" s="581"/>
      <c r="C22" s="582" t="s">
        <v>158</v>
      </c>
      <c r="D22" s="580" t="s">
        <v>162</v>
      </c>
      <c r="E22" s="580"/>
      <c r="F22" s="620"/>
      <c r="G22" s="580" t="s">
        <v>162</v>
      </c>
      <c r="H22" s="49"/>
    </row>
    <row r="23" spans="1:8" x14ac:dyDescent="0.3">
      <c r="A23" s="93" t="s">
        <v>145</v>
      </c>
      <c r="B23" s="94"/>
      <c r="C23" s="95" t="s">
        <v>158</v>
      </c>
      <c r="D23" s="96" t="s">
        <v>144</v>
      </c>
      <c r="E23" s="96"/>
      <c r="F23" s="620"/>
      <c r="G23" s="96" t="s">
        <v>144</v>
      </c>
      <c r="H23" s="49"/>
    </row>
    <row r="24" spans="1:8" ht="28.2" thickBot="1" x14ac:dyDescent="0.35">
      <c r="A24" s="97" t="s">
        <v>163</v>
      </c>
      <c r="B24" s="98"/>
      <c r="C24" s="99" t="s">
        <v>158</v>
      </c>
      <c r="D24" s="100" t="s">
        <v>138</v>
      </c>
      <c r="E24" s="100"/>
      <c r="F24" s="100"/>
      <c r="G24" s="100" t="s">
        <v>138</v>
      </c>
      <c r="H24" s="49"/>
    </row>
    <row r="25" spans="1:8" ht="15" thickTop="1" x14ac:dyDescent="0.3">
      <c r="A25" s="101"/>
      <c r="B25" s="101"/>
      <c r="C25" s="102"/>
      <c r="D25" s="103"/>
      <c r="E25" s="103"/>
      <c r="F25" s="103"/>
      <c r="G25" s="101"/>
    </row>
    <row r="26" spans="1:8" x14ac:dyDescent="0.3">
      <c r="A26" s="814"/>
      <c r="B26" s="814"/>
      <c r="C26" s="814"/>
      <c r="D26" s="814"/>
      <c r="E26" s="566"/>
      <c r="F26" s="613"/>
      <c r="G26" s="104"/>
    </row>
    <row r="27" spans="1:8" x14ac:dyDescent="0.3">
      <c r="A27" s="105"/>
      <c r="B27" s="105"/>
      <c r="C27" s="105"/>
      <c r="D27" s="105"/>
      <c r="E27" s="566"/>
      <c r="F27" s="613"/>
      <c r="G27" s="104"/>
    </row>
    <row r="28" spans="1:8" x14ac:dyDescent="0.3">
      <c r="A28" s="821"/>
      <c r="B28" s="821"/>
      <c r="C28" s="821"/>
      <c r="D28" s="821"/>
      <c r="E28" s="569"/>
      <c r="F28" s="611"/>
      <c r="G28" s="104"/>
    </row>
    <row r="29" spans="1:8" x14ac:dyDescent="0.3">
      <c r="A29" s="106"/>
      <c r="B29" s="106"/>
      <c r="C29" s="107"/>
      <c r="D29" s="107"/>
      <c r="E29" s="107"/>
      <c r="F29" s="107"/>
      <c r="G29" s="104"/>
    </row>
    <row r="30" spans="1:8" x14ac:dyDescent="0.3">
      <c r="A30" s="821"/>
      <c r="B30" s="821"/>
      <c r="C30" s="821"/>
      <c r="D30" s="821"/>
      <c r="E30" s="569"/>
      <c r="F30" s="611"/>
      <c r="G30" s="104"/>
    </row>
    <row r="31" spans="1:8" x14ac:dyDescent="0.3">
      <c r="A31" s="106"/>
      <c r="B31" s="106"/>
      <c r="C31" s="107"/>
      <c r="D31" s="107"/>
      <c r="E31" s="107"/>
      <c r="F31" s="107"/>
      <c r="G31" s="104"/>
    </row>
    <row r="32" spans="1:8" x14ac:dyDescent="0.3">
      <c r="A32" s="822"/>
      <c r="B32" s="822"/>
      <c r="C32" s="822"/>
      <c r="D32" s="822"/>
      <c r="E32" s="570"/>
      <c r="F32" s="612"/>
      <c r="G32" s="108"/>
    </row>
    <row r="33" spans="1:7" x14ac:dyDescent="0.3">
      <c r="A33" s="106"/>
      <c r="B33" s="106"/>
      <c r="C33" s="107"/>
      <c r="D33" s="107"/>
      <c r="E33" s="107"/>
      <c r="F33" s="107"/>
      <c r="G33" s="104"/>
    </row>
    <row r="34" spans="1:7" x14ac:dyDescent="0.3">
      <c r="A34" s="821"/>
      <c r="B34" s="821"/>
      <c r="C34" s="821"/>
      <c r="D34" s="821"/>
      <c r="E34" s="569"/>
      <c r="F34" s="611"/>
      <c r="G34" s="104"/>
    </row>
    <row r="35" spans="1:7" x14ac:dyDescent="0.3">
      <c r="A35" s="109"/>
      <c r="B35" s="109"/>
      <c r="C35" s="109"/>
      <c r="D35" s="109"/>
      <c r="E35" s="569"/>
      <c r="F35" s="611"/>
      <c r="G35" s="104"/>
    </row>
    <row r="36" spans="1:7" x14ac:dyDescent="0.3">
      <c r="A36" s="801"/>
      <c r="B36" s="801"/>
      <c r="C36" s="801"/>
      <c r="D36" s="801"/>
      <c r="E36" s="801"/>
      <c r="F36" s="801"/>
      <c r="G36" s="801"/>
    </row>
    <row r="37" spans="1:7" x14ac:dyDescent="0.3">
      <c r="A37" s="801"/>
      <c r="B37" s="801"/>
      <c r="C37" s="801"/>
      <c r="D37" s="801"/>
      <c r="E37" s="565"/>
      <c r="F37" s="610"/>
      <c r="G37" s="80"/>
    </row>
    <row r="38" spans="1:7" x14ac:dyDescent="0.3">
      <c r="A38" s="801"/>
      <c r="B38" s="801"/>
      <c r="C38" s="801"/>
      <c r="D38" s="801"/>
      <c r="E38" s="565"/>
      <c r="F38" s="610"/>
      <c r="G38" s="80"/>
    </row>
    <row r="39" spans="1:7" x14ac:dyDescent="0.3">
      <c r="A39" s="801"/>
      <c r="B39" s="801"/>
      <c r="C39" s="801"/>
      <c r="D39" s="801"/>
      <c r="E39" s="565"/>
      <c r="F39" s="610"/>
      <c r="G39" s="101"/>
    </row>
    <row r="40" spans="1:7" x14ac:dyDescent="0.3">
      <c r="A40" s="48"/>
      <c r="B40" s="48"/>
      <c r="C40" s="48"/>
      <c r="D40" s="48"/>
      <c r="E40" s="48"/>
      <c r="F40" s="48"/>
      <c r="G40" s="101"/>
    </row>
    <row r="41" spans="1:7" x14ac:dyDescent="0.3">
      <c r="A41" s="800"/>
      <c r="B41" s="800"/>
      <c r="C41" s="800"/>
      <c r="D41" s="800"/>
      <c r="E41" s="564"/>
      <c r="F41" s="609"/>
      <c r="G41" s="101"/>
    </row>
  </sheetData>
  <mergeCells count="15">
    <mergeCell ref="A38:D38"/>
    <mergeCell ref="A39:D39"/>
    <mergeCell ref="A41:D41"/>
    <mergeCell ref="A28:D28"/>
    <mergeCell ref="A30:D30"/>
    <mergeCell ref="A32:D32"/>
    <mergeCell ref="A34:D34"/>
    <mergeCell ref="A36:G36"/>
    <mergeCell ref="A37:D37"/>
    <mergeCell ref="A26:D26"/>
    <mergeCell ref="A1:D1"/>
    <mergeCell ref="A2:D2"/>
    <mergeCell ref="A3:A5"/>
    <mergeCell ref="B3:B4"/>
    <mergeCell ref="C3:C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D6" sqref="D6"/>
    </sheetView>
  </sheetViews>
  <sheetFormatPr baseColWidth="10" defaultRowHeight="14.4" x14ac:dyDescent="0.3"/>
  <cols>
    <col min="1" max="1" width="36.109375" customWidth="1"/>
    <col min="2" max="4" width="20.33203125" customWidth="1"/>
    <col min="5" max="5" width="14.88671875" customWidth="1"/>
    <col min="6" max="6" width="20.109375" customWidth="1"/>
  </cols>
  <sheetData>
    <row r="1" spans="1:6" ht="16.8" x14ac:dyDescent="0.3">
      <c r="A1" s="825" t="str">
        <f>CONCATENATE("ESTRUCTURA DE PRECIOS DE GASOLINA EXTRA OXIGENADA VIGENTE A PARTIR DE ",'[5]COMBUSTIBLES '!$A$1)</f>
        <v>ESTRUCTURA DE PRECIOS DE GASOLINA EXTRA OXIGENADA VIGENTE A PARTIR DE 1 DE ABRIL 2019</v>
      </c>
      <c r="B1" s="826"/>
      <c r="C1" s="826"/>
      <c r="D1" s="826"/>
    </row>
    <row r="2" spans="1:6" ht="16.8" x14ac:dyDescent="0.3">
      <c r="A2" s="827" t="s">
        <v>122</v>
      </c>
      <c r="B2" s="828"/>
      <c r="C2" s="828"/>
      <c r="D2" s="828"/>
    </row>
    <row r="3" spans="1:6" ht="30" customHeight="1" x14ac:dyDescent="0.3">
      <c r="A3" s="819" t="s">
        <v>123</v>
      </c>
      <c r="B3" s="820" t="s">
        <v>148</v>
      </c>
      <c r="C3" s="820" t="s">
        <v>400</v>
      </c>
      <c r="D3" s="374" t="s">
        <v>164</v>
      </c>
      <c r="E3" s="823" t="s">
        <v>401</v>
      </c>
      <c r="F3" s="375" t="s">
        <v>164</v>
      </c>
    </row>
    <row r="4" spans="1:6" x14ac:dyDescent="0.3">
      <c r="A4" s="808"/>
      <c r="B4" s="811"/>
      <c r="C4" s="811"/>
      <c r="D4" s="376">
        <v>0.1</v>
      </c>
      <c r="E4" s="824"/>
      <c r="F4" s="377">
        <v>0.1</v>
      </c>
    </row>
    <row r="5" spans="1:6" ht="42" thickBot="1" x14ac:dyDescent="0.35">
      <c r="A5" s="809"/>
      <c r="B5" s="110" t="s">
        <v>402</v>
      </c>
      <c r="C5" s="110" t="s">
        <v>402</v>
      </c>
      <c r="D5" s="378" t="s">
        <v>402</v>
      </c>
      <c r="E5" s="110" t="s">
        <v>402</v>
      </c>
      <c r="F5" s="111" t="s">
        <v>402</v>
      </c>
    </row>
    <row r="6" spans="1:6" ht="15" thickTop="1" x14ac:dyDescent="0.3">
      <c r="A6" s="61" t="s">
        <v>126</v>
      </c>
      <c r="B6" s="112">
        <v>8286.2999999999993</v>
      </c>
      <c r="C6" s="112">
        <v>5700</v>
      </c>
      <c r="D6" s="379">
        <v>5958.63</v>
      </c>
      <c r="E6" s="380">
        <v>5700</v>
      </c>
      <c r="F6" s="381">
        <v>5958.63</v>
      </c>
    </row>
    <row r="7" spans="1:6" x14ac:dyDescent="0.3">
      <c r="A7" s="63" t="s">
        <v>165</v>
      </c>
      <c r="B7" s="68"/>
      <c r="C7" s="68">
        <v>8.1370000000000005</v>
      </c>
      <c r="D7" s="382">
        <v>8.1370000000000005</v>
      </c>
      <c r="E7" s="382">
        <v>8.1370000000000005</v>
      </c>
      <c r="F7" s="70">
        <v>8.1370000000000005</v>
      </c>
    </row>
    <row r="8" spans="1:6" ht="27.6" x14ac:dyDescent="0.3">
      <c r="A8" s="63" t="s">
        <v>128</v>
      </c>
      <c r="B8" s="95"/>
      <c r="C8" s="95" t="s">
        <v>129</v>
      </c>
      <c r="D8" s="383" t="s">
        <v>129</v>
      </c>
      <c r="E8" s="383" t="s">
        <v>129</v>
      </c>
      <c r="F8" s="113" t="s">
        <v>129</v>
      </c>
    </row>
    <row r="9" spans="1:6" x14ac:dyDescent="0.3">
      <c r="A9" s="63" t="s">
        <v>248</v>
      </c>
      <c r="B9" s="95"/>
      <c r="C9" s="95">
        <v>71.510000000000005</v>
      </c>
      <c r="D9" s="383">
        <v>71.510000000000005</v>
      </c>
      <c r="E9" s="383">
        <v>71.510000000000005</v>
      </c>
      <c r="F9" s="113">
        <v>71.510000000000005</v>
      </c>
    </row>
    <row r="10" spans="1:6" ht="27.6" x14ac:dyDescent="0.3">
      <c r="A10" s="240" t="s">
        <v>131</v>
      </c>
      <c r="B10" s="68"/>
      <c r="C10" s="68">
        <v>1036.78</v>
      </c>
      <c r="D10" s="382">
        <v>933.1</v>
      </c>
      <c r="E10" s="68">
        <v>1036.78</v>
      </c>
      <c r="F10" s="384">
        <v>933.1</v>
      </c>
    </row>
    <row r="11" spans="1:6" x14ac:dyDescent="0.3">
      <c r="A11" s="63" t="s">
        <v>132</v>
      </c>
      <c r="B11" s="68"/>
      <c r="C11" s="64" t="s">
        <v>133</v>
      </c>
      <c r="D11" s="385" t="s">
        <v>133</v>
      </c>
      <c r="E11" s="64" t="s">
        <v>133</v>
      </c>
      <c r="F11" s="386" t="s">
        <v>133</v>
      </c>
    </row>
    <row r="12" spans="1:6" x14ac:dyDescent="0.3">
      <c r="A12" s="238" t="s">
        <v>134</v>
      </c>
      <c r="B12" s="68"/>
      <c r="C12" s="68">
        <v>155</v>
      </c>
      <c r="D12" s="382">
        <v>139.5</v>
      </c>
      <c r="E12" s="68">
        <v>155</v>
      </c>
      <c r="F12" s="384">
        <v>139.5</v>
      </c>
    </row>
    <row r="13" spans="1:6" ht="27.6" x14ac:dyDescent="0.3">
      <c r="A13" s="63" t="s">
        <v>166</v>
      </c>
      <c r="B13" s="95"/>
      <c r="C13" s="95" t="s">
        <v>136</v>
      </c>
      <c r="D13" s="383" t="s">
        <v>136</v>
      </c>
      <c r="E13" s="95" t="s">
        <v>136</v>
      </c>
      <c r="F13" s="387" t="s">
        <v>136</v>
      </c>
    </row>
    <row r="14" spans="1:6" x14ac:dyDescent="0.3">
      <c r="A14" s="63" t="s">
        <v>167</v>
      </c>
      <c r="B14" s="68"/>
      <c r="C14" s="114"/>
      <c r="D14" s="388"/>
      <c r="E14" s="114"/>
      <c r="F14" s="389"/>
    </row>
    <row r="15" spans="1:6" x14ac:dyDescent="0.3">
      <c r="A15" s="63" t="s">
        <v>139</v>
      </c>
      <c r="B15" s="68"/>
      <c r="C15" s="68">
        <v>1776.95</v>
      </c>
      <c r="D15" s="382">
        <v>1599.26</v>
      </c>
      <c r="E15" s="68">
        <v>1776.95</v>
      </c>
      <c r="F15" s="384">
        <v>1599.26</v>
      </c>
    </row>
    <row r="16" spans="1:6" ht="27.6" x14ac:dyDescent="0.3">
      <c r="A16" s="63" t="s">
        <v>141</v>
      </c>
      <c r="B16" s="116"/>
      <c r="C16" s="116"/>
      <c r="D16" s="390"/>
      <c r="E16" s="116"/>
      <c r="F16" s="391"/>
    </row>
    <row r="17" spans="1:6" x14ac:dyDescent="0.3">
      <c r="A17" s="63" t="s">
        <v>168</v>
      </c>
      <c r="B17" s="68"/>
      <c r="C17" s="114"/>
      <c r="D17" s="388"/>
      <c r="E17" s="114"/>
      <c r="F17" s="115"/>
    </row>
    <row r="18" spans="1:6" x14ac:dyDescent="0.3">
      <c r="A18" s="63" t="s">
        <v>143</v>
      </c>
      <c r="B18" s="68"/>
      <c r="C18" s="68"/>
      <c r="D18" s="382"/>
      <c r="E18" s="68"/>
      <c r="F18" s="70"/>
    </row>
    <row r="19" spans="1:6" ht="27.6" x14ac:dyDescent="0.3">
      <c r="A19" s="63" t="s">
        <v>145</v>
      </c>
      <c r="B19" s="68"/>
      <c r="C19" s="68"/>
      <c r="D19" s="382"/>
      <c r="E19" s="68"/>
      <c r="F19" s="70"/>
    </row>
    <row r="20" spans="1:6" ht="15" thickBot="1" x14ac:dyDescent="0.35">
      <c r="A20" s="76" t="s">
        <v>146</v>
      </c>
      <c r="B20" s="99"/>
      <c r="C20" s="99" t="s">
        <v>136</v>
      </c>
      <c r="D20" s="392" t="s">
        <v>136</v>
      </c>
      <c r="E20" s="99" t="s">
        <v>136</v>
      </c>
      <c r="F20" s="117" t="s">
        <v>136</v>
      </c>
    </row>
    <row r="21" spans="1:6" ht="15" thickTop="1" x14ac:dyDescent="0.3"/>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S24"/>
  <sheetViews>
    <sheetView zoomScale="70" zoomScaleNormal="70" workbookViewId="0">
      <selection activeCell="AC19" sqref="AC19"/>
    </sheetView>
  </sheetViews>
  <sheetFormatPr baseColWidth="10" defaultColWidth="11.33203125" defaultRowHeight="13.8" x14ac:dyDescent="0.3"/>
  <cols>
    <col min="1" max="1" width="48.33203125" style="118" customWidth="1"/>
    <col min="2" max="2" width="13.109375" style="118" bestFit="1" customWidth="1"/>
    <col min="3" max="5" width="14.5546875" style="118" customWidth="1"/>
    <col min="6" max="6" width="12" style="118" customWidth="1"/>
    <col min="7" max="7" width="15.6640625" style="118" customWidth="1"/>
    <col min="8" max="10" width="14.5546875" style="118" customWidth="1"/>
    <col min="11" max="11" width="11.33203125" style="118"/>
    <col min="12" max="12" width="12.6640625" style="118" customWidth="1"/>
    <col min="13" max="13" width="11.33203125" style="118"/>
    <col min="14" max="14" width="5.6640625" style="118" customWidth="1"/>
    <col min="15" max="15" width="10.77734375" style="118" customWidth="1"/>
    <col min="16" max="16" width="11.109375" style="118" customWidth="1"/>
    <col min="17" max="17" width="7.33203125" style="118" customWidth="1"/>
    <col min="18" max="18" width="14.44140625" style="118" customWidth="1"/>
    <col min="19" max="16384" width="11.33203125" style="118"/>
  </cols>
  <sheetData>
    <row r="1" spans="1:19" ht="34.5" customHeight="1" thickTop="1" x14ac:dyDescent="0.3">
      <c r="A1" s="829" t="s">
        <v>491</v>
      </c>
      <c r="B1" s="830"/>
      <c r="C1" s="830"/>
      <c r="D1" s="830"/>
      <c r="E1" s="830"/>
      <c r="F1" s="830"/>
      <c r="G1" s="830"/>
      <c r="H1" s="830"/>
      <c r="I1" s="719"/>
    </row>
    <row r="2" spans="1:19" x14ac:dyDescent="0.3">
      <c r="A2" s="831" t="s">
        <v>122</v>
      </c>
      <c r="B2" s="832"/>
      <c r="C2" s="832"/>
      <c r="D2" s="832"/>
      <c r="E2" s="832"/>
      <c r="F2" s="832"/>
      <c r="G2" s="832"/>
      <c r="H2" s="832"/>
      <c r="I2" s="719"/>
    </row>
    <row r="3" spans="1:19" ht="39.299999999999997" customHeight="1" x14ac:dyDescent="0.3">
      <c r="A3" s="833" t="s">
        <v>123</v>
      </c>
      <c r="B3" s="119" t="s">
        <v>169</v>
      </c>
      <c r="C3" s="836" t="s">
        <v>170</v>
      </c>
      <c r="D3" s="836" t="s">
        <v>171</v>
      </c>
      <c r="E3" s="120" t="s">
        <v>172</v>
      </c>
      <c r="F3" s="428" t="s">
        <v>512</v>
      </c>
      <c r="G3" s="120" t="s">
        <v>497</v>
      </c>
      <c r="H3" s="120" t="s">
        <v>408</v>
      </c>
      <c r="I3" s="120" t="s">
        <v>516</v>
      </c>
      <c r="J3" s="120" t="s">
        <v>437</v>
      </c>
      <c r="L3" s="118">
        <f>+B6*0.1</f>
        <v>2347.8830000000003</v>
      </c>
    </row>
    <row r="4" spans="1:19" ht="19.649999999999999" customHeight="1" x14ac:dyDescent="0.3">
      <c r="A4" s="834"/>
      <c r="B4" s="121">
        <v>1</v>
      </c>
      <c r="C4" s="837"/>
      <c r="D4" s="837"/>
      <c r="E4" s="122">
        <v>0.02</v>
      </c>
      <c r="F4" s="429">
        <v>0.03</v>
      </c>
      <c r="G4" s="122">
        <v>0.05</v>
      </c>
      <c r="H4" s="122">
        <v>0.1</v>
      </c>
      <c r="I4" s="122">
        <v>0.11</v>
      </c>
      <c r="J4" s="122">
        <v>0.12</v>
      </c>
    </row>
    <row r="5" spans="1:19" ht="14.4" thickBot="1" x14ac:dyDescent="0.35">
      <c r="A5" s="835"/>
      <c r="B5" s="123" t="str">
        <f>+'[5]COMBUSTIBLES '!C5</f>
        <v>Ecopetrol</v>
      </c>
      <c r="C5" s="123" t="str">
        <f>+B5</f>
        <v>Ecopetrol</v>
      </c>
      <c r="D5" s="123" t="str">
        <f>+C5</f>
        <v>Ecopetrol</v>
      </c>
      <c r="E5" s="124" t="str">
        <f>+B5</f>
        <v>Ecopetrol</v>
      </c>
      <c r="F5" s="430" t="str">
        <f>+B5</f>
        <v>Ecopetrol</v>
      </c>
      <c r="G5" s="430"/>
      <c r="H5" s="124" t="str">
        <f>+B5</f>
        <v>Ecopetrol</v>
      </c>
      <c r="I5" s="124" t="str">
        <f>+C5</f>
        <v>Ecopetrol</v>
      </c>
      <c r="J5" s="124" t="str">
        <f>+C5</f>
        <v>Ecopetrol</v>
      </c>
    </row>
    <row r="6" spans="1:19" ht="18.899999999999999" customHeight="1" thickTop="1" x14ac:dyDescent="0.3">
      <c r="A6" s="125" t="s">
        <v>126</v>
      </c>
      <c r="B6" s="605">
        <v>23478.83</v>
      </c>
      <c r="C6" s="606">
        <v>4180.45</v>
      </c>
      <c r="D6" s="606">
        <f>+C6</f>
        <v>4180.45</v>
      </c>
      <c r="E6" s="587"/>
      <c r="F6" s="588"/>
      <c r="G6" s="588"/>
      <c r="H6" s="587"/>
      <c r="I6" s="587"/>
      <c r="J6" s="587"/>
      <c r="L6" s="427" t="s">
        <v>486</v>
      </c>
      <c r="M6" s="541">
        <v>0.1</v>
      </c>
      <c r="O6" s="544" t="s">
        <v>498</v>
      </c>
      <c r="P6" s="545">
        <v>0.05</v>
      </c>
      <c r="R6" s="544" t="s">
        <v>487</v>
      </c>
      <c r="S6" s="545">
        <v>0.12</v>
      </c>
    </row>
    <row r="7" spans="1:19" ht="28.2" customHeight="1" x14ac:dyDescent="0.3">
      <c r="A7" s="126" t="s">
        <v>173</v>
      </c>
      <c r="B7" s="589"/>
      <c r="C7" s="590"/>
      <c r="D7" s="590"/>
      <c r="E7" s="607">
        <f>+ROUND(D6*0.98,2)</f>
        <v>4096.84</v>
      </c>
      <c r="F7" s="591">
        <f>+C6*97%</f>
        <v>4055.0364999999997</v>
      </c>
      <c r="G7" s="590">
        <f>+D6*0.95</f>
        <v>3971.4274999999998</v>
      </c>
      <c r="H7" s="607">
        <f>+C6*0.9</f>
        <v>3762.4049999999997</v>
      </c>
      <c r="I7" s="607">
        <f>+C6*0.89</f>
        <v>3720.6005</v>
      </c>
      <c r="J7" s="592">
        <f>+C6*0.88</f>
        <v>3678.7959999999998</v>
      </c>
      <c r="K7" s="448"/>
      <c r="L7" s="542">
        <f>+D6*(1-M6)</f>
        <v>3762.4049999999997</v>
      </c>
      <c r="M7" s="543">
        <f>+L7-H7</f>
        <v>0</v>
      </c>
      <c r="O7" s="546">
        <f>+C6*(1-P6)</f>
        <v>3971.4274999999998</v>
      </c>
      <c r="P7" s="547">
        <f>+O7-G7</f>
        <v>0</v>
      </c>
      <c r="R7" s="546">
        <f>+C6*(1-S6)</f>
        <v>3678.7959999999998</v>
      </c>
      <c r="S7" s="547">
        <f>+R7-J7</f>
        <v>0</v>
      </c>
    </row>
    <row r="8" spans="1:19" ht="32.1" customHeight="1" x14ac:dyDescent="0.3">
      <c r="A8" s="126" t="s">
        <v>174</v>
      </c>
      <c r="B8" s="590"/>
      <c r="C8" s="590"/>
      <c r="D8" s="590"/>
      <c r="E8" s="607">
        <f>+B6*0.02</f>
        <v>469.57660000000004</v>
      </c>
      <c r="F8" s="591">
        <f>+B6*3%</f>
        <v>704.36490000000003</v>
      </c>
      <c r="G8" s="590">
        <f>+B6*0.05</f>
        <v>1173.9415000000001</v>
      </c>
      <c r="H8" s="607">
        <f>+B6*0.1</f>
        <v>2347.8830000000003</v>
      </c>
      <c r="I8" s="607">
        <f>+B6*0.11</f>
        <v>2582.6713000000004</v>
      </c>
      <c r="J8" s="592">
        <f>+B6*0.12</f>
        <v>2817.4596000000001</v>
      </c>
      <c r="K8" s="448"/>
      <c r="L8" s="543">
        <f>+B6*M6</f>
        <v>2347.8830000000003</v>
      </c>
      <c r="M8" s="543">
        <f>+L8-H8</f>
        <v>0</v>
      </c>
      <c r="O8" s="547">
        <f>+B6*P6</f>
        <v>1173.9415000000001</v>
      </c>
      <c r="P8" s="547">
        <f>+O8-G8</f>
        <v>0</v>
      </c>
      <c r="R8" s="547">
        <f>+B6*S6</f>
        <v>2817.4596000000001</v>
      </c>
      <c r="S8" s="547">
        <f>+R8-J8</f>
        <v>0</v>
      </c>
    </row>
    <row r="9" spans="1:19" ht="26.4" x14ac:dyDescent="0.3">
      <c r="A9" s="126" t="s">
        <v>175</v>
      </c>
      <c r="B9" s="590"/>
      <c r="C9" s="590"/>
      <c r="D9" s="590"/>
      <c r="E9" s="608">
        <f t="shared" ref="E9:J9" si="0">+E7+E8</f>
        <v>4566.4166000000005</v>
      </c>
      <c r="F9" s="591">
        <f t="shared" si="0"/>
        <v>4759.4013999999997</v>
      </c>
      <c r="G9" s="590">
        <f t="shared" si="0"/>
        <v>5145.3689999999997</v>
      </c>
      <c r="H9" s="608">
        <f t="shared" si="0"/>
        <v>6110.2880000000005</v>
      </c>
      <c r="I9" s="608">
        <f t="shared" si="0"/>
        <v>6303.2718000000004</v>
      </c>
      <c r="J9" s="608">
        <f t="shared" si="0"/>
        <v>6496.2556000000004</v>
      </c>
      <c r="K9" s="448"/>
      <c r="L9" s="543">
        <f>+L7+L8</f>
        <v>6110.2880000000005</v>
      </c>
      <c r="M9" s="543">
        <f>+L9-H9</f>
        <v>0</v>
      </c>
      <c r="O9" s="547">
        <f>+O7+O8</f>
        <v>5145.3689999999997</v>
      </c>
      <c r="P9" s="547">
        <f>+O9-G9</f>
        <v>0</v>
      </c>
      <c r="R9" s="547">
        <f>+R7+R8</f>
        <v>6496.2556000000004</v>
      </c>
      <c r="S9" s="547">
        <f>+R9-J9</f>
        <v>0</v>
      </c>
    </row>
    <row r="10" spans="1:19" ht="21.45" customHeight="1" x14ac:dyDescent="0.3">
      <c r="A10" s="241" t="s">
        <v>131</v>
      </c>
      <c r="B10" s="590"/>
      <c r="C10" s="607">
        <v>561.12</v>
      </c>
      <c r="D10" s="607">
        <f>+C10</f>
        <v>561.12</v>
      </c>
      <c r="E10" s="593">
        <f>+C10*0.98</f>
        <v>549.89760000000001</v>
      </c>
      <c r="F10" s="591">
        <f>+C10*0.97</f>
        <v>544.28639999999996</v>
      </c>
      <c r="G10" s="590">
        <f>+C10*0.95</f>
        <v>533.06399999999996</v>
      </c>
      <c r="H10" s="593">
        <f>+C10*0.9</f>
        <v>505.00800000000004</v>
      </c>
      <c r="I10" s="593">
        <f>+C10*0.89</f>
        <v>499.39679999999998</v>
      </c>
      <c r="J10" s="592">
        <f>+C10*0.88</f>
        <v>493.78559999999999</v>
      </c>
      <c r="L10" s="427">
        <f>+C10*0.9</f>
        <v>505.00800000000004</v>
      </c>
      <c r="M10" s="543">
        <f>+L10-H10</f>
        <v>0</v>
      </c>
      <c r="O10" s="434">
        <f>+C10*(1-P6)</f>
        <v>533.06399999999996</v>
      </c>
      <c r="P10" s="548">
        <f>+O10-G10</f>
        <v>0</v>
      </c>
      <c r="R10" s="575">
        <f>+C10*(1-S6)</f>
        <v>493.78559999999999</v>
      </c>
      <c r="S10" s="434"/>
    </row>
    <row r="11" spans="1:19" ht="21.45" customHeight="1" x14ac:dyDescent="0.3">
      <c r="A11" s="126" t="s">
        <v>132</v>
      </c>
      <c r="B11" s="590"/>
      <c r="C11" s="590" t="s">
        <v>133</v>
      </c>
      <c r="D11" s="590" t="s">
        <v>133</v>
      </c>
      <c r="E11" s="590" t="s">
        <v>133</v>
      </c>
      <c r="F11" s="591"/>
      <c r="G11" s="590"/>
      <c r="H11" s="590" t="s">
        <v>133</v>
      </c>
      <c r="I11" s="590" t="s">
        <v>133</v>
      </c>
      <c r="J11" s="592" t="s">
        <v>133</v>
      </c>
      <c r="L11" s="427"/>
      <c r="M11" s="427"/>
      <c r="O11" s="434"/>
      <c r="P11" s="434"/>
      <c r="R11" s="434"/>
      <c r="S11" s="434"/>
    </row>
    <row r="12" spans="1:19" ht="21.45" customHeight="1" x14ac:dyDescent="0.3">
      <c r="A12" s="242" t="s">
        <v>134</v>
      </c>
      <c r="B12" s="590"/>
      <c r="C12" s="590">
        <v>191</v>
      </c>
      <c r="D12" s="590">
        <f>+C12</f>
        <v>191</v>
      </c>
      <c r="E12" s="590">
        <f>+C12*0.98</f>
        <v>187.18</v>
      </c>
      <c r="F12" s="591">
        <f>+D12*0.97</f>
        <v>185.26999999999998</v>
      </c>
      <c r="G12" s="590">
        <f>+D12*0.95</f>
        <v>181.45</v>
      </c>
      <c r="H12" s="590">
        <f>+D12*0.9</f>
        <v>171.9</v>
      </c>
      <c r="I12" s="590">
        <f>+D12*0.89</f>
        <v>169.99</v>
      </c>
      <c r="J12" s="592">
        <f>+D12*0.88</f>
        <v>168.08</v>
      </c>
      <c r="K12" s="118">
        <f>+D12*0.89</f>
        <v>169.99</v>
      </c>
      <c r="L12" s="427">
        <f>+C12*(1-M6)</f>
        <v>171.9</v>
      </c>
      <c r="M12" s="543">
        <f>+H12-L12</f>
        <v>0</v>
      </c>
      <c r="O12" s="434">
        <f>+C12*(1-P6)</f>
        <v>181.45</v>
      </c>
      <c r="P12" s="548">
        <f>+G12-O12</f>
        <v>0</v>
      </c>
      <c r="R12" s="434">
        <f>+D12*(1-S6)</f>
        <v>168.08</v>
      </c>
      <c r="S12" s="548">
        <f>+J12-R12</f>
        <v>0</v>
      </c>
    </row>
    <row r="13" spans="1:19" ht="21.45" customHeight="1" x14ac:dyDescent="0.3">
      <c r="A13" s="126" t="s">
        <v>127</v>
      </c>
      <c r="B13" s="590"/>
      <c r="C13" s="590">
        <f>ROUND(8.3842,2)*1.03</f>
        <v>8.6314000000000011</v>
      </c>
      <c r="D13" s="590">
        <f>+C13</f>
        <v>8.6314000000000011</v>
      </c>
      <c r="E13" s="590">
        <f>+D13</f>
        <v>8.6314000000000011</v>
      </c>
      <c r="F13" s="591">
        <f>+E13</f>
        <v>8.6314000000000011</v>
      </c>
      <c r="G13" s="591"/>
      <c r="H13" s="590">
        <f>+F13</f>
        <v>8.6314000000000011</v>
      </c>
      <c r="I13" s="590">
        <v>8.6314000000000011</v>
      </c>
      <c r="J13" s="592">
        <f>+H13</f>
        <v>8.6314000000000011</v>
      </c>
      <c r="L13" s="427"/>
      <c r="M13" s="427"/>
      <c r="O13" s="434"/>
      <c r="P13" s="434"/>
      <c r="R13" s="434"/>
      <c r="S13" s="434"/>
    </row>
    <row r="14" spans="1:19" ht="21.45" customHeight="1" x14ac:dyDescent="0.3">
      <c r="A14" s="126" t="s">
        <v>176</v>
      </c>
      <c r="B14" s="590"/>
      <c r="C14" s="590" t="s">
        <v>129</v>
      </c>
      <c r="D14" s="590" t="s">
        <v>129</v>
      </c>
      <c r="E14" s="590" t="s">
        <v>129</v>
      </c>
      <c r="F14" s="591"/>
      <c r="G14" s="591"/>
      <c r="H14" s="590" t="s">
        <v>129</v>
      </c>
      <c r="I14" s="590"/>
      <c r="J14" s="590" t="s">
        <v>129</v>
      </c>
      <c r="L14" s="427"/>
      <c r="M14" s="427"/>
      <c r="O14" s="434"/>
      <c r="P14" s="434"/>
      <c r="R14" s="434"/>
      <c r="S14" s="434"/>
    </row>
    <row r="15" spans="1:19" ht="21.45" customHeight="1" x14ac:dyDescent="0.3">
      <c r="A15" s="126" t="s">
        <v>177</v>
      </c>
      <c r="B15" s="590" t="s">
        <v>158</v>
      </c>
      <c r="C15" s="590"/>
      <c r="D15" s="590"/>
      <c r="E15" s="590" t="s">
        <v>136</v>
      </c>
      <c r="F15" s="591"/>
      <c r="G15" s="591"/>
      <c r="H15" s="590" t="s">
        <v>136</v>
      </c>
      <c r="I15" s="590"/>
      <c r="J15" s="590" t="s">
        <v>136</v>
      </c>
      <c r="L15" s="427"/>
      <c r="M15" s="427"/>
      <c r="O15" s="434"/>
      <c r="P15" s="434"/>
      <c r="R15" s="434"/>
      <c r="S15" s="434"/>
    </row>
    <row r="16" spans="1:19" ht="21.45" customHeight="1" x14ac:dyDescent="0.3">
      <c r="A16" s="129" t="s">
        <v>248</v>
      </c>
      <c r="B16" s="590"/>
      <c r="C16" s="590"/>
      <c r="D16" s="590"/>
      <c r="E16" s="590"/>
      <c r="F16" s="591"/>
      <c r="G16" s="591"/>
      <c r="H16" s="590"/>
      <c r="I16" s="590"/>
      <c r="J16" s="590"/>
      <c r="L16" s="427"/>
      <c r="M16" s="427"/>
      <c r="O16" s="434"/>
      <c r="P16" s="434"/>
      <c r="R16" s="434"/>
      <c r="S16" s="434"/>
    </row>
    <row r="17" spans="1:10" ht="21.45" customHeight="1" x14ac:dyDescent="0.3">
      <c r="A17" s="126" t="s">
        <v>156</v>
      </c>
      <c r="B17" s="128"/>
      <c r="C17" s="128"/>
      <c r="D17" s="128"/>
      <c r="E17" s="127"/>
      <c r="F17" s="431"/>
      <c r="G17" s="431"/>
      <c r="H17" s="127"/>
      <c r="I17" s="127"/>
      <c r="J17" s="127"/>
    </row>
    <row r="18" spans="1:10" ht="21.45" customHeight="1" x14ac:dyDescent="0.3">
      <c r="A18" s="126" t="s">
        <v>157</v>
      </c>
      <c r="B18" s="130"/>
      <c r="C18" s="131"/>
      <c r="D18" s="131"/>
      <c r="E18" s="132" t="s">
        <v>158</v>
      </c>
      <c r="F18" s="432"/>
      <c r="G18" s="574"/>
      <c r="H18" s="133" t="s">
        <v>144</v>
      </c>
      <c r="I18" s="133"/>
      <c r="J18" s="133" t="s">
        <v>144</v>
      </c>
    </row>
    <row r="19" spans="1:10" ht="21.45" customHeight="1" x14ac:dyDescent="0.3">
      <c r="A19" s="126" t="s">
        <v>159</v>
      </c>
      <c r="B19" s="130"/>
      <c r="C19" s="130"/>
      <c r="D19" s="130"/>
      <c r="E19" s="132" t="s">
        <v>158</v>
      </c>
      <c r="F19" s="432"/>
      <c r="G19" s="432"/>
      <c r="H19" s="132" t="s">
        <v>138</v>
      </c>
      <c r="I19" s="132"/>
      <c r="J19" s="132" t="s">
        <v>138</v>
      </c>
    </row>
    <row r="20" spans="1:10" ht="21.45" customHeight="1" x14ac:dyDescent="0.3">
      <c r="A20" s="126" t="s">
        <v>160</v>
      </c>
      <c r="B20" s="130"/>
      <c r="C20" s="130"/>
      <c r="D20" s="130"/>
      <c r="E20" s="132" t="s">
        <v>158</v>
      </c>
      <c r="F20" s="432"/>
      <c r="G20" s="432"/>
      <c r="H20" s="127" t="s">
        <v>144</v>
      </c>
      <c r="I20" s="127"/>
      <c r="J20" s="127" t="s">
        <v>144</v>
      </c>
    </row>
    <row r="21" spans="1:10" ht="21.45" customHeight="1" x14ac:dyDescent="0.3">
      <c r="A21" s="126" t="s">
        <v>178</v>
      </c>
      <c r="B21" s="130"/>
      <c r="C21" s="130"/>
      <c r="D21" s="130"/>
      <c r="E21" s="132" t="s">
        <v>158</v>
      </c>
      <c r="F21" s="432"/>
      <c r="G21" s="432"/>
      <c r="H21" s="127" t="s">
        <v>144</v>
      </c>
      <c r="I21" s="127"/>
      <c r="J21" s="127" t="s">
        <v>144</v>
      </c>
    </row>
    <row r="22" spans="1:10" ht="21.45" customHeight="1" x14ac:dyDescent="0.3">
      <c r="A22" s="134" t="s">
        <v>139</v>
      </c>
      <c r="B22" s="128"/>
      <c r="C22" s="128"/>
      <c r="D22" s="128"/>
      <c r="E22" s="127"/>
      <c r="F22" s="431"/>
      <c r="G22" s="431"/>
      <c r="H22" s="127"/>
      <c r="I22" s="127"/>
      <c r="J22" s="127">
        <v>301</v>
      </c>
    </row>
    <row r="23" spans="1:10" ht="27" thickBot="1" x14ac:dyDescent="0.35">
      <c r="A23" s="135" t="s">
        <v>163</v>
      </c>
      <c r="B23" s="136"/>
      <c r="C23" s="136"/>
      <c r="D23" s="136"/>
      <c r="E23" s="137" t="s">
        <v>158</v>
      </c>
      <c r="F23" s="433"/>
      <c r="G23" s="433"/>
      <c r="H23" s="137"/>
      <c r="I23" s="137"/>
      <c r="J23" s="137" t="s">
        <v>138</v>
      </c>
    </row>
    <row r="24" spans="1:10" ht="14.4" thickTop="1" x14ac:dyDescent="0.3">
      <c r="F24" s="118" t="s">
        <v>416</v>
      </c>
    </row>
  </sheetData>
  <mergeCells count="5">
    <mergeCell ref="A1:H1"/>
    <mergeCell ref="A2:H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N46"/>
  <sheetViews>
    <sheetView zoomScale="70" zoomScaleNormal="70" workbookViewId="0">
      <selection activeCell="F8" sqref="F8"/>
    </sheetView>
  </sheetViews>
  <sheetFormatPr baseColWidth="10" defaultRowHeight="14.4" x14ac:dyDescent="0.3"/>
  <cols>
    <col min="2" max="2" width="57.109375" customWidth="1"/>
    <col min="3" max="3" width="16" customWidth="1"/>
    <col min="4" max="4" width="14.88671875" hidden="1" customWidth="1"/>
    <col min="5" max="6" width="15.21875" style="685" customWidth="1"/>
    <col min="7" max="7" width="15.109375" customWidth="1"/>
    <col min="8" max="8" width="13.88671875" customWidth="1"/>
    <col min="9" max="9" width="13.44140625" hidden="1" customWidth="1"/>
    <col min="10" max="10" width="14.77734375" style="685" customWidth="1"/>
    <col min="11" max="11" width="15.6640625" customWidth="1"/>
    <col min="12" max="12" width="18.88671875" customWidth="1"/>
    <col min="13" max="13" width="0" hidden="1" customWidth="1"/>
  </cols>
  <sheetData>
    <row r="1" spans="1:14" x14ac:dyDescent="0.3">
      <c r="A1" s="138"/>
      <c r="B1" s="164" t="s">
        <v>528</v>
      </c>
      <c r="C1" s="424" t="s">
        <v>529</v>
      </c>
      <c r="D1" s="164"/>
      <c r="E1" s="164"/>
      <c r="F1" s="164"/>
      <c r="G1" s="139"/>
      <c r="H1" s="139"/>
      <c r="I1" s="139"/>
      <c r="J1" s="139"/>
      <c r="K1" s="139"/>
    </row>
    <row r="2" spans="1:14" ht="15" thickBot="1" x14ac:dyDescent="0.35">
      <c r="A2" s="165" t="s">
        <v>179</v>
      </c>
      <c r="B2" s="166"/>
      <c r="C2" s="166"/>
      <c r="D2" s="503"/>
      <c r="E2" s="503"/>
      <c r="F2" s="503"/>
      <c r="G2" s="166"/>
      <c r="H2" s="503"/>
      <c r="I2" s="166"/>
      <c r="J2" s="166"/>
      <c r="K2" s="166"/>
    </row>
    <row r="3" spans="1:14" ht="15" thickTop="1" x14ac:dyDescent="0.3">
      <c r="A3" s="167"/>
      <c r="B3" s="168" t="s">
        <v>219</v>
      </c>
      <c r="C3" s="842" t="s">
        <v>180</v>
      </c>
      <c r="D3" s="843"/>
      <c r="E3" s="843"/>
      <c r="F3" s="843"/>
      <c r="G3" s="843"/>
      <c r="H3" s="843"/>
      <c r="I3" s="846" t="s">
        <v>220</v>
      </c>
      <c r="J3" s="847"/>
      <c r="K3" s="848"/>
    </row>
    <row r="4" spans="1:14" x14ac:dyDescent="0.3">
      <c r="A4" s="169"/>
      <c r="B4" s="170" t="s">
        <v>221</v>
      </c>
      <c r="C4" s="844"/>
      <c r="D4" s="845"/>
      <c r="E4" s="845"/>
      <c r="F4" s="845"/>
      <c r="G4" s="845"/>
      <c r="H4" s="845"/>
      <c r="I4" s="849"/>
      <c r="J4" s="850"/>
      <c r="K4" s="851"/>
      <c r="N4" s="19"/>
    </row>
    <row r="5" spans="1:14" ht="27.6" x14ac:dyDescent="0.3">
      <c r="A5" s="855" t="s">
        <v>181</v>
      </c>
      <c r="B5" s="857" t="s">
        <v>182</v>
      </c>
      <c r="C5" s="840" t="s">
        <v>241</v>
      </c>
      <c r="D5" s="171" t="s">
        <v>96</v>
      </c>
      <c r="E5" s="694" t="s">
        <v>96</v>
      </c>
      <c r="F5" s="859" t="s">
        <v>525</v>
      </c>
      <c r="G5" s="171" t="s">
        <v>404</v>
      </c>
      <c r="H5" s="171" t="s">
        <v>408</v>
      </c>
      <c r="I5" s="171" t="s">
        <v>96</v>
      </c>
      <c r="J5" s="694" t="s">
        <v>96</v>
      </c>
      <c r="K5" s="142" t="str">
        <f>+H5</f>
        <v>Biodiesel B10</v>
      </c>
    </row>
    <row r="6" spans="1:14" x14ac:dyDescent="0.3">
      <c r="A6" s="855"/>
      <c r="B6" s="857"/>
      <c r="C6" s="841"/>
      <c r="D6" s="576" t="s">
        <v>501</v>
      </c>
      <c r="E6" s="576" t="s">
        <v>513</v>
      </c>
      <c r="F6" s="860"/>
      <c r="G6" s="189">
        <v>0.02</v>
      </c>
      <c r="H6" s="172">
        <v>0.1</v>
      </c>
      <c r="I6" s="552" t="str">
        <f>+D6</f>
        <v>Oxigenada 5%</v>
      </c>
      <c r="J6" s="552" t="str">
        <f>+E6</f>
        <v>Oxigenada 6%</v>
      </c>
      <c r="K6" s="172">
        <f>+H6</f>
        <v>0.1</v>
      </c>
    </row>
    <row r="7" spans="1:14" x14ac:dyDescent="0.3">
      <c r="A7" s="856"/>
      <c r="B7" s="858"/>
      <c r="C7" s="141" t="s">
        <v>183</v>
      </c>
      <c r="D7" s="171" t="s">
        <v>183</v>
      </c>
      <c r="E7" s="694" t="s">
        <v>183</v>
      </c>
      <c r="F7" s="732" t="s">
        <v>183</v>
      </c>
      <c r="G7" s="171" t="s">
        <v>183</v>
      </c>
      <c r="H7" s="171" t="s">
        <v>183</v>
      </c>
      <c r="I7" s="141" t="s">
        <v>183</v>
      </c>
      <c r="J7" s="693" t="s">
        <v>183</v>
      </c>
      <c r="K7" s="142" t="s">
        <v>183</v>
      </c>
    </row>
    <row r="8" spans="1:14" x14ac:dyDescent="0.3">
      <c r="A8" s="143" t="s">
        <v>184</v>
      </c>
      <c r="B8" s="149" t="s">
        <v>185</v>
      </c>
      <c r="C8" s="145">
        <f>+'Calculo IP ZDF'!B28</f>
        <v>4842</v>
      </c>
      <c r="D8" s="173">
        <f>+'Calculo IP ZDF'!H28</f>
        <v>5252.3104999999996</v>
      </c>
      <c r="E8" s="173">
        <f>+'Calculo IP ZDF'!I28</f>
        <v>5334.3725999999997</v>
      </c>
      <c r="F8" s="173">
        <f>+'Calculo IP ZDF'!C28</f>
        <v>3942.1643499999996</v>
      </c>
      <c r="G8" s="173">
        <f>+'Calculo IP ZDF'!F28</f>
        <v>4332.8999999999996</v>
      </c>
      <c r="H8" s="504">
        <f>+'Calculo IP ZDF'!K28</f>
        <v>5895.8309150000005</v>
      </c>
      <c r="I8" s="145">
        <f>+'GAS CTE'!E9</f>
        <v>5252.3104999999996</v>
      </c>
      <c r="J8" s="201">
        <f>+'GAS CTE'!F9</f>
        <v>5334.3725999999997</v>
      </c>
      <c r="K8" s="146">
        <f>+BIODIESEL!H9</f>
        <v>6110.2880000000005</v>
      </c>
    </row>
    <row r="9" spans="1:14" x14ac:dyDescent="0.3">
      <c r="A9" s="143" t="s">
        <v>186</v>
      </c>
      <c r="B9" s="149" t="s">
        <v>187</v>
      </c>
      <c r="C9" s="153" t="s">
        <v>188</v>
      </c>
      <c r="D9" s="174" t="s">
        <v>188</v>
      </c>
      <c r="E9" s="174" t="s">
        <v>188</v>
      </c>
      <c r="F9" s="174" t="s">
        <v>188</v>
      </c>
      <c r="G9" s="174" t="s">
        <v>188</v>
      </c>
      <c r="H9" s="174" t="s">
        <v>188</v>
      </c>
      <c r="I9" s="153">
        <f>+'GAS CTE'!E10</f>
        <v>556.9375</v>
      </c>
      <c r="J9" s="153">
        <f>+'GAS CTE'!F10</f>
        <v>551.07499999999993</v>
      </c>
      <c r="K9" s="175">
        <f>+BIODIESEL!H10</f>
        <v>505.00800000000004</v>
      </c>
    </row>
    <row r="10" spans="1:14" x14ac:dyDescent="0.3">
      <c r="A10" s="143"/>
      <c r="B10" s="149" t="s">
        <v>132</v>
      </c>
      <c r="C10" s="153" t="s">
        <v>188</v>
      </c>
      <c r="D10" s="174" t="s">
        <v>188</v>
      </c>
      <c r="E10" s="174" t="s">
        <v>188</v>
      </c>
      <c r="F10" s="174" t="s">
        <v>188</v>
      </c>
      <c r="G10" s="174" t="s">
        <v>188</v>
      </c>
      <c r="H10" s="174" t="s">
        <v>188</v>
      </c>
      <c r="I10" s="153" t="s">
        <v>133</v>
      </c>
      <c r="J10" s="153" t="s">
        <v>133</v>
      </c>
      <c r="K10" s="175" t="str">
        <f>+I10</f>
        <v>(3)</v>
      </c>
    </row>
    <row r="11" spans="1:14" x14ac:dyDescent="0.3">
      <c r="A11" s="143"/>
      <c r="B11" s="149" t="s">
        <v>134</v>
      </c>
      <c r="C11" s="176" t="s">
        <v>218</v>
      </c>
      <c r="D11" s="174" t="str">
        <f t="shared" ref="D11:F14" si="0">+C11</f>
        <v>(4)</v>
      </c>
      <c r="E11" s="174" t="str">
        <f t="shared" si="0"/>
        <v>(4)</v>
      </c>
      <c r="F11" s="174" t="str">
        <f t="shared" si="0"/>
        <v>(4)</v>
      </c>
      <c r="G11" s="174" t="str">
        <f>+C11</f>
        <v>(4)</v>
      </c>
      <c r="H11" s="174" t="str">
        <f>+C11</f>
        <v>(4)</v>
      </c>
      <c r="I11" s="153" t="str">
        <f>+D11</f>
        <v>(4)</v>
      </c>
      <c r="J11" s="153" t="str">
        <f>+E11</f>
        <v>(4)</v>
      </c>
      <c r="K11" s="175" t="str">
        <f>+H11</f>
        <v>(4)</v>
      </c>
    </row>
    <row r="12" spans="1:14" x14ac:dyDescent="0.3">
      <c r="A12" s="143" t="s">
        <v>189</v>
      </c>
      <c r="B12" s="149" t="s">
        <v>318</v>
      </c>
      <c r="C12" s="176" t="s">
        <v>217</v>
      </c>
      <c r="D12" s="177" t="str">
        <f t="shared" si="0"/>
        <v>(2)</v>
      </c>
      <c r="E12" s="717" t="str">
        <f t="shared" si="0"/>
        <v>(2)</v>
      </c>
      <c r="F12" s="717" t="str">
        <f t="shared" si="0"/>
        <v>(2)</v>
      </c>
      <c r="G12" s="177" t="str">
        <f>+C12</f>
        <v>(2)</v>
      </c>
      <c r="H12" s="177" t="str">
        <f>+C12</f>
        <v>(2)</v>
      </c>
      <c r="I12" s="176" t="str">
        <f>+C12</f>
        <v>(2)</v>
      </c>
      <c r="J12" s="718" t="str">
        <f>+D12</f>
        <v>(2)</v>
      </c>
      <c r="K12" s="178" t="str">
        <f>+C12</f>
        <v>(2)</v>
      </c>
    </row>
    <row r="13" spans="1:14" x14ac:dyDescent="0.3">
      <c r="A13" s="143" t="s">
        <v>191</v>
      </c>
      <c r="B13" s="149" t="s">
        <v>192</v>
      </c>
      <c r="C13" s="145">
        <f>+RUBROS!AC13</f>
        <v>23.500029293035123</v>
      </c>
      <c r="D13" s="173">
        <f t="shared" si="0"/>
        <v>23.500029293035123</v>
      </c>
      <c r="E13" s="173">
        <f t="shared" si="0"/>
        <v>23.500029293035123</v>
      </c>
      <c r="F13" s="173">
        <f>+RUBROS!AC13</f>
        <v>23.500029293035123</v>
      </c>
      <c r="G13" s="173">
        <f>+C13</f>
        <v>23.500029293035123</v>
      </c>
      <c r="H13" s="173">
        <f>+C13</f>
        <v>23.500029293035123</v>
      </c>
      <c r="I13" s="145">
        <f>+RUBROS!AD13</f>
        <v>23.500029293035123</v>
      </c>
      <c r="J13" s="145">
        <f>+RUBROS!AD13</f>
        <v>23.500029293035123</v>
      </c>
      <c r="K13" s="146">
        <f>+I13</f>
        <v>23.500029293035123</v>
      </c>
    </row>
    <row r="14" spans="1:14" x14ac:dyDescent="0.3">
      <c r="A14" s="143" t="s">
        <v>195</v>
      </c>
      <c r="B14" s="149" t="s">
        <v>196</v>
      </c>
      <c r="C14" s="145">
        <f>+RUBROS!AU39</f>
        <v>13.326421256197724</v>
      </c>
      <c r="D14" s="173">
        <f t="shared" si="0"/>
        <v>13.326421256197724</v>
      </c>
      <c r="E14" s="173">
        <f t="shared" si="0"/>
        <v>13.326421256197724</v>
      </c>
      <c r="F14" s="173">
        <f>+RUBROS!AU39</f>
        <v>13.326421256197724</v>
      </c>
      <c r="G14" s="173">
        <f>+C14</f>
        <v>13.326421256197724</v>
      </c>
      <c r="H14" s="173">
        <f>+C14</f>
        <v>13.326421256197724</v>
      </c>
      <c r="I14" s="145">
        <f>+C14</f>
        <v>13.326421256197724</v>
      </c>
      <c r="J14" s="145">
        <f>+I14</f>
        <v>13.326421256197724</v>
      </c>
      <c r="K14" s="146">
        <f>+C14</f>
        <v>13.326421256197724</v>
      </c>
    </row>
    <row r="15" spans="1:14" hidden="1" x14ac:dyDescent="0.3">
      <c r="A15" s="143"/>
      <c r="B15" s="149" t="s">
        <v>197</v>
      </c>
      <c r="C15" s="145"/>
      <c r="D15" s="173"/>
      <c r="E15" s="173"/>
      <c r="F15" s="173"/>
      <c r="G15" s="173"/>
      <c r="H15" s="173"/>
      <c r="I15" s="145"/>
      <c r="J15" s="201"/>
      <c r="K15" s="146"/>
      <c r="M15" s="447" t="s">
        <v>432</v>
      </c>
    </row>
    <row r="16" spans="1:14" x14ac:dyDescent="0.3">
      <c r="A16" s="150" t="s">
        <v>198</v>
      </c>
      <c r="B16" s="180" t="s">
        <v>199</v>
      </c>
      <c r="C16" s="151">
        <f>SUM(C8:C15)</f>
        <v>4878.8264505492334</v>
      </c>
      <c r="D16" s="181">
        <f t="shared" ref="D16:K16" si="1">SUM(D8:D15)</f>
        <v>5289.136950549233</v>
      </c>
      <c r="E16" s="181">
        <f t="shared" si="1"/>
        <v>5371.1990505492331</v>
      </c>
      <c r="F16" s="181">
        <f t="shared" si="1"/>
        <v>3978.9908005492321</v>
      </c>
      <c r="G16" s="181">
        <f t="shared" si="1"/>
        <v>4369.726450549233</v>
      </c>
      <c r="H16" s="181">
        <f t="shared" si="1"/>
        <v>5932.6573655492339</v>
      </c>
      <c r="I16" s="151">
        <f t="shared" si="1"/>
        <v>5846.074450549233</v>
      </c>
      <c r="J16" s="151">
        <f t="shared" si="1"/>
        <v>5922.2740505492329</v>
      </c>
      <c r="K16" s="152">
        <f t="shared" si="1"/>
        <v>6652.1224505492337</v>
      </c>
    </row>
    <row r="17" spans="1:13" x14ac:dyDescent="0.3">
      <c r="A17" s="143" t="s">
        <v>222</v>
      </c>
      <c r="B17" s="149" t="s">
        <v>223</v>
      </c>
      <c r="C17" s="145" t="str">
        <f t="shared" ref="C17:E20" si="2">G17</f>
        <v>**</v>
      </c>
      <c r="D17" s="173" t="str">
        <f t="shared" si="2"/>
        <v>**</v>
      </c>
      <c r="E17" s="173" t="str">
        <f t="shared" si="2"/>
        <v>**</v>
      </c>
      <c r="F17" s="173" t="s">
        <v>230</v>
      </c>
      <c r="G17" s="173" t="str">
        <f>+A35</f>
        <v>**</v>
      </c>
      <c r="H17" s="173" t="str">
        <f>+G17</f>
        <v>**</v>
      </c>
      <c r="I17" s="145" t="str">
        <f>+H17</f>
        <v>**</v>
      </c>
      <c r="J17" s="145" t="str">
        <f>+I17</f>
        <v>**</v>
      </c>
      <c r="K17" s="146" t="str">
        <f>+H17</f>
        <v>**</v>
      </c>
    </row>
    <row r="18" spans="1:13" x14ac:dyDescent="0.3">
      <c r="A18" s="143" t="s">
        <v>200</v>
      </c>
      <c r="B18" s="149" t="s">
        <v>224</v>
      </c>
      <c r="C18" s="145" t="str">
        <f t="shared" si="2"/>
        <v>***</v>
      </c>
      <c r="D18" s="173" t="str">
        <f t="shared" si="2"/>
        <v>***</v>
      </c>
      <c r="E18" s="173" t="str">
        <f t="shared" si="2"/>
        <v>***</v>
      </c>
      <c r="F18" s="173" t="s">
        <v>232</v>
      </c>
      <c r="G18" s="173" t="str">
        <f>+A36</f>
        <v>***</v>
      </c>
      <c r="H18" s="173" t="str">
        <f>+G18</f>
        <v>***</v>
      </c>
      <c r="I18" s="145" t="str">
        <f t="shared" ref="I18:J20" si="3">+H18</f>
        <v>***</v>
      </c>
      <c r="J18" s="145" t="str">
        <f t="shared" si="3"/>
        <v>***</v>
      </c>
      <c r="K18" s="146" t="str">
        <f t="shared" ref="K18:K20" si="4">+H18</f>
        <v>***</v>
      </c>
    </row>
    <row r="19" spans="1:13" x14ac:dyDescent="0.3">
      <c r="A19" s="143" t="s">
        <v>225</v>
      </c>
      <c r="B19" s="149" t="s">
        <v>226</v>
      </c>
      <c r="C19" s="182" t="s">
        <v>234</v>
      </c>
      <c r="D19" s="179" t="str">
        <f t="shared" si="2"/>
        <v>****</v>
      </c>
      <c r="E19" s="179" t="str">
        <f t="shared" si="2"/>
        <v>****</v>
      </c>
      <c r="F19" s="179" t="s">
        <v>234</v>
      </c>
      <c r="G19" s="179" t="str">
        <f>+A37</f>
        <v>****</v>
      </c>
      <c r="H19" s="179" t="str">
        <f>+G19</f>
        <v>****</v>
      </c>
      <c r="I19" s="145" t="str">
        <f t="shared" si="3"/>
        <v>****</v>
      </c>
      <c r="J19" s="145" t="str">
        <f t="shared" si="3"/>
        <v>****</v>
      </c>
      <c r="K19" s="146" t="str">
        <f t="shared" si="4"/>
        <v>****</v>
      </c>
    </row>
    <row r="20" spans="1:13" x14ac:dyDescent="0.3">
      <c r="A20" s="143" t="s">
        <v>204</v>
      </c>
      <c r="B20" s="149" t="s">
        <v>139</v>
      </c>
      <c r="C20" s="145" t="str">
        <f t="shared" si="2"/>
        <v>*****</v>
      </c>
      <c r="D20" s="173" t="str">
        <f t="shared" si="2"/>
        <v>*****</v>
      </c>
      <c r="E20" s="173" t="str">
        <f t="shared" si="2"/>
        <v>*****</v>
      </c>
      <c r="F20" s="173" t="s">
        <v>236</v>
      </c>
      <c r="G20" s="173" t="str">
        <f>+A38</f>
        <v>*****</v>
      </c>
      <c r="H20" s="173" t="str">
        <f>+G20</f>
        <v>*****</v>
      </c>
      <c r="I20" s="145" t="str">
        <f t="shared" si="3"/>
        <v>*****</v>
      </c>
      <c r="J20" s="145" t="str">
        <f t="shared" si="3"/>
        <v>*****</v>
      </c>
      <c r="K20" s="146" t="str">
        <f t="shared" si="4"/>
        <v>*****</v>
      </c>
    </row>
    <row r="21" spans="1:13" x14ac:dyDescent="0.3">
      <c r="A21" s="150" t="s">
        <v>206</v>
      </c>
      <c r="B21" s="180" t="s">
        <v>227</v>
      </c>
      <c r="C21" s="151">
        <f t="shared" ref="C21:K21" si="5">+C16</f>
        <v>4878.8264505492334</v>
      </c>
      <c r="D21" s="181">
        <f t="shared" si="5"/>
        <v>5289.136950549233</v>
      </c>
      <c r="E21" s="181">
        <f t="shared" ref="E21:F21" si="6">+E16</f>
        <v>5371.1990505492331</v>
      </c>
      <c r="F21" s="181">
        <f t="shared" si="6"/>
        <v>3978.9908005492321</v>
      </c>
      <c r="G21" s="181">
        <f t="shared" si="5"/>
        <v>4369.726450549233</v>
      </c>
      <c r="H21" s="181">
        <f t="shared" si="5"/>
        <v>5932.6573655492339</v>
      </c>
      <c r="I21" s="151">
        <f t="shared" si="5"/>
        <v>5846.074450549233</v>
      </c>
      <c r="J21" s="151">
        <f t="shared" ref="J21" si="7">+J16</f>
        <v>5922.2740505492329</v>
      </c>
      <c r="K21" s="152">
        <f t="shared" si="5"/>
        <v>6652.1224505492337</v>
      </c>
    </row>
    <row r="22" spans="1:13" x14ac:dyDescent="0.3">
      <c r="A22" s="143" t="s">
        <v>208</v>
      </c>
      <c r="B22" s="149" t="s">
        <v>160</v>
      </c>
      <c r="C22" s="145" t="str">
        <f t="shared" ref="C22:F24" si="8">G22</f>
        <v>***</v>
      </c>
      <c r="D22" s="173" t="str">
        <f t="shared" si="8"/>
        <v>***</v>
      </c>
      <c r="E22" s="173" t="str">
        <f t="shared" si="8"/>
        <v>***</v>
      </c>
      <c r="F22" s="173" t="str">
        <f t="shared" si="8"/>
        <v>***</v>
      </c>
      <c r="G22" s="173" t="str">
        <f>+G18</f>
        <v>***</v>
      </c>
      <c r="H22" s="173" t="str">
        <f>+G22</f>
        <v>***</v>
      </c>
      <c r="I22" s="145" t="str">
        <f>+I18</f>
        <v>***</v>
      </c>
      <c r="J22" s="145" t="str">
        <f>+J18</f>
        <v>***</v>
      </c>
      <c r="K22" s="146" t="str">
        <f>+K18</f>
        <v>***</v>
      </c>
    </row>
    <row r="23" spans="1:13" x14ac:dyDescent="0.3">
      <c r="A23" s="143" t="s">
        <v>209</v>
      </c>
      <c r="B23" s="144" t="s">
        <v>210</v>
      </c>
      <c r="C23" s="182" t="s">
        <v>237</v>
      </c>
      <c r="D23" s="179" t="str">
        <f>+C23</f>
        <v>******</v>
      </c>
      <c r="E23" s="179" t="str">
        <f>+D23</f>
        <v>******</v>
      </c>
      <c r="F23" s="179" t="str">
        <f>+E23</f>
        <v>******</v>
      </c>
      <c r="G23" s="179" t="s">
        <v>211</v>
      </c>
      <c r="H23" s="179" t="str">
        <f>+G23</f>
        <v>N.A</v>
      </c>
      <c r="I23" s="182" t="str">
        <f>+C23</f>
        <v>******</v>
      </c>
      <c r="J23" s="182" t="str">
        <f>+D23</f>
        <v>******</v>
      </c>
      <c r="K23" s="148" t="s">
        <v>211</v>
      </c>
    </row>
    <row r="24" spans="1:13" x14ac:dyDescent="0.3">
      <c r="A24" s="143" t="s">
        <v>212</v>
      </c>
      <c r="B24" s="149" t="s">
        <v>213</v>
      </c>
      <c r="C24" s="182" t="str">
        <f t="shared" si="8"/>
        <v>*******</v>
      </c>
      <c r="D24" s="179" t="str">
        <f t="shared" si="8"/>
        <v>*******</v>
      </c>
      <c r="E24" s="179" t="str">
        <f t="shared" si="8"/>
        <v>*******</v>
      </c>
      <c r="F24" s="179" t="str">
        <f t="shared" si="8"/>
        <v>*******</v>
      </c>
      <c r="G24" s="179" t="str">
        <f>+A40</f>
        <v>*******</v>
      </c>
      <c r="H24" s="179" t="str">
        <f>+G24</f>
        <v>*******</v>
      </c>
      <c r="I24" s="182" t="str">
        <f>+H24</f>
        <v>*******</v>
      </c>
      <c r="J24" s="182" t="str">
        <f>+I24</f>
        <v>*******</v>
      </c>
      <c r="K24" s="148" t="str">
        <f>+H24</f>
        <v>*******</v>
      </c>
    </row>
    <row r="25" spans="1:13" ht="15" thickBot="1" x14ac:dyDescent="0.35">
      <c r="A25" s="154" t="s">
        <v>214</v>
      </c>
      <c r="B25" s="155" t="s">
        <v>215</v>
      </c>
      <c r="C25" s="156"/>
      <c r="D25" s="183"/>
      <c r="E25" s="183"/>
      <c r="F25" s="183"/>
      <c r="G25" s="183"/>
      <c r="H25" s="183"/>
      <c r="I25" s="156"/>
      <c r="J25" s="211"/>
      <c r="K25" s="157"/>
    </row>
    <row r="26" spans="1:13" ht="15" thickTop="1" x14ac:dyDescent="0.3">
      <c r="A26" s="159"/>
      <c r="B26" s="160"/>
      <c r="C26" s="160"/>
      <c r="D26" s="160"/>
      <c r="E26" s="160"/>
      <c r="F26" s="160"/>
      <c r="G26" s="161"/>
      <c r="H26" s="161"/>
      <c r="I26" s="161"/>
      <c r="J26" s="161"/>
      <c r="K26" s="161"/>
    </row>
    <row r="27" spans="1:13" x14ac:dyDescent="0.3">
      <c r="A27" s="162"/>
      <c r="B27" s="266" t="s">
        <v>228</v>
      </c>
      <c r="C27" s="184"/>
      <c r="D27" s="184"/>
      <c r="E27" s="184"/>
      <c r="F27" s="184"/>
      <c r="G27" s="184"/>
      <c r="H27" s="184"/>
      <c r="I27" s="184"/>
      <c r="J27" s="184"/>
      <c r="K27" s="184"/>
    </row>
    <row r="28" spans="1:13" x14ac:dyDescent="0.3">
      <c r="A28" s="162" t="s">
        <v>158</v>
      </c>
      <c r="B28" s="839"/>
      <c r="C28" s="839"/>
      <c r="D28" s="839"/>
      <c r="E28" s="839"/>
      <c r="F28" s="839"/>
      <c r="G28" s="839"/>
      <c r="H28" s="839"/>
      <c r="I28" s="839"/>
      <c r="J28" s="839"/>
      <c r="K28" s="839"/>
    </row>
    <row r="29" spans="1:13" x14ac:dyDescent="0.3">
      <c r="A29" s="186" t="s">
        <v>190</v>
      </c>
      <c r="B29" s="839" t="s">
        <v>413</v>
      </c>
      <c r="C29" s="839"/>
      <c r="D29" s="839"/>
      <c r="E29" s="839"/>
      <c r="F29" s="839"/>
      <c r="G29" s="839"/>
      <c r="H29" s="839"/>
      <c r="I29" s="839"/>
      <c r="J29" s="839"/>
      <c r="K29" s="839"/>
    </row>
    <row r="30" spans="1:13" ht="28.5" customHeight="1" x14ac:dyDescent="0.3">
      <c r="A30" s="187" t="s">
        <v>217</v>
      </c>
      <c r="B30" s="838" t="s">
        <v>271</v>
      </c>
      <c r="C30" s="838"/>
      <c r="D30" s="838"/>
      <c r="E30" s="838"/>
      <c r="F30" s="838"/>
      <c r="G30" s="838"/>
      <c r="H30" s="838"/>
      <c r="I30" s="838"/>
      <c r="J30" s="838"/>
      <c r="K30" s="838"/>
      <c r="L30" s="838"/>
      <c r="M30" s="838"/>
    </row>
    <row r="31" spans="1:13" ht="58.65" customHeight="1" x14ac:dyDescent="0.3">
      <c r="A31" s="187" t="s">
        <v>133</v>
      </c>
      <c r="B31" s="838" t="s">
        <v>334</v>
      </c>
      <c r="C31" s="838"/>
      <c r="D31" s="838"/>
      <c r="E31" s="838"/>
      <c r="F31" s="838"/>
      <c r="G31" s="838"/>
      <c r="H31" s="838"/>
      <c r="I31" s="838"/>
      <c r="J31" s="838"/>
      <c r="K31" s="838"/>
    </row>
    <row r="32" spans="1:13" ht="61.5" customHeight="1" x14ac:dyDescent="0.3">
      <c r="A32" s="187" t="s">
        <v>218</v>
      </c>
      <c r="B32" s="852" t="s">
        <v>409</v>
      </c>
      <c r="C32" s="853"/>
      <c r="D32" s="853"/>
      <c r="E32" s="853"/>
      <c r="F32" s="853"/>
      <c r="G32" s="853"/>
      <c r="H32" s="853"/>
      <c r="I32" s="853"/>
      <c r="J32" s="853"/>
      <c r="K32" s="853"/>
    </row>
    <row r="33" spans="1:11" ht="40.200000000000003" customHeight="1" x14ac:dyDescent="0.3">
      <c r="A33" s="162"/>
      <c r="B33" s="854" t="s">
        <v>518</v>
      </c>
      <c r="C33" s="854"/>
      <c r="D33" s="854"/>
      <c r="E33" s="854"/>
      <c r="F33" s="854"/>
      <c r="G33" s="854"/>
      <c r="H33" s="854"/>
      <c r="I33" s="854"/>
      <c r="J33" s="854"/>
      <c r="K33" s="854"/>
    </row>
    <row r="34" spans="1:11" x14ac:dyDescent="0.3">
      <c r="A34" s="162" t="s">
        <v>102</v>
      </c>
      <c r="B34" s="839" t="s">
        <v>229</v>
      </c>
      <c r="C34" s="839"/>
      <c r="D34" s="839"/>
      <c r="E34" s="839"/>
      <c r="F34" s="839"/>
      <c r="G34" s="839"/>
      <c r="H34" s="839"/>
      <c r="I34" s="839"/>
      <c r="J34" s="839"/>
      <c r="K34" s="839"/>
    </row>
    <row r="35" spans="1:11" ht="29.25" customHeight="1" x14ac:dyDescent="0.3">
      <c r="A35" s="162" t="s">
        <v>230</v>
      </c>
      <c r="B35" s="838" t="s">
        <v>231</v>
      </c>
      <c r="C35" s="838"/>
      <c r="D35" s="838"/>
      <c r="E35" s="838"/>
      <c r="F35" s="838"/>
      <c r="G35" s="838"/>
      <c r="H35" s="838"/>
      <c r="I35" s="838"/>
      <c r="J35" s="838"/>
      <c r="K35" s="838"/>
    </row>
    <row r="36" spans="1:11" x14ac:dyDescent="0.3">
      <c r="A36" s="162" t="s">
        <v>232</v>
      </c>
      <c r="B36" s="839" t="s">
        <v>233</v>
      </c>
      <c r="C36" s="839"/>
      <c r="D36" s="839"/>
      <c r="E36" s="839"/>
      <c r="F36" s="839"/>
      <c r="G36" s="839"/>
      <c r="H36" s="839"/>
      <c r="I36" s="839"/>
      <c r="J36" s="839"/>
      <c r="K36" s="839"/>
    </row>
    <row r="37" spans="1:11" ht="43.5" customHeight="1" x14ac:dyDescent="0.3">
      <c r="A37" s="185" t="s">
        <v>234</v>
      </c>
      <c r="B37" s="838" t="s">
        <v>235</v>
      </c>
      <c r="C37" s="838"/>
      <c r="D37" s="838"/>
      <c r="E37" s="838"/>
      <c r="F37" s="838"/>
      <c r="G37" s="838"/>
      <c r="H37" s="838"/>
      <c r="I37" s="838"/>
      <c r="J37" s="838"/>
      <c r="K37" s="838"/>
    </row>
    <row r="38" spans="1:11" x14ac:dyDescent="0.3">
      <c r="A38" s="185" t="s">
        <v>236</v>
      </c>
      <c r="B38" s="839" t="s">
        <v>472</v>
      </c>
      <c r="C38" s="839"/>
      <c r="D38" s="839"/>
      <c r="E38" s="839"/>
      <c r="F38" s="839"/>
      <c r="G38" s="839"/>
      <c r="H38" s="839"/>
      <c r="I38" s="839"/>
      <c r="J38" s="839"/>
      <c r="K38" s="839"/>
    </row>
    <row r="39" spans="1:11" x14ac:dyDescent="0.3">
      <c r="A39" s="162" t="s">
        <v>237</v>
      </c>
      <c r="B39" s="839" t="s">
        <v>238</v>
      </c>
      <c r="C39" s="839"/>
      <c r="D39" s="839"/>
      <c r="E39" s="839"/>
      <c r="F39" s="839"/>
      <c r="G39" s="839"/>
      <c r="H39" s="839"/>
      <c r="I39" s="839"/>
      <c r="J39" s="839"/>
      <c r="K39" s="839"/>
    </row>
    <row r="40" spans="1:11" ht="30" customHeight="1" x14ac:dyDescent="0.3">
      <c r="A40" s="162" t="s">
        <v>239</v>
      </c>
      <c r="B40" s="838" t="s">
        <v>240</v>
      </c>
      <c r="C40" s="838"/>
      <c r="D40" s="838"/>
      <c r="E40" s="838"/>
      <c r="F40" s="838"/>
      <c r="G40" s="838"/>
      <c r="H40" s="838"/>
      <c r="I40" s="838"/>
      <c r="J40" s="838"/>
      <c r="K40" s="838"/>
    </row>
    <row r="41" spans="1:11" x14ac:dyDescent="0.3">
      <c r="A41" s="138"/>
      <c r="B41" s="139"/>
      <c r="C41" s="139"/>
      <c r="D41" s="139"/>
      <c r="E41" s="139"/>
      <c r="F41" s="139"/>
      <c r="G41" s="139"/>
      <c r="H41" s="139"/>
      <c r="I41" s="139"/>
      <c r="J41" s="139"/>
      <c r="K41" s="139"/>
    </row>
    <row r="42" spans="1:11" x14ac:dyDescent="0.3">
      <c r="A42" s="186" t="s">
        <v>190</v>
      </c>
      <c r="B42" s="839" t="s">
        <v>463</v>
      </c>
      <c r="C42" s="839"/>
      <c r="D42" s="839"/>
      <c r="E42" s="839"/>
      <c r="F42" s="839"/>
      <c r="G42" s="839"/>
      <c r="H42" s="839"/>
      <c r="I42" s="839"/>
      <c r="J42" s="839"/>
      <c r="K42" s="839"/>
    </row>
    <row r="43" spans="1:11" hidden="1" x14ac:dyDescent="0.3">
      <c r="A43" s="187" t="s">
        <v>133</v>
      </c>
      <c r="B43" s="188" t="s">
        <v>216</v>
      </c>
      <c r="C43" s="139"/>
      <c r="D43" s="139"/>
      <c r="E43" s="139"/>
      <c r="F43" s="139"/>
      <c r="G43" s="139"/>
      <c r="H43" s="139"/>
      <c r="I43" s="139"/>
      <c r="J43" s="139"/>
      <c r="K43" s="139"/>
    </row>
    <row r="44" spans="1:11" ht="39.75" hidden="1" customHeight="1" x14ac:dyDescent="0.3">
      <c r="A44" s="187" t="s">
        <v>218</v>
      </c>
      <c r="B44" s="838" t="s">
        <v>242</v>
      </c>
      <c r="C44" s="838"/>
      <c r="D44" s="838"/>
      <c r="E44" s="838"/>
      <c r="F44" s="838"/>
      <c r="G44" s="838"/>
      <c r="H44" s="838"/>
      <c r="I44" s="838"/>
      <c r="J44" s="838"/>
      <c r="K44" s="838"/>
    </row>
    <row r="45" spans="1:11" x14ac:dyDescent="0.3">
      <c r="A45" s="187"/>
      <c r="B45" s="839" t="s">
        <v>158</v>
      </c>
      <c r="C45" s="839"/>
      <c r="D45" s="839"/>
      <c r="E45" s="839"/>
      <c r="F45" s="839"/>
      <c r="G45" s="839"/>
      <c r="H45" s="839"/>
      <c r="I45" s="839"/>
      <c r="J45" s="839"/>
      <c r="K45" s="839"/>
    </row>
    <row r="46" spans="1:11" ht="100.5" customHeight="1" x14ac:dyDescent="0.3">
      <c r="A46" s="861" t="s">
        <v>499</v>
      </c>
      <c r="B46" s="862"/>
      <c r="C46" s="862"/>
      <c r="D46" s="862"/>
      <c r="E46" s="862"/>
      <c r="F46" s="862"/>
      <c r="G46" s="862"/>
      <c r="H46" s="862"/>
      <c r="I46" s="862"/>
      <c r="J46" s="862"/>
      <c r="K46" s="862"/>
    </row>
  </sheetData>
  <sheetProtection algorithmName="SHA-512" hashValue="Sx6v8ym3uiFgs7s0ZyJOcu0oxGYNqv7YCFYeakMirzIbzVs+lvO8ewYrTbWKl4jY9NACMuF+u1KW1m8dILYBbg==" saltValue="d+oYWSmR/68cLnSjqdFU3Q==" spinCount="100000" sheet="1" objects="1" scenarios="1"/>
  <mergeCells count="24">
    <mergeCell ref="B42:K42"/>
    <mergeCell ref="B44:K44"/>
    <mergeCell ref="B45:K45"/>
    <mergeCell ref="A46:K46"/>
    <mergeCell ref="B35:K35"/>
    <mergeCell ref="B36:K36"/>
    <mergeCell ref="B37:K37"/>
    <mergeCell ref="B38:K38"/>
    <mergeCell ref="B39:K39"/>
    <mergeCell ref="B40:K40"/>
    <mergeCell ref="A5:A7"/>
    <mergeCell ref="B5:B7"/>
    <mergeCell ref="B28:K28"/>
    <mergeCell ref="B29:K29"/>
    <mergeCell ref="B31:K31"/>
    <mergeCell ref="B30:K30"/>
    <mergeCell ref="F5:F6"/>
    <mergeCell ref="L30:M30"/>
    <mergeCell ref="B34:K34"/>
    <mergeCell ref="C5:C6"/>
    <mergeCell ref="C3:H4"/>
    <mergeCell ref="I3:K4"/>
    <mergeCell ref="B32:K32"/>
    <mergeCell ref="B33:K33"/>
  </mergeCells>
  <hyperlinks>
    <hyperlink ref="B27" location="AMAZONAS!A46" display="Ver Nota Informativa" xr:uid="{00000000-0004-0000-0800-000000000000}"/>
  </hyperlinks>
  <pageMargins left="0.7" right="0.7" top="0.75" bottom="0.75" header="0.3" footer="0.3"/>
  <pageSetup orientation="portrait" r:id="rId1"/>
  <ignoredErrors>
    <ignoredError sqref="K10:K12 G12 A29:A31 A42:A44 C12:D12 I10:I12" numberStoredAsText="1"/>
    <ignoredError sqref="G13:H13 K13:K14 K16:K23 D16 D13:D14 C17:D23 G16:I23 G14:I1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2022-06-16T22:39:35Z</dcterms:modified>
</cp:coreProperties>
</file>