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9" i="70" l="1"/>
  <c r="G10" i="95" l="1"/>
  <c r="I10" i="95"/>
  <c r="H10" i="95"/>
  <c r="E19" i="46"/>
  <c r="D19" i="46"/>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B8" i="1"/>
  <c r="C32" i="106"/>
  <c r="E7" i="91" s="1"/>
  <c r="K256" i="114" l="1"/>
  <c r="K47" i="114"/>
  <c r="C33" i="106"/>
  <c r="F7" i="91" l="1"/>
  <c r="J7" i="70" l="1"/>
  <c r="I7" i="70"/>
  <c r="D31" i="91" l="1"/>
  <c r="E31" i="91" s="1"/>
  <c r="F31" i="91" s="1"/>
  <c r="F12" i="4"/>
  <c r="C47" i="106" l="1"/>
  <c r="C46" i="106"/>
  <c r="C45" i="106"/>
  <c r="C44" i="106"/>
  <c r="C19" i="106"/>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F10"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C8" i="1"/>
  <c r="D8" i="1" s="1"/>
  <c r="E8" i="1"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E11" i="4" l="1"/>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4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8" i="95"/>
  <c r="F14" i="46"/>
  <c r="I9" i="70"/>
  <c r="I11" i="70"/>
  <c r="J11" i="70"/>
  <c r="H8" i="70"/>
  <c r="H9" i="70" s="1"/>
  <c r="B6" i="46"/>
  <c r="F6" i="46" s="1"/>
  <c r="C6" i="46"/>
  <c r="D6" i="46" s="1"/>
  <c r="E6" i="46" s="1"/>
  <c r="D109" i="91" l="1"/>
  <c r="D112" i="91"/>
  <c r="E112" i="91" s="1"/>
  <c r="F112" i="91" s="1"/>
  <c r="AH59" i="61"/>
  <c r="AI59" i="61" s="1"/>
  <c r="H17" i="70"/>
  <c r="AK58" i="61"/>
  <c r="AL58" i="61" s="1"/>
  <c r="K180" i="114"/>
  <c r="K69" i="114"/>
  <c r="K50" i="114"/>
  <c r="K185" i="114"/>
  <c r="K62" i="114"/>
  <c r="E76" i="91"/>
  <c r="E81" i="91" s="1"/>
  <c r="E82" i="91" s="1"/>
  <c r="F8" i="4"/>
  <c r="K60" i="114"/>
  <c r="K183" i="114"/>
  <c r="D14" i="95"/>
  <c r="E14" i="95"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0" i="70"/>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C24"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<sst xmlns="http://schemas.openxmlformats.org/spreadsheetml/2006/main" count="1365" uniqueCount="672">
  <si>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</si>
  <si>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</si>
  <si>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</si>
  <si>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</si>
  <si>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</si>
  <si>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</si>
  <si>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</si>
  <si>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</si>
  <si>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</si>
  <si>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</si>
  <si>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</si>
  <si>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</si>
  <si>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</si>
  <si>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</si>
  <si>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</si>
  <si>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</si>
  <si>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</si>
  <si>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</si>
  <si>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</si>
  <si>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</si>
  <si>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</si>
  <si>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</si>
  <si>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</si>
  <si>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</si>
  <si>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</si>
  <si>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</si>
  <si>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</si>
  <si>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</si>
  <si>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</si>
  <si>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</si>
  <si>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</si>
  <si>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</si>
  <si>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</si>
  <si>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</si>
  <si>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</si>
  <si>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</si>
  <si>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</si>
  <si>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</si>
  <si>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</si>
  <si>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</si>
  <si>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</si>
  <si>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</si>
  <si>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</si>
  <si>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</si>
  <si>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</si>
  <si>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</si>
  <si>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</si>
  <si>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</si>
  <si>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</si>
  <si>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</si>
  <si>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</si>
  <si>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</si>
  <si>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</si>
  <si>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</si>
  <si>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</si>
  <si>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</si>
  <si>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</si>
  <si>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</si>
  <si>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</si>
  <si>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</si>
  <si>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</si>
  <si>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</si>
  <si>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</si>
  <si>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</si>
  <si>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</si>
  <si>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</si>
  <si>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</si>
  <si>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</si>
  <si>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</si>
  <si>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</si>
  <si>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</si>
  <si>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</si>
  <si>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</si>
  <si>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</si>
  <si>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</si>
  <si>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</si>
  <si>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</si>
  <si>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</si>
  <si>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</si>
  <si>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</si>
  <si>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</si>
  <si>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</si>
  <si>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</si>
  <si>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</si>
  <si>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</si>
  <si>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</si>
  <si>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</si>
  <si>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</si>
  <si>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</si>
  <si>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</si>
  <si>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</si>
  <si>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</si>
  <si>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</si>
  <si>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</si>
  <si>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</si>
  <si>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</si>
  <si>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</si>
  <si>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</si>
  <si>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</si>
  <si>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</si>
  <si>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</si>
  <si>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</si>
  <si>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</si>
  <si>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</si>
  <si>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</si>
  <si>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</si>
  <si>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</si>
  <si>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</si>
  <si>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</si>
  <si>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</si>
  <si>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</si>
  <si>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</si>
  <si>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</si>
  <si>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</si>
  <si>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</si>
  <si>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</si>
  <si>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</si>
  <si>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</si>
  <si>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</si>
  <si>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</si>
  <si>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</si>
  <si>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</si>
  <si>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</si>
  <si>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</si>
  <si>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</si>
  <si>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</si>
  <si>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</si>
  <si>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</si>
  <si>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</si>
  <si>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</si>
  <si>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</si>
  <si>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</si>
  <si>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</si>
  <si>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</si>
  <si>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</si>
  <si>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</si>
  <si>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</si>
  <si>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</si>
  <si>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</si>
  <si>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</si>
  <si>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</si>
  <si>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</si>
  <si>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</si>
  <si>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</si>
  <si>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</si>
  <si>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</si>
  <si>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</si>
  <si>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</si>
  <si>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</si>
  <si>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</si>
  <si>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</si>
  <si>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</si>
  <si>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</si>
  <si>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</si>
  <si>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</si>
  <si>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</si>
  <si>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</si>
  <si>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</si>
  <si>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</si>
  <si>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</si>
  <si>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</si>
  <si>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</si>
  <si>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</si>
  <si>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</si>
  <si>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</si>
  <si>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</si>
  <si>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</si>
  <si>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</si>
  <si>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</si>
  <si>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</si>
  <si>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</si>
  <si>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</si>
  <si>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</si>
  <si>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</si>
  <si>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</si>
  <si>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</si>
  <si>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</si>
  <si>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</si>
  <si>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</si>
  <si>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</si>
  <si>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</si>
  <si>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</si>
  <si>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</si>
  <si>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</si>
  <si>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</si>
  <si>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</si>
  <si>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</si>
  <si>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</si>
  <si>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</si>
  <si>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</si>
  <si>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</si>
  <si>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</si>
  <si>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</si>
  <si>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</si>
  <si>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</si>
  <si>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</si>
  <si>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</si>
  <si>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</si>
  <si>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</si>
  <si>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</si>
  <si>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</si>
  <si>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</si>
  <si>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</si>
  <si>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</si>
  <si>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</si>
  <si>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</si>
  <si>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</si>
  <si>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</si>
  <si>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</si>
  <si>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</si>
  <si>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</si>
  <si>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</si>
  <si>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</si>
  <si>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</si>
  <si>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</si>
  <si>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</si>
  <si>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</si>
  <si>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</si>
  <si>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</si>
  <si>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</si>
  <si>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</si>
  <si>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</si>
  <si>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</si>
  <si>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</si>
  <si>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</si>
  <si>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</si>
  <si>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</si>
  <si>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</si>
  <si>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</si>
  <si>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</si>
  <si>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</si>
  <si>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</si>
  <si>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</si>
  <si>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</si>
  <si>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</si>
  <si>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</si>
  <si>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</si>
  <si>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</si>
  <si>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</si>
  <si>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</si>
  <si>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</si>
  <si>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</si>
  <si>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</si>
  <si>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</si>
  <si>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</si>
  <si>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</si>
  <si>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</si>
  <si>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</si>
  <si>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</si>
  <si>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</si>
  <si>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</si>
  <si>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</si>
  <si>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</si>
  <si>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</si>
  <si>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</si>
  <si>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</si>
  <si>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</si>
  <si>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</si>
  <si>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</si>
  <si>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</si>
  <si>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</si>
  <si>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</si>
  <si>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</si>
  <si>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</si>
  <si>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</si>
  <si>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</si>
  <si>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</si>
  <si>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</si>
  <si>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</si>
  <si>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</si>
  <si>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</si>
  <si>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</si>
  <si>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</si>
  <si>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</si>
  <si>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</si>
  <si>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</si>
  <si>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</si>
  <si>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</si>
  <si>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</si>
  <si>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</si>
  <si>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</si>
  <si>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</si>
  <si>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</si>
  <si>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</si>
  <si>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</si>
  <si>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</si>
  <si>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</si>
  <si>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</si>
  <si>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</si>
  <si>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</si>
  <si>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</si>
  <si>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</si>
  <si>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</si>
  <si>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</si>
  <si>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</si>
  <si>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</si>
  <si>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</si>
  <si>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</si>
  <si>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</si>
  <si>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</si>
  <si>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</si>
  <si>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</si>
  <si>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</si>
  <si>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</si>
  <si>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</si>
  <si>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</si>
  <si>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</si>
  <si>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</si>
  <si>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</si>
  <si>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</si>
  <si>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</si>
  <si>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</si>
  <si>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</si>
  <si>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</si>
  <si>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</si>
  <si>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</si>
  <si>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</si>
  <si>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</si>
  <si>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</si>
  <si>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</si>
  <si>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</si>
  <si>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</si>
  <si>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</si>
  <si>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</si>
  <si>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</si>
  <si>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</si>
  <si>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</si>
  <si>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</si>
  <si>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</si>
  <si>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</si>
  <si>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</si>
  <si>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</si>
  <si>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</si>
  <si>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</si>
  <si>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</si>
  <si>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</si>
  <si>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</si>
  <si>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</si>
  <si>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</si>
  <si>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</si>
  <si>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</si>
  <si>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</si>
  <si>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</si>
  <si>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</si>
  <si>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</si>
  <si>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</si>
  <si>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</si>
  <si>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</si>
  <si>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</si>
  <si>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</si>
  <si>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</si>
  <si>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</si>
  <si>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</si>
  <si>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</si>
  <si>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</si>
  <si>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</si>
  <si>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</si>
  <si>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</si>
  <si>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</si>
  <si>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</si>
  <si>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</si>
  <si>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Inflación</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</si>
  <si>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</si>
  <si>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</si>
  <si>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</si>
  <si>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</si>
  <si>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</si>
  <si>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</si>
  <si>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</si>
  <si>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</si>
  <si>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</si>
  <si>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</si>
  <si>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</si>
  <si>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</si>
  <si>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</si>
  <si>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</si>
  <si>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</si>
  <si>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</si>
  <si>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</si>
  <si>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Para el 2017 no hay ajuste Reforma Tributaria 29 dic 2016</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</si>
  <si>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</si>
  <si>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</si>
  <si>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</si>
  <si>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</si>
  <si>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</si>
  <si>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</si>
  <si>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</si>
  <si>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</si>
  <si>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</si>
  <si>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</si>
  <si>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</si>
  <si>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</si>
  <si>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</si>
  <si>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</si>
  <si>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</si>
  <si>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</si>
  <si>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</si>
  <si>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</si>
  <si>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</si>
  <si>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</si>
  <si>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</si>
  <si>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</si>
  <si>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</si>
  <si>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</si>
  <si>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</si>
  <si>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</si>
  <si>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</si>
  <si>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</si>
  <si>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</si>
  <si>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</si>
  <si>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</si>
  <si>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</si>
  <si>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</si>
  <si>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</si>
  <si>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</si>
  <si>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</si>
  <si>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</si>
  <si>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</si>
  <si>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</si>
  <si>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</si>
  <si>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</si>
  <si>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</si>
  <si>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</si>
  <si>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</si>
  <si>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</si>
  <si>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</si>
  <si>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</si>
  <si>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</si>
  <si>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</si>
  <si>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</si>
  <si>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</si>
  <si>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</si>
  <si>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</si>
  <si>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</si>
  <si>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</si>
  <si>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</si>
  <si>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</si>
  <si>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</si>
  <si>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</si>
  <si>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</si>
  <si>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</si>
  <si>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</si>
  <si>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</si>
  <si>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</si>
  <si>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</si>
  <si>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</si>
  <si>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</si>
  <si>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</si>
  <si>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</si>
  <si>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</si>
  <si>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</si>
  <si>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</si>
  <si>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</si>
  <si>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</si>
  <si>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</si>
  <si>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</si>
  <si>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</si>
  <si>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</si>
  <si>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</si>
  <si>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</si>
  <si>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</si>
  <si>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</si>
  <si>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</si>
  <si>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</si>
  <si>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</si>
  <si>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</si>
  <si>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</si>
  <si>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</si>
  <si>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</si>
  <si>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</si>
  <si>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</si>
  <si>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</si>
  <si>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</si>
  <si>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</si>
  <si>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</si>
  <si>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</si>
  <si>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</si>
  <si>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</si>
  <si>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</si>
  <si>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</si>
  <si>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</si>
  <si>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</si>
  <si>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</si>
  <si>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</si>
  <si>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</si>
  <si>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</si>
  <si>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</si>
  <si>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</si>
  <si>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</si>
  <si>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</si>
  <si>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</si>
  <si>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</si>
  <si>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</si>
  <si>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</si>
  <si>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</si>
  <si>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</si>
  <si>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</si>
  <si>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</si>
  <si>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</si>
  <si>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</si>
  <si>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</si>
  <si>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</si>
  <si>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</si>
  <si>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</si>
  <si>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</si>
  <si>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</si>
  <si>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</si>
  <si>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</si>
  <si>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</si>
  <si>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</si>
  <si>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</si>
  <si>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</si>
  <si>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</si>
  <si>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</si>
  <si>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</si>
  <si>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</si>
  <si>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</si>
  <si>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</si>
  <si>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</si>
  <si>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</si>
  <si>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</si>
  <si>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</si>
  <si>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</si>
  <si>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</si>
  <si>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</si>
  <si>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</si>
  <si>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</si>
  <si>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</si>
  <si>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</si>
  <si>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</si>
  <si>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</si>
  <si>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</si>
  <si>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</si>
  <si>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</si>
  <si>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</si>
  <si>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</si>
  <si>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</si>
  <si>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</si>
  <si>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</si>
  <si>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</si>
  <si>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</si>
  <si>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</si>
  <si>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</si>
  <si>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</si>
  <si>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</si>
  <si>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</si>
  <si>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</si>
  <si>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</si>
  <si>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</si>
  <si>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</si>
  <si>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</si>
  <si>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</si>
  <si>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</si>
  <si>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</si>
  <si>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</si>
  <si>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</si>
  <si>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</si>
  <si>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</si>
  <si>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</si>
  <si>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</si>
  <si>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</si>
  <si>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</si>
  <si>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</si>
  <si>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</si>
  <si>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</si>
  <si>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</si>
  <si>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</si>
  <si>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</si>
  <si>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</si>
  <si>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</si>
  <si>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</si>
  <si>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</si>
  <si>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</si>
  <si>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</si>
  <si>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</si>
  <si>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</si>
  <si>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</si>
  <si>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</si>
  <si>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</si>
  <si>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</si>
  <si>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</si>
  <si>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</si>
  <si>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</si>
  <si>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</si>
  <si>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</si>
  <si>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</si>
  <si>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</si>
  <si>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</si>
  <si>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</si>
  <si>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</si>
  <si>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</si>
  <si>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</si>
  <si>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</si>
  <si>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</si>
  <si>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</si>
  <si>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</si>
  <si>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</si>
  <si>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</si>
  <si>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</si>
  <si>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</si>
  <si>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</si>
  <si>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</si>
  <si>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</si>
  <si>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</si>
  <si>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</si>
  <si>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</si>
  <si>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</si>
  <si>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</si>
  <si>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</si>
  <si>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</si>
  <si>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</si>
  <si>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</si>
  <si>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</si>
  <si>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</si>
  <si>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</si>
  <si>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</si>
  <si>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</si>
  <si>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</si>
  <si>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</si>
  <si>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</si>
  <si>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</si>
  <si>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</si>
  <si>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</si>
  <si>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</si>
  <si>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</si>
  <si>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</si>
  <si>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</si>
  <si>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</si>
  <si>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</si>
  <si>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</si>
  <si>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</si>
  <si>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</si>
  <si>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</si>
  <si>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</si>
  <si>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</si>
  <si>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</si>
  <si>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</si>
  <si>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</si>
  <si>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</si>
  <si>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</si>
  <si>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</si>
  <si>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</si>
  <si>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</si>
  <si>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</si>
  <si>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</si>
  <si>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</si>
  <si>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</si>
  <si>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</si>
  <si>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</si>
  <si>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</si>
  <si>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</si>
  <si>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</si>
  <si>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</si>
  <si>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</si>
  <si>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</si>
  <si>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</si>
  <si>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</si>
  <si>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</si>
  <si>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</si>
  <si>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</si>
  <si>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</si>
  <si>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</si>
  <si>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2 DE AGOSTO DE 2017</t>
  </si>
  <si>
    <t>PRECIO REGULADOS  AGO 02 A AGO 31 2017</t>
  </si>
  <si>
    <t>PRECIO NO REGULADOS  AGO 02 A AGO 31 2017</t>
  </si>
  <si>
    <t>PRECIO ZONAS DE FRONTERA AGO 02 A AGO 31 2017</t>
  </si>
  <si>
    <t>PRECIO ELECTROCOMBUSTIBLE  AGO 02 A AGO 31 2017</t>
  </si>
  <si>
    <t>PRECIO DESCUENTO PESQUEROS AGO 02 A AGO 31 2017</t>
  </si>
  <si>
    <t>PRECIO ESPECIAL GUAJIRA AGO 02 A AGO 31 2017</t>
  </si>
  <si>
    <t>PRECIO ESTRUCTURA TARIFA BIOS  AGO 02 A AGO 31 2017</t>
  </si>
  <si>
    <t>PRECIO GASOLINA  IMPORTADA AGO 02 A AGO 31 2017</t>
  </si>
  <si>
    <t>BALANCE VOLUMETRICO REFICAR A AGO 02 A AGO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</si>
</sst>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_);_(* \(#,##0.00\);_(* &quot;-&quot;??_);_(@_)"/>
    <numFmt numFmtId="166" formatCode="#,##0.0000"/>
    <numFmt numFmtId="167" formatCode="General_)"/>
    <numFmt numFmtId="168" formatCode="_-* #,##0.0000_-;\-* #,##0.0000_-;_-* &quot;-&quot;??_-;_-@_-"/>
    <numFmt numFmtId="169" formatCode=";;;"/>
    <numFmt numFmtId="170" formatCode="#,##0.00000000"/>
    <numFmt numFmtId="171" formatCode="#,##0.00000000000"/>
    <numFmt numFmtId="172" formatCode="#,##0.00\ &quot;(*****)&quot;"/>
    <numFmt numFmtId="173" formatCode="_-* #,##0.0_-;\-* #,##0.0_-;_-* &quot;-&quot;??_-;_-@_-"/>
    <numFmt numFmtId="174" formatCode="_(* #,##0.00000_);_(* \(#,##0.00000\);_(* &quot;-&quot;??_);_(@_)"/>
    <numFmt numFmtId="175" formatCode="0.0000"/>
  </numFmts>
  <fonts count="84">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s>
  <fills count="3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4"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7" fontId="13" fillId="0" borderId="0"/>
    <xf numFmtId="9" fontId="3" fillId="0" borderId="0" applyFont="0" applyFill="0" applyBorder="0" applyAlignment="0" applyProtection="0"/>
    <xf numFmtId="9" fontId="3" fillId="0" borderId="0" applyFont="0" applyFill="0" applyBorder="0" applyAlignment="0" applyProtection="0"/>
    <xf numFmtId="167" fontId="10" fillId="0" borderId="0">
      <alignment horizontal="left"/>
    </xf>
    <xf numFmtId="38" fontId="9" fillId="0" borderId="0"/>
    <xf numFmtId="0" fontId="6" fillId="0" borderId="1">
      <protection locked="0"/>
    </xf>
    <xf numFmtId="0" fontId="2" fillId="0" borderId="0"/>
  </cellStyleXfs>
  <cellXfs count="707">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5"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4"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4" fontId="15" fillId="2" borderId="0" xfId="17" applyNumberFormat="1" applyFont="1" applyFill="1" applyBorder="1" applyAlignment="1" applyProtection="1">
      <alignment vertical="center" wrapText="1"/>
      <protection hidden="1"/>
    </xf>
    <xf numFmtId="164"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7"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7"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4"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4"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4" fontId="15" fillId="0" borderId="44" xfId="17" applyFont="1" applyFill="1" applyBorder="1" applyAlignment="1" applyProtection="1">
      <alignment horizontal="right" vertical="center" wrapText="1"/>
      <protection hidden="1"/>
    </xf>
    <xf numFmtId="164"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4" fontId="15" fillId="13" borderId="49"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vertical="center" wrapText="1"/>
      <protection hidden="1"/>
    </xf>
    <xf numFmtId="164"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4" fontId="15" fillId="2" borderId="51" xfId="17" applyFont="1" applyFill="1" applyBorder="1" applyAlignment="1" applyProtection="1">
      <alignment horizontal="center" vertical="center" wrapText="1"/>
      <protection hidden="1"/>
    </xf>
    <xf numFmtId="164"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4"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4" fontId="15" fillId="0" borderId="52" xfId="17" applyFont="1" applyFill="1" applyBorder="1" applyAlignment="1" applyProtection="1">
      <alignment vertical="center" wrapText="1"/>
      <protection hidden="1"/>
    </xf>
    <xf numFmtId="164"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4" fontId="15" fillId="0" borderId="41" xfId="17" applyNumberFormat="1" applyFont="1" applyFill="1" applyBorder="1" applyAlignment="1" applyProtection="1">
      <alignment horizontal="right" vertical="center" wrapText="1"/>
      <protection hidden="1"/>
    </xf>
    <xf numFmtId="168" fontId="15" fillId="13" borderId="49" xfId="17" applyNumberFormat="1" applyFont="1" applyFill="1" applyBorder="1" applyAlignment="1" applyProtection="1">
      <alignment horizontal="center" vertical="center" wrapText="1"/>
      <protection hidden="1"/>
    </xf>
    <xf numFmtId="168" fontId="15" fillId="0" borderId="56" xfId="17" applyNumberFormat="1" applyFont="1" applyBorder="1" applyAlignment="1" applyProtection="1">
      <alignment horizontal="left" vertical="center" wrapText="1"/>
      <protection hidden="1"/>
    </xf>
    <xf numFmtId="168" fontId="15" fillId="13" borderId="57" xfId="17" applyNumberFormat="1" applyFont="1" applyFill="1" applyBorder="1" applyAlignment="1" applyProtection="1">
      <alignment horizontal="center" vertical="center" wrapText="1"/>
      <protection hidden="1"/>
    </xf>
    <xf numFmtId="168" fontId="14" fillId="12" borderId="0" xfId="17" applyNumberFormat="1" applyFont="1" applyFill="1" applyBorder="1" applyAlignment="1" applyProtection="1">
      <alignment horizontal="center" vertical="center"/>
      <protection hidden="1"/>
    </xf>
    <xf numFmtId="168" fontId="14" fillId="0" borderId="0" xfId="17" applyNumberFormat="1" applyFont="1" applyBorder="1" applyAlignment="1" applyProtection="1">
      <alignment horizontal="center" vertical="center"/>
      <protection hidden="1"/>
    </xf>
    <xf numFmtId="168" fontId="15" fillId="0" borderId="58" xfId="17" applyNumberFormat="1" applyFont="1" applyBorder="1" applyAlignment="1" applyProtection="1">
      <alignment horizontal="left" vertical="center" wrapText="1"/>
      <protection hidden="1"/>
    </xf>
    <xf numFmtId="168" fontId="15" fillId="2" borderId="49" xfId="17" applyNumberFormat="1" applyFont="1" applyFill="1" applyBorder="1" applyAlignment="1" applyProtection="1">
      <alignment horizontal="center" vertical="center" wrapText="1"/>
      <protection hidden="1"/>
    </xf>
    <xf numFmtId="168" fontId="15" fillId="0" borderId="49" xfId="17" applyNumberFormat="1" applyFont="1" applyFill="1" applyBorder="1" applyAlignment="1" applyProtection="1">
      <alignment horizontal="center" vertical="center" wrapText="1"/>
      <protection hidden="1"/>
    </xf>
    <xf numFmtId="164" fontId="15" fillId="13" borderId="57"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wrapText="1"/>
      <protection hidden="1"/>
    </xf>
    <xf numFmtId="164" fontId="15" fillId="0" borderId="58" xfId="17" applyNumberFormat="1" applyFont="1" applyBorder="1" applyAlignment="1" applyProtection="1">
      <alignment horizontal="left" vertical="center" wrapText="1"/>
      <protection hidden="1"/>
    </xf>
    <xf numFmtId="164" fontId="14" fillId="12" borderId="0" xfId="17" applyNumberFormat="1" applyFont="1" applyFill="1" applyBorder="1" applyAlignment="1" applyProtection="1">
      <alignment horizontal="center" vertical="center"/>
      <protection hidden="1"/>
    </xf>
    <xf numFmtId="164"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4"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4" fontId="0" fillId="0" borderId="2" xfId="17" applyFont="1" applyBorder="1" applyAlignment="1">
      <alignment horizontal="center" vertical="center"/>
    </xf>
    <xf numFmtId="164"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4"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69"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69"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69" fontId="11" fillId="0" borderId="7" xfId="23" applyNumberFormat="1" applyFont="1" applyBorder="1" applyProtection="1"/>
    <xf numFmtId="37" fontId="14" fillId="0" borderId="4" xfId="23" applyNumberFormat="1" applyFont="1" applyFill="1" applyBorder="1" applyProtection="1"/>
    <xf numFmtId="169"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0" fontId="3" fillId="2" borderId="0" xfId="21" applyNumberFormat="1" applyFill="1"/>
    <xf numFmtId="171" fontId="3" fillId="2" borderId="0" xfId="21" applyNumberFormat="1" applyFill="1"/>
    <xf numFmtId="9" fontId="3" fillId="12" borderId="0" xfId="25" applyFont="1" applyFill="1"/>
    <xf numFmtId="0" fontId="35" fillId="0" borderId="0" xfId="21" applyFont="1" applyAlignment="1">
      <alignment wrapText="1"/>
    </xf>
    <xf numFmtId="164" fontId="0" fillId="0" borderId="0" xfId="17" applyFont="1" applyAlignment="1">
      <alignment vertical="center"/>
    </xf>
    <xf numFmtId="164"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4"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7" fontId="40" fillId="2" borderId="0" xfId="24" applyFont="1" applyFill="1" applyAlignment="1" applyProtection="1">
      <alignment horizontal="left" vertical="center"/>
      <protection hidden="1"/>
    </xf>
    <xf numFmtId="164"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4"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4"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4"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4"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4"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6"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4" fontId="14" fillId="12" borderId="52" xfId="17" applyFont="1" applyFill="1" applyBorder="1" applyAlignment="1" applyProtection="1">
      <alignment horizontal="right" vertical="center" wrapText="1"/>
      <protection hidden="1"/>
    </xf>
    <xf numFmtId="164" fontId="14" fillId="12" borderId="48" xfId="17" applyFont="1" applyFill="1" applyBorder="1" applyAlignment="1" applyProtection="1">
      <alignment horizontal="right" vertical="center" wrapText="1"/>
      <protection hidden="1"/>
    </xf>
    <xf numFmtId="164" fontId="14" fillId="0" borderId="41" xfId="17" applyNumberFormat="1" applyFont="1" applyFill="1" applyBorder="1" applyAlignment="1" applyProtection="1">
      <alignment horizontal="right" vertical="center" wrapText="1"/>
      <protection hidden="1"/>
    </xf>
    <xf numFmtId="164" fontId="14" fillId="0" borderId="45" xfId="17" applyNumberFormat="1" applyFont="1" applyFill="1" applyBorder="1" applyAlignment="1" applyProtection="1">
      <alignment horizontal="right" vertical="center" wrapText="1"/>
      <protection hidden="1"/>
    </xf>
    <xf numFmtId="164" fontId="14" fillId="0" borderId="41" xfId="17" applyFont="1" applyFill="1" applyBorder="1" applyAlignment="1" applyProtection="1">
      <alignment horizontal="right" vertical="center" wrapText="1"/>
      <protection hidden="1"/>
    </xf>
    <xf numFmtId="164" fontId="14" fillId="0" borderId="45"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4" fontId="14" fillId="0" borderId="44" xfId="17" applyFont="1" applyFill="1" applyBorder="1" applyAlignment="1" applyProtection="1">
      <alignment horizontal="right" vertical="center" wrapText="1"/>
      <protection hidden="1"/>
    </xf>
    <xf numFmtId="164" fontId="14" fillId="0" borderId="47" xfId="17" applyFont="1" applyFill="1" applyBorder="1" applyAlignment="1" applyProtection="1">
      <alignment horizontal="right" vertical="center" wrapText="1"/>
      <protection hidden="1"/>
    </xf>
    <xf numFmtId="164" fontId="15" fillId="13" borderId="41" xfId="17" applyFont="1" applyFill="1" applyBorder="1" applyAlignment="1" applyProtection="1">
      <alignment horizontal="center" vertical="center" wrapText="1"/>
      <protection hidden="1"/>
    </xf>
    <xf numFmtId="164" fontId="14" fillId="12" borderId="103" xfId="17" applyFont="1" applyFill="1" applyBorder="1" applyAlignment="1" applyProtection="1">
      <alignment horizontal="right" vertical="center" wrapText="1"/>
      <protection hidden="1"/>
    </xf>
    <xf numFmtId="164" fontId="0" fillId="0" borderId="0" xfId="0" applyNumberFormat="1"/>
    <xf numFmtId="164"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4"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4"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2"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4" fontId="14" fillId="12" borderId="68" xfId="17" applyFont="1" applyFill="1" applyBorder="1" applyAlignment="1" applyProtection="1">
      <alignment horizontal="right" vertical="center" wrapText="1"/>
      <protection hidden="1"/>
    </xf>
    <xf numFmtId="173" fontId="14" fillId="0" borderId="41" xfId="17" applyNumberFormat="1" applyFont="1" applyFill="1" applyBorder="1" applyAlignment="1" applyProtection="1">
      <alignment horizontal="right" vertical="center" wrapText="1"/>
      <protection hidden="1"/>
    </xf>
    <xf numFmtId="173" fontId="14" fillId="0" borderId="45" xfId="17" applyNumberFormat="1" applyFont="1" applyFill="1" applyBorder="1" applyAlignment="1" applyProtection="1">
      <alignment horizontal="right" vertical="center" wrapText="1"/>
      <protection hidden="1"/>
    </xf>
    <xf numFmtId="164" fontId="14" fillId="12" borderId="0" xfId="17" applyFont="1" applyFill="1" applyBorder="1" applyAlignment="1" applyProtection="1">
      <alignment horizontal="right" vertical="center" wrapText="1"/>
      <protection hidden="1"/>
    </xf>
    <xf numFmtId="9" fontId="67" fillId="0" borderId="0" xfId="0" applyNumberFormat="1" applyFont="1"/>
    <xf numFmtId="164"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4" fontId="0" fillId="14" borderId="2" xfId="17" applyFont="1" applyFill="1" applyBorder="1" applyAlignment="1">
      <alignment horizontal="center" vertical="center"/>
    </xf>
    <xf numFmtId="164" fontId="3" fillId="14" borderId="2" xfId="17" applyFont="1" applyFill="1" applyBorder="1" applyAlignment="1">
      <alignment horizontal="center" vertical="center"/>
    </xf>
    <xf numFmtId="164" fontId="15" fillId="0" borderId="41" xfId="17" applyFont="1" applyFill="1" applyBorder="1" applyAlignment="1" applyProtection="1">
      <alignment horizontal="center" vertical="center" wrapText="1"/>
      <protection hidden="1"/>
    </xf>
    <xf numFmtId="164" fontId="15" fillId="0" borderId="41" xfId="17" applyNumberFormat="1" applyFont="1" applyFill="1" applyBorder="1" applyAlignment="1" applyProtection="1">
      <alignment vertical="center" wrapText="1"/>
      <protection hidden="1"/>
    </xf>
    <xf numFmtId="164" fontId="66" fillId="0" borderId="52" xfId="17" applyFont="1" applyFill="1" applyBorder="1" applyAlignment="1" applyProtection="1">
      <alignment horizontal="center" vertical="center" wrapText="1"/>
      <protection hidden="1"/>
    </xf>
    <xf numFmtId="4" fontId="14" fillId="27" borderId="41" xfId="0" applyNumberFormat="1" applyFont="1" applyFill="1" applyBorder="1" applyAlignment="1" applyProtection="1">
      <alignment vertical="center"/>
      <protection hidden="1"/>
    </xf>
    <xf numFmtId="174" fontId="11" fillId="0" borderId="0" xfId="0" applyNumberFormat="1" applyFont="1" applyAlignment="1" applyProtection="1">
      <alignment vertical="center"/>
      <protection hidden="1"/>
    </xf>
    <xf numFmtId="165"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4" fontId="28" fillId="0" borderId="0" xfId="17" applyFont="1" applyFill="1" applyBorder="1" applyAlignment="1">
      <alignment horizontal="center" vertical="center"/>
    </xf>
    <xf numFmtId="164"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7"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0" fontId="0" fillId="0" borderId="2" xfId="0" applyBorder="1" applyAlignment="1">
      <alignment vertical="center"/>
    </xf>
    <xf numFmtId="164" fontId="15" fillId="0" borderId="41" xfId="17" applyNumberFormat="1" applyFont="1" applyFill="1" applyBorder="1" applyAlignment="1" applyProtection="1">
      <alignment horizontal="center" vertical="center" wrapText="1"/>
      <protection hidden="1"/>
    </xf>
    <xf numFmtId="175"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4" fontId="15" fillId="0" borderId="41" xfId="17" quotePrefix="1" applyFont="1" applyFill="1" applyBorder="1" applyAlignment="1" applyProtection="1">
      <alignment horizontal="center" vertical="center" wrapText="1"/>
      <protection hidden="1"/>
    </xf>
    <xf numFmtId="164"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4" fontId="2" fillId="25" borderId="2" xfId="30" applyNumberFormat="1" applyFont="1" applyFill="1" applyBorder="1"/>
    <xf numFmtId="4" fontId="2" fillId="25" borderId="2" xfId="30" applyNumberFormat="1" applyFont="1" applyFill="1" applyBorder="1"/>
    <xf numFmtId="4" fontId="2" fillId="25" borderId="108" xfId="30" applyNumberFormat="1" applyFont="1" applyFill="1" applyBorder="1"/>
    <xf numFmtId="0" fontId="2" fillId="30" borderId="2" xfId="30" applyFont="1" applyFill="1" applyBorder="1" applyAlignment="1">
      <alignment horizontal="center"/>
    </xf>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0" fillId="0" borderId="0" xfId="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0" fontId="2" fillId="24" borderId="2" xfId="30" applyFont="1" applyFill="1" applyBorder="1" applyAlignment="1">
      <alignment horizontal="center"/>
    </xf>
    <xf numFmtId="0" fontId="2" fillId="24" borderId="2" xfId="30" applyFont="1" applyFill="1" applyBorder="1" applyAlignment="1">
      <alignment horizontal="left"/>
    </xf>
    <xf numFmtId="164" fontId="2" fillId="24" borderId="2" xfId="30" applyNumberFormat="1" applyFont="1" applyFill="1" applyBorder="1"/>
    <xf numFmtId="0" fontId="0" fillId="25" borderId="0" xfId="0" applyFont="1" applyFill="1"/>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7"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1">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E22" sqref="E2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6" t="s">
        <v>380</v>
      </c>
      <c r="C1" s="507">
        <v>490</v>
      </c>
    </row>
    <row r="2" spans="2:7">
      <c r="B2" s="506" t="s">
        <v>381</v>
      </c>
      <c r="C2" s="507">
        <v>469</v>
      </c>
    </row>
    <row r="3" spans="2:7">
      <c r="B3" s="506" t="s">
        <v>362</v>
      </c>
      <c r="C3" s="507">
        <v>930</v>
      </c>
    </row>
    <row r="4" spans="2:7" hidden="1" outlineLevel="1">
      <c r="B4" s="506" t="s">
        <v>363</v>
      </c>
      <c r="C4" s="507">
        <v>1109.5455419999998</v>
      </c>
    </row>
    <row r="5" spans="2:7" hidden="1" outlineLevel="1">
      <c r="B5" s="506" t="s">
        <v>364</v>
      </c>
      <c r="C5" s="507">
        <v>529.41173003999995</v>
      </c>
    </row>
    <row r="6" spans="2:7" collapsed="1">
      <c r="B6" s="506" t="s">
        <v>368</v>
      </c>
      <c r="C6" s="507">
        <v>965.24</v>
      </c>
    </row>
    <row r="7" spans="2:7">
      <c r="B7" s="506" t="s">
        <v>370</v>
      </c>
      <c r="C7" s="507">
        <v>1021.31</v>
      </c>
    </row>
    <row r="8" spans="2:7">
      <c r="B8" s="506" t="s">
        <v>369</v>
      </c>
      <c r="C8" s="507">
        <v>639.51</v>
      </c>
    </row>
    <row r="9" spans="2:7">
      <c r="B9" s="506" t="s">
        <v>396</v>
      </c>
      <c r="C9" s="507">
        <v>565.25</v>
      </c>
    </row>
    <row r="10" spans="2:7">
      <c r="B10" s="506" t="s">
        <v>383</v>
      </c>
      <c r="C10" s="507">
        <v>135</v>
      </c>
    </row>
    <row r="11" spans="2:7">
      <c r="B11" s="506" t="s">
        <v>384</v>
      </c>
      <c r="C11" s="507">
        <v>152</v>
      </c>
    </row>
    <row r="12" spans="2:7">
      <c r="B12" s="506" t="s">
        <v>385</v>
      </c>
      <c r="C12" s="507">
        <v>148</v>
      </c>
    </row>
    <row r="13" spans="2:7">
      <c r="B13" s="506" t="s">
        <v>386</v>
      </c>
      <c r="C13" s="507">
        <v>177</v>
      </c>
    </row>
    <row r="14" spans="2:7">
      <c r="B14" s="505" t="s">
        <v>397</v>
      </c>
      <c r="C14" s="520">
        <v>5.7500000000000002E-2</v>
      </c>
    </row>
    <row r="15" spans="2:7">
      <c r="B15" s="505" t="s">
        <v>361</v>
      </c>
      <c r="C15" s="520">
        <v>0</v>
      </c>
      <c r="D15" s="521" t="s">
        <v>379</v>
      </c>
    </row>
    <row r="16" spans="2:7" s="150" customFormat="1">
      <c r="B16" s="578" t="str">
        <f>+'COMBUSTIBLES '!A1</f>
        <v>2 DE AGOSTO DE 2017</v>
      </c>
      <c r="C16" s="157" t="s">
        <v>278</v>
      </c>
      <c r="E16" s="578" t="s">
        <v>8</v>
      </c>
      <c r="F16" s="578"/>
      <c r="G16" s="578"/>
    </row>
    <row r="17" spans="2:12" s="150" customFormat="1">
      <c r="B17" s="578"/>
      <c r="C17" s="158" t="s">
        <v>178</v>
      </c>
      <c r="D17" s="159"/>
      <c r="E17" s="579" t="s">
        <v>178</v>
      </c>
      <c r="F17" s="579"/>
      <c r="G17" s="579"/>
    </row>
    <row r="18" spans="2:12" s="150" customFormat="1">
      <c r="B18" s="578"/>
      <c r="C18" s="160" t="s">
        <v>182</v>
      </c>
      <c r="D18" s="159"/>
      <c r="E18" s="160" t="s">
        <v>179</v>
      </c>
      <c r="F18" s="160" t="s">
        <v>180</v>
      </c>
      <c r="G18" s="160" t="s">
        <v>181</v>
      </c>
      <c r="I18" s="150">
        <f>1555*1.0244</f>
        <v>1592.942</v>
      </c>
    </row>
    <row r="19" spans="2:12" ht="15">
      <c r="B19" s="154" t="s">
        <v>25</v>
      </c>
      <c r="C19" s="497">
        <f>$C$1*(1+$C$15)</f>
        <v>490</v>
      </c>
      <c r="D19" s="152"/>
      <c r="E19" s="155">
        <v>5078.7700000000004</v>
      </c>
      <c r="F19" s="155">
        <v>1900</v>
      </c>
      <c r="G19" s="155">
        <v>1900</v>
      </c>
      <c r="H19" s="312"/>
      <c r="I19" s="307"/>
      <c r="J19" s="307"/>
      <c r="K19" s="307"/>
      <c r="L19" s="307"/>
    </row>
    <row r="20" spans="2:12" ht="15">
      <c r="B20" s="154" t="s">
        <v>191</v>
      </c>
      <c r="C20" s="497">
        <f>+C19</f>
        <v>490</v>
      </c>
      <c r="D20" s="152"/>
      <c r="E20" s="155">
        <f t="shared" ref="E20:G21" si="0">+E19</f>
        <v>5078.7700000000004</v>
      </c>
      <c r="F20" s="155">
        <f t="shared" si="0"/>
        <v>1900</v>
      </c>
      <c r="G20" s="155">
        <f t="shared" si="0"/>
        <v>1900</v>
      </c>
      <c r="H20" s="312">
        <f>+C20*16%</f>
        <v>78.400000000000006</v>
      </c>
      <c r="I20" s="307">
        <f>+H20*92%</f>
        <v>72.128000000000014</v>
      </c>
      <c r="J20" s="307"/>
      <c r="K20" s="307"/>
      <c r="L20" s="307"/>
    </row>
    <row r="21" spans="2:12" ht="15">
      <c r="B21" s="154" t="s">
        <v>192</v>
      </c>
      <c r="C21" s="497">
        <f>+C20</f>
        <v>490</v>
      </c>
      <c r="D21" s="152"/>
      <c r="E21" s="155">
        <f t="shared" si="0"/>
        <v>5078.7700000000004</v>
      </c>
      <c r="F21" s="155">
        <f t="shared" si="0"/>
        <v>1900</v>
      </c>
      <c r="G21" s="155">
        <f t="shared" si="0"/>
        <v>1900</v>
      </c>
      <c r="H21" s="312">
        <f>+C21*16%</f>
        <v>78.400000000000006</v>
      </c>
      <c r="I21" s="307">
        <f>+H21*92%</f>
        <v>72.128000000000014</v>
      </c>
      <c r="J21" s="307"/>
      <c r="K21" s="307"/>
      <c r="L21" s="307"/>
    </row>
    <row r="22" spans="2:12" ht="15">
      <c r="B22" s="154" t="s">
        <v>10</v>
      </c>
      <c r="C22" s="497">
        <f>$C$3*(1+$C$15)</f>
        <v>930</v>
      </c>
      <c r="D22" s="152"/>
      <c r="E22" s="155">
        <v>7107.81</v>
      </c>
      <c r="F22" s="155" t="s">
        <v>160</v>
      </c>
      <c r="G22" s="155" t="s">
        <v>160</v>
      </c>
      <c r="H22" s="312">
        <f>+C22*90%</f>
        <v>837</v>
      </c>
      <c r="I22" s="307">
        <f>+C22*92%</f>
        <v>855.6</v>
      </c>
      <c r="J22" s="307"/>
      <c r="K22" s="307"/>
      <c r="L22" s="307"/>
    </row>
    <row r="23" spans="2:12" ht="15">
      <c r="B23" s="154" t="s">
        <v>366</v>
      </c>
      <c r="C23" s="497">
        <f>$C$6*(1+$C$15)</f>
        <v>965.24</v>
      </c>
      <c r="D23" s="152"/>
      <c r="E23" s="508"/>
      <c r="F23" s="508"/>
      <c r="G23" s="508"/>
      <c r="H23" s="312"/>
      <c r="I23" s="307"/>
      <c r="J23" s="307"/>
      <c r="K23" s="307"/>
      <c r="L23" s="307"/>
    </row>
    <row r="24" spans="2:12" ht="15">
      <c r="B24" s="154" t="s">
        <v>371</v>
      </c>
      <c r="C24" s="497">
        <f>$C$7*(1+$C$15)</f>
        <v>1021.31</v>
      </c>
      <c r="D24" s="152"/>
      <c r="E24" s="508"/>
      <c r="F24" s="508"/>
      <c r="G24" s="508"/>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469</v>
      </c>
      <c r="D26" s="152"/>
      <c r="E26" s="155">
        <v>5024.59</v>
      </c>
      <c r="F26" s="155">
        <v>1900</v>
      </c>
      <c r="G26" s="155">
        <v>3400</v>
      </c>
      <c r="H26" s="312"/>
      <c r="I26" s="307"/>
      <c r="J26" s="307"/>
      <c r="K26" s="307"/>
      <c r="L26" s="307"/>
    </row>
    <row r="27" spans="2:12">
      <c r="B27" s="154" t="s">
        <v>174</v>
      </c>
      <c r="C27" s="498">
        <f>+C26</f>
        <v>469</v>
      </c>
      <c r="D27" s="152"/>
      <c r="E27" s="155">
        <f t="shared" ref="E27:G30" si="1">+E26</f>
        <v>5024.59</v>
      </c>
      <c r="F27" s="155">
        <f t="shared" si="1"/>
        <v>1900</v>
      </c>
      <c r="G27" s="155">
        <f t="shared" si="1"/>
        <v>3400</v>
      </c>
      <c r="H27" s="307"/>
      <c r="I27" s="307"/>
      <c r="J27" s="307"/>
      <c r="K27" s="307"/>
      <c r="L27" s="307"/>
    </row>
    <row r="28" spans="2:12">
      <c r="B28" s="154" t="s">
        <v>175</v>
      </c>
      <c r="C28" s="498">
        <f>+C27</f>
        <v>469</v>
      </c>
      <c r="D28" s="152"/>
      <c r="E28" s="155">
        <f t="shared" si="1"/>
        <v>5024.59</v>
      </c>
      <c r="F28" s="155">
        <f t="shared" si="1"/>
        <v>1900</v>
      </c>
      <c r="G28" s="155">
        <f t="shared" si="1"/>
        <v>3400</v>
      </c>
      <c r="J28" s="307"/>
      <c r="K28" s="307"/>
      <c r="L28" s="307"/>
    </row>
    <row r="29" spans="2:12">
      <c r="B29" s="154" t="s">
        <v>176</v>
      </c>
      <c r="C29" s="498">
        <f>+C28</f>
        <v>469</v>
      </c>
      <c r="D29" s="152"/>
      <c r="E29" s="155">
        <f t="shared" si="1"/>
        <v>5024.59</v>
      </c>
      <c r="F29" s="155">
        <f t="shared" si="1"/>
        <v>1900</v>
      </c>
      <c r="G29" s="155">
        <f t="shared" si="1"/>
        <v>3400</v>
      </c>
      <c r="H29" s="307">
        <f>+C29*98%</f>
        <v>459.62</v>
      </c>
      <c r="I29" s="307">
        <f>+C29*92%</f>
        <v>431.48</v>
      </c>
    </row>
    <row r="30" spans="2:12">
      <c r="B30" s="154" t="s">
        <v>177</v>
      </c>
      <c r="C30" s="498">
        <f>+C29</f>
        <v>469</v>
      </c>
      <c r="D30" s="152"/>
      <c r="E30" s="155">
        <f t="shared" si="1"/>
        <v>5024.59</v>
      </c>
      <c r="F30" s="155">
        <f t="shared" si="1"/>
        <v>1900</v>
      </c>
      <c r="G30" s="155">
        <f t="shared" si="1"/>
        <v>3400</v>
      </c>
      <c r="H30" s="307">
        <f>+C28*0.96</f>
        <v>450.24</v>
      </c>
      <c r="I30" s="307">
        <f>+C30*90%</f>
        <v>422.1</v>
      </c>
    </row>
    <row r="31" spans="2:12">
      <c r="B31" s="154" t="s">
        <v>313</v>
      </c>
      <c r="C31" s="498">
        <f>C26</f>
        <v>469</v>
      </c>
    </row>
    <row r="32" spans="2:12">
      <c r="B32" s="154" t="s">
        <v>365</v>
      </c>
      <c r="C32" s="497">
        <f>$C$9*(1+$C$14)</f>
        <v>597.75187500000004</v>
      </c>
    </row>
    <row r="33" spans="2:7">
      <c r="B33" s="154" t="s">
        <v>367</v>
      </c>
      <c r="C33" s="497">
        <f>$C$8*(1+$C$15)</f>
        <v>639.51</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5" t="s">
        <v>393</v>
      </c>
      <c r="C40" s="520">
        <v>0</v>
      </c>
    </row>
    <row r="41" spans="2:7">
      <c r="B41" s="578" t="str">
        <f>B16</f>
        <v>2 DE AGOSTO DE 2017</v>
      </c>
      <c r="C41" s="518" t="s">
        <v>382</v>
      </c>
    </row>
    <row r="42" spans="2:7">
      <c r="B42" s="578"/>
      <c r="C42" s="519" t="s">
        <v>178</v>
      </c>
    </row>
    <row r="43" spans="2:7">
      <c r="B43" s="578"/>
      <c r="C43" s="160" t="s">
        <v>182</v>
      </c>
    </row>
    <row r="44" spans="2:7">
      <c r="B44" s="154" t="s">
        <v>387</v>
      </c>
      <c r="C44" s="522">
        <f>$C$10*(1+$C$40)</f>
        <v>135</v>
      </c>
    </row>
    <row r="45" spans="2:7">
      <c r="B45" s="154" t="s">
        <v>18</v>
      </c>
      <c r="C45" s="522">
        <f>$C$11*(1+$C$40)</f>
        <v>152</v>
      </c>
    </row>
    <row r="46" spans="2:7">
      <c r="B46" s="154" t="s">
        <v>388</v>
      </c>
      <c r="C46" s="522">
        <f>$C$12*(1+$C$40)</f>
        <v>148</v>
      </c>
    </row>
    <row r="47" spans="2:7">
      <c r="B47" s="154" t="s">
        <v>389</v>
      </c>
      <c r="C47" s="522">
        <f>$C$13*(1+$C$40)</f>
        <v>177</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692" t="s">
        <v>13</v>
      </c>
      <c r="C1" s="692"/>
      <c r="D1" s="692"/>
      <c r="E1" s="692"/>
      <c r="F1" s="692"/>
    </row>
    <row r="2" spans="2:6" s="66" customFormat="1" ht="20.25" customHeight="1">
      <c r="B2" s="692" t="s">
        <v>218</v>
      </c>
      <c r="C2" s="692"/>
      <c r="D2" s="692"/>
      <c r="E2" s="692"/>
      <c r="F2" s="692"/>
    </row>
    <row r="3" spans="2:6" s="66" customFormat="1" ht="20.25">
      <c r="B3" s="692" t="s">
        <v>14</v>
      </c>
      <c r="C3" s="692"/>
      <c r="D3" s="692"/>
      <c r="E3" s="692"/>
      <c r="F3" s="692"/>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2 DE AGOSTO DE 2017</v>
      </c>
      <c r="D7" s="81" t="str">
        <f>'GASOLINA EXTRA OXIGENADA'!B6</f>
        <v>2 DE AGOSTO DE 2017</v>
      </c>
      <c r="E7" s="81" t="str">
        <f>+D7</f>
        <v>2 DE AGOSTO DE 2017</v>
      </c>
      <c r="F7" s="82" t="str">
        <f>+E7</f>
        <v>2 DE AGOSTO DE 2017</v>
      </c>
    </row>
    <row r="8" spans="2:6" ht="27" customHeight="1" thickTop="1">
      <c r="B8" s="126" t="s">
        <v>19</v>
      </c>
      <c r="C8" s="127">
        <f>'COMBUSTIBLES '!B7</f>
        <v>4122.03</v>
      </c>
      <c r="D8" s="127">
        <f>'COMBUSTIBLES '!D7</f>
        <v>5210</v>
      </c>
      <c r="E8" s="127">
        <f>'COMBUSTIBLES '!E7</f>
        <v>4116.29</v>
      </c>
      <c r="F8" s="128">
        <f>+BIODIESEL!F10</f>
        <v>4351.21</v>
      </c>
    </row>
    <row r="9" spans="2:6" ht="27" customHeight="1">
      <c r="B9" s="397" t="s">
        <v>245</v>
      </c>
      <c r="C9" s="113" t="s">
        <v>60</v>
      </c>
      <c r="D9" s="113" t="str">
        <f>+C9</f>
        <v>(*****)</v>
      </c>
      <c r="E9" s="113" t="str">
        <f>+C9</f>
        <v>(*****)</v>
      </c>
      <c r="F9" s="113" t="str">
        <f>+D9</f>
        <v>(*****)</v>
      </c>
    </row>
    <row r="10" spans="2:6" ht="27" customHeight="1">
      <c r="B10" s="112" t="s">
        <v>309</v>
      </c>
      <c r="C10" s="113">
        <f>+'COMBUSTIBLES '!B8</f>
        <v>7.45</v>
      </c>
      <c r="D10" s="113">
        <f>+C10</f>
        <v>7.45</v>
      </c>
      <c r="E10" s="113">
        <f>+'COMBUSTIBLES '!E8</f>
        <v>7.45</v>
      </c>
      <c r="F10" s="114">
        <f>+BIODIESEL!F14</f>
        <v>7.45</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394</v>
      </c>
      <c r="C12" s="113">
        <v>965.24</v>
      </c>
      <c r="D12" s="113">
        <v>1021.31</v>
      </c>
      <c r="E12" s="113">
        <v>639.51</v>
      </c>
      <c r="F12" s="114">
        <f>E12*96%</f>
        <v>613.92959999999994</v>
      </c>
    </row>
    <row r="13" spans="2:6" s="317" customFormat="1" ht="27" customHeight="1">
      <c r="B13" s="112" t="s">
        <v>284</v>
      </c>
      <c r="C13" s="116"/>
      <c r="D13" s="116"/>
      <c r="E13" s="116"/>
      <c r="F13" s="117"/>
    </row>
    <row r="14" spans="2:6" s="317" customFormat="1" ht="27" customHeight="1">
      <c r="B14" s="112" t="s">
        <v>378</v>
      </c>
      <c r="C14" s="116">
        <f>'COMBUSTIBLES '!B13</f>
        <v>135</v>
      </c>
      <c r="D14" s="116">
        <f>'COMBUSTIBLES '!C13</f>
        <v>135</v>
      </c>
      <c r="E14" s="116">
        <f>'COMBUSTIBLES '!E13</f>
        <v>152</v>
      </c>
      <c r="F14" s="117">
        <f>BIODIESEL!F13</f>
        <v>145.91999999999999</v>
      </c>
    </row>
    <row r="15" spans="2:6" ht="44.25" customHeight="1">
      <c r="B15" s="118" t="s">
        <v>23</v>
      </c>
      <c r="C15" s="119">
        <f>SUM(C8:C14)</f>
        <v>5301.23</v>
      </c>
      <c r="D15" s="119">
        <f>SUM(D8:D14)</f>
        <v>6445.27</v>
      </c>
      <c r="E15" s="119">
        <f>SUM(E8:E14)</f>
        <v>4986.76</v>
      </c>
      <c r="F15" s="120">
        <f>SUM(F8:F14)</f>
        <v>5190.0195999999996</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693" t="s">
        <v>244</v>
      </c>
      <c r="C20" s="693"/>
      <c r="D20" s="693"/>
      <c r="E20" s="693"/>
    </row>
    <row r="21" spans="2:7" s="108" customFormat="1" ht="30.75" customHeight="1">
      <c r="B21" s="662" t="s">
        <v>293</v>
      </c>
      <c r="C21" s="662"/>
      <c r="D21" s="662"/>
      <c r="E21" s="662"/>
    </row>
    <row r="22" spans="2:7" s="108" customFormat="1" ht="5.25" customHeight="1">
      <c r="B22" s="352"/>
      <c r="C22" s="352"/>
      <c r="D22" s="352"/>
      <c r="E22" s="352"/>
    </row>
    <row r="23" spans="2:7" s="108" customFormat="1" ht="17.25" customHeight="1">
      <c r="B23" s="693" t="s">
        <v>247</v>
      </c>
      <c r="C23" s="693"/>
      <c r="D23" s="693"/>
      <c r="E23" s="693"/>
    </row>
    <row r="24" spans="2:7" s="108" customFormat="1" ht="3.75" customHeight="1">
      <c r="B24" s="318"/>
      <c r="C24" s="318"/>
      <c r="D24" s="318"/>
      <c r="E24" s="318"/>
    </row>
    <row r="25" spans="2:7" s="108" customFormat="1" ht="17.25" customHeight="1">
      <c r="B25" s="693" t="s">
        <v>266</v>
      </c>
      <c r="C25" s="693"/>
      <c r="D25" s="693"/>
      <c r="E25" s="693"/>
    </row>
    <row r="26" spans="2:7" s="108" customFormat="1" ht="8.25" customHeight="1">
      <c r="B26" s="318"/>
      <c r="C26" s="318"/>
      <c r="D26" s="318"/>
      <c r="E26" s="318"/>
    </row>
    <row r="27" spans="2:7" s="108" customFormat="1" ht="25.5" customHeight="1">
      <c r="B27" s="693" t="s">
        <v>248</v>
      </c>
      <c r="C27" s="693"/>
      <c r="D27" s="693"/>
      <c r="E27" s="693"/>
    </row>
    <row r="28" spans="2:7" ht="7.5" customHeight="1">
      <c r="B28" s="320"/>
      <c r="C28" s="320"/>
      <c r="D28" s="320"/>
      <c r="E28" s="320"/>
    </row>
    <row r="29" spans="2:7" s="317" customFormat="1" ht="45.75" customHeight="1">
      <c r="B29" s="642" t="s">
        <v>356</v>
      </c>
      <c r="C29" s="642"/>
      <c r="D29" s="642"/>
      <c r="E29" s="642"/>
    </row>
    <row r="30" spans="2:7" s="317" customFormat="1" ht="8.25" customHeight="1">
      <c r="B30" s="320"/>
      <c r="C30" s="320"/>
      <c r="D30" s="320"/>
      <c r="E30" s="320"/>
    </row>
    <row r="31" spans="2:7" ht="39.75" customHeight="1">
      <c r="B31" s="642" t="s">
        <v>311</v>
      </c>
      <c r="C31" s="642"/>
      <c r="D31" s="642"/>
      <c r="E31" s="642"/>
      <c r="F31" s="642"/>
      <c r="G31" s="642"/>
    </row>
    <row r="32" spans="2:7" ht="9.75" customHeight="1"/>
    <row r="33" spans="2:6">
      <c r="B33" s="662" t="s">
        <v>310</v>
      </c>
      <c r="C33" s="662"/>
      <c r="D33" s="662"/>
      <c r="E33" s="662"/>
    </row>
    <row r="35" spans="2:6">
      <c r="B35" s="662" t="s">
        <v>395</v>
      </c>
      <c r="C35" s="662"/>
      <c r="D35" s="662"/>
      <c r="E35" s="662"/>
    </row>
    <row r="36" spans="2:6" s="317" customFormat="1">
      <c r="B36" s="527"/>
      <c r="C36" s="527"/>
      <c r="D36" s="527"/>
      <c r="E36" s="527"/>
    </row>
    <row r="37" spans="2:6" ht="86.25" customHeight="1">
      <c r="B37" s="655" t="s">
        <v>352</v>
      </c>
      <c r="C37" s="655"/>
      <c r="D37" s="655"/>
      <c r="E37" s="655"/>
      <c r="F37" s="655"/>
    </row>
    <row r="42" spans="2:6">
      <c r="B42" s="642"/>
      <c r="C42" s="642"/>
      <c r="D42" s="642"/>
      <c r="E42" s="64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694" t="s">
        <v>214</v>
      </c>
      <c r="D1" s="694"/>
      <c r="E1" s="694"/>
      <c r="F1" s="694"/>
      <c r="G1" s="694"/>
      <c r="H1" s="694"/>
    </row>
    <row r="2" spans="3:10" ht="15">
      <c r="C2" s="694" t="s">
        <v>33</v>
      </c>
      <c r="D2" s="694"/>
      <c r="E2" s="694"/>
      <c r="F2" s="694"/>
      <c r="G2" s="694"/>
      <c r="H2" s="694"/>
    </row>
    <row r="3" spans="3:10" ht="15">
      <c r="C3" s="694" t="s">
        <v>14</v>
      </c>
      <c r="D3" s="694"/>
      <c r="E3" s="694"/>
      <c r="F3" s="694"/>
      <c r="G3" s="694"/>
      <c r="H3" s="694"/>
    </row>
    <row r="4" spans="3:10" ht="24.75" customHeight="1" thickBot="1">
      <c r="C4" s="315" t="str">
        <f>'SAN-ANDRES + GENERACION'!C7</f>
        <v>2 DE AGOSTO DE 2017</v>
      </c>
      <c r="D4" s="36"/>
      <c r="E4" s="37"/>
      <c r="F4" s="697"/>
      <c r="G4" s="697"/>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4116.29</v>
      </c>
      <c r="E6" s="357">
        <f>+D6</f>
        <v>4116.29</v>
      </c>
      <c r="F6" s="357">
        <f>F30</f>
        <v>3293.0320000000002</v>
      </c>
      <c r="I6" s="357">
        <f>+BIODIESEL!B7*4%+(F6)*96%</f>
        <v>3560.87952</v>
      </c>
      <c r="J6" s="357">
        <f>+BIODIESEL!B7*2%+(F6)*98%</f>
        <v>3426.9557600000003</v>
      </c>
    </row>
    <row r="7" spans="3:10" ht="22.5" customHeight="1">
      <c r="C7" s="367" t="str">
        <f>+'GASOLINA CORRIENTE OXIGENADA'!A11</f>
        <v>Impuesto Nacional a la Gasolina y al ACPM</v>
      </c>
      <c r="D7" s="360">
        <f>Variables!C31</f>
        <v>469</v>
      </c>
      <c r="E7" s="360">
        <f>Variables!C32</f>
        <v>597.75187500000004</v>
      </c>
      <c r="F7" s="360">
        <f>+E7</f>
        <v>597.75187500000004</v>
      </c>
      <c r="G7" s="90"/>
      <c r="H7" s="90"/>
      <c r="I7" s="360">
        <f>ROUND(F7*96%,2)</f>
        <v>573.84</v>
      </c>
      <c r="J7" s="360">
        <f>ROUND(E7*98%,2)</f>
        <v>585.79999999999995</v>
      </c>
    </row>
    <row r="8" spans="3:10" ht="22.5" customHeight="1">
      <c r="C8" s="367" t="str">
        <f>+'GASOLINA CORRIENTE OXIGENADA'!A12</f>
        <v>Impuesto sobre las Ventas</v>
      </c>
      <c r="D8" s="531" t="str">
        <f>'COMBUSTIBLES '!E12</f>
        <v>(3)</v>
      </c>
      <c r="E8" s="531" t="str">
        <f>'COMBUSTIBLES '!E12</f>
        <v>(3)</v>
      </c>
      <c r="F8" s="531" t="str">
        <f>+E8</f>
        <v>(3)</v>
      </c>
      <c r="G8" s="532"/>
      <c r="H8" s="532"/>
      <c r="I8" s="531" t="str">
        <f>+F8</f>
        <v>(3)</v>
      </c>
      <c r="J8" s="531" t="str">
        <f>+I8</f>
        <v>(3)</v>
      </c>
    </row>
    <row r="9" spans="3:10" ht="22.5" customHeight="1">
      <c r="C9" s="367" t="str">
        <f>+'GASOLINA CORRIENTE OXIGENADA'!A13</f>
        <v>Impuesto al carbono</v>
      </c>
      <c r="D9" s="357">
        <f>'COMBUSTIBLES '!E13</f>
        <v>152</v>
      </c>
      <c r="E9" s="357">
        <f>'COMBUSTIBLES '!E13</f>
        <v>152</v>
      </c>
      <c r="F9" s="357">
        <f>'COMBUSTIBLES '!E13</f>
        <v>152</v>
      </c>
      <c r="I9" s="357">
        <f>ROUND(F9*96%,2)</f>
        <v>145.91999999999999</v>
      </c>
      <c r="J9" s="357">
        <f>ROUND(E9*98%,2)</f>
        <v>148.96</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4808.8</v>
      </c>
      <c r="E12" s="361">
        <f>SUM(E6:E11)</f>
        <v>4937.5518750000001</v>
      </c>
      <c r="F12" s="361">
        <f>SUM(F6:F11)</f>
        <v>4114.2938750000003</v>
      </c>
      <c r="I12" s="361">
        <f>SUM(I6:I11)</f>
        <v>4352.1495199999999</v>
      </c>
      <c r="J12" s="361">
        <f>SUM(J6:J11)</f>
        <v>4233.2257600000003</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695" t="s">
        <v>267</v>
      </c>
      <c r="D15" s="695"/>
      <c r="E15" s="695"/>
      <c r="F15" s="695"/>
      <c r="G15" s="695"/>
      <c r="H15" s="695"/>
    </row>
    <row r="16" spans="3:10" ht="49.5" customHeight="1">
      <c r="C16" s="696" t="s">
        <v>269</v>
      </c>
      <c r="D16" s="696"/>
      <c r="E16" s="696"/>
      <c r="F16" s="696"/>
      <c r="G16" s="696"/>
      <c r="H16" s="696"/>
    </row>
    <row r="17" spans="3:9" ht="34.5" customHeight="1">
      <c r="C17" s="642" t="s">
        <v>311</v>
      </c>
      <c r="D17" s="642"/>
      <c r="E17" s="642"/>
      <c r="F17" s="642"/>
      <c r="G17" s="642"/>
      <c r="H17" s="642"/>
    </row>
    <row r="18" spans="3:9">
      <c r="C18" s="642" t="s">
        <v>354</v>
      </c>
      <c r="D18" s="642"/>
      <c r="E18" s="642"/>
      <c r="F18" s="642"/>
      <c r="G18" s="642"/>
      <c r="H18" s="642"/>
    </row>
    <row r="19" spans="3:9" ht="28.5" customHeight="1">
      <c r="C19" s="373"/>
      <c r="D19" s="373"/>
      <c r="E19" s="373"/>
      <c r="F19" s="373"/>
      <c r="G19" s="373"/>
      <c r="H19" s="373"/>
    </row>
    <row r="20" spans="3:9">
      <c r="C20" s="646" t="s">
        <v>400</v>
      </c>
      <c r="D20" s="646"/>
      <c r="E20" s="646"/>
      <c r="F20" s="646"/>
      <c r="G20" s="646"/>
      <c r="H20" s="646"/>
      <c r="I20" s="646"/>
    </row>
    <row r="21" spans="3:9">
      <c r="C21" s="646" t="s">
        <v>398</v>
      </c>
      <c r="D21" s="646"/>
      <c r="E21" s="646"/>
      <c r="F21" s="646"/>
      <c r="G21" s="646"/>
      <c r="H21" s="646"/>
      <c r="I21" s="646"/>
    </row>
    <row r="22" spans="3:9">
      <c r="C22" s="646" t="s">
        <v>399</v>
      </c>
      <c r="D22" s="646"/>
      <c r="E22" s="646"/>
      <c r="F22" s="646"/>
      <c r="G22" s="646"/>
      <c r="H22" s="646"/>
      <c r="I22" s="646"/>
    </row>
    <row r="23" spans="3:9">
      <c r="C23" s="526"/>
      <c r="D23" s="526"/>
      <c r="E23" s="526"/>
      <c r="F23" s="526"/>
      <c r="G23" s="526"/>
      <c r="H23" s="526"/>
      <c r="I23" s="526"/>
    </row>
    <row r="24" spans="3:9">
      <c r="C24" s="526"/>
      <c r="D24" s="526"/>
      <c r="E24" s="526"/>
      <c r="F24" s="526"/>
      <c r="G24" s="526"/>
      <c r="H24" s="526"/>
      <c r="I24" s="526"/>
    </row>
    <row r="25" spans="3:9" ht="15">
      <c r="C25" s="694" t="s">
        <v>45</v>
      </c>
      <c r="D25" s="694"/>
      <c r="E25" s="694"/>
      <c r="F25" s="694"/>
      <c r="G25" s="694"/>
      <c r="H25" s="694"/>
    </row>
    <row r="26" spans="3:9" ht="15">
      <c r="C26" s="694" t="s">
        <v>37</v>
      </c>
      <c r="D26" s="694"/>
      <c r="E26" s="694"/>
      <c r="F26" s="694"/>
      <c r="G26" s="694"/>
      <c r="H26" s="694"/>
    </row>
    <row r="27" spans="3:9" ht="15">
      <c r="C27" s="694" t="s">
        <v>14</v>
      </c>
      <c r="D27" s="694"/>
      <c r="E27" s="694"/>
      <c r="F27" s="694"/>
      <c r="G27" s="694"/>
      <c r="H27" s="694"/>
    </row>
    <row r="28" spans="3:9" ht="15.75" thickBot="1">
      <c r="C28" s="315" t="str">
        <f>+C4</f>
        <v>2 DE AGOSTO DE 2017</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4116.29</v>
      </c>
      <c r="E30" s="357">
        <f>+D30</f>
        <v>4116.29</v>
      </c>
      <c r="F30" s="365">
        <f>+D30*80%</f>
        <v>3293.0320000000002</v>
      </c>
      <c r="G30" s="358">
        <v>1903.2</v>
      </c>
      <c r="H30" s="365">
        <v>1280.03</v>
      </c>
    </row>
    <row r="31" spans="3:9" ht="23.25" customHeight="1">
      <c r="C31" s="367" t="str">
        <f>+C7</f>
        <v>Impuesto Nacional a la Gasolina y al ACPM</v>
      </c>
      <c r="D31" s="360">
        <f>'SAN-ANDRES + GENERACION'!E12</f>
        <v>639.51</v>
      </c>
      <c r="E31" s="360">
        <f>D31</f>
        <v>639.51</v>
      </c>
      <c r="F31" s="132">
        <f>E31</f>
        <v>639.51</v>
      </c>
      <c r="G31" s="471">
        <f>+D31</f>
        <v>639.51</v>
      </c>
      <c r="H31" s="366">
        <f>+F31</f>
        <v>639.51</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152</v>
      </c>
      <c r="E33" s="357">
        <f t="shared" si="0"/>
        <v>152</v>
      </c>
      <c r="F33" s="366">
        <f t="shared" si="0"/>
        <v>152</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4979.3100000000004</v>
      </c>
      <c r="E36" s="361">
        <f>SUM(E30:E35)</f>
        <v>4979.3100000000004</v>
      </c>
      <c r="F36" s="369">
        <f>SUM(F30:F35)</f>
        <v>4156.0520000000006</v>
      </c>
      <c r="G36" s="361">
        <f>SUM(G30:G35)</f>
        <v>2614.2200000000003</v>
      </c>
      <c r="H36" s="369">
        <f>SUM(H30:H35)</f>
        <v>1991.05</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4979.3100000000004</v>
      </c>
      <c r="E39" s="361">
        <f>SUM(E36:E38)</f>
        <v>4979.3100000000004</v>
      </c>
      <c r="F39" s="369">
        <f>SUM(F36:F38)</f>
        <v>4156.0520000000006</v>
      </c>
      <c r="G39" s="361">
        <f>SUM(G36:G38)</f>
        <v>2614.2200000000003</v>
      </c>
      <c r="H39" s="369">
        <f>SUM(H36:H38)</f>
        <v>1991.05</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693" t="s">
        <v>268</v>
      </c>
      <c r="D42" s="693"/>
      <c r="E42" s="693"/>
      <c r="F42" s="693"/>
    </row>
    <row r="43" spans="1:9" ht="18" customHeight="1">
      <c r="C43" s="693" t="s">
        <v>251</v>
      </c>
      <c r="D43" s="693"/>
      <c r="E43" s="693"/>
      <c r="F43" s="693"/>
      <c r="G43" s="693"/>
      <c r="H43" s="693"/>
    </row>
    <row r="44" spans="1:9" ht="65.25" customHeight="1">
      <c r="C44" s="693" t="s">
        <v>318</v>
      </c>
      <c r="D44" s="693"/>
      <c r="E44" s="693"/>
      <c r="F44" s="693"/>
      <c r="G44" s="693"/>
      <c r="H44" s="693"/>
    </row>
    <row r="45" spans="1:9" ht="15" customHeight="1">
      <c r="C45" s="642" t="s">
        <v>354</v>
      </c>
      <c r="D45" s="642"/>
      <c r="E45" s="642"/>
      <c r="F45" s="642"/>
      <c r="G45" s="642"/>
      <c r="H45" s="64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2 DE AGOSTO DE 2017</v>
      </c>
      <c r="D51" s="36"/>
      <c r="E51" s="37"/>
      <c r="F51"/>
    </row>
    <row r="52" spans="3:10" ht="29.25" thickTop="1">
      <c r="C52" s="131" t="s">
        <v>15</v>
      </c>
      <c r="D52" s="362" t="s">
        <v>255</v>
      </c>
      <c r="E52" s="362" t="s">
        <v>276</v>
      </c>
      <c r="F52" s="363" t="s">
        <v>277</v>
      </c>
    </row>
    <row r="53" spans="3:10" ht="26.25" customHeight="1">
      <c r="C53" s="364" t="s">
        <v>256</v>
      </c>
      <c r="D53" s="357">
        <f>+BIODIESEL!E10</f>
        <v>4233.74</v>
      </c>
      <c r="E53" s="357">
        <f>+D53</f>
        <v>4233.74</v>
      </c>
      <c r="F53" s="365">
        <f>+BIODIESEL!B7*2%+('COMBUSTIBLES '!E7*77%)*98%</f>
        <v>3305.9368340000001</v>
      </c>
      <c r="G53" s="466"/>
      <c r="J53" s="40"/>
    </row>
    <row r="54" spans="3:10" ht="26.25" customHeight="1">
      <c r="C54" s="364" t="str">
        <f>+C31</f>
        <v>Impuesto Nacional a la Gasolina y al ACPM</v>
      </c>
      <c r="D54" s="360">
        <f>+D7*98%</f>
        <v>459.62</v>
      </c>
      <c r="E54" s="360">
        <f>+J7</f>
        <v>585.79999999999995</v>
      </c>
      <c r="F54" s="132">
        <f>E54</f>
        <v>585.79999999999995</v>
      </c>
      <c r="G54" s="40"/>
    </row>
    <row r="55" spans="3:10" ht="26.25" customHeight="1">
      <c r="C55" s="364" t="str">
        <f>+C32</f>
        <v>Impuesto sobre las Ventas</v>
      </c>
      <c r="D55" s="531" t="str">
        <f>+'COMBUSTIBLES '!C12</f>
        <v>(3)</v>
      </c>
      <c r="E55" s="531" t="str">
        <f>+D55</f>
        <v>(3)</v>
      </c>
      <c r="F55" s="533" t="str">
        <f>+E55</f>
        <v>(3)</v>
      </c>
      <c r="G55" s="40"/>
    </row>
    <row r="56" spans="3:10" ht="26.25" customHeight="1">
      <c r="C56" s="364" t="str">
        <f>+C33</f>
        <v>Impuesto al carbono</v>
      </c>
      <c r="D56" s="357">
        <f>+D9*98%</f>
        <v>148.96</v>
      </c>
      <c r="E56" s="357">
        <f>+E33*98%</f>
        <v>148.96</v>
      </c>
      <c r="F56" s="366">
        <f>E56</f>
        <v>148.96</v>
      </c>
      <c r="G56" s="40"/>
    </row>
    <row r="57" spans="3:10" ht="26.25" customHeight="1">
      <c r="C57" s="364" t="s">
        <v>253</v>
      </c>
      <c r="D57" s="502">
        <f>+'TARIFAS DE TRANSPORTE'!BB41+'TARIFAS DE TRANSPORTE'!BA81</f>
        <v>502.53160801604031</v>
      </c>
      <c r="E57" s="360">
        <f>+D57</f>
        <v>502.53160801604031</v>
      </c>
      <c r="F57" s="132">
        <f>+E57</f>
        <v>502.53160801604031</v>
      </c>
    </row>
    <row r="58" spans="3:10" ht="26.25" customHeight="1">
      <c r="C58" s="364" t="s">
        <v>241</v>
      </c>
      <c r="D58" s="502">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5437.2116080160404</v>
      </c>
      <c r="E60" s="375">
        <f>SUM(E53:E59)</f>
        <v>5563.3916080160407</v>
      </c>
      <c r="F60" s="376">
        <f>SUM(F53:F59)</f>
        <v>4635.588442016041</v>
      </c>
      <c r="I60" s="40"/>
    </row>
    <row r="61" spans="3:10" ht="36.950000000000003" customHeight="1">
      <c r="C61" s="368" t="s">
        <v>43</v>
      </c>
      <c r="D61" s="377">
        <f>SUM(D60:D60)</f>
        <v>5437.2116080160404</v>
      </c>
      <c r="E61" s="377">
        <f>SUM(E60:E60)</f>
        <v>5563.3916080160407</v>
      </c>
      <c r="F61" s="378">
        <f>SUM(F60:F60)</f>
        <v>4635.588442016041</v>
      </c>
    </row>
    <row r="62" spans="3:10" ht="36.950000000000003" customHeight="1" thickBot="1">
      <c r="C62" s="370" t="s">
        <v>55</v>
      </c>
      <c r="D62" s="371">
        <f>D40</f>
        <v>301.48</v>
      </c>
      <c r="E62" s="371"/>
      <c r="F62" s="372"/>
    </row>
    <row r="63" spans="3:10" ht="18.75" customHeight="1" thickTop="1">
      <c r="C63" s="698" t="s">
        <v>161</v>
      </c>
      <c r="D63" s="699"/>
      <c r="E63" s="699"/>
      <c r="F63" s="90"/>
    </row>
    <row r="64" spans="3:10" ht="18.75" customHeight="1">
      <c r="C64" s="394" t="s">
        <v>254</v>
      </c>
      <c r="D64" s="395"/>
      <c r="E64" s="395"/>
    </row>
    <row r="65" spans="3:9" ht="18.75" customHeight="1">
      <c r="C65" s="702" t="s">
        <v>390</v>
      </c>
      <c r="D65" s="702"/>
      <c r="E65" s="702"/>
      <c r="F65" s="702"/>
    </row>
    <row r="66" spans="3:9" ht="18.75" customHeight="1">
      <c r="C66" s="528"/>
      <c r="D66" s="528"/>
      <c r="E66" s="528"/>
      <c r="F66" s="528"/>
    </row>
    <row r="67" spans="3:9" ht="18.75" customHeight="1">
      <c r="C67" s="646" t="s">
        <v>400</v>
      </c>
      <c r="D67" s="646"/>
      <c r="E67" s="646"/>
      <c r="F67" s="646"/>
      <c r="G67" s="646"/>
      <c r="H67" s="646"/>
      <c r="I67" s="646"/>
    </row>
    <row r="68" spans="3:9" ht="18.75" customHeight="1">
      <c r="C68" s="646" t="s">
        <v>398</v>
      </c>
      <c r="D68" s="646"/>
      <c r="E68" s="646"/>
      <c r="F68" s="646"/>
      <c r="G68" s="646"/>
      <c r="H68" s="646"/>
      <c r="I68" s="646"/>
    </row>
    <row r="69" spans="3:9" ht="18.75" customHeight="1">
      <c r="C69" s="646" t="s">
        <v>399</v>
      </c>
      <c r="D69" s="646"/>
      <c r="E69" s="646"/>
      <c r="F69" s="646"/>
      <c r="G69" s="646"/>
      <c r="H69" s="646"/>
      <c r="I69" s="646"/>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2 DE AGOSTO DE 2017</v>
      </c>
      <c r="D74" s="36"/>
      <c r="E74" s="37"/>
      <c r="F74"/>
    </row>
    <row r="75" spans="3:9" ht="45" hidden="1" customHeight="1" thickTop="1">
      <c r="C75" s="58" t="s">
        <v>15</v>
      </c>
      <c r="D75" s="314" t="s">
        <v>219</v>
      </c>
      <c r="E75" s="59" t="s">
        <v>220</v>
      </c>
      <c r="F75" s="59" t="s">
        <v>221</v>
      </c>
      <c r="G75"/>
    </row>
    <row r="76" spans="3:9" ht="27.75" hidden="1" customHeight="1">
      <c r="C76" s="321" t="s">
        <v>19</v>
      </c>
      <c r="D76" s="322">
        <f>+D6</f>
        <v>4116.29</v>
      </c>
      <c r="E76" s="323">
        <f>+D76</f>
        <v>4116.29</v>
      </c>
      <c r="F76" s="323">
        <f>+D76*77%</f>
        <v>3169.5433000000003</v>
      </c>
      <c r="G76"/>
    </row>
    <row r="77" spans="3:9" ht="27.75" hidden="1" customHeight="1">
      <c r="C77" s="321" t="s">
        <v>34</v>
      </c>
      <c r="D77" s="322" t="e">
        <f>#REF!</f>
        <v>#REF!</v>
      </c>
      <c r="E77" s="323" t="e">
        <f>D77</f>
        <v>#REF!</v>
      </c>
      <c r="F77" s="323" t="e">
        <f>E77</f>
        <v>#REF!</v>
      </c>
      <c r="G77"/>
    </row>
    <row r="78" spans="3:9" ht="27.75" hidden="1" customHeight="1">
      <c r="C78" s="324" t="s">
        <v>20</v>
      </c>
      <c r="D78" s="322">
        <f>+D7</f>
        <v>469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01" t="s">
        <v>195</v>
      </c>
      <c r="D84" s="701"/>
      <c r="E84" s="701"/>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2 DE AGOSTO DE 2017</v>
      </c>
      <c r="D89" s="50"/>
    </row>
    <row r="90" spans="1:7" ht="28.5" hidden="1" customHeight="1" thickTop="1">
      <c r="A90" s="51"/>
      <c r="B90" s="51"/>
      <c r="C90" s="58" t="s">
        <v>15</v>
      </c>
      <c r="D90" s="59" t="s">
        <v>54</v>
      </c>
    </row>
    <row r="91" spans="1:7" hidden="1">
      <c r="C91" s="321" t="s">
        <v>19</v>
      </c>
      <c r="D91" s="323">
        <f>+D6</f>
        <v>4116.29</v>
      </c>
    </row>
    <row r="92" spans="1:7" hidden="1">
      <c r="C92" s="321" t="s">
        <v>34</v>
      </c>
      <c r="D92" s="323" t="e">
        <f>#REF!</f>
        <v>#REF!</v>
      </c>
    </row>
    <row r="93" spans="1:7" hidden="1">
      <c r="C93" s="321" t="s">
        <v>20</v>
      </c>
      <c r="D93" s="323">
        <f>D78</f>
        <v>469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0" t="s">
        <v>59</v>
      </c>
      <c r="D99" s="700"/>
    </row>
    <row r="100" spans="3:9" hidden="1"/>
    <row r="101" spans="3:9" hidden="1"/>
    <row r="102" spans="3:9" hidden="1"/>
    <row r="103" spans="3:9" hidden="1"/>
    <row r="104" spans="3:9" hidden="1"/>
    <row r="105" spans="3:9" hidden="1"/>
    <row r="106" spans="3:9" hidden="1"/>
    <row r="108" spans="3:9" ht="19.5" customHeight="1" outlineLevel="1">
      <c r="C108" s="311" t="s">
        <v>661</v>
      </c>
      <c r="D108" s="311" t="s">
        <v>208</v>
      </c>
      <c r="E108" s="311" t="s">
        <v>209</v>
      </c>
      <c r="F108" s="311" t="s">
        <v>210</v>
      </c>
    </row>
    <row r="109" spans="3:9" ht="19.5" customHeight="1" outlineLevel="1">
      <c r="C109" s="309" t="s">
        <v>211</v>
      </c>
      <c r="D109" s="310">
        <f>+E6</f>
        <v>4116.29</v>
      </c>
      <c r="E109" s="310">
        <f>+F6</f>
        <v>3293.0320000000002</v>
      </c>
      <c r="F109" s="566">
        <f>+D109-E109</f>
        <v>823.25799999999981</v>
      </c>
      <c r="I109" s="567"/>
    </row>
    <row r="110" spans="3:9" ht="19.5" customHeight="1" outlineLevel="1">
      <c r="C110" s="309" t="s">
        <v>212</v>
      </c>
      <c r="D110" s="309">
        <f>+BIODIESEL!F10</f>
        <v>4351.21</v>
      </c>
      <c r="E110" s="310">
        <f>+I6</f>
        <v>3560.87952</v>
      </c>
      <c r="F110" s="566">
        <f>+D110-E110</f>
        <v>790.33048000000008</v>
      </c>
      <c r="I110" s="567"/>
    </row>
    <row r="111" spans="3:9" ht="20.25" customHeight="1" outlineLevel="1">
      <c r="C111" s="309" t="s">
        <v>215</v>
      </c>
      <c r="D111" s="309">
        <f>+BIODIESEL!E10</f>
        <v>4233.74</v>
      </c>
      <c r="E111" s="310">
        <f>+J6</f>
        <v>3426.9557600000003</v>
      </c>
      <c r="F111" s="566">
        <f>+D111-E111</f>
        <v>806.7842399999995</v>
      </c>
      <c r="I111" s="567"/>
    </row>
    <row r="112" spans="3:9" ht="19.5" customHeight="1" outlineLevel="1">
      <c r="C112" s="568" t="s">
        <v>660</v>
      </c>
      <c r="D112" s="569">
        <f>+E6</f>
        <v>4116.29</v>
      </c>
      <c r="E112" s="569">
        <f>+D112*77%</f>
        <v>3169.5433000000003</v>
      </c>
      <c r="F112" s="570">
        <f>+D112-E112</f>
        <v>946.74669999999969</v>
      </c>
      <c r="I112" s="567"/>
    </row>
    <row r="113" spans="3:9" ht="19.5" customHeight="1" outlineLevel="1">
      <c r="C113" s="568" t="s">
        <v>659</v>
      </c>
      <c r="D113" s="569">
        <f>D53</f>
        <v>4233.74</v>
      </c>
      <c r="E113" s="569">
        <f>F53</f>
        <v>3305.9368340000001</v>
      </c>
      <c r="F113" s="570">
        <f>+D113-E113</f>
        <v>927.80316599999969</v>
      </c>
      <c r="I113" s="567"/>
    </row>
    <row r="117" spans="3:9" ht="93.75" customHeight="1">
      <c r="C117" s="655" t="s">
        <v>352</v>
      </c>
      <c r="D117" s="655"/>
      <c r="E117" s="655"/>
      <c r="F117" s="655"/>
      <c r="G117" s="655"/>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04" t="s">
        <v>31</v>
      </c>
      <c r="B1" s="704"/>
      <c r="C1" s="704"/>
      <c r="D1" s="704"/>
      <c r="E1" s="704"/>
      <c r="F1" s="704"/>
      <c r="G1" s="515"/>
    </row>
    <row r="2" spans="1:13" s="20" customFormat="1" ht="56.25" customHeight="1">
      <c r="A2" s="705" t="s">
        <v>374</v>
      </c>
      <c r="B2" s="705"/>
      <c r="C2" s="705"/>
      <c r="D2" s="705"/>
      <c r="E2" s="705"/>
      <c r="F2" s="705"/>
      <c r="G2" s="516"/>
      <c r="I2" s="565"/>
      <c r="M2" s="503"/>
    </row>
    <row r="3" spans="1:13" ht="24.75" customHeight="1">
      <c r="A3" s="694" t="s">
        <v>24</v>
      </c>
      <c r="B3" s="694"/>
      <c r="C3" s="694"/>
      <c r="D3" s="694"/>
      <c r="E3" s="694"/>
      <c r="F3" s="694"/>
      <c r="G3" s="513"/>
      <c r="K3" s="197"/>
    </row>
    <row r="4" spans="1:13" ht="15">
      <c r="A4" s="32"/>
    </row>
    <row r="5" spans="1:13" ht="15.75" thickBot="1">
      <c r="A5" s="29" t="str">
        <f>+'COMBUSTIBLES '!A1</f>
        <v>2 DE AGOSTO DE 2017</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5012.495028903686</v>
      </c>
      <c r="C7" s="359">
        <v>5151.5</v>
      </c>
      <c r="D7" s="359">
        <v>5012.495028903686</v>
      </c>
      <c r="E7" s="359">
        <v>5082.4350289036856</v>
      </c>
      <c r="F7" s="359">
        <v>5117.2636246235679</v>
      </c>
      <c r="G7" s="359">
        <v>5419.7625549540617</v>
      </c>
      <c r="H7" s="444">
        <v>5012.495028903686</v>
      </c>
      <c r="I7" s="359">
        <f>+D7</f>
        <v>5012.495028903686</v>
      </c>
      <c r="J7" s="444">
        <f>+D7</f>
        <v>5012.495028903686</v>
      </c>
    </row>
    <row r="8" spans="1:13" ht="27.75" customHeight="1">
      <c r="A8" s="367" t="s">
        <v>69</v>
      </c>
      <c r="B8" s="382">
        <v>0</v>
      </c>
      <c r="C8" s="383">
        <f>+BIODIESEL!B7</f>
        <v>9989.2199999999993</v>
      </c>
      <c r="D8" s="382">
        <v>0</v>
      </c>
      <c r="E8" s="382">
        <f>+C8</f>
        <v>9989.2199999999993</v>
      </c>
      <c r="F8" s="382">
        <v>0</v>
      </c>
      <c r="G8" s="382">
        <v>0</v>
      </c>
      <c r="H8" s="384">
        <f>+E8</f>
        <v>9989.2199999999993</v>
      </c>
      <c r="I8" s="359">
        <f>+D8</f>
        <v>0</v>
      </c>
      <c r="J8" s="444">
        <f>+D8</f>
        <v>0</v>
      </c>
    </row>
    <row r="9" spans="1:13" ht="35.25" customHeight="1">
      <c r="A9" s="385" t="s">
        <v>162</v>
      </c>
      <c r="B9" s="386">
        <f t="shared" ref="B9:H9" si="0">+B8*B5+B7*(1-B5)</f>
        <v>5012.495028903686</v>
      </c>
      <c r="C9" s="386">
        <f t="shared" si="0"/>
        <v>5345.0087999999996</v>
      </c>
      <c r="D9" s="386">
        <f t="shared" si="0"/>
        <v>5012.495028903686</v>
      </c>
      <c r="E9" s="386">
        <f>+E8*E5+E7*(1-E5)-0.01</f>
        <v>5180.5607283256122</v>
      </c>
      <c r="F9" s="386">
        <f t="shared" si="0"/>
        <v>5117.2636246235679</v>
      </c>
      <c r="G9" s="386">
        <f t="shared" si="0"/>
        <v>5419.7625549540617</v>
      </c>
      <c r="H9" s="387">
        <f t="shared" si="0"/>
        <v>5112.0295283256128</v>
      </c>
      <c r="I9" s="468">
        <f>+D9</f>
        <v>5012.495028903686</v>
      </c>
      <c r="J9" s="469">
        <f>+D9</f>
        <v>5012.495028903686</v>
      </c>
    </row>
    <row r="10" spans="1:13" ht="27.75" customHeight="1">
      <c r="A10" s="367" t="s">
        <v>67</v>
      </c>
      <c r="B10" s="383">
        <f>+'COMBUSTIBLES '!E8</f>
        <v>7.45</v>
      </c>
      <c r="C10" s="383">
        <f>+BIODIESEL!F14</f>
        <v>7.45</v>
      </c>
      <c r="D10" s="383">
        <f>+'COMBUSTIBLES '!E8</f>
        <v>7.45</v>
      </c>
      <c r="E10" s="383">
        <f>+BIODIESEL!E14</f>
        <v>7.45</v>
      </c>
      <c r="F10" s="383">
        <f>'COMBUSTIBLES '!E8</f>
        <v>7.45</v>
      </c>
      <c r="G10" s="383">
        <f>E10</f>
        <v>7.45</v>
      </c>
      <c r="H10" s="388">
        <f>+BIODIESEL!E14</f>
        <v>7.45</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469</v>
      </c>
      <c r="C13" s="383">
        <f>+BIODIESEL!F11</f>
        <v>450.24</v>
      </c>
      <c r="D13" s="383">
        <f>+'COMBUSTIBLES '!E11</f>
        <v>469</v>
      </c>
      <c r="E13" s="383">
        <f>+BIODIESEL!E11</f>
        <v>459.62</v>
      </c>
      <c r="F13" s="383">
        <f>+'COMBUSTIBLES '!E11</f>
        <v>469</v>
      </c>
      <c r="G13" s="383">
        <f>+F13</f>
        <v>469</v>
      </c>
      <c r="H13" s="388">
        <f>+BIODIESEL!E11</f>
        <v>459.62</v>
      </c>
      <c r="I13" s="359">
        <f>'DIESEL MARINO '!D7</f>
        <v>469</v>
      </c>
      <c r="J13" s="444">
        <f>+'DIESEL MARINO '!F7</f>
        <v>597.75187500000004</v>
      </c>
    </row>
    <row r="14" spans="1:13" ht="27.75" customHeight="1">
      <c r="A14" s="367" t="s">
        <v>284</v>
      </c>
      <c r="B14" s="531" t="str">
        <f>+'COMBUSTIBLES '!C12</f>
        <v>(3)</v>
      </c>
      <c r="C14" s="531">
        <f>+C9*19%</f>
        <v>1015.5516719999999</v>
      </c>
      <c r="D14" s="531" t="str">
        <f>+B14</f>
        <v>(3)</v>
      </c>
      <c r="E14" s="531" t="str">
        <f>+D14</f>
        <v>(3)</v>
      </c>
      <c r="F14" s="531" t="str">
        <f>+D14</f>
        <v>(3)</v>
      </c>
      <c r="G14" s="531" t="str">
        <f>+E14</f>
        <v>(3)</v>
      </c>
      <c r="H14" s="533" t="str">
        <f>+F14</f>
        <v>(3)</v>
      </c>
      <c r="I14" s="531" t="str">
        <f>+G14</f>
        <v>(3)</v>
      </c>
      <c r="J14" s="114" t="str">
        <f>+H14</f>
        <v>(3)</v>
      </c>
    </row>
    <row r="15" spans="1:13" ht="27.75" customHeight="1">
      <c r="A15" s="317" t="s">
        <v>378</v>
      </c>
      <c r="B15" s="383">
        <f>+'COMBUSTIBLES '!E13</f>
        <v>152</v>
      </c>
      <c r="C15" s="383"/>
      <c r="D15" s="383">
        <f>+B15</f>
        <v>152</v>
      </c>
      <c r="E15" s="383">
        <f>+BIODIESEL!E13</f>
        <v>148.96</v>
      </c>
      <c r="F15" s="383"/>
      <c r="G15" s="383"/>
      <c r="H15" s="388">
        <f>+E15</f>
        <v>148.96</v>
      </c>
      <c r="I15" s="359">
        <f>+D15</f>
        <v>152</v>
      </c>
      <c r="J15" s="444">
        <f>+I15</f>
        <v>152</v>
      </c>
      <c r="L15" s="524"/>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9" t="s">
        <v>375</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06" t="s">
        <v>257</v>
      </c>
      <c r="B28" s="706"/>
      <c r="C28" s="706"/>
      <c r="D28" s="706"/>
      <c r="E28" s="706"/>
      <c r="F28" s="706"/>
      <c r="G28" s="517"/>
    </row>
    <row r="29" spans="1:10" s="23" customFormat="1" ht="8.25" customHeight="1">
      <c r="A29" s="21"/>
      <c r="B29" s="22"/>
      <c r="C29" s="22"/>
    </row>
    <row r="30" spans="1:10" s="23" customFormat="1" ht="30.75" customHeight="1">
      <c r="A30" s="706" t="s">
        <v>262</v>
      </c>
      <c r="B30" s="706"/>
      <c r="C30" s="706"/>
      <c r="D30" s="706"/>
      <c r="E30" s="706"/>
      <c r="F30" s="706"/>
      <c r="G30" s="517"/>
    </row>
    <row r="31" spans="1:10" s="23" customFormat="1" ht="5.25" customHeight="1">
      <c r="A31" s="21"/>
      <c r="B31" s="22"/>
      <c r="C31" s="22"/>
    </row>
    <row r="32" spans="1:10" s="23" customFormat="1" ht="38.25" customHeight="1">
      <c r="A32" s="703" t="s">
        <v>227</v>
      </c>
      <c r="B32" s="703"/>
      <c r="C32" s="703"/>
      <c r="D32" s="703"/>
      <c r="E32" s="703"/>
      <c r="F32" s="703"/>
      <c r="G32" s="514"/>
    </row>
    <row r="33" spans="1:7" s="23" customFormat="1" ht="15">
      <c r="A33" s="21" t="s">
        <v>161</v>
      </c>
      <c r="B33" s="22"/>
      <c r="C33" s="22"/>
    </row>
    <row r="34" spans="1:7" s="23" customFormat="1">
      <c r="A34" s="646" t="s">
        <v>400</v>
      </c>
      <c r="B34" s="646"/>
      <c r="C34" s="646"/>
      <c r="D34" s="646"/>
      <c r="E34" s="646"/>
      <c r="F34" s="646"/>
      <c r="G34" s="646"/>
    </row>
    <row r="35" spans="1:7">
      <c r="A35" s="646" t="s">
        <v>398</v>
      </c>
      <c r="B35" s="646"/>
      <c r="C35" s="646"/>
      <c r="D35" s="646"/>
      <c r="E35" s="646"/>
      <c r="F35" s="646"/>
      <c r="G35" s="646"/>
    </row>
    <row r="36" spans="1:7">
      <c r="A36" s="646" t="s">
        <v>399</v>
      </c>
      <c r="B36" s="646"/>
      <c r="C36" s="646"/>
      <c r="D36" s="646"/>
      <c r="E36" s="646"/>
      <c r="F36" s="646"/>
      <c r="G36" s="646"/>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A7" sqref="BA7"/>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5" ht="15.75" thickBot="1">
      <c r="A1" s="200"/>
      <c r="B1" s="201"/>
      <c r="C1" s="201"/>
      <c r="D1" s="201"/>
      <c r="E1" s="201"/>
      <c r="F1" s="201"/>
      <c r="G1" s="201"/>
      <c r="H1" s="201"/>
      <c r="I1" s="202"/>
      <c r="J1" s="202"/>
      <c r="K1" s="203"/>
      <c r="L1" s="203"/>
      <c r="M1" s="203"/>
      <c r="N1" s="203"/>
      <c r="O1" s="203"/>
      <c r="P1" s="203"/>
      <c r="Q1" s="203"/>
      <c r="AA1" s="612" t="s">
        <v>70</v>
      </c>
      <c r="AB1" s="612"/>
      <c r="AC1" s="612"/>
      <c r="AD1" s="612" t="s">
        <v>71</v>
      </c>
      <c r="AE1" s="612"/>
      <c r="AF1" s="612"/>
      <c r="AG1" s="612" t="s">
        <v>170</v>
      </c>
      <c r="AH1" s="612"/>
      <c r="AI1" s="612"/>
      <c r="AJ1" s="612" t="s">
        <v>198</v>
      </c>
      <c r="AK1" s="612"/>
      <c r="AL1" s="612"/>
      <c r="AM1" s="201"/>
      <c r="AN1" s="604" t="s">
        <v>288</v>
      </c>
      <c r="AO1" s="604"/>
      <c r="AP1" s="604"/>
      <c r="AQ1" s="201"/>
      <c r="AR1" s="593" t="s">
        <v>355</v>
      </c>
      <c r="AS1" s="594"/>
      <c r="AT1" s="595"/>
      <c r="AU1" s="593" t="s">
        <v>357</v>
      </c>
      <c r="AV1" s="594"/>
      <c r="AW1" s="595"/>
      <c r="AX1" s="593" t="s">
        <v>372</v>
      </c>
      <c r="AY1" s="594"/>
      <c r="AZ1" s="595"/>
      <c r="BA1" s="593" t="s">
        <v>391</v>
      </c>
      <c r="BB1" s="594"/>
      <c r="BC1" s="595"/>
    </row>
    <row r="2" spans="1:55" ht="15" customHeight="1">
      <c r="A2" s="617" t="s">
        <v>72</v>
      </c>
      <c r="B2" s="618"/>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05" t="s">
        <v>75</v>
      </c>
      <c r="AO2" s="606"/>
      <c r="AP2" s="609">
        <v>0.03</v>
      </c>
      <c r="AQ2" s="493"/>
      <c r="AR2" s="596" t="s">
        <v>75</v>
      </c>
      <c r="AS2" s="597"/>
      <c r="AT2" s="600">
        <v>0.03</v>
      </c>
      <c r="AU2" s="596" t="s">
        <v>75</v>
      </c>
      <c r="AV2" s="597"/>
      <c r="AW2" s="600">
        <v>0.03</v>
      </c>
      <c r="AX2" s="596" t="s">
        <v>75</v>
      </c>
      <c r="AY2" s="597"/>
      <c r="AZ2" s="600">
        <v>0.03</v>
      </c>
      <c r="BA2" s="596" t="s">
        <v>75</v>
      </c>
      <c r="BB2" s="597"/>
      <c r="BC2" s="600">
        <v>0.03</v>
      </c>
    </row>
    <row r="3" spans="1:55" ht="55.5" customHeight="1" thickBot="1">
      <c r="A3" s="619"/>
      <c r="B3" s="620"/>
      <c r="C3" s="613" t="s">
        <v>76</v>
      </c>
      <c r="D3" s="614"/>
      <c r="E3" s="615"/>
      <c r="F3" s="613" t="s">
        <v>77</v>
      </c>
      <c r="G3" s="614"/>
      <c r="H3" s="615"/>
      <c r="I3" s="613" t="s">
        <v>78</v>
      </c>
      <c r="J3" s="614"/>
      <c r="K3" s="615"/>
      <c r="L3" s="613" t="s">
        <v>79</v>
      </c>
      <c r="M3" s="614"/>
      <c r="N3" s="615"/>
      <c r="O3" s="613" t="s">
        <v>80</v>
      </c>
      <c r="P3" s="614"/>
      <c r="Q3" s="615"/>
      <c r="R3" s="613" t="s">
        <v>81</v>
      </c>
      <c r="S3" s="614"/>
      <c r="T3" s="615"/>
      <c r="U3" s="613" t="s">
        <v>82</v>
      </c>
      <c r="V3" s="614"/>
      <c r="W3" s="615"/>
      <c r="X3" s="613" t="s">
        <v>83</v>
      </c>
      <c r="Y3" s="614"/>
      <c r="Z3" s="615"/>
      <c r="AA3" s="613"/>
      <c r="AB3" s="614"/>
      <c r="AC3" s="615"/>
      <c r="AD3" s="613"/>
      <c r="AE3" s="614"/>
      <c r="AF3" s="615"/>
      <c r="AG3" s="613"/>
      <c r="AH3" s="614"/>
      <c r="AI3" s="615"/>
      <c r="AJ3" s="613"/>
      <c r="AK3" s="614"/>
      <c r="AL3" s="615"/>
      <c r="AM3" s="421"/>
      <c r="AN3" s="607"/>
      <c r="AO3" s="608"/>
      <c r="AP3" s="610"/>
      <c r="AQ3" s="494"/>
      <c r="AR3" s="598"/>
      <c r="AS3" s="599"/>
      <c r="AT3" s="601"/>
      <c r="AU3" s="598"/>
      <c r="AV3" s="599"/>
      <c r="AW3" s="601"/>
      <c r="AX3" s="598"/>
      <c r="AY3" s="599"/>
      <c r="AZ3" s="601"/>
      <c r="BA3" s="598"/>
      <c r="BB3" s="599"/>
      <c r="BC3" s="601"/>
    </row>
    <row r="4" spans="1:55"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row>
    <row r="5" spans="1:55"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row>
    <row r="6" spans="1:55"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row>
    <row r="7" spans="1:55"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row>
    <row r="8" spans="1:55"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2">AD8*(1+$AI$2)</f>
        <v>65.693399999999997</v>
      </c>
      <c r="AH8" s="177">
        <f t="shared" si="2"/>
        <v>65.693399999999997</v>
      </c>
      <c r="AI8" s="174">
        <f>AH8*42</f>
        <v>2759.1228000000001</v>
      </c>
      <c r="AJ8" s="173">
        <f t="shared" ref="AJ8:AK20" si="3">AG8*(1+$AI$2)</f>
        <v>67.664202000000003</v>
      </c>
      <c r="AK8" s="177">
        <f t="shared" si="3"/>
        <v>67.664202000000003</v>
      </c>
      <c r="AL8" s="174">
        <f>AK8*42</f>
        <v>2841.8964840000003</v>
      </c>
      <c r="AM8" s="407" t="s">
        <v>95</v>
      </c>
      <c r="AN8" s="427">
        <v>69.694128060000011</v>
      </c>
      <c r="AO8" s="428">
        <v>69.694128060000011</v>
      </c>
      <c r="AP8" s="429">
        <v>2927.1533785200004</v>
      </c>
      <c r="AQ8" s="407" t="s">
        <v>95</v>
      </c>
      <c r="AR8" s="427">
        <f t="shared" ref="AR8:AR61" si="4">AN8*(1+$AT$2)</f>
        <v>71.784951901800014</v>
      </c>
      <c r="AS8" s="428">
        <f t="shared" ref="AS8:AS61" si="5">AO8*(1+$AT$2)</f>
        <v>71.784951901800014</v>
      </c>
      <c r="AT8" s="429">
        <f t="shared" ref="AT8:AT61" si="6">AP8*(1+$AT$2)</f>
        <v>3014.9679798756006</v>
      </c>
      <c r="AU8" s="427">
        <f t="shared" ref="AU8:AU61" si="7">AR8*(1+$AW$2)</f>
        <v>73.938500458854023</v>
      </c>
      <c r="AV8" s="428">
        <f t="shared" ref="AV8:AV61" si="8">AS8*(1+$AW$2)</f>
        <v>73.938500458854023</v>
      </c>
      <c r="AW8" s="429">
        <f t="shared" ref="AW8:AW61" si="9">AT8*(1+$AW$2)</f>
        <v>3105.4170192718689</v>
      </c>
      <c r="AX8" s="427">
        <f t="shared" ref="AX8:AX61" si="10">AU8*(1+$AZ$2)</f>
        <v>76.156655472619647</v>
      </c>
      <c r="AY8" s="428">
        <f t="shared" ref="AY8:AY61" si="11">AV8*(1+$AZ$2)</f>
        <v>76.156655472619647</v>
      </c>
      <c r="AZ8" s="429">
        <f t="shared" ref="AZ8:AZ61" si="12">AW8*(1+$AZ$2)</f>
        <v>3198.5795298500252</v>
      </c>
      <c r="BA8" s="427">
        <f t="shared" ref="BA8:BA38" si="13">AX8*(1+$BC$2)</f>
        <v>78.441355136798236</v>
      </c>
      <c r="BB8" s="428">
        <f t="shared" si="0"/>
        <v>78.441355136798236</v>
      </c>
      <c r="BC8" s="429">
        <f t="shared" si="1"/>
        <v>3294.5369157455261</v>
      </c>
    </row>
    <row r="9" spans="1:55"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4">AE9*42</f>
        <v>3924.4800000000005</v>
      </c>
      <c r="AG9" s="222">
        <f t="shared" si="2"/>
        <v>96.243200000000016</v>
      </c>
      <c r="AH9" s="225">
        <f t="shared" si="2"/>
        <v>96.243200000000016</v>
      </c>
      <c r="AI9" s="223">
        <f t="shared" ref="AI9:AI59" si="15">AH9*42</f>
        <v>4042.2144000000008</v>
      </c>
      <c r="AJ9" s="222">
        <f t="shared" si="3"/>
        <v>99.130496000000022</v>
      </c>
      <c r="AK9" s="225">
        <f t="shared" si="3"/>
        <v>99.130496000000022</v>
      </c>
      <c r="AL9" s="223">
        <f t="shared" ref="AL9:AL57" si="16">AK9*42</f>
        <v>4163.4808320000011</v>
      </c>
      <c r="AM9" s="408" t="s">
        <v>96</v>
      </c>
      <c r="AN9" s="430">
        <v>102.10441088000003</v>
      </c>
      <c r="AO9" s="431">
        <v>102.10441088000003</v>
      </c>
      <c r="AP9" s="432">
        <v>4288.3852569600012</v>
      </c>
      <c r="AQ9" s="408" t="s">
        <v>96</v>
      </c>
      <c r="AR9" s="430">
        <f t="shared" si="4"/>
        <v>105.16754320640004</v>
      </c>
      <c r="AS9" s="431">
        <f t="shared" si="5"/>
        <v>105.16754320640004</v>
      </c>
      <c r="AT9" s="432">
        <f t="shared" si="6"/>
        <v>4417.0368146688015</v>
      </c>
      <c r="AU9" s="430">
        <f t="shared" si="7"/>
        <v>108.32256950259205</v>
      </c>
      <c r="AV9" s="431">
        <f t="shared" si="8"/>
        <v>108.32256950259205</v>
      </c>
      <c r="AW9" s="432">
        <f t="shared" si="9"/>
        <v>4549.5479191088652</v>
      </c>
      <c r="AX9" s="430">
        <f t="shared" si="10"/>
        <v>111.57224658766981</v>
      </c>
      <c r="AY9" s="431">
        <f t="shared" si="11"/>
        <v>111.57224658766981</v>
      </c>
      <c r="AZ9" s="432">
        <f t="shared" si="12"/>
        <v>4686.0343566821311</v>
      </c>
      <c r="BA9" s="430">
        <f t="shared" si="13"/>
        <v>114.91941398529991</v>
      </c>
      <c r="BB9" s="431">
        <f t="shared" si="0"/>
        <v>114.91941398529991</v>
      </c>
      <c r="BC9" s="432">
        <f t="shared" si="1"/>
        <v>4826.6153873825951</v>
      </c>
    </row>
    <row r="10" spans="1:55"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4"/>
        <v>2388.54</v>
      </c>
      <c r="AG10" s="173">
        <f t="shared" si="2"/>
        <v>58.576099999999997</v>
      </c>
      <c r="AH10" s="177">
        <f t="shared" si="2"/>
        <v>58.576099999999997</v>
      </c>
      <c r="AI10" s="174">
        <f t="shared" si="15"/>
        <v>2460.1961999999999</v>
      </c>
      <c r="AJ10" s="173">
        <f t="shared" si="3"/>
        <v>60.333382999999998</v>
      </c>
      <c r="AK10" s="177">
        <f t="shared" si="3"/>
        <v>60.333382999999998</v>
      </c>
      <c r="AL10" s="174">
        <f t="shared" si="16"/>
        <v>2534.002086</v>
      </c>
      <c r="AM10" s="409" t="s">
        <v>97</v>
      </c>
      <c r="AN10" s="427">
        <v>62.143384490000003</v>
      </c>
      <c r="AO10" s="428">
        <v>62.143384490000003</v>
      </c>
      <c r="AP10" s="429">
        <v>2610.0221485800002</v>
      </c>
      <c r="AQ10" s="409" t="s">
        <v>97</v>
      </c>
      <c r="AR10" s="427">
        <f t="shared" si="4"/>
        <v>64.007686024700007</v>
      </c>
      <c r="AS10" s="428">
        <f t="shared" si="5"/>
        <v>64.007686024700007</v>
      </c>
      <c r="AT10" s="429">
        <f t="shared" si="6"/>
        <v>2688.3228130374005</v>
      </c>
      <c r="AU10" s="427">
        <f t="shared" si="7"/>
        <v>65.927916605441013</v>
      </c>
      <c r="AV10" s="428">
        <f t="shared" si="8"/>
        <v>65.927916605441013</v>
      </c>
      <c r="AW10" s="429">
        <f t="shared" si="9"/>
        <v>2768.9724974285227</v>
      </c>
      <c r="AX10" s="427">
        <f t="shared" si="10"/>
        <v>67.905754103604238</v>
      </c>
      <c r="AY10" s="428">
        <f t="shared" si="11"/>
        <v>67.905754103604238</v>
      </c>
      <c r="AZ10" s="429">
        <f t="shared" si="12"/>
        <v>2852.0416723513786</v>
      </c>
      <c r="BA10" s="427">
        <f t="shared" si="13"/>
        <v>69.942926726712372</v>
      </c>
      <c r="BB10" s="428">
        <f t="shared" si="0"/>
        <v>69.942926726712372</v>
      </c>
      <c r="BC10" s="429">
        <f t="shared" si="1"/>
        <v>2937.6029225219199</v>
      </c>
    </row>
    <row r="11" spans="1:55"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4"/>
        <v>2388.54</v>
      </c>
      <c r="AG11" s="222">
        <f t="shared" si="2"/>
        <v>58.576099999999997</v>
      </c>
      <c r="AH11" s="225">
        <f t="shared" si="2"/>
        <v>58.576099999999997</v>
      </c>
      <c r="AI11" s="223">
        <f t="shared" si="15"/>
        <v>2460.1961999999999</v>
      </c>
      <c r="AJ11" s="222">
        <f t="shared" si="3"/>
        <v>60.333382999999998</v>
      </c>
      <c r="AK11" s="225">
        <f t="shared" si="3"/>
        <v>60.333382999999998</v>
      </c>
      <c r="AL11" s="223">
        <f t="shared" si="16"/>
        <v>2534.002086</v>
      </c>
      <c r="AM11" s="408" t="s">
        <v>98</v>
      </c>
      <c r="AN11" s="430">
        <v>62.143384490000003</v>
      </c>
      <c r="AO11" s="431">
        <v>62.143384490000003</v>
      </c>
      <c r="AP11" s="432">
        <v>2610.0221485800002</v>
      </c>
      <c r="AQ11" s="408" t="s">
        <v>98</v>
      </c>
      <c r="AR11" s="430">
        <f t="shared" si="4"/>
        <v>64.007686024700007</v>
      </c>
      <c r="AS11" s="431">
        <f t="shared" si="5"/>
        <v>64.007686024700007</v>
      </c>
      <c r="AT11" s="432">
        <f t="shared" si="6"/>
        <v>2688.3228130374005</v>
      </c>
      <c r="AU11" s="430">
        <f t="shared" si="7"/>
        <v>65.927916605441013</v>
      </c>
      <c r="AV11" s="431">
        <f t="shared" si="8"/>
        <v>65.927916605441013</v>
      </c>
      <c r="AW11" s="432">
        <f t="shared" si="9"/>
        <v>2768.9724974285227</v>
      </c>
      <c r="AX11" s="430">
        <f t="shared" si="10"/>
        <v>67.905754103604238</v>
      </c>
      <c r="AY11" s="431">
        <f t="shared" si="11"/>
        <v>67.905754103604238</v>
      </c>
      <c r="AZ11" s="432">
        <f t="shared" si="12"/>
        <v>2852.0416723513786</v>
      </c>
      <c r="BA11" s="430">
        <f t="shared" si="13"/>
        <v>69.942926726712372</v>
      </c>
      <c r="BB11" s="431">
        <f t="shared" si="0"/>
        <v>69.942926726712372</v>
      </c>
      <c r="BC11" s="432">
        <f t="shared" si="1"/>
        <v>2937.6029225219199</v>
      </c>
    </row>
    <row r="12" spans="1:55"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4"/>
        <v>3121.4399999999996</v>
      </c>
      <c r="AG12" s="173">
        <f t="shared" si="2"/>
        <v>76.549599999999998</v>
      </c>
      <c r="AH12" s="177">
        <f t="shared" si="2"/>
        <v>76.549599999999998</v>
      </c>
      <c r="AI12" s="174">
        <f t="shared" si="15"/>
        <v>3215.0832</v>
      </c>
      <c r="AJ12" s="173">
        <f t="shared" si="3"/>
        <v>78.846087999999995</v>
      </c>
      <c r="AK12" s="177">
        <f t="shared" si="3"/>
        <v>78.846087999999995</v>
      </c>
      <c r="AL12" s="174">
        <f t="shared" si="16"/>
        <v>3311.5356959999999</v>
      </c>
      <c r="AM12" s="409" t="s">
        <v>99</v>
      </c>
      <c r="AN12" s="427">
        <v>81.211470640000002</v>
      </c>
      <c r="AO12" s="428">
        <v>81.211470640000002</v>
      </c>
      <c r="AP12" s="429">
        <v>3410.8817668800002</v>
      </c>
      <c r="AQ12" s="409" t="s">
        <v>99</v>
      </c>
      <c r="AR12" s="427">
        <f t="shared" si="4"/>
        <v>83.647814759200003</v>
      </c>
      <c r="AS12" s="428">
        <f t="shared" si="5"/>
        <v>83.647814759200003</v>
      </c>
      <c r="AT12" s="429">
        <f t="shared" si="6"/>
        <v>3513.2082198864005</v>
      </c>
      <c r="AU12" s="427">
        <f t="shared" si="7"/>
        <v>86.157249201976001</v>
      </c>
      <c r="AV12" s="428">
        <f t="shared" si="8"/>
        <v>86.157249201976001</v>
      </c>
      <c r="AW12" s="429">
        <f t="shared" si="9"/>
        <v>3618.6044664829924</v>
      </c>
      <c r="AX12" s="427">
        <f t="shared" si="10"/>
        <v>88.741966678035283</v>
      </c>
      <c r="AY12" s="428">
        <f t="shared" si="11"/>
        <v>88.741966678035283</v>
      </c>
      <c r="AZ12" s="429">
        <f t="shared" si="12"/>
        <v>3727.1626004774821</v>
      </c>
      <c r="BA12" s="427">
        <f t="shared" si="13"/>
        <v>91.404225678376349</v>
      </c>
      <c r="BB12" s="428">
        <f t="shared" si="0"/>
        <v>91.404225678376349</v>
      </c>
      <c r="BC12" s="429">
        <f t="shared" si="1"/>
        <v>3838.9774784918068</v>
      </c>
    </row>
    <row r="13" spans="1:55"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4"/>
        <v>5346.5999999999995</v>
      </c>
      <c r="AG13" s="173">
        <f t="shared" si="2"/>
        <v>131.119</v>
      </c>
      <c r="AH13" s="177">
        <f t="shared" si="2"/>
        <v>131.119</v>
      </c>
      <c r="AI13" s="174">
        <f t="shared" si="15"/>
        <v>5506.9979999999996</v>
      </c>
      <c r="AJ13" s="173">
        <f t="shared" si="3"/>
        <v>135.05257</v>
      </c>
      <c r="AK13" s="177">
        <f t="shared" si="3"/>
        <v>135.05257</v>
      </c>
      <c r="AL13" s="174">
        <f t="shared" si="16"/>
        <v>5672.2079400000002</v>
      </c>
      <c r="AM13" s="409" t="s">
        <v>100</v>
      </c>
      <c r="AN13" s="427">
        <v>139.10414710000001</v>
      </c>
      <c r="AO13" s="428">
        <v>139.10414710000001</v>
      </c>
      <c r="AP13" s="429">
        <v>5842.3741782000006</v>
      </c>
      <c r="AQ13" s="409" t="s">
        <v>100</v>
      </c>
      <c r="AR13" s="427">
        <f t="shared" si="4"/>
        <v>143.27727151300002</v>
      </c>
      <c r="AS13" s="428">
        <f t="shared" si="5"/>
        <v>143.27727151300002</v>
      </c>
      <c r="AT13" s="429">
        <f t="shared" si="6"/>
        <v>6017.645403546001</v>
      </c>
      <c r="AU13" s="427">
        <f t="shared" si="7"/>
        <v>147.57558965839002</v>
      </c>
      <c r="AV13" s="428">
        <f t="shared" si="8"/>
        <v>147.57558965839002</v>
      </c>
      <c r="AW13" s="429">
        <f t="shared" si="9"/>
        <v>6198.1747656523812</v>
      </c>
      <c r="AX13" s="427">
        <f t="shared" si="10"/>
        <v>152.00285734814173</v>
      </c>
      <c r="AY13" s="428">
        <f t="shared" si="11"/>
        <v>152.00285734814173</v>
      </c>
      <c r="AZ13" s="429">
        <f t="shared" si="12"/>
        <v>6384.1200086219524</v>
      </c>
      <c r="BA13" s="427">
        <f t="shared" si="13"/>
        <v>156.56294306858598</v>
      </c>
      <c r="BB13" s="428">
        <f t="shared" si="0"/>
        <v>156.56294306858598</v>
      </c>
      <c r="BC13" s="429">
        <f t="shared" si="1"/>
        <v>6575.6436088806113</v>
      </c>
    </row>
    <row r="14" spans="1:55"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4"/>
        <v>3981.6</v>
      </c>
      <c r="AG14" s="233">
        <f t="shared" si="2"/>
        <v>97.644000000000005</v>
      </c>
      <c r="AH14" s="225">
        <f t="shared" si="2"/>
        <v>97.644000000000005</v>
      </c>
      <c r="AI14" s="234">
        <f t="shared" si="15"/>
        <v>4101.0480000000007</v>
      </c>
      <c r="AJ14" s="233">
        <f t="shared" si="3"/>
        <v>100.57332000000001</v>
      </c>
      <c r="AK14" s="225">
        <f t="shared" si="3"/>
        <v>100.57332000000001</v>
      </c>
      <c r="AL14" s="234">
        <f>AK14*42</f>
        <v>4224.0794400000004</v>
      </c>
      <c r="AM14" s="409" t="s">
        <v>101</v>
      </c>
      <c r="AN14" s="427">
        <v>103.59051960000001</v>
      </c>
      <c r="AO14" s="428">
        <v>103.59051960000001</v>
      </c>
      <c r="AP14" s="429">
        <v>4350.8018232000004</v>
      </c>
      <c r="AQ14" s="409" t="s">
        <v>101</v>
      </c>
      <c r="AR14" s="427">
        <f t="shared" si="4"/>
        <v>106.69823518800001</v>
      </c>
      <c r="AS14" s="428">
        <f t="shared" si="5"/>
        <v>106.69823518800001</v>
      </c>
      <c r="AT14" s="429">
        <f t="shared" si="6"/>
        <v>4481.3258778960007</v>
      </c>
      <c r="AU14" s="427">
        <f t="shared" si="7"/>
        <v>109.89918224364001</v>
      </c>
      <c r="AV14" s="428">
        <f t="shared" si="8"/>
        <v>109.89918224364001</v>
      </c>
      <c r="AW14" s="429">
        <f t="shared" si="9"/>
        <v>4615.7656542328805</v>
      </c>
      <c r="AX14" s="427">
        <f t="shared" si="10"/>
        <v>113.19615771094922</v>
      </c>
      <c r="AY14" s="428">
        <f t="shared" si="11"/>
        <v>113.19615771094922</v>
      </c>
      <c r="AZ14" s="429">
        <f t="shared" si="12"/>
        <v>4754.2386238598674</v>
      </c>
      <c r="BA14" s="427">
        <f t="shared" si="13"/>
        <v>116.5920424422777</v>
      </c>
      <c r="BB14" s="428">
        <f t="shared" si="0"/>
        <v>116.5920424422777</v>
      </c>
      <c r="BC14" s="429">
        <f t="shared" si="1"/>
        <v>4896.8657825756636</v>
      </c>
    </row>
    <row r="15" spans="1:55"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4"/>
        <v>3121.4399999999996</v>
      </c>
      <c r="AG15" s="173">
        <f t="shared" si="2"/>
        <v>76.549599999999998</v>
      </c>
      <c r="AH15" s="177">
        <f t="shared" si="2"/>
        <v>76.549599999999998</v>
      </c>
      <c r="AI15" s="174">
        <f t="shared" si="15"/>
        <v>3215.0832</v>
      </c>
      <c r="AJ15" s="173">
        <f t="shared" si="3"/>
        <v>78.846087999999995</v>
      </c>
      <c r="AK15" s="177">
        <f t="shared" si="3"/>
        <v>78.846087999999995</v>
      </c>
      <c r="AL15" s="174">
        <f t="shared" si="16"/>
        <v>3311.5356959999999</v>
      </c>
      <c r="AM15" s="410" t="s">
        <v>285</v>
      </c>
      <c r="AN15" s="430">
        <v>0.45629000000000003</v>
      </c>
      <c r="AO15" s="431">
        <v>104.04680960000002</v>
      </c>
      <c r="AP15" s="432">
        <v>4369.9660032000002</v>
      </c>
      <c r="AQ15" s="410" t="s">
        <v>285</v>
      </c>
      <c r="AR15" s="430">
        <f t="shared" si="4"/>
        <v>0.46997870000000003</v>
      </c>
      <c r="AS15" s="431">
        <f t="shared" si="5"/>
        <v>107.16821388800003</v>
      </c>
      <c r="AT15" s="432">
        <f t="shared" si="6"/>
        <v>4501.0649832960007</v>
      </c>
      <c r="AU15" s="430">
        <f t="shared" si="7"/>
        <v>0.48407806100000006</v>
      </c>
      <c r="AV15" s="431">
        <f t="shared" si="8"/>
        <v>110.38326030464003</v>
      </c>
      <c r="AW15" s="432">
        <f t="shared" si="9"/>
        <v>4636.0969327948806</v>
      </c>
      <c r="AX15" s="430">
        <f t="shared" si="10"/>
        <v>0.49860040283000007</v>
      </c>
      <c r="AY15" s="431">
        <f t="shared" si="11"/>
        <v>113.69475811377923</v>
      </c>
      <c r="AZ15" s="432">
        <f t="shared" si="12"/>
        <v>4775.1798407787273</v>
      </c>
      <c r="BA15" s="430">
        <f t="shared" si="13"/>
        <v>0.51355841491490006</v>
      </c>
      <c r="BB15" s="431">
        <f t="shared" si="0"/>
        <v>117.10560085719261</v>
      </c>
      <c r="BC15" s="432">
        <f t="shared" si="1"/>
        <v>4918.4352360020894</v>
      </c>
    </row>
    <row r="16" spans="1:55"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4"/>
        <v>6046.74</v>
      </c>
      <c r="AG16" s="173">
        <f t="shared" si="2"/>
        <v>148.28909999999999</v>
      </c>
      <c r="AH16" s="177">
        <f t="shared" si="2"/>
        <v>148.28909999999999</v>
      </c>
      <c r="AI16" s="174">
        <f t="shared" si="15"/>
        <v>6228.1421999999993</v>
      </c>
      <c r="AJ16" s="173">
        <f t="shared" si="3"/>
        <v>152.737773</v>
      </c>
      <c r="AK16" s="177">
        <f t="shared" si="3"/>
        <v>152.737773</v>
      </c>
      <c r="AL16" s="174">
        <f>AK16*42</f>
        <v>6414.9864660000003</v>
      </c>
      <c r="AM16" s="409" t="s">
        <v>99</v>
      </c>
      <c r="AN16" s="427">
        <v>81.211470640000002</v>
      </c>
      <c r="AO16" s="428">
        <v>81.211470640000002</v>
      </c>
      <c r="AP16" s="429">
        <v>3410.8817668800002</v>
      </c>
      <c r="AQ16" s="409" t="s">
        <v>99</v>
      </c>
      <c r="AR16" s="427">
        <f t="shared" si="4"/>
        <v>83.647814759200003</v>
      </c>
      <c r="AS16" s="428">
        <f t="shared" si="5"/>
        <v>83.647814759200003</v>
      </c>
      <c r="AT16" s="429">
        <f t="shared" si="6"/>
        <v>3513.2082198864005</v>
      </c>
      <c r="AU16" s="427">
        <f t="shared" si="7"/>
        <v>86.157249201976001</v>
      </c>
      <c r="AV16" s="428">
        <f t="shared" si="8"/>
        <v>86.157249201976001</v>
      </c>
      <c r="AW16" s="429">
        <f t="shared" si="9"/>
        <v>3618.6044664829924</v>
      </c>
      <c r="AX16" s="427">
        <f t="shared" si="10"/>
        <v>88.741966678035283</v>
      </c>
      <c r="AY16" s="428">
        <f t="shared" si="11"/>
        <v>88.741966678035283</v>
      </c>
      <c r="AZ16" s="429">
        <f t="shared" si="12"/>
        <v>3727.1626004774821</v>
      </c>
      <c r="BA16" s="427">
        <f t="shared" si="13"/>
        <v>91.404225678376349</v>
      </c>
      <c r="BB16" s="428">
        <f t="shared" si="0"/>
        <v>91.404225678376349</v>
      </c>
      <c r="BC16" s="429">
        <f t="shared" si="1"/>
        <v>3838.9774784918068</v>
      </c>
    </row>
    <row r="17" spans="1:55"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4"/>
        <v>13382.88</v>
      </c>
      <c r="AG17" s="222">
        <f t="shared" si="2"/>
        <v>179.9101</v>
      </c>
      <c r="AH17" s="225">
        <f t="shared" si="2"/>
        <v>328.19920000000002</v>
      </c>
      <c r="AI17" s="223">
        <f>AH17*42</f>
        <v>13784.366400000001</v>
      </c>
      <c r="AJ17" s="222">
        <f t="shared" si="3"/>
        <v>185.30740299999999</v>
      </c>
      <c r="AK17" s="225">
        <f t="shared" si="3"/>
        <v>338.04517600000003</v>
      </c>
      <c r="AL17" s="223">
        <f t="shared" si="16"/>
        <v>14197.897392000001</v>
      </c>
      <c r="AM17" s="409" t="s">
        <v>102</v>
      </c>
      <c r="AN17" s="427">
        <v>157.31990619000001</v>
      </c>
      <c r="AO17" s="428">
        <v>157.31990619000001</v>
      </c>
      <c r="AP17" s="429">
        <v>6607.4360599800002</v>
      </c>
      <c r="AQ17" s="409" t="s">
        <v>102</v>
      </c>
      <c r="AR17" s="427">
        <f t="shared" si="4"/>
        <v>162.03950337570001</v>
      </c>
      <c r="AS17" s="428">
        <f t="shared" si="5"/>
        <v>162.03950337570001</v>
      </c>
      <c r="AT17" s="429">
        <f t="shared" si="6"/>
        <v>6805.6591417794007</v>
      </c>
      <c r="AU17" s="427">
        <f t="shared" si="7"/>
        <v>166.900688476971</v>
      </c>
      <c r="AV17" s="428">
        <f t="shared" si="8"/>
        <v>166.900688476971</v>
      </c>
      <c r="AW17" s="429">
        <f t="shared" si="9"/>
        <v>7009.8289160327831</v>
      </c>
      <c r="AX17" s="427">
        <f t="shared" si="10"/>
        <v>171.90770913128014</v>
      </c>
      <c r="AY17" s="428">
        <f t="shared" si="11"/>
        <v>171.90770913128014</v>
      </c>
      <c r="AZ17" s="429">
        <f t="shared" si="12"/>
        <v>7220.1237835137672</v>
      </c>
      <c r="BA17" s="427">
        <f t="shared" si="13"/>
        <v>177.06494040521855</v>
      </c>
      <c r="BB17" s="428">
        <f t="shared" si="0"/>
        <v>177.06494040521855</v>
      </c>
      <c r="BC17" s="429">
        <f t="shared" si="1"/>
        <v>7436.7274970191802</v>
      </c>
    </row>
    <row r="18" spans="1:55"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4"/>
        <v>3121.4399999999996</v>
      </c>
      <c r="AG18" s="173">
        <f t="shared" si="2"/>
        <v>76.549599999999998</v>
      </c>
      <c r="AH18" s="177">
        <f t="shared" si="2"/>
        <v>76.549599999999998</v>
      </c>
      <c r="AI18" s="174">
        <f t="shared" si="15"/>
        <v>3215.0832</v>
      </c>
      <c r="AJ18" s="173">
        <f t="shared" si="3"/>
        <v>78.846087999999995</v>
      </c>
      <c r="AK18" s="177">
        <f t="shared" si="3"/>
        <v>78.846087999999995</v>
      </c>
      <c r="AL18" s="174">
        <f t="shared" si="16"/>
        <v>3311.5356959999999</v>
      </c>
      <c r="AM18" s="411" t="s">
        <v>103</v>
      </c>
      <c r="AN18" s="430">
        <v>190.86662508999999</v>
      </c>
      <c r="AO18" s="431">
        <v>348.18653128000005</v>
      </c>
      <c r="AP18" s="432">
        <v>14623.83431376</v>
      </c>
      <c r="AQ18" s="411" t="s">
        <v>103</v>
      </c>
      <c r="AR18" s="430">
        <f t="shared" si="4"/>
        <v>196.59262384269999</v>
      </c>
      <c r="AS18" s="431">
        <f t="shared" si="5"/>
        <v>358.63212721840006</v>
      </c>
      <c r="AT18" s="432">
        <f t="shared" si="6"/>
        <v>15062.549343172801</v>
      </c>
      <c r="AU18" s="430">
        <f t="shared" si="7"/>
        <v>202.49040255798099</v>
      </c>
      <c r="AV18" s="431">
        <f t="shared" si="8"/>
        <v>369.39109103495207</v>
      </c>
      <c r="AW18" s="432">
        <f t="shared" si="9"/>
        <v>15514.425823467986</v>
      </c>
      <c r="AX18" s="430">
        <f t="shared" si="10"/>
        <v>208.56511463472043</v>
      </c>
      <c r="AY18" s="431">
        <f t="shared" si="11"/>
        <v>380.47282376600066</v>
      </c>
      <c r="AZ18" s="432">
        <f t="shared" si="12"/>
        <v>15979.858598172026</v>
      </c>
      <c r="BA18" s="430">
        <f t="shared" si="13"/>
        <v>214.82206807376204</v>
      </c>
      <c r="BB18" s="431">
        <f t="shared" si="0"/>
        <v>391.8870084789807</v>
      </c>
      <c r="BC18" s="432">
        <f t="shared" si="1"/>
        <v>16459.254356117188</v>
      </c>
    </row>
    <row r="19" spans="1:55"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4"/>
        <v>6046.74</v>
      </c>
      <c r="AG19" s="173">
        <f t="shared" si="2"/>
        <v>148.28909999999999</v>
      </c>
      <c r="AH19" s="177">
        <f t="shared" si="2"/>
        <v>148.28909999999999</v>
      </c>
      <c r="AI19" s="174">
        <f t="shared" si="15"/>
        <v>6228.1421999999993</v>
      </c>
      <c r="AJ19" s="173">
        <f t="shared" si="3"/>
        <v>152.737773</v>
      </c>
      <c r="AK19" s="177">
        <f t="shared" si="3"/>
        <v>152.737773</v>
      </c>
      <c r="AL19" s="174">
        <f t="shared" si="16"/>
        <v>6414.9864660000003</v>
      </c>
      <c r="AM19" s="409" t="s">
        <v>99</v>
      </c>
      <c r="AN19" s="427">
        <v>81.211470640000002</v>
      </c>
      <c r="AO19" s="428">
        <v>81.211470640000002</v>
      </c>
      <c r="AP19" s="429">
        <v>3410.8817668800002</v>
      </c>
      <c r="AQ19" s="409" t="s">
        <v>99</v>
      </c>
      <c r="AR19" s="427">
        <f t="shared" si="4"/>
        <v>83.647814759200003</v>
      </c>
      <c r="AS19" s="428">
        <f t="shared" si="5"/>
        <v>83.647814759200003</v>
      </c>
      <c r="AT19" s="429">
        <f t="shared" si="6"/>
        <v>3513.2082198864005</v>
      </c>
      <c r="AU19" s="427">
        <f t="shared" si="7"/>
        <v>86.157249201976001</v>
      </c>
      <c r="AV19" s="428">
        <f t="shared" si="8"/>
        <v>86.157249201976001</v>
      </c>
      <c r="AW19" s="429">
        <f t="shared" si="9"/>
        <v>3618.6044664829924</v>
      </c>
      <c r="AX19" s="427">
        <f t="shared" si="10"/>
        <v>88.741966678035283</v>
      </c>
      <c r="AY19" s="428">
        <f t="shared" si="11"/>
        <v>88.741966678035283</v>
      </c>
      <c r="AZ19" s="429">
        <f t="shared" si="12"/>
        <v>3727.1626004774821</v>
      </c>
      <c r="BA19" s="427">
        <f t="shared" si="13"/>
        <v>91.404225678376349</v>
      </c>
      <c r="BB19" s="428">
        <f t="shared" si="0"/>
        <v>91.404225678376349</v>
      </c>
      <c r="BC19" s="429">
        <f t="shared" si="1"/>
        <v>3838.9774784918068</v>
      </c>
    </row>
    <row r="20" spans="1:55"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4"/>
        <v>7302.54</v>
      </c>
      <c r="AG20" s="180">
        <f t="shared" si="2"/>
        <v>30.797000000000001</v>
      </c>
      <c r="AH20" s="177">
        <f t="shared" si="2"/>
        <v>179.08610000000002</v>
      </c>
      <c r="AI20" s="181">
        <f t="shared" si="15"/>
        <v>7521.6162000000004</v>
      </c>
      <c r="AJ20" s="180">
        <f t="shared" si="3"/>
        <v>31.72091</v>
      </c>
      <c r="AK20" s="177">
        <f t="shared" si="3"/>
        <v>184.45868300000001</v>
      </c>
      <c r="AL20" s="181">
        <f>AK20*42</f>
        <v>7747.2646860000004</v>
      </c>
      <c r="AM20" s="409" t="s">
        <v>102</v>
      </c>
      <c r="AN20" s="427">
        <v>157.31990619000001</v>
      </c>
      <c r="AO20" s="428">
        <v>157.31990619000001</v>
      </c>
      <c r="AP20" s="429">
        <v>6607.4360599800002</v>
      </c>
      <c r="AQ20" s="409" t="s">
        <v>102</v>
      </c>
      <c r="AR20" s="427">
        <f t="shared" si="4"/>
        <v>162.03950337570001</v>
      </c>
      <c r="AS20" s="428">
        <f t="shared" si="5"/>
        <v>162.03950337570001</v>
      </c>
      <c r="AT20" s="429">
        <f t="shared" si="6"/>
        <v>6805.6591417794007</v>
      </c>
      <c r="AU20" s="427">
        <f t="shared" si="7"/>
        <v>166.900688476971</v>
      </c>
      <c r="AV20" s="428">
        <f t="shared" si="8"/>
        <v>166.900688476971</v>
      </c>
      <c r="AW20" s="429">
        <f t="shared" si="9"/>
        <v>7009.8289160327831</v>
      </c>
      <c r="AX20" s="427">
        <f t="shared" si="10"/>
        <v>171.90770913128014</v>
      </c>
      <c r="AY20" s="428">
        <f t="shared" si="11"/>
        <v>171.90770913128014</v>
      </c>
      <c r="AZ20" s="429">
        <f t="shared" si="12"/>
        <v>7220.1237835137672</v>
      </c>
      <c r="BA20" s="427">
        <f t="shared" si="13"/>
        <v>177.06494040521855</v>
      </c>
      <c r="BB20" s="428">
        <f t="shared" si="0"/>
        <v>177.06494040521855</v>
      </c>
      <c r="BC20" s="429">
        <f t="shared" si="1"/>
        <v>7436.7274970191802</v>
      </c>
    </row>
    <row r="21" spans="1:55"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4"/>
        <v>8321.8799999999992</v>
      </c>
      <c r="AG21" s="173">
        <f>AD21*(1+$AI$2)-0.01</f>
        <v>55.785100000000007</v>
      </c>
      <c r="AH21" s="177">
        <f t="shared" si="2"/>
        <v>204.08419999999998</v>
      </c>
      <c r="AI21" s="174">
        <f t="shared" si="15"/>
        <v>8571.536399999999</v>
      </c>
      <c r="AJ21" s="173">
        <f>AG21*(1+$AI$2)-0.01</f>
        <v>57.448653000000007</v>
      </c>
      <c r="AK21" s="177">
        <f>AH21*(1+$AI$2)-0.02</f>
        <v>210.18672599999996</v>
      </c>
      <c r="AL21" s="174">
        <f t="shared" si="16"/>
        <v>8827.8424919999979</v>
      </c>
      <c r="AM21" s="409" t="s">
        <v>104</v>
      </c>
      <c r="AN21" s="427">
        <v>32.672537300000002</v>
      </c>
      <c r="AO21" s="428">
        <v>189.99244349</v>
      </c>
      <c r="AP21" s="429">
        <v>7979.6826265800009</v>
      </c>
      <c r="AQ21" s="409" t="s">
        <v>104</v>
      </c>
      <c r="AR21" s="427">
        <f t="shared" si="4"/>
        <v>33.652713419000001</v>
      </c>
      <c r="AS21" s="428">
        <f t="shared" si="5"/>
        <v>195.69221679470002</v>
      </c>
      <c r="AT21" s="429">
        <f t="shared" si="6"/>
        <v>8219.0731053774016</v>
      </c>
      <c r="AU21" s="427">
        <f t="shared" si="7"/>
        <v>34.662294821570001</v>
      </c>
      <c r="AV21" s="428">
        <f t="shared" si="8"/>
        <v>201.56298329854101</v>
      </c>
      <c r="AW21" s="429">
        <f t="shared" si="9"/>
        <v>8465.6452985387241</v>
      </c>
      <c r="AX21" s="427">
        <f t="shared" si="10"/>
        <v>35.702163666217103</v>
      </c>
      <c r="AY21" s="428">
        <f t="shared" si="11"/>
        <v>207.60987279749725</v>
      </c>
      <c r="AZ21" s="429">
        <f t="shared" si="12"/>
        <v>8719.6146574948853</v>
      </c>
      <c r="BA21" s="427">
        <f t="shared" si="13"/>
        <v>36.773228576203614</v>
      </c>
      <c r="BB21" s="428">
        <f t="shared" si="0"/>
        <v>213.83816898142217</v>
      </c>
      <c r="BC21" s="429">
        <f t="shared" si="1"/>
        <v>8981.2030972197317</v>
      </c>
    </row>
    <row r="22" spans="1:55"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4"/>
        <v>12530.279999999999</v>
      </c>
      <c r="AG22" s="173">
        <f t="shared" si="2"/>
        <v>103.206</v>
      </c>
      <c r="AH22" s="177">
        <f t="shared" si="2"/>
        <v>307.29019999999997</v>
      </c>
      <c r="AI22" s="174">
        <f t="shared" si="15"/>
        <v>12906.188399999999</v>
      </c>
      <c r="AJ22" s="173">
        <f t="shared" ref="AJ22:AK35" si="17">AG22*(1+$AI$2)</f>
        <v>106.30218000000001</v>
      </c>
      <c r="AK22" s="177">
        <f>AH22*(1+$AI$2)-0.02</f>
        <v>316.48890599999999</v>
      </c>
      <c r="AL22" s="174">
        <f t="shared" si="16"/>
        <v>13292.534051999999</v>
      </c>
      <c r="AM22" s="409" t="s">
        <v>105</v>
      </c>
      <c r="AN22" s="427">
        <v>59.172112590000012</v>
      </c>
      <c r="AO22" s="428">
        <v>216.49232777999998</v>
      </c>
      <c r="AP22" s="429">
        <v>9092.6777667599981</v>
      </c>
      <c r="AQ22" s="409" t="s">
        <v>105</v>
      </c>
      <c r="AR22" s="427">
        <f t="shared" si="4"/>
        <v>60.947275967700016</v>
      </c>
      <c r="AS22" s="428">
        <f t="shared" si="5"/>
        <v>222.98709761339998</v>
      </c>
      <c r="AT22" s="429">
        <f t="shared" si="6"/>
        <v>9365.4580997627982</v>
      </c>
      <c r="AU22" s="427">
        <f t="shared" si="7"/>
        <v>62.775694246731021</v>
      </c>
      <c r="AV22" s="428">
        <f t="shared" si="8"/>
        <v>229.67671054180198</v>
      </c>
      <c r="AW22" s="429">
        <f t="shared" si="9"/>
        <v>9646.4218427556825</v>
      </c>
      <c r="AX22" s="427">
        <f t="shared" si="10"/>
        <v>64.658965074132951</v>
      </c>
      <c r="AY22" s="428">
        <f t="shared" si="11"/>
        <v>236.56701185805605</v>
      </c>
      <c r="AZ22" s="429">
        <f t="shared" si="12"/>
        <v>9935.8144980383531</v>
      </c>
      <c r="BA22" s="427">
        <f t="shared" si="13"/>
        <v>66.598734026356937</v>
      </c>
      <c r="BB22" s="428">
        <f t="shared" si="0"/>
        <v>243.66402221379775</v>
      </c>
      <c r="BC22" s="429">
        <f t="shared" si="1"/>
        <v>10233.888932979504</v>
      </c>
    </row>
    <row r="23" spans="1:55"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4"/>
        <v>13382.88</v>
      </c>
      <c r="AG23" s="173">
        <f t="shared" si="2"/>
        <v>20.909000000000002</v>
      </c>
      <c r="AH23" s="177">
        <f t="shared" si="2"/>
        <v>328.19920000000002</v>
      </c>
      <c r="AI23" s="174">
        <f t="shared" si="15"/>
        <v>13784.366400000001</v>
      </c>
      <c r="AJ23" s="173">
        <f>AG23*(1+$AI$2)+0.03</f>
        <v>21.566270000000003</v>
      </c>
      <c r="AK23" s="177">
        <f>AH23*(1+$AI$2)</f>
        <v>338.04517600000003</v>
      </c>
      <c r="AL23" s="174">
        <f t="shared" si="16"/>
        <v>14197.897392000001</v>
      </c>
      <c r="AM23" s="409" t="s">
        <v>106</v>
      </c>
      <c r="AN23" s="427">
        <v>109.49124540000001</v>
      </c>
      <c r="AO23" s="428">
        <v>325.98357318000001</v>
      </c>
      <c r="AP23" s="429">
        <v>13691.31007356</v>
      </c>
      <c r="AQ23" s="409" t="s">
        <v>106</v>
      </c>
      <c r="AR23" s="427">
        <f t="shared" si="4"/>
        <v>112.77598276200001</v>
      </c>
      <c r="AS23" s="428">
        <f t="shared" si="5"/>
        <v>335.76308037540002</v>
      </c>
      <c r="AT23" s="429">
        <f t="shared" si="6"/>
        <v>14102.049375766801</v>
      </c>
      <c r="AU23" s="427">
        <f t="shared" si="7"/>
        <v>116.15926224486002</v>
      </c>
      <c r="AV23" s="428">
        <f t="shared" si="8"/>
        <v>345.83597278666201</v>
      </c>
      <c r="AW23" s="429">
        <f t="shared" si="9"/>
        <v>14525.110857039805</v>
      </c>
      <c r="AX23" s="427">
        <f t="shared" si="10"/>
        <v>119.64404011220581</v>
      </c>
      <c r="AY23" s="428">
        <f t="shared" si="11"/>
        <v>356.21105197026191</v>
      </c>
      <c r="AZ23" s="429">
        <f t="shared" si="12"/>
        <v>14960.864182751</v>
      </c>
      <c r="BA23" s="427">
        <f t="shared" si="13"/>
        <v>123.233361315572</v>
      </c>
      <c r="BB23" s="428">
        <f t="shared" si="0"/>
        <v>366.89738352936979</v>
      </c>
      <c r="BC23" s="429">
        <f t="shared" si="1"/>
        <v>15409.69010823353</v>
      </c>
    </row>
    <row r="24" spans="1:55"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4"/>
        <v>0</v>
      </c>
      <c r="AG24" s="222">
        <f t="shared" si="2"/>
        <v>0</v>
      </c>
      <c r="AH24" s="225">
        <f t="shared" si="2"/>
        <v>0</v>
      </c>
      <c r="AI24" s="223">
        <f t="shared" si="15"/>
        <v>0</v>
      </c>
      <c r="AJ24" s="222">
        <f t="shared" si="17"/>
        <v>0</v>
      </c>
      <c r="AK24" s="225">
        <f t="shared" si="17"/>
        <v>0</v>
      </c>
      <c r="AL24" s="223">
        <f t="shared" si="16"/>
        <v>0</v>
      </c>
      <c r="AM24" s="409" t="s">
        <v>107</v>
      </c>
      <c r="AN24" s="427">
        <v>22.213258100000004</v>
      </c>
      <c r="AO24" s="428">
        <v>348.18653128000005</v>
      </c>
      <c r="AP24" s="429">
        <v>14623.83431376</v>
      </c>
      <c r="AQ24" s="409" t="s">
        <v>107</v>
      </c>
      <c r="AR24" s="427">
        <f t="shared" si="4"/>
        <v>22.879655843000005</v>
      </c>
      <c r="AS24" s="428">
        <f t="shared" si="5"/>
        <v>358.63212721840006</v>
      </c>
      <c r="AT24" s="429">
        <f t="shared" si="6"/>
        <v>15062.549343172801</v>
      </c>
      <c r="AU24" s="427">
        <f t="shared" si="7"/>
        <v>23.566045518290007</v>
      </c>
      <c r="AV24" s="428">
        <f t="shared" si="8"/>
        <v>369.39109103495207</v>
      </c>
      <c r="AW24" s="429">
        <f t="shared" si="9"/>
        <v>15514.425823467986</v>
      </c>
      <c r="AX24" s="427">
        <f t="shared" si="10"/>
        <v>24.273026883838707</v>
      </c>
      <c r="AY24" s="428">
        <f t="shared" si="11"/>
        <v>380.47282376600066</v>
      </c>
      <c r="AZ24" s="429">
        <f t="shared" si="12"/>
        <v>15979.858598172026</v>
      </c>
      <c r="BA24" s="427">
        <f t="shared" si="13"/>
        <v>25.001217690353869</v>
      </c>
      <c r="BB24" s="428">
        <f t="shared" si="0"/>
        <v>391.8870084789807</v>
      </c>
      <c r="BC24" s="429">
        <f t="shared" si="1"/>
        <v>16459.254356117188</v>
      </c>
    </row>
    <row r="25" spans="1:55"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4"/>
        <v>3121.4399999999996</v>
      </c>
      <c r="AG25" s="173">
        <f t="shared" si="2"/>
        <v>76.549599999999998</v>
      </c>
      <c r="AH25" s="177">
        <f t="shared" si="2"/>
        <v>76.549599999999998</v>
      </c>
      <c r="AI25" s="174">
        <f t="shared" si="15"/>
        <v>3215.0832</v>
      </c>
      <c r="AJ25" s="173">
        <f t="shared" si="17"/>
        <v>78.846087999999995</v>
      </c>
      <c r="AK25" s="177">
        <f t="shared" si="17"/>
        <v>78.846087999999995</v>
      </c>
      <c r="AL25" s="174">
        <f t="shared" si="16"/>
        <v>3311.5356959999999</v>
      </c>
      <c r="AM25" s="411" t="s">
        <v>108</v>
      </c>
      <c r="AN25" s="430">
        <v>0</v>
      </c>
      <c r="AO25" s="431">
        <v>0</v>
      </c>
      <c r="AP25" s="432">
        <v>0</v>
      </c>
      <c r="AQ25" s="411" t="s">
        <v>108</v>
      </c>
      <c r="AR25" s="430">
        <f t="shared" si="4"/>
        <v>0</v>
      </c>
      <c r="AS25" s="431">
        <f t="shared" si="5"/>
        <v>0</v>
      </c>
      <c r="AT25" s="432">
        <f t="shared" si="6"/>
        <v>0</v>
      </c>
      <c r="AU25" s="430">
        <f t="shared" si="7"/>
        <v>0</v>
      </c>
      <c r="AV25" s="431">
        <f t="shared" si="8"/>
        <v>0</v>
      </c>
      <c r="AW25" s="432">
        <f t="shared" si="9"/>
        <v>0</v>
      </c>
      <c r="AX25" s="430">
        <f t="shared" si="10"/>
        <v>0</v>
      </c>
      <c r="AY25" s="431">
        <f t="shared" si="11"/>
        <v>0</v>
      </c>
      <c r="AZ25" s="432">
        <f t="shared" si="12"/>
        <v>0</v>
      </c>
      <c r="BA25" s="430">
        <f t="shared" si="13"/>
        <v>0</v>
      </c>
      <c r="BB25" s="431">
        <f t="shared" si="0"/>
        <v>0</v>
      </c>
      <c r="BC25" s="432">
        <f t="shared" si="1"/>
        <v>0</v>
      </c>
    </row>
    <row r="26" spans="1:55"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4"/>
        <v>6046.74</v>
      </c>
      <c r="AG26" s="173">
        <f t="shared" si="2"/>
        <v>148.28909999999999</v>
      </c>
      <c r="AH26" s="177">
        <f t="shared" si="2"/>
        <v>148.28909999999999</v>
      </c>
      <c r="AI26" s="174">
        <f t="shared" si="15"/>
        <v>6228.1421999999993</v>
      </c>
      <c r="AJ26" s="173">
        <f t="shared" si="17"/>
        <v>152.737773</v>
      </c>
      <c r="AK26" s="177">
        <f t="shared" si="17"/>
        <v>152.737773</v>
      </c>
      <c r="AL26" s="174">
        <f t="shared" si="16"/>
        <v>6414.9864660000003</v>
      </c>
      <c r="AM26" s="409" t="s">
        <v>99</v>
      </c>
      <c r="AN26" s="427">
        <v>81.211470640000002</v>
      </c>
      <c r="AO26" s="428">
        <v>81.211470640000002</v>
      </c>
      <c r="AP26" s="429">
        <v>3410.8817668800002</v>
      </c>
      <c r="AQ26" s="409" t="s">
        <v>99</v>
      </c>
      <c r="AR26" s="427">
        <f t="shared" si="4"/>
        <v>83.647814759200003</v>
      </c>
      <c r="AS26" s="428">
        <f t="shared" si="5"/>
        <v>83.647814759200003</v>
      </c>
      <c r="AT26" s="429">
        <f t="shared" si="6"/>
        <v>3513.2082198864005</v>
      </c>
      <c r="AU26" s="427">
        <f t="shared" si="7"/>
        <v>86.157249201976001</v>
      </c>
      <c r="AV26" s="428">
        <f t="shared" si="8"/>
        <v>86.157249201976001</v>
      </c>
      <c r="AW26" s="429">
        <f t="shared" si="9"/>
        <v>3618.6044664829924</v>
      </c>
      <c r="AX26" s="427">
        <f t="shared" si="10"/>
        <v>88.741966678035283</v>
      </c>
      <c r="AY26" s="428">
        <f t="shared" si="11"/>
        <v>88.741966678035283</v>
      </c>
      <c r="AZ26" s="429">
        <f t="shared" si="12"/>
        <v>3727.1626004774821</v>
      </c>
      <c r="BA26" s="427">
        <f t="shared" si="13"/>
        <v>91.404225678376349</v>
      </c>
      <c r="BB26" s="428">
        <f t="shared" si="0"/>
        <v>91.404225678376349</v>
      </c>
      <c r="BC26" s="429">
        <f t="shared" si="1"/>
        <v>3838.9774784918068</v>
      </c>
    </row>
    <row r="27" spans="1:55"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4"/>
        <v>7302.54</v>
      </c>
      <c r="AG27" s="180">
        <f t="shared" si="2"/>
        <v>30.797000000000001</v>
      </c>
      <c r="AH27" s="177">
        <f t="shared" si="2"/>
        <v>179.08610000000002</v>
      </c>
      <c r="AI27" s="181">
        <f t="shared" si="15"/>
        <v>7521.6162000000004</v>
      </c>
      <c r="AJ27" s="180">
        <f t="shared" si="17"/>
        <v>31.72091</v>
      </c>
      <c r="AK27" s="177">
        <f t="shared" si="17"/>
        <v>184.45868300000001</v>
      </c>
      <c r="AL27" s="181">
        <f t="shared" si="16"/>
        <v>7747.2646860000004</v>
      </c>
      <c r="AM27" s="409" t="s">
        <v>102</v>
      </c>
      <c r="AN27" s="427">
        <v>157.31990619000001</v>
      </c>
      <c r="AO27" s="428">
        <v>157.31990619000001</v>
      </c>
      <c r="AP27" s="429">
        <v>6607.4360599800002</v>
      </c>
      <c r="AQ27" s="409" t="s">
        <v>102</v>
      </c>
      <c r="AR27" s="427">
        <f t="shared" si="4"/>
        <v>162.03950337570001</v>
      </c>
      <c r="AS27" s="428">
        <f t="shared" si="5"/>
        <v>162.03950337570001</v>
      </c>
      <c r="AT27" s="429">
        <f t="shared" si="6"/>
        <v>6805.6591417794007</v>
      </c>
      <c r="AU27" s="427">
        <f t="shared" si="7"/>
        <v>166.900688476971</v>
      </c>
      <c r="AV27" s="428">
        <f t="shared" si="8"/>
        <v>166.900688476971</v>
      </c>
      <c r="AW27" s="429">
        <f t="shared" si="9"/>
        <v>7009.8289160327831</v>
      </c>
      <c r="AX27" s="427">
        <f t="shared" si="10"/>
        <v>171.90770913128014</v>
      </c>
      <c r="AY27" s="428">
        <f t="shared" si="11"/>
        <v>171.90770913128014</v>
      </c>
      <c r="AZ27" s="429">
        <f t="shared" si="12"/>
        <v>7220.1237835137672</v>
      </c>
      <c r="BA27" s="427">
        <f t="shared" si="13"/>
        <v>177.06494040521855</v>
      </c>
      <c r="BB27" s="428">
        <f t="shared" si="0"/>
        <v>177.06494040521855</v>
      </c>
      <c r="BC27" s="429">
        <f t="shared" si="1"/>
        <v>7436.7274970191802</v>
      </c>
    </row>
    <row r="28" spans="1:55"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4"/>
        <v>8321.8799999999992</v>
      </c>
      <c r="AG28" s="173">
        <f>AD28*(1+$AI$2)-0.01</f>
        <v>55.785100000000007</v>
      </c>
      <c r="AH28" s="177">
        <f t="shared" si="2"/>
        <v>204.08419999999998</v>
      </c>
      <c r="AI28" s="174">
        <f t="shared" si="15"/>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4"/>
        <v>33.652713419000001</v>
      </c>
      <c r="AS28" s="428">
        <f t="shared" si="5"/>
        <v>195.69221679470002</v>
      </c>
      <c r="AT28" s="429">
        <f t="shared" si="6"/>
        <v>8219.0731053774016</v>
      </c>
      <c r="AU28" s="427">
        <f t="shared" si="7"/>
        <v>34.662294821570001</v>
      </c>
      <c r="AV28" s="428">
        <f t="shared" si="8"/>
        <v>201.56298329854101</v>
      </c>
      <c r="AW28" s="429">
        <f t="shared" si="9"/>
        <v>8465.6452985387241</v>
      </c>
      <c r="AX28" s="427">
        <f t="shared" si="10"/>
        <v>35.702163666217103</v>
      </c>
      <c r="AY28" s="428">
        <f t="shared" si="11"/>
        <v>207.60987279749725</v>
      </c>
      <c r="AZ28" s="429">
        <f t="shared" si="12"/>
        <v>8719.6146574948853</v>
      </c>
      <c r="BA28" s="427">
        <f t="shared" si="13"/>
        <v>36.773228576203614</v>
      </c>
      <c r="BB28" s="428">
        <f t="shared" si="0"/>
        <v>213.83816898142217</v>
      </c>
      <c r="BC28" s="429">
        <f t="shared" si="1"/>
        <v>8981.2030972197317</v>
      </c>
    </row>
    <row r="29" spans="1:55"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4"/>
        <v>9247.14</v>
      </c>
      <c r="AG29" s="180">
        <f>AD29*(1+$AI$2)+0.01</f>
        <v>22.700900000000004</v>
      </c>
      <c r="AH29" s="177">
        <f t="shared" si="2"/>
        <v>226.77509999999998</v>
      </c>
      <c r="AI29" s="181">
        <f t="shared" si="15"/>
        <v>9524.5541999999987</v>
      </c>
      <c r="AJ29" s="180">
        <f>AG29*(1+$AI$2)+0.01</f>
        <v>23.391927000000006</v>
      </c>
      <c r="AK29" s="177">
        <f t="shared" si="17"/>
        <v>233.57835299999999</v>
      </c>
      <c r="AL29" s="181">
        <f t="shared" si="16"/>
        <v>9810.2908260000004</v>
      </c>
      <c r="AM29" s="409" t="s">
        <v>105</v>
      </c>
      <c r="AN29" s="427">
        <v>59.172112590000012</v>
      </c>
      <c r="AO29" s="428">
        <v>216.49232777999998</v>
      </c>
      <c r="AP29" s="429">
        <v>9092.6777667599981</v>
      </c>
      <c r="AQ29" s="409" t="s">
        <v>105</v>
      </c>
      <c r="AR29" s="427">
        <f t="shared" si="4"/>
        <v>60.947275967700016</v>
      </c>
      <c r="AS29" s="428">
        <f t="shared" si="5"/>
        <v>222.98709761339998</v>
      </c>
      <c r="AT29" s="429">
        <f t="shared" si="6"/>
        <v>9365.4580997627982</v>
      </c>
      <c r="AU29" s="427">
        <f t="shared" si="7"/>
        <v>62.775694246731021</v>
      </c>
      <c r="AV29" s="428">
        <f t="shared" si="8"/>
        <v>229.67671054180198</v>
      </c>
      <c r="AW29" s="429">
        <f t="shared" si="9"/>
        <v>9646.4218427556825</v>
      </c>
      <c r="AX29" s="427">
        <f t="shared" si="10"/>
        <v>64.658965074132951</v>
      </c>
      <c r="AY29" s="428">
        <f t="shared" si="11"/>
        <v>236.56701185805605</v>
      </c>
      <c r="AZ29" s="429">
        <f t="shared" si="12"/>
        <v>9935.8144980383531</v>
      </c>
      <c r="BA29" s="427">
        <f t="shared" si="13"/>
        <v>66.598734026356937</v>
      </c>
      <c r="BB29" s="428">
        <f t="shared" si="0"/>
        <v>243.66402221379775</v>
      </c>
      <c r="BC29" s="429">
        <f t="shared" si="1"/>
        <v>10233.888932979504</v>
      </c>
    </row>
    <row r="30" spans="1:55"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4"/>
        <v>11450.04</v>
      </c>
      <c r="AG30" s="173">
        <f>AD30*(1+$AI$2)+0.01</f>
        <v>76.724400000000017</v>
      </c>
      <c r="AH30" s="177">
        <f t="shared" si="2"/>
        <v>280.79860000000002</v>
      </c>
      <c r="AI30" s="174">
        <f t="shared" si="15"/>
        <v>11793.541200000001</v>
      </c>
      <c r="AJ30" s="173">
        <f t="shared" ref="AJ30:AJ35" si="18">AG30*(1+$AI$2)</f>
        <v>79.026132000000018</v>
      </c>
      <c r="AK30" s="177">
        <f>AH30*(1+$AI$2)-0.01</f>
        <v>289.21255800000006</v>
      </c>
      <c r="AL30" s="174">
        <f t="shared" si="16"/>
        <v>12146.927436000002</v>
      </c>
      <c r="AM30" s="409" t="s">
        <v>109</v>
      </c>
      <c r="AN30" s="427">
        <v>24.093684810000006</v>
      </c>
      <c r="AO30" s="428">
        <v>240.58570359000001</v>
      </c>
      <c r="AP30" s="429">
        <v>10104.59955078</v>
      </c>
      <c r="AQ30" s="409" t="s">
        <v>109</v>
      </c>
      <c r="AR30" s="427">
        <f t="shared" si="4"/>
        <v>24.816495354300006</v>
      </c>
      <c r="AS30" s="428">
        <f t="shared" si="5"/>
        <v>247.8032746977</v>
      </c>
      <c r="AT30" s="429">
        <f t="shared" si="6"/>
        <v>10407.737537303399</v>
      </c>
      <c r="AU30" s="427">
        <f t="shared" si="7"/>
        <v>25.560990214929006</v>
      </c>
      <c r="AV30" s="428">
        <f t="shared" si="8"/>
        <v>255.23737293863101</v>
      </c>
      <c r="AW30" s="429">
        <f t="shared" si="9"/>
        <v>10719.969663422502</v>
      </c>
      <c r="AX30" s="427">
        <f t="shared" si="10"/>
        <v>26.327819921376879</v>
      </c>
      <c r="AY30" s="428">
        <f t="shared" si="11"/>
        <v>262.89449412678994</v>
      </c>
      <c r="AZ30" s="429">
        <f t="shared" si="12"/>
        <v>11041.568753325177</v>
      </c>
      <c r="BA30" s="427">
        <f t="shared" si="13"/>
        <v>27.117654519018185</v>
      </c>
      <c r="BB30" s="428">
        <f t="shared" si="0"/>
        <v>270.78132895059366</v>
      </c>
      <c r="BC30" s="429">
        <f t="shared" si="1"/>
        <v>11372.815815924932</v>
      </c>
    </row>
    <row r="31" spans="1:55"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4"/>
        <v>14407.259999999998</v>
      </c>
      <c r="AG31" s="222">
        <f t="shared" si="2"/>
        <v>72.522300000000001</v>
      </c>
      <c r="AH31" s="225">
        <f t="shared" si="2"/>
        <v>353.32089999999999</v>
      </c>
      <c r="AI31" s="223">
        <f t="shared" si="15"/>
        <v>14839.477800000001</v>
      </c>
      <c r="AJ31" s="222">
        <f t="shared" si="18"/>
        <v>74.697969000000001</v>
      </c>
      <c r="AK31" s="225">
        <f>AH31*(1+$AI$2)-0.01</f>
        <v>363.910527</v>
      </c>
      <c r="AL31" s="223">
        <f t="shared" si="16"/>
        <v>15284.242134</v>
      </c>
      <c r="AM31" s="409" t="s">
        <v>110</v>
      </c>
      <c r="AN31" s="427">
        <v>81.396915960000015</v>
      </c>
      <c r="AO31" s="428">
        <v>297.88893474000008</v>
      </c>
      <c r="AP31" s="429">
        <v>12511.335259080002</v>
      </c>
      <c r="AQ31" s="409" t="s">
        <v>110</v>
      </c>
      <c r="AR31" s="427">
        <f t="shared" si="4"/>
        <v>83.83882343880002</v>
      </c>
      <c r="AS31" s="428">
        <f t="shared" si="5"/>
        <v>306.82560278220006</v>
      </c>
      <c r="AT31" s="429">
        <f t="shared" si="6"/>
        <v>12886.675316852403</v>
      </c>
      <c r="AU31" s="427">
        <f t="shared" si="7"/>
        <v>86.353988141964024</v>
      </c>
      <c r="AV31" s="428">
        <f t="shared" si="8"/>
        <v>316.0303708656661</v>
      </c>
      <c r="AW31" s="429">
        <f t="shared" si="9"/>
        <v>13273.275576357975</v>
      </c>
      <c r="AX31" s="427">
        <f t="shared" si="10"/>
        <v>88.944607786222946</v>
      </c>
      <c r="AY31" s="428">
        <f t="shared" si="11"/>
        <v>325.51128199163611</v>
      </c>
      <c r="AZ31" s="429">
        <f t="shared" si="12"/>
        <v>13671.473843648715</v>
      </c>
      <c r="BA31" s="427">
        <f t="shared" si="13"/>
        <v>91.612946019809641</v>
      </c>
      <c r="BB31" s="428">
        <f t="shared" si="0"/>
        <v>335.27662045138521</v>
      </c>
      <c r="BC31" s="429">
        <f t="shared" si="1"/>
        <v>14081.618058958176</v>
      </c>
    </row>
    <row r="32" spans="1:55"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4"/>
        <v>3121.4399999999996</v>
      </c>
      <c r="AG32" s="166">
        <f t="shared" si="2"/>
        <v>76.549599999999998</v>
      </c>
      <c r="AH32" s="170">
        <f t="shared" si="2"/>
        <v>76.549599999999998</v>
      </c>
      <c r="AI32" s="167">
        <f t="shared" si="15"/>
        <v>3215.0832</v>
      </c>
      <c r="AJ32" s="166">
        <f t="shared" si="18"/>
        <v>78.846087999999995</v>
      </c>
      <c r="AK32" s="170">
        <f t="shared" si="17"/>
        <v>78.846087999999995</v>
      </c>
      <c r="AL32" s="167">
        <f t="shared" si="16"/>
        <v>3311.5356959999999</v>
      </c>
      <c r="AM32" s="408" t="s">
        <v>111</v>
      </c>
      <c r="AN32" s="430">
        <v>76.938908069999997</v>
      </c>
      <c r="AO32" s="431">
        <v>374.82784280999999</v>
      </c>
      <c r="AP32" s="432">
        <v>15742.76939802</v>
      </c>
      <c r="AQ32" s="408" t="s">
        <v>111</v>
      </c>
      <c r="AR32" s="430">
        <f t="shared" si="4"/>
        <v>79.247075312099994</v>
      </c>
      <c r="AS32" s="431">
        <f t="shared" si="5"/>
        <v>386.07267809429999</v>
      </c>
      <c r="AT32" s="432">
        <f t="shared" si="6"/>
        <v>16215.052479960601</v>
      </c>
      <c r="AU32" s="430">
        <f t="shared" si="7"/>
        <v>81.624487571462993</v>
      </c>
      <c r="AV32" s="431">
        <f t="shared" si="8"/>
        <v>397.65485843712901</v>
      </c>
      <c r="AW32" s="432">
        <f t="shared" si="9"/>
        <v>16701.504054359419</v>
      </c>
      <c r="AX32" s="430">
        <f t="shared" si="10"/>
        <v>84.073222198606885</v>
      </c>
      <c r="AY32" s="431">
        <f t="shared" si="11"/>
        <v>409.58450419024291</v>
      </c>
      <c r="AZ32" s="432">
        <f t="shared" si="12"/>
        <v>17202.549175990203</v>
      </c>
      <c r="BA32" s="430">
        <f t="shared" si="13"/>
        <v>86.59541886456509</v>
      </c>
      <c r="BB32" s="431">
        <f t="shared" si="0"/>
        <v>421.87203931595019</v>
      </c>
      <c r="BC32" s="432">
        <f t="shared" si="1"/>
        <v>17718.625651269911</v>
      </c>
    </row>
    <row r="33" spans="1:55"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4"/>
        <v>6046.74</v>
      </c>
      <c r="AG33" s="173">
        <f t="shared" si="2"/>
        <v>148.28909999999999</v>
      </c>
      <c r="AH33" s="177">
        <f t="shared" si="2"/>
        <v>148.28909999999999</v>
      </c>
      <c r="AI33" s="174">
        <f t="shared" si="15"/>
        <v>6228.1421999999993</v>
      </c>
      <c r="AJ33" s="173">
        <f t="shared" si="18"/>
        <v>152.737773</v>
      </c>
      <c r="AK33" s="177">
        <f t="shared" si="17"/>
        <v>152.737773</v>
      </c>
      <c r="AL33" s="174">
        <f t="shared" si="16"/>
        <v>6414.9864660000003</v>
      </c>
      <c r="AM33" s="412" t="s">
        <v>99</v>
      </c>
      <c r="AN33" s="424">
        <v>81.211470640000002</v>
      </c>
      <c r="AO33" s="425">
        <v>81.211470640000002</v>
      </c>
      <c r="AP33" s="426">
        <v>3410.8817668800002</v>
      </c>
      <c r="AQ33" s="412" t="s">
        <v>99</v>
      </c>
      <c r="AR33" s="424">
        <f t="shared" si="4"/>
        <v>83.647814759200003</v>
      </c>
      <c r="AS33" s="425">
        <f t="shared" si="5"/>
        <v>83.647814759200003</v>
      </c>
      <c r="AT33" s="426">
        <f t="shared" si="6"/>
        <v>3513.2082198864005</v>
      </c>
      <c r="AU33" s="424">
        <f t="shared" si="7"/>
        <v>86.157249201976001</v>
      </c>
      <c r="AV33" s="425">
        <f t="shared" si="8"/>
        <v>86.157249201976001</v>
      </c>
      <c r="AW33" s="426">
        <f t="shared" si="9"/>
        <v>3618.6044664829924</v>
      </c>
      <c r="AX33" s="424">
        <f t="shared" si="10"/>
        <v>88.741966678035283</v>
      </c>
      <c r="AY33" s="425">
        <f t="shared" si="11"/>
        <v>88.741966678035283</v>
      </c>
      <c r="AZ33" s="426">
        <f t="shared" si="12"/>
        <v>3727.1626004774821</v>
      </c>
      <c r="BA33" s="424">
        <f t="shared" si="13"/>
        <v>91.404225678376349</v>
      </c>
      <c r="BB33" s="425">
        <f t="shared" si="0"/>
        <v>91.404225678376349</v>
      </c>
      <c r="BC33" s="426">
        <f t="shared" si="1"/>
        <v>3838.9774784918068</v>
      </c>
    </row>
    <row r="34" spans="1:55"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4"/>
        <v>12140.1</v>
      </c>
      <c r="AG34" s="180">
        <f t="shared" si="2"/>
        <v>15.553000000000001</v>
      </c>
      <c r="AH34" s="177">
        <f t="shared" si="2"/>
        <v>297.72149999999999</v>
      </c>
      <c r="AI34" s="181">
        <f t="shared" si="15"/>
        <v>12504.303</v>
      </c>
      <c r="AJ34" s="180">
        <f t="shared" si="18"/>
        <v>16.019590000000001</v>
      </c>
      <c r="AK34" s="177">
        <f t="shared" si="17"/>
        <v>306.65314499999999</v>
      </c>
      <c r="AL34" s="181">
        <f t="shared" si="16"/>
        <v>12879.43209</v>
      </c>
      <c r="AM34" s="409" t="s">
        <v>102</v>
      </c>
      <c r="AN34" s="427">
        <v>157.31990619000001</v>
      </c>
      <c r="AO34" s="428">
        <v>157.31990619000001</v>
      </c>
      <c r="AP34" s="429">
        <v>6607.4360599800002</v>
      </c>
      <c r="AQ34" s="409" t="s">
        <v>102</v>
      </c>
      <c r="AR34" s="427">
        <f t="shared" si="4"/>
        <v>162.03950337570001</v>
      </c>
      <c r="AS34" s="428">
        <f t="shared" si="5"/>
        <v>162.03950337570001</v>
      </c>
      <c r="AT34" s="429">
        <f t="shared" si="6"/>
        <v>6805.6591417794007</v>
      </c>
      <c r="AU34" s="427">
        <f t="shared" si="7"/>
        <v>166.900688476971</v>
      </c>
      <c r="AV34" s="428">
        <f t="shared" si="8"/>
        <v>166.900688476971</v>
      </c>
      <c r="AW34" s="429">
        <f t="shared" si="9"/>
        <v>7009.8289160327831</v>
      </c>
      <c r="AX34" s="427">
        <f t="shared" si="10"/>
        <v>171.90770913128014</v>
      </c>
      <c r="AY34" s="428">
        <f t="shared" si="11"/>
        <v>171.90770913128014</v>
      </c>
      <c r="AZ34" s="429">
        <f t="shared" si="12"/>
        <v>7220.1237835137672</v>
      </c>
      <c r="BA34" s="427">
        <f t="shared" si="13"/>
        <v>177.06494040521855</v>
      </c>
      <c r="BB34" s="428">
        <f t="shared" si="0"/>
        <v>177.06494040521855</v>
      </c>
      <c r="BC34" s="429">
        <f t="shared" si="1"/>
        <v>7436.7274970191802</v>
      </c>
    </row>
    <row r="35" spans="1:55"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4"/>
        <v>11505.9</v>
      </c>
      <c r="AG35" s="173">
        <f t="shared" si="2"/>
        <v>133.8794</v>
      </c>
      <c r="AH35" s="177">
        <f t="shared" si="2"/>
        <v>282.16849999999999</v>
      </c>
      <c r="AI35" s="174">
        <f t="shared" si="15"/>
        <v>11851.076999999999</v>
      </c>
      <c r="AJ35" s="173">
        <f t="shared" si="18"/>
        <v>137.895782</v>
      </c>
      <c r="AK35" s="177">
        <f t="shared" si="17"/>
        <v>290.633555</v>
      </c>
      <c r="AL35" s="174">
        <f t="shared" si="16"/>
        <v>12206.60931</v>
      </c>
      <c r="AM35" s="409" t="s">
        <v>112</v>
      </c>
      <c r="AN35" s="427">
        <v>16.500177700000002</v>
      </c>
      <c r="AO35" s="428">
        <v>315.85273934999998</v>
      </c>
      <c r="AP35" s="429">
        <v>13265.8150527</v>
      </c>
      <c r="AQ35" s="409" t="s">
        <v>112</v>
      </c>
      <c r="AR35" s="427">
        <f t="shared" si="4"/>
        <v>16.995183031000003</v>
      </c>
      <c r="AS35" s="428">
        <f t="shared" si="5"/>
        <v>325.32832153049998</v>
      </c>
      <c r="AT35" s="429">
        <f t="shared" si="6"/>
        <v>13663.789504281</v>
      </c>
      <c r="AU35" s="427">
        <f t="shared" si="7"/>
        <v>17.505038521930004</v>
      </c>
      <c r="AV35" s="428">
        <f t="shared" si="8"/>
        <v>335.08817117641496</v>
      </c>
      <c r="AW35" s="429">
        <f t="shared" si="9"/>
        <v>14073.703189409431</v>
      </c>
      <c r="AX35" s="427">
        <f t="shared" si="10"/>
        <v>18.030189677587906</v>
      </c>
      <c r="AY35" s="428">
        <f t="shared" si="11"/>
        <v>345.1408163117074</v>
      </c>
      <c r="AZ35" s="429">
        <f t="shared" si="12"/>
        <v>14495.914285091714</v>
      </c>
      <c r="BA35" s="427">
        <f t="shared" si="13"/>
        <v>18.571095367915543</v>
      </c>
      <c r="BB35" s="428">
        <f t="shared" si="0"/>
        <v>355.49504080105862</v>
      </c>
      <c r="BC35" s="429">
        <f t="shared" si="1"/>
        <v>14930.791713644467</v>
      </c>
    </row>
    <row r="36" spans="1:55"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4"/>
        <v>10618.02</v>
      </c>
      <c r="AG36" s="173">
        <f>AD36*(1+$AI$2)-0.01</f>
        <v>112.09520000000001</v>
      </c>
      <c r="AH36" s="177">
        <f>AE36*(1+$AI$2)</f>
        <v>260.39429999999999</v>
      </c>
      <c r="AI36" s="174">
        <f t="shared" si="15"/>
        <v>10936.560599999999</v>
      </c>
      <c r="AJ36" s="173">
        <f>AG36*(1+$AI$2)-0.01</f>
        <v>115.44805600000001</v>
      </c>
      <c r="AK36" s="177">
        <f>AH36*(1+$AI$2)-0.02</f>
        <v>268.18612899999999</v>
      </c>
      <c r="AL36" s="174">
        <f t="shared" si="16"/>
        <v>11263.817418000001</v>
      </c>
      <c r="AM36" s="409" t="s">
        <v>113</v>
      </c>
      <c r="AN36" s="427">
        <v>142.03265546</v>
      </c>
      <c r="AO36" s="428">
        <v>299.35256164999998</v>
      </c>
      <c r="AP36" s="429">
        <v>12572.8075893</v>
      </c>
      <c r="AQ36" s="409" t="s">
        <v>113</v>
      </c>
      <c r="AR36" s="427">
        <f t="shared" si="4"/>
        <v>146.29363512380002</v>
      </c>
      <c r="AS36" s="428">
        <f t="shared" si="5"/>
        <v>308.33313849949997</v>
      </c>
      <c r="AT36" s="429">
        <f t="shared" si="6"/>
        <v>12949.991816979002</v>
      </c>
      <c r="AU36" s="427">
        <f t="shared" si="7"/>
        <v>150.68244417751401</v>
      </c>
      <c r="AV36" s="428">
        <f t="shared" si="8"/>
        <v>317.58313265448498</v>
      </c>
      <c r="AW36" s="429">
        <f t="shared" si="9"/>
        <v>13338.491571488372</v>
      </c>
      <c r="AX36" s="427">
        <f t="shared" si="10"/>
        <v>155.20291750283943</v>
      </c>
      <c r="AY36" s="428">
        <f t="shared" si="11"/>
        <v>327.11062663411957</v>
      </c>
      <c r="AZ36" s="429">
        <f t="shared" si="12"/>
        <v>13738.646318633024</v>
      </c>
      <c r="BA36" s="427">
        <f t="shared" si="13"/>
        <v>159.85900502792461</v>
      </c>
      <c r="BB36" s="428">
        <f t="shared" si="0"/>
        <v>336.92394543314316</v>
      </c>
      <c r="BC36" s="429">
        <f t="shared" si="1"/>
        <v>14150.805708192014</v>
      </c>
    </row>
    <row r="37" spans="1:55"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4"/>
        <v>13098.54</v>
      </c>
      <c r="AG37" s="173">
        <f t="shared" si="2"/>
        <v>39.057600000000001</v>
      </c>
      <c r="AH37" s="177">
        <f t="shared" si="2"/>
        <v>321.22610000000003</v>
      </c>
      <c r="AI37" s="174">
        <f t="shared" si="15"/>
        <v>13491.496200000001</v>
      </c>
      <c r="AJ37" s="173">
        <f t="shared" ref="AJ37:AK47" si="19">AG37*(1+$AI$2)</f>
        <v>40.229328000000002</v>
      </c>
      <c r="AK37" s="177">
        <f>AH37*(1+$AI$2)</f>
        <v>330.86288300000007</v>
      </c>
      <c r="AL37" s="174">
        <f t="shared" si="16"/>
        <v>13896.241086000004</v>
      </c>
      <c r="AM37" s="409" t="s">
        <v>114</v>
      </c>
      <c r="AN37" s="427">
        <v>118.91149768000001</v>
      </c>
      <c r="AO37" s="428">
        <v>276.23171287000002</v>
      </c>
      <c r="AP37" s="429">
        <v>11601.731940540001</v>
      </c>
      <c r="AQ37" s="409" t="s">
        <v>114</v>
      </c>
      <c r="AR37" s="427">
        <f t="shared" si="4"/>
        <v>122.47884261040001</v>
      </c>
      <c r="AS37" s="428">
        <f t="shared" si="5"/>
        <v>284.51866425610001</v>
      </c>
      <c r="AT37" s="429">
        <f t="shared" si="6"/>
        <v>11949.783898756201</v>
      </c>
      <c r="AU37" s="427">
        <f t="shared" si="7"/>
        <v>126.15320788871202</v>
      </c>
      <c r="AV37" s="428">
        <f t="shared" si="8"/>
        <v>293.05422418378299</v>
      </c>
      <c r="AW37" s="429">
        <f t="shared" si="9"/>
        <v>12308.277415718887</v>
      </c>
      <c r="AX37" s="427">
        <f t="shared" si="10"/>
        <v>129.93780412537339</v>
      </c>
      <c r="AY37" s="428">
        <f t="shared" si="11"/>
        <v>301.84585090929647</v>
      </c>
      <c r="AZ37" s="429">
        <f t="shared" si="12"/>
        <v>12677.525738190454</v>
      </c>
      <c r="BA37" s="427">
        <f t="shared" si="13"/>
        <v>133.83593824913459</v>
      </c>
      <c r="BB37" s="428">
        <f t="shared" si="0"/>
        <v>310.90122643657537</v>
      </c>
      <c r="BC37" s="429">
        <f t="shared" si="1"/>
        <v>13057.851510336168</v>
      </c>
    </row>
    <row r="38" spans="1:55"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4"/>
        <v>14136.779999999999</v>
      </c>
      <c r="AG38" s="180">
        <f t="shared" si="2"/>
        <v>25.461600000000001</v>
      </c>
      <c r="AH38" s="177">
        <f t="shared" si="2"/>
        <v>346.68770000000001</v>
      </c>
      <c r="AI38" s="181">
        <f t="shared" si="15"/>
        <v>14560.883400000001</v>
      </c>
      <c r="AJ38" s="180">
        <f t="shared" si="19"/>
        <v>26.225448</v>
      </c>
      <c r="AK38" s="177">
        <f t="shared" si="19"/>
        <v>357.08833100000004</v>
      </c>
      <c r="AL38" s="181">
        <f t="shared" si="16"/>
        <v>14997.709902000002</v>
      </c>
      <c r="AM38" s="409" t="s">
        <v>115</v>
      </c>
      <c r="AN38" s="427">
        <v>41.435889570000022</v>
      </c>
      <c r="AO38" s="428">
        <v>340.78845122000001</v>
      </c>
      <c r="AP38" s="429">
        <v>14313.114951240001</v>
      </c>
      <c r="AQ38" s="409" t="s">
        <v>115</v>
      </c>
      <c r="AR38" s="427">
        <f t="shared" si="4"/>
        <v>42.678966257100022</v>
      </c>
      <c r="AS38" s="428">
        <f t="shared" si="5"/>
        <v>351.01210475660002</v>
      </c>
      <c r="AT38" s="429">
        <f t="shared" si="6"/>
        <v>14742.508399777202</v>
      </c>
      <c r="AU38" s="427">
        <f t="shared" si="7"/>
        <v>43.959335244813026</v>
      </c>
      <c r="AV38" s="428">
        <f t="shared" si="8"/>
        <v>361.54246789929806</v>
      </c>
      <c r="AW38" s="429">
        <f t="shared" si="9"/>
        <v>15184.783651770518</v>
      </c>
      <c r="AX38" s="427">
        <f t="shared" si="10"/>
        <v>45.278115302157417</v>
      </c>
      <c r="AY38" s="428">
        <f t="shared" si="11"/>
        <v>372.38874193627703</v>
      </c>
      <c r="AZ38" s="429">
        <f t="shared" si="12"/>
        <v>15640.327161323634</v>
      </c>
      <c r="BA38" s="427">
        <f t="shared" si="13"/>
        <v>46.636458761222144</v>
      </c>
      <c r="BB38" s="428">
        <f t="shared" si="0"/>
        <v>383.56040419436533</v>
      </c>
      <c r="BC38" s="429">
        <f t="shared" si="1"/>
        <v>16109.536976163343</v>
      </c>
    </row>
    <row r="39" spans="1:55"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4"/>
        <v>14641.2</v>
      </c>
      <c r="AG39" s="180">
        <f t="shared" si="2"/>
        <v>12.3703</v>
      </c>
      <c r="AH39" s="177">
        <f t="shared" si="2"/>
        <v>359.05800000000005</v>
      </c>
      <c r="AI39" s="181">
        <f t="shared" si="15"/>
        <v>15080.436000000002</v>
      </c>
      <c r="AJ39" s="180">
        <f t="shared" si="19"/>
        <v>12.741409000000001</v>
      </c>
      <c r="AK39" s="177">
        <f t="shared" si="19"/>
        <v>369.82974000000007</v>
      </c>
      <c r="AL39" s="181">
        <f t="shared" si="16"/>
        <v>15532.849080000004</v>
      </c>
      <c r="AM39" s="409" t="s">
        <v>116</v>
      </c>
      <c r="AN39" s="427">
        <v>27.012211440000002</v>
      </c>
      <c r="AO39" s="428">
        <v>367.80098093000004</v>
      </c>
      <c r="AP39" s="429">
        <v>15447.641199060003</v>
      </c>
      <c r="AQ39" s="409" t="s">
        <v>116</v>
      </c>
      <c r="AR39" s="427">
        <f t="shared" si="4"/>
        <v>27.822577783200003</v>
      </c>
      <c r="AS39" s="428">
        <f t="shared" si="5"/>
        <v>378.83501035790005</v>
      </c>
      <c r="AT39" s="429">
        <f t="shared" si="6"/>
        <v>15911.070435031803</v>
      </c>
      <c r="AU39" s="427">
        <f t="shared" si="7"/>
        <v>28.657255116696003</v>
      </c>
      <c r="AV39" s="428">
        <f t="shared" si="8"/>
        <v>390.20006066863704</v>
      </c>
      <c r="AW39" s="429">
        <f t="shared" si="9"/>
        <v>16388.402548082759</v>
      </c>
      <c r="AX39" s="427">
        <f t="shared" si="10"/>
        <v>29.516972770196883</v>
      </c>
      <c r="AY39" s="428">
        <f t="shared" si="11"/>
        <v>401.90606248869614</v>
      </c>
      <c r="AZ39" s="429">
        <f t="shared" si="12"/>
        <v>16880.054624525241</v>
      </c>
      <c r="BA39" s="427">
        <f t="shared" ref="BA39:BA61" si="20">AX39*(1+$BC$2)</f>
        <v>30.402481953302789</v>
      </c>
      <c r="BB39" s="428">
        <f t="shared" ref="BB39:BB61" si="21">AY39*(1+$BC$2)</f>
        <v>413.96324436335703</v>
      </c>
      <c r="BC39" s="429">
        <f t="shared" ref="BC39:BC61" si="22">AZ39*(1+$BC$2)</f>
        <v>17386.456263261</v>
      </c>
    </row>
    <row r="40" spans="1:55"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4"/>
        <v>14690.759999999998</v>
      </c>
      <c r="AG40" s="173">
        <f t="shared" si="2"/>
        <v>39.0473</v>
      </c>
      <c r="AH40" s="177">
        <f t="shared" si="2"/>
        <v>360.27339999999998</v>
      </c>
      <c r="AI40" s="174">
        <f t="shared" si="15"/>
        <v>15131.4828</v>
      </c>
      <c r="AJ40" s="173">
        <f t="shared" si="19"/>
        <v>40.218719</v>
      </c>
      <c r="AK40" s="441">
        <f t="shared" si="19"/>
        <v>371.08160199999998</v>
      </c>
      <c r="AL40" s="174">
        <f t="shared" si="16"/>
        <v>15585.427283999999</v>
      </c>
      <c r="AM40" s="409" t="s">
        <v>117</v>
      </c>
      <c r="AN40" s="427">
        <v>13.123651270000002</v>
      </c>
      <c r="AO40" s="428">
        <v>380.92463220000008</v>
      </c>
      <c r="AP40" s="429">
        <v>15998.834552400003</v>
      </c>
      <c r="AQ40" s="409" t="s">
        <v>117</v>
      </c>
      <c r="AR40" s="427">
        <f t="shared" si="4"/>
        <v>13.517360808100001</v>
      </c>
      <c r="AS40" s="428">
        <f t="shared" si="5"/>
        <v>392.35237116600007</v>
      </c>
      <c r="AT40" s="429">
        <f t="shared" si="6"/>
        <v>16478.799588972004</v>
      </c>
      <c r="AU40" s="427">
        <f t="shared" si="7"/>
        <v>13.922881632343001</v>
      </c>
      <c r="AV40" s="428">
        <f t="shared" si="8"/>
        <v>404.12294230098007</v>
      </c>
      <c r="AW40" s="429">
        <f t="shared" si="9"/>
        <v>16973.163576641164</v>
      </c>
      <c r="AX40" s="427">
        <f t="shared" si="10"/>
        <v>14.340568081313291</v>
      </c>
      <c r="AY40" s="428">
        <f t="shared" si="11"/>
        <v>416.24663057000947</v>
      </c>
      <c r="AZ40" s="429">
        <f t="shared" si="12"/>
        <v>17482.358483940399</v>
      </c>
      <c r="BA40" s="427">
        <f t="shared" si="20"/>
        <v>14.77078512375269</v>
      </c>
      <c r="BB40" s="428">
        <f t="shared" si="21"/>
        <v>428.73402948710975</v>
      </c>
      <c r="BC40" s="429">
        <f t="shared" si="22"/>
        <v>18006.829238458613</v>
      </c>
    </row>
    <row r="41" spans="1:55"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4"/>
        <v>0</v>
      </c>
      <c r="AG41" s="173">
        <f t="shared" si="2"/>
        <v>0</v>
      </c>
      <c r="AH41" s="177">
        <f t="shared" si="2"/>
        <v>0</v>
      </c>
      <c r="AI41" s="174">
        <f t="shared" si="15"/>
        <v>0</v>
      </c>
      <c r="AJ41" s="173">
        <f t="shared" si="19"/>
        <v>0</v>
      </c>
      <c r="AK41" s="177">
        <f t="shared" si="19"/>
        <v>0</v>
      </c>
      <c r="AL41" s="174">
        <f t="shared" si="16"/>
        <v>0</v>
      </c>
      <c r="AM41" s="409" t="s">
        <v>118</v>
      </c>
      <c r="AN41" s="427">
        <v>41.425280569999998</v>
      </c>
      <c r="AO41" s="441">
        <v>382.21405005999998</v>
      </c>
      <c r="AP41" s="429">
        <v>16052.99010252</v>
      </c>
      <c r="AQ41" s="409" t="s">
        <v>118</v>
      </c>
      <c r="AR41" s="427">
        <f t="shared" si="4"/>
        <v>42.668038987099997</v>
      </c>
      <c r="AS41" s="441">
        <f t="shared" si="5"/>
        <v>393.6804715618</v>
      </c>
      <c r="AT41" s="429">
        <f t="shared" si="6"/>
        <v>16534.5798055956</v>
      </c>
      <c r="AU41" s="427">
        <f t="shared" si="7"/>
        <v>43.948080156712997</v>
      </c>
      <c r="AV41" s="441">
        <f t="shared" si="8"/>
        <v>405.49088570865399</v>
      </c>
      <c r="AW41" s="429">
        <f t="shared" si="9"/>
        <v>17030.61719976347</v>
      </c>
      <c r="AX41" s="427">
        <f t="shared" si="10"/>
        <v>45.266522561414391</v>
      </c>
      <c r="AY41" s="441">
        <f>AV41*(1+$AZ$2)</f>
        <v>417.65561227991361</v>
      </c>
      <c r="AZ41" s="429">
        <f t="shared" si="12"/>
        <v>17541.535715756374</v>
      </c>
      <c r="BA41" s="427">
        <f t="shared" si="20"/>
        <v>46.624518238256826</v>
      </c>
      <c r="BB41" s="441">
        <f t="shared" si="21"/>
        <v>430.18528064831105</v>
      </c>
      <c r="BC41" s="429">
        <f t="shared" si="22"/>
        <v>18067.781787229065</v>
      </c>
    </row>
    <row r="42" spans="1:55"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4"/>
        <v>16795.38</v>
      </c>
      <c r="AG42" s="173">
        <f t="shared" si="2"/>
        <v>51.613300000000002</v>
      </c>
      <c r="AH42" s="177">
        <f t="shared" si="2"/>
        <v>411.88670000000002</v>
      </c>
      <c r="AI42" s="174">
        <f t="shared" si="15"/>
        <v>17299.241399999999</v>
      </c>
      <c r="AJ42" s="173">
        <f>AG42*(1+$AI$2)+0.01</f>
        <v>53.171699000000004</v>
      </c>
      <c r="AK42" s="177">
        <f>AH42*(1+$AI$2)+0.01</f>
        <v>424.25330100000002</v>
      </c>
      <c r="AL42" s="174">
        <f t="shared" si="16"/>
        <v>17818.638642000002</v>
      </c>
      <c r="AM42" s="409" t="s">
        <v>119</v>
      </c>
      <c r="AN42" s="427">
        <v>0</v>
      </c>
      <c r="AO42" s="428">
        <v>0</v>
      </c>
      <c r="AP42" s="429">
        <v>0</v>
      </c>
      <c r="AQ42" s="409" t="s">
        <v>119</v>
      </c>
      <c r="AR42" s="427">
        <f t="shared" si="4"/>
        <v>0</v>
      </c>
      <c r="AS42" s="428">
        <f t="shared" si="5"/>
        <v>0</v>
      </c>
      <c r="AT42" s="429">
        <f t="shared" si="6"/>
        <v>0</v>
      </c>
      <c r="AU42" s="427">
        <f t="shared" si="7"/>
        <v>0</v>
      </c>
      <c r="AV42" s="428">
        <f t="shared" si="8"/>
        <v>0</v>
      </c>
      <c r="AW42" s="429">
        <f t="shared" si="9"/>
        <v>0</v>
      </c>
      <c r="AX42" s="427">
        <f t="shared" si="10"/>
        <v>0</v>
      </c>
      <c r="AY42" s="428">
        <f t="shared" si="11"/>
        <v>0</v>
      </c>
      <c r="AZ42" s="429">
        <f t="shared" si="12"/>
        <v>0</v>
      </c>
      <c r="BA42" s="427">
        <f t="shared" si="20"/>
        <v>0</v>
      </c>
      <c r="BB42" s="428">
        <f t="shared" si="21"/>
        <v>0</v>
      </c>
      <c r="BC42" s="429">
        <f t="shared" si="22"/>
        <v>0</v>
      </c>
    </row>
    <row r="43" spans="1:55"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4"/>
        <v>18900.84</v>
      </c>
      <c r="AG43" s="173">
        <f t="shared" si="2"/>
        <v>51.613300000000002</v>
      </c>
      <c r="AH43" s="177">
        <f t="shared" si="2"/>
        <v>463.5206</v>
      </c>
      <c r="AI43" s="174">
        <f t="shared" si="15"/>
        <v>19467.8652</v>
      </c>
      <c r="AJ43" s="173">
        <f>AG43*(1+$AI$2)+0.01</f>
        <v>53.171699000000004</v>
      </c>
      <c r="AK43" s="177">
        <f>AH43*(1+$AI$2)</f>
        <v>477.42621800000001</v>
      </c>
      <c r="AL43" s="174">
        <f t="shared" si="16"/>
        <v>20051.901156</v>
      </c>
      <c r="AM43" s="409" t="s">
        <v>120</v>
      </c>
      <c r="AN43" s="427">
        <v>54.766849970000003</v>
      </c>
      <c r="AO43" s="428">
        <v>436.98090003000004</v>
      </c>
      <c r="AP43" s="429">
        <v>18353.197801260001</v>
      </c>
      <c r="AQ43" s="409" t="s">
        <v>120</v>
      </c>
      <c r="AR43" s="427">
        <f t="shared" si="4"/>
        <v>56.409855469100002</v>
      </c>
      <c r="AS43" s="428">
        <f t="shared" si="5"/>
        <v>450.09032703090008</v>
      </c>
      <c r="AT43" s="429">
        <f t="shared" si="6"/>
        <v>18903.793735297801</v>
      </c>
      <c r="AU43" s="427">
        <f t="shared" si="7"/>
        <v>58.102151133173003</v>
      </c>
      <c r="AV43" s="428">
        <f t="shared" si="8"/>
        <v>463.59303684182709</v>
      </c>
      <c r="AW43" s="429">
        <f t="shared" si="9"/>
        <v>19470.907547356735</v>
      </c>
      <c r="AX43" s="427">
        <f t="shared" si="10"/>
        <v>59.845215667168198</v>
      </c>
      <c r="AY43" s="428">
        <f t="shared" si="11"/>
        <v>477.50082794708192</v>
      </c>
      <c r="AZ43" s="429">
        <f t="shared" si="12"/>
        <v>20055.034773777439</v>
      </c>
      <c r="BA43" s="427">
        <f t="shared" si="20"/>
        <v>61.640572137183248</v>
      </c>
      <c r="BB43" s="428">
        <f t="shared" si="21"/>
        <v>491.82585278549436</v>
      </c>
      <c r="BC43" s="429">
        <f t="shared" si="22"/>
        <v>20656.685816990765</v>
      </c>
    </row>
    <row r="44" spans="1:55"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4"/>
        <v>16796.22</v>
      </c>
      <c r="AG44" s="222">
        <f t="shared" si="2"/>
        <v>411.90730000000002</v>
      </c>
      <c r="AH44" s="225">
        <f t="shared" si="2"/>
        <v>411.90730000000002</v>
      </c>
      <c r="AI44" s="223">
        <f t="shared" si="15"/>
        <v>17300.106599999999</v>
      </c>
      <c r="AJ44" s="222">
        <f>AG44*(1+$AI$2)</f>
        <v>424.26451900000001</v>
      </c>
      <c r="AK44" s="225">
        <f>AH44*(1+$AI$2)</f>
        <v>424.26451900000001</v>
      </c>
      <c r="AL44" s="223">
        <f t="shared" si="16"/>
        <v>17819.109798000001</v>
      </c>
      <c r="AM44" s="409" t="s">
        <v>121</v>
      </c>
      <c r="AN44" s="427">
        <v>54.766849970000003</v>
      </c>
      <c r="AO44" s="428">
        <v>491.74900454000004</v>
      </c>
      <c r="AP44" s="429">
        <v>20653.458190680001</v>
      </c>
      <c r="AQ44" s="409" t="s">
        <v>121</v>
      </c>
      <c r="AR44" s="427">
        <f t="shared" si="4"/>
        <v>56.409855469100002</v>
      </c>
      <c r="AS44" s="428">
        <f t="shared" si="5"/>
        <v>506.50147467620008</v>
      </c>
      <c r="AT44" s="429">
        <f t="shared" si="6"/>
        <v>21273.061936400401</v>
      </c>
      <c r="AU44" s="427">
        <f t="shared" si="7"/>
        <v>58.102151133173003</v>
      </c>
      <c r="AV44" s="428">
        <f t="shared" si="8"/>
        <v>521.69651891648607</v>
      </c>
      <c r="AW44" s="429">
        <f t="shared" si="9"/>
        <v>21911.253794492415</v>
      </c>
      <c r="AX44" s="427">
        <f t="shared" si="10"/>
        <v>59.845215667168198</v>
      </c>
      <c r="AY44" s="428">
        <f t="shared" si="11"/>
        <v>537.34741448398063</v>
      </c>
      <c r="AZ44" s="429">
        <f t="shared" si="12"/>
        <v>22568.591408327189</v>
      </c>
      <c r="BA44" s="427">
        <f t="shared" si="20"/>
        <v>61.640572137183248</v>
      </c>
      <c r="BB44" s="428">
        <f t="shared" si="21"/>
        <v>553.4678369185001</v>
      </c>
      <c r="BC44" s="429">
        <f t="shared" si="22"/>
        <v>23245.649150577006</v>
      </c>
    </row>
    <row r="45" spans="1:55"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4"/>
        <v>3121.4399999999996</v>
      </c>
      <c r="AG45" s="166">
        <f t="shared" si="2"/>
        <v>76.549599999999998</v>
      </c>
      <c r="AH45" s="170">
        <f t="shared" si="2"/>
        <v>76.549599999999998</v>
      </c>
      <c r="AI45" s="167">
        <f t="shared" si="15"/>
        <v>3215.0832</v>
      </c>
      <c r="AJ45" s="166">
        <f t="shared" si="19"/>
        <v>78.846087999999995</v>
      </c>
      <c r="AK45" s="170">
        <f t="shared" si="19"/>
        <v>78.846087999999995</v>
      </c>
      <c r="AL45" s="167">
        <f t="shared" si="16"/>
        <v>3311.5356959999999</v>
      </c>
      <c r="AM45" s="408" t="s">
        <v>122</v>
      </c>
      <c r="AN45" s="430">
        <v>436.99245457000001</v>
      </c>
      <c r="AO45" s="431">
        <v>436.99245457000001</v>
      </c>
      <c r="AP45" s="432">
        <v>18353.683091940002</v>
      </c>
      <c r="AQ45" s="408" t="s">
        <v>122</v>
      </c>
      <c r="AR45" s="430">
        <f t="shared" si="4"/>
        <v>450.10222820710004</v>
      </c>
      <c r="AS45" s="431">
        <f t="shared" si="5"/>
        <v>450.10222820710004</v>
      </c>
      <c r="AT45" s="432">
        <f t="shared" si="6"/>
        <v>18904.293584698204</v>
      </c>
      <c r="AU45" s="430">
        <f t="shared" si="7"/>
        <v>463.60529505331306</v>
      </c>
      <c r="AV45" s="431">
        <f t="shared" si="8"/>
        <v>463.60529505331306</v>
      </c>
      <c r="AW45" s="432">
        <f t="shared" si="9"/>
        <v>19471.42239223915</v>
      </c>
      <c r="AX45" s="430">
        <f t="shared" si="10"/>
        <v>477.51345390491247</v>
      </c>
      <c r="AY45" s="431">
        <f t="shared" si="11"/>
        <v>477.51345390491247</v>
      </c>
      <c r="AZ45" s="432">
        <f t="shared" si="12"/>
        <v>20055.565064006325</v>
      </c>
      <c r="BA45" s="430">
        <f t="shared" si="20"/>
        <v>491.83885752205987</v>
      </c>
      <c r="BB45" s="431">
        <f t="shared" si="21"/>
        <v>491.83885752205987</v>
      </c>
      <c r="BC45" s="432">
        <f t="shared" si="22"/>
        <v>20657.232015926515</v>
      </c>
    </row>
    <row r="46" spans="1:55"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4"/>
        <v>6046.74</v>
      </c>
      <c r="AG46" s="173">
        <f t="shared" si="2"/>
        <v>148.28909999999999</v>
      </c>
      <c r="AH46" s="177">
        <f t="shared" si="2"/>
        <v>148.28909999999999</v>
      </c>
      <c r="AI46" s="174">
        <f t="shared" si="15"/>
        <v>6228.1421999999993</v>
      </c>
      <c r="AJ46" s="173">
        <f t="shared" si="19"/>
        <v>152.737773</v>
      </c>
      <c r="AK46" s="177">
        <f t="shared" si="19"/>
        <v>152.737773</v>
      </c>
      <c r="AL46" s="174">
        <f t="shared" si="16"/>
        <v>6414.9864660000003</v>
      </c>
      <c r="AM46" s="409" t="s">
        <v>99</v>
      </c>
      <c r="AN46" s="424">
        <v>81.211470640000002</v>
      </c>
      <c r="AO46" s="425">
        <v>81.211470640000002</v>
      </c>
      <c r="AP46" s="426">
        <v>3410.8817668800002</v>
      </c>
      <c r="AQ46" s="409" t="s">
        <v>99</v>
      </c>
      <c r="AR46" s="424">
        <f t="shared" si="4"/>
        <v>83.647814759200003</v>
      </c>
      <c r="AS46" s="425">
        <f t="shared" si="5"/>
        <v>83.647814759200003</v>
      </c>
      <c r="AT46" s="426">
        <f t="shared" si="6"/>
        <v>3513.2082198864005</v>
      </c>
      <c r="AU46" s="424">
        <f t="shared" si="7"/>
        <v>86.157249201976001</v>
      </c>
      <c r="AV46" s="425">
        <f t="shared" si="8"/>
        <v>86.157249201976001</v>
      </c>
      <c r="AW46" s="426">
        <f t="shared" si="9"/>
        <v>3618.6044664829924</v>
      </c>
      <c r="AX46" s="424">
        <f t="shared" si="10"/>
        <v>88.741966678035283</v>
      </c>
      <c r="AY46" s="425">
        <f t="shared" si="11"/>
        <v>88.741966678035283</v>
      </c>
      <c r="AZ46" s="426">
        <f t="shared" si="12"/>
        <v>3727.1626004774821</v>
      </c>
      <c r="BA46" s="424">
        <f t="shared" si="20"/>
        <v>91.404225678376349</v>
      </c>
      <c r="BB46" s="425">
        <f t="shared" si="21"/>
        <v>91.404225678376349</v>
      </c>
      <c r="BC46" s="426">
        <f t="shared" si="22"/>
        <v>3838.9774784918068</v>
      </c>
    </row>
    <row r="47" spans="1:55"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4"/>
        <v>7302.54</v>
      </c>
      <c r="AG47" s="180">
        <f t="shared" si="2"/>
        <v>30.797000000000001</v>
      </c>
      <c r="AH47" s="177">
        <f t="shared" si="2"/>
        <v>179.08610000000002</v>
      </c>
      <c r="AI47" s="181">
        <f t="shared" si="15"/>
        <v>7521.6162000000004</v>
      </c>
      <c r="AJ47" s="180">
        <f t="shared" si="19"/>
        <v>31.72091</v>
      </c>
      <c r="AK47" s="177">
        <f t="shared" si="19"/>
        <v>184.45868300000001</v>
      </c>
      <c r="AL47" s="181">
        <f t="shared" si="16"/>
        <v>7747.2646860000004</v>
      </c>
      <c r="AM47" s="409" t="s">
        <v>102</v>
      </c>
      <c r="AN47" s="427">
        <v>157.31990619000001</v>
      </c>
      <c r="AO47" s="428">
        <v>157.31990619000001</v>
      </c>
      <c r="AP47" s="429">
        <v>6607.4360599800002</v>
      </c>
      <c r="AQ47" s="409" t="s">
        <v>102</v>
      </c>
      <c r="AR47" s="427">
        <f t="shared" si="4"/>
        <v>162.03950337570001</v>
      </c>
      <c r="AS47" s="428">
        <f t="shared" si="5"/>
        <v>162.03950337570001</v>
      </c>
      <c r="AT47" s="429">
        <f t="shared" si="6"/>
        <v>6805.6591417794007</v>
      </c>
      <c r="AU47" s="427">
        <f t="shared" si="7"/>
        <v>166.900688476971</v>
      </c>
      <c r="AV47" s="428">
        <f t="shared" si="8"/>
        <v>166.900688476971</v>
      </c>
      <c r="AW47" s="429">
        <f t="shared" si="9"/>
        <v>7009.8289160327831</v>
      </c>
      <c r="AX47" s="427">
        <f t="shared" si="10"/>
        <v>171.90770913128014</v>
      </c>
      <c r="AY47" s="428">
        <f t="shared" si="11"/>
        <v>171.90770913128014</v>
      </c>
      <c r="AZ47" s="429">
        <f t="shared" si="12"/>
        <v>7220.1237835137672</v>
      </c>
      <c r="BA47" s="427">
        <f t="shared" si="20"/>
        <v>177.06494040521855</v>
      </c>
      <c r="BB47" s="428">
        <f t="shared" si="21"/>
        <v>177.06494040521855</v>
      </c>
      <c r="BC47" s="429">
        <f t="shared" si="22"/>
        <v>7436.7274970191802</v>
      </c>
    </row>
    <row r="48" spans="1:55"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4"/>
        <v>8321.8799999999992</v>
      </c>
      <c r="AG48" s="173">
        <f>AD48*(1+$AI$2)-0.01</f>
        <v>55.785100000000007</v>
      </c>
      <c r="AH48" s="177">
        <f>AE48*(1+$AI$2)</f>
        <v>204.08419999999998</v>
      </c>
      <c r="AI48" s="174">
        <f t="shared" si="15"/>
        <v>8571.536399999999</v>
      </c>
      <c r="AJ48" s="173">
        <f>AG48*(1+$AI$2)-0.01</f>
        <v>57.448653000000007</v>
      </c>
      <c r="AK48" s="177">
        <f>AH48*(1+$AI$2)-0.02</f>
        <v>210.18672599999996</v>
      </c>
      <c r="AL48" s="174">
        <f t="shared" si="16"/>
        <v>8827.8424919999979</v>
      </c>
      <c r="AM48" s="409" t="s">
        <v>104</v>
      </c>
      <c r="AN48" s="427">
        <v>32.672537300000002</v>
      </c>
      <c r="AO48" s="428">
        <v>189.99244349</v>
      </c>
      <c r="AP48" s="429">
        <v>7979.6826265800009</v>
      </c>
      <c r="AQ48" s="409" t="s">
        <v>104</v>
      </c>
      <c r="AR48" s="427">
        <f t="shared" si="4"/>
        <v>33.652713419000001</v>
      </c>
      <c r="AS48" s="428">
        <f t="shared" si="5"/>
        <v>195.69221679470002</v>
      </c>
      <c r="AT48" s="429">
        <f t="shared" si="6"/>
        <v>8219.0731053774016</v>
      </c>
      <c r="AU48" s="427">
        <f t="shared" si="7"/>
        <v>34.662294821570001</v>
      </c>
      <c r="AV48" s="428">
        <f t="shared" si="8"/>
        <v>201.56298329854101</v>
      </c>
      <c r="AW48" s="429">
        <f t="shared" si="9"/>
        <v>8465.6452985387241</v>
      </c>
      <c r="AX48" s="427">
        <f t="shared" si="10"/>
        <v>35.702163666217103</v>
      </c>
      <c r="AY48" s="428">
        <f t="shared" si="11"/>
        <v>207.60987279749725</v>
      </c>
      <c r="AZ48" s="429">
        <f t="shared" si="12"/>
        <v>8719.6146574948853</v>
      </c>
      <c r="BA48" s="427">
        <f t="shared" si="20"/>
        <v>36.773228576203614</v>
      </c>
      <c r="BB48" s="428">
        <f t="shared" si="21"/>
        <v>213.83816898142217</v>
      </c>
      <c r="BC48" s="429">
        <f t="shared" si="22"/>
        <v>8981.2030972197317</v>
      </c>
    </row>
    <row r="49" spans="1:55"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4"/>
        <v>13098.12</v>
      </c>
      <c r="AG49" s="173">
        <f>AD49*(1+$AI$2)+0.01</f>
        <v>117.14160000000001</v>
      </c>
      <c r="AH49" s="177">
        <f>AH48+AG49</f>
        <v>321.22579999999999</v>
      </c>
      <c r="AI49" s="174">
        <f t="shared" si="15"/>
        <v>13491.4836</v>
      </c>
      <c r="AJ49" s="173">
        <f>AG49*(1+$AI$2)+0.02</f>
        <v>120.67584800000002</v>
      </c>
      <c r="AK49" s="177">
        <f>AK48+AJ49</f>
        <v>330.862574</v>
      </c>
      <c r="AL49" s="174">
        <f t="shared" si="16"/>
        <v>13896.228107999999</v>
      </c>
      <c r="AM49" s="409" t="s">
        <v>105</v>
      </c>
      <c r="AN49" s="427">
        <v>59.172112590000012</v>
      </c>
      <c r="AO49" s="428">
        <v>216.49232777999998</v>
      </c>
      <c r="AP49" s="429">
        <v>9092.6777667599981</v>
      </c>
      <c r="AQ49" s="409" t="s">
        <v>105</v>
      </c>
      <c r="AR49" s="427">
        <f t="shared" si="4"/>
        <v>60.947275967700016</v>
      </c>
      <c r="AS49" s="428">
        <f t="shared" si="5"/>
        <v>222.98709761339998</v>
      </c>
      <c r="AT49" s="429">
        <f t="shared" si="6"/>
        <v>9365.4580997627982</v>
      </c>
      <c r="AU49" s="427">
        <f t="shared" si="7"/>
        <v>62.775694246731021</v>
      </c>
      <c r="AV49" s="428">
        <f t="shared" si="8"/>
        <v>229.67671054180198</v>
      </c>
      <c r="AW49" s="429">
        <f t="shared" si="9"/>
        <v>9646.4218427556825</v>
      </c>
      <c r="AX49" s="427">
        <f t="shared" si="10"/>
        <v>64.658965074132951</v>
      </c>
      <c r="AY49" s="428">
        <f t="shared" si="11"/>
        <v>236.56701185805605</v>
      </c>
      <c r="AZ49" s="429">
        <f t="shared" si="12"/>
        <v>9935.8144980383531</v>
      </c>
      <c r="BA49" s="427">
        <f t="shared" si="20"/>
        <v>66.598734026356937</v>
      </c>
      <c r="BB49" s="428">
        <f t="shared" si="21"/>
        <v>243.66402221379775</v>
      </c>
      <c r="BC49" s="429">
        <f t="shared" si="22"/>
        <v>10233.888932979504</v>
      </c>
    </row>
    <row r="50" spans="1:55"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4"/>
        <v>13098.12</v>
      </c>
      <c r="AG50" s="222">
        <f>AD50*(1+$AI$2)+0.01</f>
        <v>117.14160000000001</v>
      </c>
      <c r="AH50" s="225">
        <f>AH48+AG50</f>
        <v>321.22579999999999</v>
      </c>
      <c r="AI50" s="223">
        <f t="shared" si="15"/>
        <v>13491.4836</v>
      </c>
      <c r="AJ50" s="222">
        <f>AG50*(1+$AI$2)+0.02</f>
        <v>120.67584800000002</v>
      </c>
      <c r="AK50" s="225">
        <f>AK48+AJ50</f>
        <v>330.862574</v>
      </c>
      <c r="AL50" s="223">
        <f t="shared" si="16"/>
        <v>13896.228107999999</v>
      </c>
      <c r="AM50" s="409" t="s">
        <v>123</v>
      </c>
      <c r="AN50" s="427">
        <v>124.29612344000002</v>
      </c>
      <c r="AO50" s="428">
        <v>340.78845122000001</v>
      </c>
      <c r="AP50" s="429">
        <v>14313.114951239999</v>
      </c>
      <c r="AQ50" s="409" t="s">
        <v>123</v>
      </c>
      <c r="AR50" s="427">
        <f t="shared" si="4"/>
        <v>128.02500714320001</v>
      </c>
      <c r="AS50" s="428">
        <f t="shared" si="5"/>
        <v>351.01210475660002</v>
      </c>
      <c r="AT50" s="429">
        <f t="shared" si="6"/>
        <v>14742.5083997772</v>
      </c>
      <c r="AU50" s="427">
        <f t="shared" si="7"/>
        <v>131.86575735749602</v>
      </c>
      <c r="AV50" s="428">
        <f t="shared" si="8"/>
        <v>361.54246789929806</v>
      </c>
      <c r="AW50" s="429">
        <f t="shared" si="9"/>
        <v>15184.783651770516</v>
      </c>
      <c r="AX50" s="427">
        <f t="shared" si="10"/>
        <v>135.8217300782209</v>
      </c>
      <c r="AY50" s="428">
        <f t="shared" si="11"/>
        <v>372.38874193627703</v>
      </c>
      <c r="AZ50" s="429">
        <f t="shared" si="12"/>
        <v>15640.327161323632</v>
      </c>
      <c r="BA50" s="427">
        <f t="shared" si="20"/>
        <v>139.89638198056753</v>
      </c>
      <c r="BB50" s="428">
        <f t="shared" si="21"/>
        <v>383.56040419436533</v>
      </c>
      <c r="BC50" s="429">
        <f t="shared" si="22"/>
        <v>16109.536976163341</v>
      </c>
    </row>
    <row r="51" spans="1:55"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4"/>
        <v>3121.4399999999996</v>
      </c>
      <c r="AG51" s="166">
        <f t="shared" ref="AG51:AH54" si="23">AD51*(1+$AI$2)</f>
        <v>76.549599999999998</v>
      </c>
      <c r="AH51" s="170">
        <f t="shared" si="23"/>
        <v>76.549599999999998</v>
      </c>
      <c r="AI51" s="167">
        <f t="shared" si="15"/>
        <v>3215.0832</v>
      </c>
      <c r="AJ51" s="166">
        <f t="shared" ref="AJ51:AK53" si="24">AG51*(1+$AI$2)</f>
        <v>78.846087999999995</v>
      </c>
      <c r="AK51" s="170">
        <f t="shared" si="24"/>
        <v>78.846087999999995</v>
      </c>
      <c r="AL51" s="167">
        <f t="shared" si="16"/>
        <v>3311.5356959999999</v>
      </c>
      <c r="AM51" s="408" t="s">
        <v>124</v>
      </c>
      <c r="AN51" s="430">
        <v>124.29612344000002</v>
      </c>
      <c r="AO51" s="433">
        <v>340.78845122000001</v>
      </c>
      <c r="AP51" s="432">
        <v>14313.114951239999</v>
      </c>
      <c r="AQ51" s="408" t="s">
        <v>124</v>
      </c>
      <c r="AR51" s="430">
        <f t="shared" si="4"/>
        <v>128.02500714320001</v>
      </c>
      <c r="AS51" s="433">
        <f t="shared" si="5"/>
        <v>351.01210475660002</v>
      </c>
      <c r="AT51" s="432">
        <f t="shared" si="6"/>
        <v>14742.5083997772</v>
      </c>
      <c r="AU51" s="430">
        <f t="shared" si="7"/>
        <v>131.86575735749602</v>
      </c>
      <c r="AV51" s="433">
        <f t="shared" si="8"/>
        <v>361.54246789929806</v>
      </c>
      <c r="AW51" s="432">
        <f t="shared" si="9"/>
        <v>15184.783651770516</v>
      </c>
      <c r="AX51" s="430">
        <f t="shared" si="10"/>
        <v>135.8217300782209</v>
      </c>
      <c r="AY51" s="433">
        <f t="shared" si="11"/>
        <v>372.38874193627703</v>
      </c>
      <c r="AZ51" s="432">
        <f t="shared" si="12"/>
        <v>15640.327161323632</v>
      </c>
      <c r="BA51" s="430">
        <f t="shared" si="20"/>
        <v>139.89638198056753</v>
      </c>
      <c r="BB51" s="433">
        <f t="shared" si="21"/>
        <v>383.56040419436533</v>
      </c>
      <c r="BC51" s="432">
        <f t="shared" si="22"/>
        <v>16109.536976163341</v>
      </c>
    </row>
    <row r="52" spans="1:55"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4"/>
        <v>6046.74</v>
      </c>
      <c r="AG52" s="173">
        <f t="shared" si="23"/>
        <v>148.28909999999999</v>
      </c>
      <c r="AH52" s="177">
        <f t="shared" si="23"/>
        <v>148.28909999999999</v>
      </c>
      <c r="AI52" s="174">
        <f t="shared" si="15"/>
        <v>6228.1421999999993</v>
      </c>
      <c r="AJ52" s="173">
        <f t="shared" si="24"/>
        <v>152.737773</v>
      </c>
      <c r="AK52" s="177">
        <f t="shared" si="24"/>
        <v>152.737773</v>
      </c>
      <c r="AL52" s="174">
        <f t="shared" si="16"/>
        <v>6414.9864660000003</v>
      </c>
      <c r="AM52" s="412" t="s">
        <v>99</v>
      </c>
      <c r="AN52" s="424">
        <v>81.211470640000002</v>
      </c>
      <c r="AO52" s="425">
        <v>81.211470640000002</v>
      </c>
      <c r="AP52" s="426">
        <v>3410.8817668800002</v>
      </c>
      <c r="AQ52" s="412" t="s">
        <v>99</v>
      </c>
      <c r="AR52" s="424">
        <f t="shared" si="4"/>
        <v>83.647814759200003</v>
      </c>
      <c r="AS52" s="425">
        <f t="shared" si="5"/>
        <v>83.647814759200003</v>
      </c>
      <c r="AT52" s="426">
        <f t="shared" si="6"/>
        <v>3513.2082198864005</v>
      </c>
      <c r="AU52" s="424">
        <f t="shared" si="7"/>
        <v>86.157249201976001</v>
      </c>
      <c r="AV52" s="425">
        <f t="shared" si="8"/>
        <v>86.157249201976001</v>
      </c>
      <c r="AW52" s="426">
        <f t="shared" si="9"/>
        <v>3618.6044664829924</v>
      </c>
      <c r="AX52" s="424">
        <f t="shared" si="10"/>
        <v>88.741966678035283</v>
      </c>
      <c r="AY52" s="425">
        <f t="shared" si="11"/>
        <v>88.741966678035283</v>
      </c>
      <c r="AZ52" s="426">
        <f t="shared" si="12"/>
        <v>3727.1626004774821</v>
      </c>
      <c r="BA52" s="424">
        <f t="shared" si="20"/>
        <v>91.404225678376349</v>
      </c>
      <c r="BB52" s="425">
        <f t="shared" si="21"/>
        <v>91.404225678376349</v>
      </c>
      <c r="BC52" s="426">
        <f t="shared" si="22"/>
        <v>3838.9774784918068</v>
      </c>
    </row>
    <row r="53" spans="1:55"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4"/>
        <v>7302.54</v>
      </c>
      <c r="AG53" s="180">
        <f t="shared" si="23"/>
        <v>30.797000000000001</v>
      </c>
      <c r="AH53" s="177">
        <f t="shared" si="23"/>
        <v>179.08610000000002</v>
      </c>
      <c r="AI53" s="181">
        <f t="shared" si="15"/>
        <v>7521.6162000000004</v>
      </c>
      <c r="AJ53" s="180">
        <f t="shared" si="24"/>
        <v>31.72091</v>
      </c>
      <c r="AK53" s="177">
        <f t="shared" si="24"/>
        <v>184.45868300000001</v>
      </c>
      <c r="AL53" s="181">
        <f t="shared" si="16"/>
        <v>7747.2646860000004</v>
      </c>
      <c r="AM53" s="409" t="s">
        <v>102</v>
      </c>
      <c r="AN53" s="427">
        <v>157.31990619000001</v>
      </c>
      <c r="AO53" s="428">
        <v>157.31990619000001</v>
      </c>
      <c r="AP53" s="429">
        <v>6607.4360599800002</v>
      </c>
      <c r="AQ53" s="409" t="s">
        <v>102</v>
      </c>
      <c r="AR53" s="427">
        <f t="shared" si="4"/>
        <v>162.03950337570001</v>
      </c>
      <c r="AS53" s="428">
        <f t="shared" si="5"/>
        <v>162.03950337570001</v>
      </c>
      <c r="AT53" s="429">
        <f t="shared" si="6"/>
        <v>6805.6591417794007</v>
      </c>
      <c r="AU53" s="427">
        <f t="shared" si="7"/>
        <v>166.900688476971</v>
      </c>
      <c r="AV53" s="428">
        <f t="shared" si="8"/>
        <v>166.900688476971</v>
      </c>
      <c r="AW53" s="429">
        <f t="shared" si="9"/>
        <v>7009.8289160327831</v>
      </c>
      <c r="AX53" s="427">
        <f t="shared" si="10"/>
        <v>171.90770913128014</v>
      </c>
      <c r="AY53" s="428">
        <f t="shared" si="11"/>
        <v>171.90770913128014</v>
      </c>
      <c r="AZ53" s="429">
        <f t="shared" si="12"/>
        <v>7220.1237835137672</v>
      </c>
      <c r="BA53" s="427">
        <f t="shared" si="20"/>
        <v>177.06494040521855</v>
      </c>
      <c r="BB53" s="428">
        <f t="shared" si="21"/>
        <v>177.06494040521855</v>
      </c>
      <c r="BC53" s="429">
        <f t="shared" si="22"/>
        <v>7436.7274970191802</v>
      </c>
    </row>
    <row r="54" spans="1:55"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4"/>
        <v>8321.8799999999992</v>
      </c>
      <c r="AG54" s="173">
        <f>AD54*(1+$AI$2)-0.01</f>
        <v>55.785100000000007</v>
      </c>
      <c r="AH54" s="177">
        <f t="shared" si="23"/>
        <v>204.08419999999998</v>
      </c>
      <c r="AI54" s="174">
        <f t="shared" si="15"/>
        <v>8571.536399999999</v>
      </c>
      <c r="AJ54" s="173">
        <f>AG54*(1+$AI$2)-0.01</f>
        <v>57.448653000000007</v>
      </c>
      <c r="AK54" s="177">
        <f>AH54*(1+$AI$2)-0.02</f>
        <v>210.18672599999996</v>
      </c>
      <c r="AL54" s="174">
        <f t="shared" si="16"/>
        <v>8827.8424919999979</v>
      </c>
      <c r="AM54" s="409" t="s">
        <v>104</v>
      </c>
      <c r="AN54" s="427">
        <v>32.672537300000002</v>
      </c>
      <c r="AO54" s="428">
        <v>189.99244349</v>
      </c>
      <c r="AP54" s="429">
        <v>7979.6826265800009</v>
      </c>
      <c r="AQ54" s="409" t="s">
        <v>104</v>
      </c>
      <c r="AR54" s="427">
        <f t="shared" si="4"/>
        <v>33.652713419000001</v>
      </c>
      <c r="AS54" s="428">
        <f t="shared" si="5"/>
        <v>195.69221679470002</v>
      </c>
      <c r="AT54" s="429">
        <f t="shared" si="6"/>
        <v>8219.0731053774016</v>
      </c>
      <c r="AU54" s="427">
        <f t="shared" si="7"/>
        <v>34.662294821570001</v>
      </c>
      <c r="AV54" s="428">
        <f t="shared" si="8"/>
        <v>201.56298329854101</v>
      </c>
      <c r="AW54" s="429">
        <f t="shared" si="9"/>
        <v>8465.6452985387241</v>
      </c>
      <c r="AX54" s="427">
        <f t="shared" si="10"/>
        <v>35.702163666217103</v>
      </c>
      <c r="AY54" s="428">
        <f t="shared" si="11"/>
        <v>207.60987279749725</v>
      </c>
      <c r="AZ54" s="429">
        <f t="shared" si="12"/>
        <v>8719.6146574948853</v>
      </c>
      <c r="BA54" s="427">
        <f t="shared" si="20"/>
        <v>36.773228576203614</v>
      </c>
      <c r="BB54" s="428">
        <f t="shared" si="21"/>
        <v>213.83816898142217</v>
      </c>
      <c r="BC54" s="429">
        <f t="shared" si="22"/>
        <v>8981.2030972197317</v>
      </c>
    </row>
    <row r="55" spans="1:55"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5"/>
        <v>11704.7364</v>
      </c>
      <c r="AJ55" s="222">
        <f>AG55*(1+$AI$2)</f>
        <v>76.837999999999994</v>
      </c>
      <c r="AK55" s="225">
        <f>AK54+AJ55</f>
        <v>287.02472599999999</v>
      </c>
      <c r="AL55" s="223">
        <f t="shared" si="16"/>
        <v>12055.038492</v>
      </c>
      <c r="AM55" s="409" t="s">
        <v>105</v>
      </c>
      <c r="AN55" s="427">
        <v>59.172112590000012</v>
      </c>
      <c r="AO55" s="428">
        <v>216.49232777999998</v>
      </c>
      <c r="AP55" s="429">
        <v>9092.6777667599981</v>
      </c>
      <c r="AQ55" s="409" t="s">
        <v>105</v>
      </c>
      <c r="AR55" s="427">
        <f t="shared" si="4"/>
        <v>60.947275967700016</v>
      </c>
      <c r="AS55" s="428">
        <f t="shared" si="5"/>
        <v>222.98709761339998</v>
      </c>
      <c r="AT55" s="429">
        <f t="shared" si="6"/>
        <v>9365.4580997627982</v>
      </c>
      <c r="AU55" s="427">
        <f t="shared" si="7"/>
        <v>62.775694246731021</v>
      </c>
      <c r="AV55" s="428">
        <f t="shared" si="8"/>
        <v>229.67671054180198</v>
      </c>
      <c r="AW55" s="429">
        <f t="shared" si="9"/>
        <v>9646.4218427556825</v>
      </c>
      <c r="AX55" s="427">
        <f t="shared" si="10"/>
        <v>64.658965074132951</v>
      </c>
      <c r="AY55" s="428">
        <f t="shared" si="11"/>
        <v>236.56701185805605</v>
      </c>
      <c r="AZ55" s="429">
        <f t="shared" si="12"/>
        <v>9935.8144980383531</v>
      </c>
      <c r="BA55" s="427">
        <f t="shared" si="20"/>
        <v>66.598734026356937</v>
      </c>
      <c r="BB55" s="428">
        <f t="shared" si="21"/>
        <v>243.66402221379775</v>
      </c>
      <c r="BC55" s="429">
        <f t="shared" si="22"/>
        <v>10233.888932979504</v>
      </c>
    </row>
    <row r="56" spans="1:55"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5"/>
        <v>3215.0832</v>
      </c>
      <c r="AJ56" s="166">
        <f t="shared" ref="AJ56:AK59" si="25">AG56*(1+$AI$2)</f>
        <v>78.846087999999995</v>
      </c>
      <c r="AK56" s="170">
        <f t="shared" si="25"/>
        <v>78.846087999999995</v>
      </c>
      <c r="AL56" s="167">
        <f t="shared" si="16"/>
        <v>3311.5356959999999</v>
      </c>
      <c r="AM56" s="409" t="s">
        <v>184</v>
      </c>
      <c r="AN56" s="430">
        <v>53.436400000000006</v>
      </c>
      <c r="AO56" s="431">
        <v>269.92872777999997</v>
      </c>
      <c r="AP56" s="432">
        <v>11337.006566759999</v>
      </c>
      <c r="AQ56" s="409" t="s">
        <v>184</v>
      </c>
      <c r="AR56" s="430">
        <f t="shared" si="4"/>
        <v>55.03949200000001</v>
      </c>
      <c r="AS56" s="431">
        <f t="shared" si="5"/>
        <v>278.02658961340001</v>
      </c>
      <c r="AT56" s="432">
        <f t="shared" si="6"/>
        <v>11677.116763762799</v>
      </c>
      <c r="AU56" s="430">
        <f t="shared" si="7"/>
        <v>56.690676760000009</v>
      </c>
      <c r="AV56" s="431">
        <f t="shared" si="8"/>
        <v>286.36738730180201</v>
      </c>
      <c r="AW56" s="432">
        <f t="shared" si="9"/>
        <v>12027.430266675683</v>
      </c>
      <c r="AX56" s="430">
        <f t="shared" si="10"/>
        <v>58.39139706280001</v>
      </c>
      <c r="AY56" s="431">
        <f t="shared" si="11"/>
        <v>294.95840892085607</v>
      </c>
      <c r="AZ56" s="432">
        <f t="shared" si="12"/>
        <v>12388.253174675954</v>
      </c>
      <c r="BA56" s="430">
        <f t="shared" si="20"/>
        <v>60.143138974684014</v>
      </c>
      <c r="BB56" s="431">
        <f t="shared" si="21"/>
        <v>303.80716118848176</v>
      </c>
      <c r="BC56" s="432">
        <f t="shared" si="22"/>
        <v>12759.900769916234</v>
      </c>
    </row>
    <row r="57" spans="1:55"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5"/>
        <v>6228.1421999999993</v>
      </c>
      <c r="AJ57" s="173">
        <f t="shared" si="25"/>
        <v>152.737773</v>
      </c>
      <c r="AK57" s="177">
        <f t="shared" si="25"/>
        <v>152.737773</v>
      </c>
      <c r="AL57" s="174">
        <f t="shared" si="16"/>
        <v>6414.9864660000003</v>
      </c>
      <c r="AM57" s="412" t="s">
        <v>99</v>
      </c>
      <c r="AN57" s="424">
        <v>81.211470640000002</v>
      </c>
      <c r="AO57" s="425">
        <v>81.211470640000002</v>
      </c>
      <c r="AP57" s="426">
        <v>3410.8817668800002</v>
      </c>
      <c r="AQ57" s="412" t="s">
        <v>99</v>
      </c>
      <c r="AR57" s="424">
        <f t="shared" si="4"/>
        <v>83.647814759200003</v>
      </c>
      <c r="AS57" s="425">
        <f t="shared" si="5"/>
        <v>83.647814759200003</v>
      </c>
      <c r="AT57" s="426">
        <f t="shared" si="6"/>
        <v>3513.2082198864005</v>
      </c>
      <c r="AU57" s="424">
        <f t="shared" si="7"/>
        <v>86.157249201976001</v>
      </c>
      <c r="AV57" s="425">
        <f t="shared" si="8"/>
        <v>86.157249201976001</v>
      </c>
      <c r="AW57" s="426">
        <f t="shared" si="9"/>
        <v>3618.6044664829924</v>
      </c>
      <c r="AX57" s="424">
        <f t="shared" si="10"/>
        <v>88.741966678035283</v>
      </c>
      <c r="AY57" s="425">
        <f t="shared" si="11"/>
        <v>88.741966678035283</v>
      </c>
      <c r="AZ57" s="426">
        <f t="shared" si="12"/>
        <v>3727.1626004774821</v>
      </c>
      <c r="BA57" s="424">
        <f t="shared" si="20"/>
        <v>91.404225678376349</v>
      </c>
      <c r="BB57" s="425">
        <f t="shared" si="21"/>
        <v>91.404225678376349</v>
      </c>
      <c r="BC57" s="426">
        <f t="shared" si="22"/>
        <v>3838.9774784918068</v>
      </c>
    </row>
    <row r="58" spans="1:55"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25"/>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4"/>
        <v>162.03950337570001</v>
      </c>
      <c r="AS58" s="428">
        <f t="shared" si="5"/>
        <v>162.03950337570001</v>
      </c>
      <c r="AT58" s="429">
        <f t="shared" si="6"/>
        <v>6805.6591417794007</v>
      </c>
      <c r="AU58" s="427">
        <f t="shared" si="7"/>
        <v>166.900688476971</v>
      </c>
      <c r="AV58" s="428">
        <f t="shared" si="8"/>
        <v>166.900688476971</v>
      </c>
      <c r="AW58" s="429">
        <f t="shared" si="9"/>
        <v>7009.8289160327831</v>
      </c>
      <c r="AX58" s="427">
        <f t="shared" si="10"/>
        <v>171.90770913128014</v>
      </c>
      <c r="AY58" s="428">
        <f t="shared" si="11"/>
        <v>171.90770913128014</v>
      </c>
      <c r="AZ58" s="429">
        <f t="shared" si="12"/>
        <v>7220.1237835137672</v>
      </c>
      <c r="BA58" s="427">
        <f t="shared" si="20"/>
        <v>177.06494040521855</v>
      </c>
      <c r="BB58" s="428">
        <f t="shared" si="21"/>
        <v>177.06494040521855</v>
      </c>
      <c r="BC58" s="429">
        <f t="shared" si="22"/>
        <v>7436.7274970191802</v>
      </c>
    </row>
    <row r="59" spans="1:55"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5"/>
        <v>19748.760227464882</v>
      </c>
      <c r="AJ59" s="222">
        <f t="shared" si="25"/>
        <v>211.8092</v>
      </c>
      <c r="AK59" s="225">
        <f>+AK58+AJ59</f>
        <v>484.314834149734</v>
      </c>
      <c r="AL59" s="223">
        <f>AK59*42</f>
        <v>20341.223034288829</v>
      </c>
      <c r="AM59" s="409" t="s">
        <v>200</v>
      </c>
      <c r="AN59" s="427">
        <v>127.0617238937528</v>
      </c>
      <c r="AO59" s="428">
        <v>284.38163008375284</v>
      </c>
      <c r="AP59" s="429">
        <v>11944.028463517619</v>
      </c>
      <c r="AQ59" s="409" t="s">
        <v>200</v>
      </c>
      <c r="AR59" s="427">
        <f t="shared" si="4"/>
        <v>130.87357561056538</v>
      </c>
      <c r="AS59" s="428">
        <f t="shared" si="5"/>
        <v>292.91307898626542</v>
      </c>
      <c r="AT59" s="429">
        <f t="shared" si="6"/>
        <v>12302.349317423148</v>
      </c>
      <c r="AU59" s="427">
        <f t="shared" si="7"/>
        <v>134.79978287888235</v>
      </c>
      <c r="AV59" s="428">
        <f t="shared" si="8"/>
        <v>301.70047135585338</v>
      </c>
      <c r="AW59" s="429">
        <f t="shared" si="9"/>
        <v>12671.419796945844</v>
      </c>
      <c r="AX59" s="427">
        <f t="shared" si="10"/>
        <v>138.84377636524883</v>
      </c>
      <c r="AY59" s="428">
        <f t="shared" si="11"/>
        <v>310.75148549652897</v>
      </c>
      <c r="AZ59" s="429">
        <f t="shared" si="12"/>
        <v>13051.56239085422</v>
      </c>
      <c r="BA59" s="427">
        <f t="shared" si="20"/>
        <v>143.0090896562063</v>
      </c>
      <c r="BB59" s="428">
        <f t="shared" si="21"/>
        <v>320.07403006142482</v>
      </c>
      <c r="BC59" s="429">
        <f t="shared" si="22"/>
        <v>13443.109262579846</v>
      </c>
    </row>
    <row r="60" spans="1:55"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4"/>
        <v>224.70838028</v>
      </c>
      <c r="AS60" s="431">
        <f t="shared" si="5"/>
        <v>517.62145926626545</v>
      </c>
      <c r="AT60" s="432">
        <f t="shared" si="6"/>
        <v>21740.101289183149</v>
      </c>
      <c r="AU60" s="430">
        <f t="shared" si="7"/>
        <v>231.44963168840002</v>
      </c>
      <c r="AV60" s="431">
        <f t="shared" si="8"/>
        <v>533.15010304425346</v>
      </c>
      <c r="AW60" s="432">
        <f t="shared" si="9"/>
        <v>22392.304327858645</v>
      </c>
      <c r="AX60" s="430">
        <f t="shared" si="10"/>
        <v>238.39312063905203</v>
      </c>
      <c r="AY60" s="431">
        <f t="shared" si="11"/>
        <v>549.14460613558106</v>
      </c>
      <c r="AZ60" s="432">
        <f t="shared" si="12"/>
        <v>23064.073457694405</v>
      </c>
      <c r="BA60" s="430">
        <f t="shared" si="20"/>
        <v>245.5449142582236</v>
      </c>
      <c r="BB60" s="431">
        <f t="shared" si="21"/>
        <v>565.61894431964845</v>
      </c>
      <c r="BC60" s="432">
        <f t="shared" si="22"/>
        <v>23755.995661425237</v>
      </c>
    </row>
    <row r="61" spans="1:55"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4"/>
        <v>44.876069999999999</v>
      </c>
      <c r="AS61" s="435">
        <f t="shared" si="5"/>
        <v>44.876069999999999</v>
      </c>
      <c r="AT61" s="432">
        <f t="shared" si="6"/>
        <v>1884.79494</v>
      </c>
      <c r="AU61" s="434">
        <f t="shared" si="7"/>
        <v>46.222352100000002</v>
      </c>
      <c r="AV61" s="435">
        <f t="shared" si="8"/>
        <v>46.222352100000002</v>
      </c>
      <c r="AW61" s="432">
        <f t="shared" si="9"/>
        <v>1941.3387882</v>
      </c>
      <c r="AX61" s="434">
        <f t="shared" si="10"/>
        <v>47.609022663000005</v>
      </c>
      <c r="AY61" s="435">
        <f t="shared" si="11"/>
        <v>47.609022663000005</v>
      </c>
      <c r="AZ61" s="432">
        <f t="shared" si="12"/>
        <v>1999.5789518460001</v>
      </c>
      <c r="BA61" s="434">
        <f t="shared" si="20"/>
        <v>49.037293342890003</v>
      </c>
      <c r="BB61" s="435">
        <f t="shared" si="21"/>
        <v>49.037293342890003</v>
      </c>
      <c r="BC61" s="432">
        <f t="shared" si="22"/>
        <v>2059.5663204013804</v>
      </c>
    </row>
    <row r="62" spans="1:55"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5"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5"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5"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5"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5"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5"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5"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5"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5"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373</v>
      </c>
      <c r="AY71" s="437"/>
      <c r="AZ71" s="438">
        <v>6.7699999999999996E-2</v>
      </c>
      <c r="BA71" s="436" t="s">
        <v>392</v>
      </c>
      <c r="BB71" s="437"/>
      <c r="BC71" s="438">
        <v>5.7500000000000002E-2</v>
      </c>
    </row>
    <row r="72" spans="1:55"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02" t="s">
        <v>291</v>
      </c>
      <c r="AO72" s="602"/>
      <c r="AP72" s="603"/>
      <c r="AQ72" s="416" t="s">
        <v>132</v>
      </c>
      <c r="AR72" s="602" t="s">
        <v>291</v>
      </c>
      <c r="AS72" s="602"/>
      <c r="AT72" s="603"/>
      <c r="AU72" s="602" t="s">
        <v>291</v>
      </c>
      <c r="AV72" s="602"/>
      <c r="AW72" s="603"/>
      <c r="AX72" s="602" t="s">
        <v>291</v>
      </c>
      <c r="AY72" s="602"/>
      <c r="AZ72" s="603"/>
      <c r="BA72" s="602" t="s">
        <v>291</v>
      </c>
      <c r="BB72" s="602"/>
      <c r="BC72" s="603"/>
    </row>
    <row r="73" spans="1:55"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AX73*(1+$BC$71)</f>
        <v>612.36045236803716</v>
      </c>
      <c r="BB73" s="439">
        <f>AY73*(1+$BC$71)</f>
        <v>612.36045236803716</v>
      </c>
      <c r="BC73" s="439">
        <f>AZ73*(1+$BC$71)</f>
        <v>25719.138999457562</v>
      </c>
    </row>
    <row r="74" spans="1:55"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89" t="s">
        <v>292</v>
      </c>
      <c r="AO74" s="589"/>
      <c r="AP74" s="590"/>
      <c r="AQ74" s="417" t="s">
        <v>143</v>
      </c>
      <c r="AR74" s="589"/>
      <c r="AS74" s="589"/>
      <c r="AT74" s="590"/>
      <c r="AU74" s="589"/>
      <c r="AV74" s="589"/>
      <c r="AW74" s="590"/>
      <c r="AX74" s="589"/>
      <c r="AY74" s="589"/>
      <c r="AZ74" s="590"/>
      <c r="BA74" s="589"/>
      <c r="BB74" s="589"/>
      <c r="BC74" s="590"/>
    </row>
    <row r="75" spans="1:55"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AX75*(1+$BC$71)</f>
        <v>603.5444291089791</v>
      </c>
      <c r="BB75" s="439">
        <f>AY75*(1+$BC$71)</f>
        <v>603.5444291089791</v>
      </c>
      <c r="BC75" s="439">
        <f>AZ75*(1+$BC$71)</f>
        <v>25348.866022577124</v>
      </c>
    </row>
    <row r="76" spans="1:55"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80"/>
      <c r="AO76" s="581"/>
      <c r="AP76" s="582"/>
      <c r="AQ76" s="417" t="s">
        <v>143</v>
      </c>
      <c r="AR76" s="580"/>
      <c r="AS76" s="581"/>
      <c r="AT76" s="582"/>
      <c r="AU76" s="580"/>
      <c r="AV76" s="581"/>
      <c r="AW76" s="582"/>
      <c r="AX76" s="580"/>
      <c r="AY76" s="581"/>
      <c r="AZ76" s="582"/>
      <c r="BA76" s="580"/>
      <c r="BB76" s="581"/>
      <c r="BC76" s="582"/>
    </row>
    <row r="77" spans="1:55">
      <c r="A77" s="302" t="s">
        <v>153</v>
      </c>
      <c r="B77" s="203"/>
      <c r="C77" s="203"/>
      <c r="D77" s="203"/>
      <c r="E77" s="203"/>
      <c r="F77" s="274"/>
      <c r="G77" s="203"/>
      <c r="H77" s="203"/>
      <c r="I77" s="203"/>
      <c r="J77" s="203"/>
      <c r="K77" s="203"/>
      <c r="L77" s="203"/>
      <c r="M77" s="203"/>
      <c r="N77" s="203"/>
      <c r="O77" s="203"/>
      <c r="P77" s="203"/>
      <c r="Q77" s="203"/>
      <c r="AM77" s="418" t="s">
        <v>146</v>
      </c>
      <c r="AN77" s="583"/>
      <c r="AO77" s="584"/>
      <c r="AP77" s="585"/>
      <c r="AQ77" s="418" t="s">
        <v>146</v>
      </c>
      <c r="AR77" s="583"/>
      <c r="AS77" s="584"/>
      <c r="AT77" s="585"/>
      <c r="AU77" s="583"/>
      <c r="AV77" s="584"/>
      <c r="AW77" s="585"/>
      <c r="AX77" s="583"/>
      <c r="AY77" s="584"/>
      <c r="AZ77" s="585"/>
      <c r="BA77" s="583"/>
      <c r="BB77" s="584"/>
      <c r="BC77" s="585"/>
    </row>
    <row r="78" spans="1:55">
      <c r="A78" s="302" t="s">
        <v>154</v>
      </c>
      <c r="B78" s="203"/>
      <c r="C78" s="203"/>
      <c r="D78" s="203"/>
      <c r="E78" s="203"/>
      <c r="F78" s="274"/>
      <c r="G78" s="203"/>
      <c r="H78" s="203"/>
      <c r="I78" s="203"/>
      <c r="J78" s="203"/>
      <c r="K78" s="203"/>
      <c r="L78" s="303"/>
      <c r="M78" s="203"/>
      <c r="N78" s="203"/>
      <c r="O78" s="304"/>
      <c r="P78" s="203"/>
      <c r="Q78" s="203"/>
      <c r="AC78" s="305"/>
      <c r="AM78" s="417" t="s">
        <v>149</v>
      </c>
      <c r="AN78" s="586"/>
      <c r="AO78" s="587"/>
      <c r="AP78" s="588"/>
      <c r="AQ78" s="417" t="s">
        <v>149</v>
      </c>
      <c r="AR78" s="586"/>
      <c r="AS78" s="587"/>
      <c r="AT78" s="588"/>
      <c r="AU78" s="586"/>
      <c r="AV78" s="587"/>
      <c r="AW78" s="588"/>
      <c r="AX78" s="586"/>
      <c r="AY78" s="587"/>
      <c r="AZ78" s="588"/>
      <c r="BA78" s="586"/>
      <c r="BB78" s="587"/>
      <c r="BC78" s="588"/>
    </row>
    <row r="79" spans="1:55">
      <c r="A79" s="299"/>
      <c r="B79" s="203"/>
      <c r="C79" s="203"/>
      <c r="D79" s="203"/>
      <c r="E79" s="203"/>
      <c r="F79" s="203"/>
      <c r="G79" s="203"/>
      <c r="H79" s="203"/>
      <c r="I79" s="203"/>
      <c r="J79" s="203"/>
      <c r="K79" s="203"/>
      <c r="L79" s="203"/>
      <c r="M79" s="203"/>
      <c r="N79" s="203"/>
      <c r="O79" s="203"/>
      <c r="P79" s="203"/>
      <c r="Q79" s="203"/>
      <c r="AC79" s="283"/>
      <c r="AM79" s="417" t="s">
        <v>132</v>
      </c>
      <c r="AN79" s="589" t="s">
        <v>292</v>
      </c>
      <c r="AO79" s="589"/>
      <c r="AP79" s="590"/>
      <c r="AQ79" s="417" t="s">
        <v>132</v>
      </c>
      <c r="AR79" s="589"/>
      <c r="AS79" s="589"/>
      <c r="AT79" s="590"/>
      <c r="AU79" s="589"/>
      <c r="AV79" s="589"/>
      <c r="AW79" s="590"/>
      <c r="AX79" s="589"/>
      <c r="AY79" s="589"/>
      <c r="AZ79" s="590"/>
      <c r="BA79" s="589"/>
      <c r="BB79" s="589"/>
      <c r="BC79" s="590"/>
    </row>
    <row r="80" spans="1:55">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AX80*(1+$BC$71)</f>
        <v>528.37494795172472</v>
      </c>
      <c r="BB80" s="439">
        <f>AY80*(1+$BC$71)</f>
        <v>528.37494795172472</v>
      </c>
      <c r="BC80" s="439">
        <f>AZ80*(1+$BC$71)</f>
        <v>22191.747813972441</v>
      </c>
    </row>
    <row r="81" spans="1:55" ht="14.25" customHeight="1" thickBot="1">
      <c r="A81" s="203"/>
      <c r="B81" s="203"/>
      <c r="C81" s="203"/>
      <c r="D81" s="203"/>
      <c r="E81" s="203"/>
      <c r="F81" s="203"/>
      <c r="G81" s="203"/>
      <c r="H81" s="203"/>
      <c r="I81" s="203"/>
      <c r="J81" s="203"/>
      <c r="K81" s="203"/>
      <c r="L81" s="203"/>
      <c r="M81" s="203"/>
      <c r="N81" s="203"/>
      <c r="O81" s="203"/>
      <c r="P81" s="203"/>
      <c r="Q81" s="203"/>
      <c r="Z81" s="616" t="s">
        <v>155</v>
      </c>
      <c r="AA81" s="616"/>
      <c r="AD81" s="616" t="s">
        <v>156</v>
      </c>
      <c r="AE81" s="616"/>
      <c r="AG81" s="616" t="s">
        <v>205</v>
      </c>
      <c r="AH81" s="616"/>
      <c r="AJ81" s="616" t="s">
        <v>205</v>
      </c>
      <c r="AK81" s="616"/>
      <c r="AM81" s="419" t="s">
        <v>152</v>
      </c>
      <c r="AN81" s="443">
        <v>60.636068751069253</v>
      </c>
      <c r="AO81" s="591"/>
      <c r="AP81" s="592"/>
      <c r="AQ81" s="419" t="s">
        <v>152</v>
      </c>
      <c r="AR81" s="443">
        <f>AN81*(1+$AT$71)</f>
        <v>61.812408484839999</v>
      </c>
      <c r="AS81" s="591"/>
      <c r="AT81" s="592"/>
      <c r="AU81" s="443">
        <f>AR81*(1+$AW$71)</f>
        <v>64.074742635385135</v>
      </c>
      <c r="AV81" s="591"/>
      <c r="AW81" s="592"/>
      <c r="AX81" s="443">
        <f>AU81*(1+$AZ$71)</f>
        <v>68.412602711800716</v>
      </c>
      <c r="AY81" s="591"/>
      <c r="AZ81" s="592"/>
      <c r="BA81" s="443">
        <f>AX81*(1+$BC$71)</f>
        <v>72.346327367729259</v>
      </c>
      <c r="BB81" s="591"/>
      <c r="BC81" s="592"/>
    </row>
    <row r="82" spans="1:55">
      <c r="A82" s="203"/>
      <c r="B82" s="203"/>
      <c r="C82" s="203"/>
      <c r="D82" s="203"/>
      <c r="E82" s="203"/>
      <c r="F82" s="203"/>
      <c r="G82" s="203"/>
      <c r="H82" s="203"/>
      <c r="I82" s="203"/>
      <c r="J82" s="203"/>
      <c r="K82" s="203"/>
      <c r="L82" s="203"/>
      <c r="M82" s="203"/>
      <c r="N82" s="203"/>
      <c r="O82" s="203"/>
      <c r="P82" s="203"/>
      <c r="Q82" s="203"/>
      <c r="Z82" s="616"/>
      <c r="AA82" s="616"/>
      <c r="AD82" s="616"/>
      <c r="AE82" s="616"/>
      <c r="AG82" s="616"/>
      <c r="AH82" s="616"/>
      <c r="AJ82" s="616"/>
      <c r="AK82" s="616"/>
    </row>
    <row r="83" spans="1:55" ht="83.25" customHeight="1">
      <c r="A83" s="203"/>
      <c r="B83" s="203"/>
      <c r="C83" s="203"/>
      <c r="D83" s="203"/>
      <c r="E83" s="203"/>
      <c r="F83" s="203"/>
      <c r="G83" s="203"/>
      <c r="H83" s="203"/>
      <c r="I83" s="203"/>
      <c r="J83" s="203"/>
      <c r="K83" s="203"/>
      <c r="L83" s="203"/>
      <c r="M83" s="203"/>
      <c r="N83" s="203"/>
      <c r="O83" s="203"/>
      <c r="P83" s="203"/>
      <c r="Q83" s="203"/>
      <c r="Z83" s="611" t="s">
        <v>157</v>
      </c>
      <c r="AA83" s="611"/>
      <c r="AD83" s="611" t="s">
        <v>158</v>
      </c>
      <c r="AE83" s="611"/>
      <c r="AG83" s="306" t="s">
        <v>206</v>
      </c>
      <c r="AJ83" s="306" t="s">
        <v>206</v>
      </c>
    </row>
    <row r="84" spans="1:55">
      <c r="A84" s="203"/>
      <c r="B84" s="203"/>
      <c r="C84" s="203"/>
      <c r="D84" s="203"/>
      <c r="E84" s="203"/>
      <c r="F84" s="203"/>
      <c r="G84" s="203"/>
      <c r="H84" s="203"/>
      <c r="I84" s="203"/>
      <c r="J84" s="203"/>
      <c r="K84" s="203"/>
      <c r="L84" s="203"/>
      <c r="M84" s="203"/>
      <c r="N84" s="203"/>
      <c r="O84" s="203"/>
      <c r="P84" s="203"/>
      <c r="Q84" s="203"/>
      <c r="AD84" s="611"/>
      <c r="AE84" s="611"/>
    </row>
    <row r="85" spans="1:55">
      <c r="A85" s="203"/>
      <c r="B85" s="203"/>
      <c r="C85" s="203"/>
      <c r="D85" s="203"/>
      <c r="E85" s="203"/>
      <c r="F85" s="203"/>
      <c r="G85" s="203"/>
      <c r="H85" s="203"/>
      <c r="I85" s="203"/>
      <c r="J85" s="203"/>
      <c r="K85" s="203"/>
      <c r="L85" s="203"/>
      <c r="M85" s="203"/>
      <c r="N85" s="203"/>
      <c r="O85" s="203"/>
      <c r="P85" s="203"/>
      <c r="Q85" s="203"/>
      <c r="AD85" s="611"/>
      <c r="AE85" s="611"/>
    </row>
    <row r="86" spans="1:55">
      <c r="A86" s="203"/>
      <c r="B86" s="203"/>
      <c r="C86" s="203"/>
      <c r="D86" s="203"/>
      <c r="E86" s="203"/>
      <c r="F86" s="203"/>
      <c r="G86" s="203"/>
      <c r="H86" s="203"/>
      <c r="I86" s="203"/>
      <c r="J86" s="203"/>
      <c r="K86" s="203"/>
      <c r="L86" s="203"/>
      <c r="M86" s="203"/>
      <c r="N86" s="203"/>
      <c r="O86" s="203"/>
      <c r="P86" s="203"/>
      <c r="Q86" s="203"/>
      <c r="AD86" s="611"/>
      <c r="AE86" s="611"/>
    </row>
    <row r="87" spans="1:55">
      <c r="A87" s="203"/>
      <c r="B87" s="203"/>
      <c r="C87" s="203"/>
      <c r="D87" s="203"/>
      <c r="E87" s="203"/>
      <c r="F87" s="203"/>
      <c r="G87" s="203"/>
      <c r="H87" s="203"/>
      <c r="I87" s="203"/>
      <c r="J87" s="203"/>
      <c r="K87" s="203"/>
      <c r="L87" s="203"/>
      <c r="M87" s="203"/>
      <c r="N87" s="203"/>
      <c r="O87" s="203"/>
      <c r="P87" s="203"/>
      <c r="Q87" s="203"/>
      <c r="AD87" s="611"/>
      <c r="AE87" s="611"/>
    </row>
    <row r="88" spans="1:55">
      <c r="A88" s="203"/>
      <c r="B88" s="203"/>
      <c r="C88" s="203"/>
      <c r="D88" s="203"/>
      <c r="E88" s="203"/>
      <c r="F88" s="203"/>
      <c r="G88" s="203"/>
      <c r="H88" s="203"/>
      <c r="I88" s="203"/>
      <c r="J88" s="203"/>
      <c r="K88" s="203"/>
      <c r="L88" s="203"/>
      <c r="M88" s="203"/>
      <c r="N88" s="203"/>
      <c r="O88" s="203"/>
      <c r="P88" s="203"/>
      <c r="Q88" s="203"/>
      <c r="AD88" s="611"/>
      <c r="AE88" s="611"/>
    </row>
    <row r="89" spans="1:55">
      <c r="A89" s="203"/>
      <c r="B89" s="203"/>
      <c r="C89" s="203"/>
      <c r="D89" s="203"/>
      <c r="E89" s="203"/>
      <c r="F89" s="203"/>
      <c r="G89" s="203"/>
      <c r="H89" s="203"/>
      <c r="I89" s="203"/>
      <c r="J89" s="203"/>
      <c r="K89" s="203"/>
      <c r="L89" s="203"/>
      <c r="M89" s="203"/>
      <c r="N89" s="203"/>
      <c r="O89" s="203"/>
      <c r="P89" s="203"/>
      <c r="Q89" s="203"/>
      <c r="AD89" s="611"/>
      <c r="AE89" s="611"/>
    </row>
    <row r="90" spans="1:55">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5">
      <c r="A91" s="203"/>
      <c r="B91" s="203"/>
      <c r="C91" s="203"/>
      <c r="D91" s="203"/>
      <c r="E91" s="203"/>
      <c r="F91" s="203"/>
      <c r="G91" s="203"/>
      <c r="H91" s="203"/>
      <c r="I91" s="203"/>
      <c r="J91" s="203"/>
      <c r="K91" s="203"/>
      <c r="L91" s="203"/>
      <c r="M91" s="203"/>
      <c r="N91" s="203"/>
      <c r="O91" s="203"/>
      <c r="P91" s="203"/>
      <c r="Q91" s="203"/>
    </row>
    <row r="92" spans="1:55">
      <c r="A92" s="203"/>
      <c r="B92" s="203"/>
      <c r="C92" s="203"/>
      <c r="D92" s="203"/>
      <c r="E92" s="203"/>
      <c r="F92" s="203"/>
      <c r="G92" s="203"/>
      <c r="H92" s="203"/>
      <c r="I92" s="203"/>
      <c r="J92" s="203"/>
      <c r="K92" s="203"/>
      <c r="L92" s="203"/>
      <c r="M92" s="203"/>
      <c r="N92" s="203"/>
      <c r="O92" s="203"/>
      <c r="P92" s="203"/>
      <c r="Q92" s="203"/>
    </row>
    <row r="93" spans="1:55">
      <c r="A93" s="203"/>
      <c r="B93" s="203"/>
      <c r="C93" s="203"/>
      <c r="D93" s="203"/>
      <c r="E93" s="203"/>
      <c r="F93" s="203"/>
      <c r="G93" s="203"/>
      <c r="H93" s="203"/>
      <c r="I93" s="203"/>
      <c r="J93" s="203"/>
      <c r="K93" s="203"/>
      <c r="L93" s="203"/>
      <c r="M93" s="203"/>
      <c r="N93" s="203"/>
      <c r="O93" s="203"/>
      <c r="P93" s="203"/>
      <c r="Q93" s="203"/>
    </row>
    <row r="94" spans="1:55">
      <c r="A94" s="203"/>
      <c r="B94" s="203"/>
      <c r="C94" s="203"/>
      <c r="D94" s="203"/>
      <c r="E94" s="203"/>
      <c r="F94" s="203"/>
      <c r="G94" s="203"/>
      <c r="H94" s="203"/>
      <c r="I94" s="203"/>
      <c r="J94" s="203"/>
      <c r="K94" s="203"/>
      <c r="L94" s="203"/>
      <c r="M94" s="203"/>
      <c r="N94" s="203"/>
      <c r="O94" s="203"/>
      <c r="P94" s="203"/>
      <c r="Q94" s="203"/>
    </row>
    <row r="95" spans="1:55">
      <c r="A95" s="203"/>
      <c r="B95" s="203"/>
      <c r="C95" s="203"/>
      <c r="D95" s="203"/>
      <c r="E95" s="203"/>
      <c r="F95" s="203"/>
      <c r="G95" s="203"/>
      <c r="H95" s="203"/>
      <c r="I95" s="203"/>
      <c r="J95" s="203"/>
      <c r="K95" s="203"/>
      <c r="L95" s="203"/>
      <c r="M95" s="203"/>
      <c r="N95" s="203"/>
      <c r="O95" s="203"/>
      <c r="P95" s="203"/>
      <c r="Q95" s="203"/>
    </row>
    <row r="96" spans="1:55">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64">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273" zoomScale="85" zoomScaleNormal="85" workbookViewId="0">
      <selection activeCell="D300" sqref="D300"/>
    </sheetView>
  </sheetViews>
  <sheetFormatPr baseColWidth="10" defaultRowHeight="15"/>
  <cols>
    <col min="1" max="1" width="0" style="535" hidden="1" customWidth="1"/>
    <col min="2" max="2" width="30.5703125" style="535" bestFit="1" customWidth="1"/>
    <col min="3" max="3" width="3.85546875" style="535" customWidth="1"/>
    <col min="4" max="4" width="108" style="535" customWidth="1"/>
    <col min="5" max="5" width="15.85546875" style="536" customWidth="1"/>
    <col min="6" max="6" width="21.28515625" style="535" customWidth="1"/>
    <col min="7" max="8" width="11.42578125" style="535"/>
    <col min="9" max="9" width="3.140625" style="535" customWidth="1"/>
    <col min="10" max="10" width="11.42578125" style="535" hidden="1" customWidth="1"/>
    <col min="11" max="16384" width="11.42578125" style="535"/>
  </cols>
  <sheetData>
    <row r="2" spans="2:10" ht="36">
      <c r="B2" s="534">
        <v>1</v>
      </c>
      <c r="D2" s="535" t="s">
        <v>402</v>
      </c>
    </row>
    <row r="4" spans="2:10" ht="21">
      <c r="D4" s="537" t="s">
        <v>403</v>
      </c>
      <c r="E4" s="538" t="s">
        <v>404</v>
      </c>
      <c r="F4" s="539" t="s">
        <v>405</v>
      </c>
    </row>
    <row r="5" spans="2:10" ht="21">
      <c r="D5" s="537"/>
      <c r="E5" s="538"/>
      <c r="F5" s="539" t="s">
        <v>633</v>
      </c>
    </row>
    <row r="6" spans="2:10">
      <c r="D6" s="540" t="s">
        <v>407</v>
      </c>
      <c r="E6" s="541" t="s">
        <v>408</v>
      </c>
      <c r="F6" s="630" t="s">
        <v>409</v>
      </c>
      <c r="G6" s="630"/>
      <c r="H6" s="630"/>
      <c r="I6" s="630"/>
      <c r="J6" s="630"/>
    </row>
    <row r="7" spans="2:10">
      <c r="D7" s="540" t="s">
        <v>410</v>
      </c>
      <c r="E7" s="541" t="s">
        <v>176</v>
      </c>
      <c r="F7" s="630" t="s">
        <v>409</v>
      </c>
      <c r="G7" s="630"/>
      <c r="H7" s="630"/>
      <c r="I7" s="630"/>
      <c r="J7" s="630"/>
    </row>
    <row r="8" spans="2:10">
      <c r="D8" s="540" t="s">
        <v>411</v>
      </c>
      <c r="E8" s="541" t="s">
        <v>212</v>
      </c>
      <c r="F8" s="630" t="s">
        <v>409</v>
      </c>
      <c r="G8" s="630"/>
      <c r="H8" s="630"/>
      <c r="I8" s="630"/>
      <c r="J8" s="630"/>
    </row>
    <row r="9" spans="2:10">
      <c r="D9" s="540" t="s">
        <v>412</v>
      </c>
      <c r="E9" s="541" t="s">
        <v>413</v>
      </c>
      <c r="F9" s="630" t="s">
        <v>414</v>
      </c>
      <c r="G9" s="630"/>
      <c r="H9" s="630"/>
      <c r="I9" s="630"/>
      <c r="J9" s="630"/>
    </row>
    <row r="10" spans="2:10">
      <c r="D10" s="540" t="s">
        <v>415</v>
      </c>
      <c r="E10" s="541" t="s">
        <v>175</v>
      </c>
      <c r="F10" s="630" t="s">
        <v>409</v>
      </c>
      <c r="G10" s="630"/>
      <c r="H10" s="630"/>
      <c r="I10" s="630"/>
      <c r="J10" s="630"/>
    </row>
    <row r="11" spans="2:10">
      <c r="D11" s="540" t="s">
        <v>416</v>
      </c>
      <c r="E11" s="541" t="s">
        <v>417</v>
      </c>
      <c r="F11" s="630" t="s">
        <v>409</v>
      </c>
      <c r="G11" s="630"/>
      <c r="H11" s="630"/>
      <c r="I11" s="630"/>
      <c r="J11" s="630"/>
    </row>
    <row r="12" spans="2:10">
      <c r="D12" s="540" t="s">
        <v>418</v>
      </c>
      <c r="E12" s="541" t="s">
        <v>419</v>
      </c>
      <c r="F12" s="630" t="s">
        <v>409</v>
      </c>
      <c r="G12" s="630"/>
      <c r="H12" s="630"/>
      <c r="I12" s="630"/>
      <c r="J12" s="630"/>
    </row>
    <row r="13" spans="2:10">
      <c r="D13" s="540" t="s">
        <v>420</v>
      </c>
      <c r="E13" s="541" t="s">
        <v>421</v>
      </c>
      <c r="F13" s="630" t="s">
        <v>409</v>
      </c>
      <c r="G13" s="630"/>
      <c r="H13" s="630"/>
      <c r="I13" s="630"/>
      <c r="J13" s="630"/>
    </row>
    <row r="14" spans="2:10">
      <c r="D14" s="540" t="s">
        <v>422</v>
      </c>
      <c r="E14" s="541" t="s">
        <v>423</v>
      </c>
      <c r="F14" s="630" t="s">
        <v>414</v>
      </c>
      <c r="G14" s="630"/>
      <c r="H14" s="630"/>
      <c r="I14" s="630"/>
      <c r="J14" s="630"/>
    </row>
    <row r="15" spans="2:10">
      <c r="D15" s="560" t="s">
        <v>424</v>
      </c>
      <c r="E15" s="561"/>
      <c r="F15" s="641" t="s">
        <v>425</v>
      </c>
      <c r="G15" s="641"/>
      <c r="H15" s="641"/>
      <c r="I15" s="641"/>
      <c r="J15" s="641"/>
    </row>
    <row r="16" spans="2:10">
      <c r="D16" s="560" t="s">
        <v>426</v>
      </c>
      <c r="E16" s="561"/>
      <c r="F16" s="641" t="s">
        <v>425</v>
      </c>
      <c r="G16" s="641"/>
      <c r="H16" s="641"/>
      <c r="I16" s="641"/>
      <c r="J16" s="641"/>
    </row>
    <row r="17" spans="4:10">
      <c r="D17" s="540" t="s">
        <v>427</v>
      </c>
      <c r="E17" s="541" t="s">
        <v>428</v>
      </c>
      <c r="F17" s="630" t="s">
        <v>429</v>
      </c>
      <c r="G17" s="630"/>
      <c r="H17" s="630"/>
      <c r="I17" s="630"/>
      <c r="J17" s="630"/>
    </row>
    <row r="18" spans="4:10">
      <c r="D18" s="540" t="s">
        <v>430</v>
      </c>
      <c r="E18" s="541" t="s">
        <v>428</v>
      </c>
      <c r="F18" s="630" t="s">
        <v>429</v>
      </c>
      <c r="G18" s="630"/>
      <c r="H18" s="630"/>
      <c r="I18" s="630"/>
      <c r="J18" s="630"/>
    </row>
    <row r="19" spans="4:10">
      <c r="D19" s="540" t="s">
        <v>431</v>
      </c>
      <c r="E19" s="541" t="s">
        <v>428</v>
      </c>
      <c r="F19" s="630" t="s">
        <v>429</v>
      </c>
      <c r="G19" s="630"/>
      <c r="H19" s="630"/>
      <c r="I19" s="630"/>
      <c r="J19" s="630"/>
    </row>
    <row r="20" spans="4:10">
      <c r="D20" s="540" t="s">
        <v>432</v>
      </c>
      <c r="E20" s="541" t="s">
        <v>433</v>
      </c>
      <c r="F20" s="630" t="s">
        <v>429</v>
      </c>
      <c r="G20" s="630"/>
      <c r="H20" s="630"/>
      <c r="I20" s="630"/>
      <c r="J20" s="630"/>
    </row>
    <row r="21" spans="4:10">
      <c r="D21" s="543" t="s">
        <v>434</v>
      </c>
      <c r="E21" s="541" t="s">
        <v>433</v>
      </c>
      <c r="F21" s="630" t="s">
        <v>429</v>
      </c>
      <c r="G21" s="630"/>
      <c r="H21" s="630"/>
      <c r="I21" s="630"/>
      <c r="J21" s="630"/>
    </row>
    <row r="22" spans="4:10">
      <c r="D22" s="543" t="s">
        <v>435</v>
      </c>
      <c r="E22" s="541" t="s">
        <v>436</v>
      </c>
      <c r="F22" s="630" t="s">
        <v>437</v>
      </c>
      <c r="G22" s="630"/>
      <c r="H22" s="630"/>
      <c r="I22" s="630"/>
      <c r="J22" s="630"/>
    </row>
    <row r="23" spans="4:10">
      <c r="D23" s="543" t="s">
        <v>438</v>
      </c>
      <c r="E23" s="541" t="s">
        <v>436</v>
      </c>
      <c r="F23" s="630" t="s">
        <v>437</v>
      </c>
      <c r="G23" s="630"/>
      <c r="H23" s="630"/>
      <c r="I23" s="630"/>
      <c r="J23" s="630"/>
    </row>
    <row r="24" spans="4:10">
      <c r="D24" s="543" t="s">
        <v>439</v>
      </c>
      <c r="E24" s="541" t="s">
        <v>440</v>
      </c>
      <c r="F24" s="630" t="s">
        <v>437</v>
      </c>
      <c r="G24" s="630"/>
      <c r="H24" s="630"/>
      <c r="I24" s="630"/>
      <c r="J24" s="630"/>
    </row>
    <row r="25" spans="4:10">
      <c r="D25" s="543" t="s">
        <v>441</v>
      </c>
      <c r="E25" s="541" t="s">
        <v>433</v>
      </c>
      <c r="F25" s="630" t="s">
        <v>437</v>
      </c>
      <c r="G25" s="630"/>
      <c r="H25" s="630"/>
      <c r="I25" s="630"/>
      <c r="J25" s="630"/>
    </row>
    <row r="28" spans="4:10" ht="21">
      <c r="D28" s="537" t="s">
        <v>442</v>
      </c>
    </row>
    <row r="29" spans="4:10">
      <c r="D29" s="544" t="s">
        <v>443</v>
      </c>
    </row>
    <row r="30" spans="4:10">
      <c r="D30" s="545" t="s">
        <v>444</v>
      </c>
    </row>
    <row r="31" spans="4:10">
      <c r="D31" s="535" t="s">
        <v>445</v>
      </c>
    </row>
    <row r="32" spans="4:10">
      <c r="D32" s="535" t="s">
        <v>446</v>
      </c>
    </row>
    <row r="33" spans="4:16">
      <c r="D33" s="535" t="s">
        <v>447</v>
      </c>
    </row>
    <row r="34" spans="4:16">
      <c r="D34" s="535" t="s">
        <v>448</v>
      </c>
    </row>
    <row r="37" spans="4:16">
      <c r="O37" s="535">
        <v>1</v>
      </c>
      <c r="P37" s="545" t="s">
        <v>449</v>
      </c>
    </row>
    <row r="38" spans="4:16">
      <c r="O38" s="535">
        <v>2</v>
      </c>
      <c r="P38" s="545" t="s">
        <v>450</v>
      </c>
    </row>
    <row r="39" spans="4:16" ht="21">
      <c r="D39" s="621" t="s">
        <v>451</v>
      </c>
      <c r="E39" s="622" t="s">
        <v>404</v>
      </c>
      <c r="F39" s="623" t="s">
        <v>405</v>
      </c>
      <c r="G39" s="624"/>
      <c r="H39" s="624"/>
      <c r="I39" s="624"/>
      <c r="J39" s="625"/>
      <c r="O39" s="535">
        <v>3</v>
      </c>
      <c r="P39" s="545" t="s">
        <v>452</v>
      </c>
    </row>
    <row r="40" spans="4:16" ht="21">
      <c r="D40" s="621"/>
      <c r="E40" s="622"/>
      <c r="F40" s="626" t="s">
        <v>453</v>
      </c>
      <c r="G40" s="627"/>
      <c r="H40" s="627"/>
      <c r="I40" s="627"/>
      <c r="J40" s="628"/>
      <c r="O40" s="535">
        <v>4</v>
      </c>
      <c r="P40" s="545" t="s">
        <v>454</v>
      </c>
    </row>
    <row r="41" spans="4:16">
      <c r="D41" s="546" t="s">
        <v>455</v>
      </c>
      <c r="E41" s="574"/>
      <c r="F41" s="635" t="s">
        <v>456</v>
      </c>
      <c r="G41" s="635"/>
      <c r="H41" s="635"/>
      <c r="I41" s="635"/>
      <c r="J41" s="635"/>
      <c r="K41" s="555"/>
      <c r="P41" s="545"/>
    </row>
    <row r="42" spans="4:16">
      <c r="D42" s="546" t="s">
        <v>457</v>
      </c>
      <c r="E42" s="574"/>
      <c r="F42" s="630" t="s">
        <v>456</v>
      </c>
      <c r="G42" s="630"/>
      <c r="H42" s="630"/>
      <c r="I42" s="630"/>
      <c r="J42" s="630"/>
      <c r="K42" s="555"/>
      <c r="P42" s="545"/>
    </row>
    <row r="43" spans="4:16">
      <c r="D43" s="546" t="s">
        <v>458</v>
      </c>
      <c r="E43" s="574"/>
      <c r="F43" s="630" t="s">
        <v>456</v>
      </c>
      <c r="G43" s="630"/>
      <c r="H43" s="630"/>
      <c r="I43" s="630"/>
      <c r="J43" s="630"/>
      <c r="K43" s="555"/>
      <c r="O43" s="535">
        <v>5</v>
      </c>
      <c r="P43" s="545" t="s">
        <v>459</v>
      </c>
    </row>
    <row r="44" spans="4:16">
      <c r="D44" s="546" t="s">
        <v>460</v>
      </c>
      <c r="E44" s="574" t="s">
        <v>428</v>
      </c>
      <c r="F44" s="630" t="s">
        <v>429</v>
      </c>
      <c r="G44" s="630"/>
      <c r="H44" s="630"/>
      <c r="I44" s="630"/>
      <c r="J44" s="630"/>
      <c r="K44" s="556">
        <f>+'COMBUSTIBLES '!E7</f>
        <v>4116.29</v>
      </c>
    </row>
    <row r="45" spans="4:16">
      <c r="D45" s="546" t="s">
        <v>461</v>
      </c>
      <c r="E45" s="574" t="s">
        <v>462</v>
      </c>
      <c r="F45" s="630" t="s">
        <v>429</v>
      </c>
      <c r="G45" s="630"/>
      <c r="H45" s="630"/>
      <c r="I45" s="630"/>
      <c r="J45" s="630"/>
      <c r="K45" s="556">
        <f>+'COMBUSTIBLES '!E8</f>
        <v>7.45</v>
      </c>
    </row>
    <row r="46" spans="4:16">
      <c r="D46" s="546" t="s">
        <v>463</v>
      </c>
      <c r="E46" s="574"/>
      <c r="F46" s="631" t="s">
        <v>464</v>
      </c>
      <c r="G46" s="631"/>
      <c r="H46" s="631"/>
      <c r="I46" s="631"/>
      <c r="J46" s="631"/>
      <c r="K46" s="555"/>
    </row>
    <row r="47" spans="4:16">
      <c r="D47" s="546" t="s">
        <v>467</v>
      </c>
      <c r="E47" s="574" t="s">
        <v>468</v>
      </c>
      <c r="F47" s="630" t="s">
        <v>429</v>
      </c>
      <c r="G47" s="630"/>
      <c r="H47" s="630"/>
      <c r="I47" s="630"/>
      <c r="J47" s="630"/>
      <c r="K47" s="556">
        <f>+'COMBUSTIBLES '!B8</f>
        <v>7.45</v>
      </c>
    </row>
    <row r="48" spans="4:16">
      <c r="D48" s="546" t="s">
        <v>469</v>
      </c>
      <c r="E48" s="574" t="s">
        <v>433</v>
      </c>
      <c r="F48" s="630" t="s">
        <v>429</v>
      </c>
      <c r="G48" s="630"/>
      <c r="H48" s="630"/>
      <c r="I48" s="630"/>
      <c r="J48" s="630"/>
      <c r="K48" s="556">
        <f>+'COMBUSTIBLES '!B7</f>
        <v>4122.03</v>
      </c>
    </row>
    <row r="49" spans="4:11">
      <c r="D49" s="546" t="s">
        <v>465</v>
      </c>
      <c r="E49" s="575" t="s">
        <v>466</v>
      </c>
      <c r="F49" s="631" t="s">
        <v>464</v>
      </c>
      <c r="G49" s="631"/>
      <c r="H49" s="631"/>
      <c r="I49" s="631"/>
      <c r="J49" s="631"/>
      <c r="K49" s="555"/>
    </row>
    <row r="50" spans="4:11">
      <c r="D50" s="546" t="s">
        <v>470</v>
      </c>
      <c r="E50" s="574" t="s">
        <v>462</v>
      </c>
      <c r="F50" s="630" t="s">
        <v>471</v>
      </c>
      <c r="G50" s="630"/>
      <c r="H50" s="630"/>
      <c r="I50" s="630"/>
      <c r="J50" s="630"/>
      <c r="K50" s="556">
        <f>+BIODIESEL!E8</f>
        <v>4033.96</v>
      </c>
    </row>
    <row r="51" spans="4:11">
      <c r="D51" s="546" t="s">
        <v>472</v>
      </c>
      <c r="E51" s="574" t="s">
        <v>436</v>
      </c>
      <c r="F51" s="630" t="s">
        <v>471</v>
      </c>
      <c r="G51" s="630"/>
      <c r="H51" s="630"/>
      <c r="I51" s="630"/>
      <c r="J51" s="630"/>
      <c r="K51" s="556">
        <f>+BIODIESEL!E10</f>
        <v>4233.74</v>
      </c>
    </row>
    <row r="52" spans="4:11">
      <c r="D52" s="546" t="s">
        <v>473</v>
      </c>
      <c r="E52" s="574" t="s">
        <v>474</v>
      </c>
      <c r="F52" s="630" t="s">
        <v>471</v>
      </c>
      <c r="G52" s="630"/>
      <c r="H52" s="630"/>
      <c r="I52" s="630"/>
      <c r="J52" s="630"/>
      <c r="K52" s="556">
        <f>+BIODIESEL!E14</f>
        <v>7.45</v>
      </c>
    </row>
    <row r="53" spans="4:11">
      <c r="D53" s="546" t="s">
        <v>475</v>
      </c>
      <c r="E53" s="574" t="s">
        <v>476</v>
      </c>
      <c r="F53" s="630" t="s">
        <v>471</v>
      </c>
      <c r="G53" s="630"/>
      <c r="H53" s="630"/>
      <c r="I53" s="630"/>
      <c r="J53" s="630"/>
      <c r="K53" s="556">
        <f>+BIODIESEL!E9</f>
        <v>199.78</v>
      </c>
    </row>
    <row r="54" spans="4:11">
      <c r="D54" s="546" t="s">
        <v>477</v>
      </c>
      <c r="E54" s="575" t="s">
        <v>466</v>
      </c>
      <c r="F54" s="631" t="s">
        <v>464</v>
      </c>
      <c r="G54" s="631"/>
      <c r="H54" s="631"/>
      <c r="I54" s="631"/>
      <c r="J54" s="631"/>
      <c r="K54" s="555"/>
    </row>
    <row r="55" spans="4:11">
      <c r="D55" s="546" t="s">
        <v>478</v>
      </c>
      <c r="E55" s="574" t="s">
        <v>462</v>
      </c>
      <c r="F55" s="630" t="s">
        <v>429</v>
      </c>
      <c r="G55" s="630"/>
      <c r="H55" s="630"/>
      <c r="I55" s="630"/>
      <c r="J55" s="630"/>
      <c r="K55" s="556">
        <f>+'COMBUSTIBLES '!E8</f>
        <v>7.45</v>
      </c>
    </row>
    <row r="56" spans="4:11">
      <c r="D56" s="546" t="s">
        <v>479</v>
      </c>
      <c r="E56" s="574" t="s">
        <v>428</v>
      </c>
      <c r="F56" s="630" t="s">
        <v>429</v>
      </c>
      <c r="G56" s="630"/>
      <c r="H56" s="630"/>
      <c r="I56" s="630"/>
      <c r="J56" s="630"/>
      <c r="K56" s="556">
        <f>+'COMBUSTIBLES '!E7</f>
        <v>4116.29</v>
      </c>
    </row>
    <row r="57" spans="4:11">
      <c r="D57" s="546" t="s">
        <v>480</v>
      </c>
      <c r="E57" s="575" t="s">
        <v>466</v>
      </c>
      <c r="F57" s="631" t="s">
        <v>464</v>
      </c>
      <c r="G57" s="631"/>
      <c r="H57" s="631"/>
      <c r="I57" s="631"/>
      <c r="J57" s="631"/>
      <c r="K57" s="555"/>
    </row>
    <row r="58" spans="4:11">
      <c r="D58" s="546" t="s">
        <v>481</v>
      </c>
      <c r="E58" s="574" t="s">
        <v>428</v>
      </c>
      <c r="F58" s="630" t="s">
        <v>429</v>
      </c>
      <c r="G58" s="630"/>
      <c r="H58" s="630"/>
      <c r="I58" s="630"/>
      <c r="J58" s="630"/>
      <c r="K58" s="556">
        <f>+'COMBUSTIBLES '!E7</f>
        <v>4116.29</v>
      </c>
    </row>
    <row r="59" spans="4:11">
      <c r="D59" s="546" t="s">
        <v>482</v>
      </c>
      <c r="E59" s="575" t="s">
        <v>466</v>
      </c>
      <c r="F59" s="631" t="s">
        <v>464</v>
      </c>
      <c r="G59" s="631"/>
      <c r="H59" s="631"/>
      <c r="I59" s="631"/>
      <c r="J59" s="631"/>
      <c r="K59" s="555"/>
    </row>
    <row r="60" spans="4:11">
      <c r="D60" s="546" t="s">
        <v>483</v>
      </c>
      <c r="E60" s="574" t="s">
        <v>440</v>
      </c>
      <c r="F60" s="630" t="s">
        <v>471</v>
      </c>
      <c r="G60" s="630"/>
      <c r="H60" s="630"/>
      <c r="I60" s="630"/>
      <c r="J60" s="630"/>
      <c r="K60" s="556">
        <f>+BIODIESEL!F10</f>
        <v>4351.21</v>
      </c>
    </row>
    <row r="61" spans="4:11">
      <c r="D61" s="546" t="s">
        <v>484</v>
      </c>
      <c r="E61" s="574" t="s">
        <v>462</v>
      </c>
      <c r="F61" s="630" t="s">
        <v>429</v>
      </c>
      <c r="G61" s="630"/>
      <c r="H61" s="630"/>
      <c r="I61" s="630"/>
      <c r="J61" s="630"/>
      <c r="K61" s="556">
        <f>+'COMBUSTIBLES '!E8</f>
        <v>7.45</v>
      </c>
    </row>
    <row r="62" spans="4:11">
      <c r="D62" s="546" t="s">
        <v>485</v>
      </c>
      <c r="E62" s="574" t="s">
        <v>486</v>
      </c>
      <c r="F62" s="630" t="s">
        <v>471</v>
      </c>
      <c r="G62" s="630"/>
      <c r="H62" s="630"/>
      <c r="I62" s="630"/>
      <c r="J62" s="630"/>
      <c r="K62" s="556">
        <f>+BIODIESEL!F8</f>
        <v>3951.64</v>
      </c>
    </row>
    <row r="63" spans="4:11">
      <c r="D63" s="546" t="s">
        <v>487</v>
      </c>
      <c r="E63" s="574" t="s">
        <v>488</v>
      </c>
      <c r="F63" s="630" t="s">
        <v>471</v>
      </c>
      <c r="G63" s="630"/>
      <c r="H63" s="630"/>
      <c r="I63" s="630"/>
      <c r="J63" s="630"/>
      <c r="K63" s="556">
        <f>+BIODIESEL!F9</f>
        <v>399.57</v>
      </c>
    </row>
    <row r="64" spans="4:11">
      <c r="D64" s="546" t="s">
        <v>489</v>
      </c>
      <c r="E64" s="575" t="s">
        <v>466</v>
      </c>
      <c r="F64" s="631" t="s">
        <v>464</v>
      </c>
      <c r="G64" s="631"/>
      <c r="H64" s="631"/>
      <c r="I64" s="631"/>
      <c r="J64" s="631"/>
      <c r="K64" s="555"/>
    </row>
    <row r="65" spans="2:11">
      <c r="D65" s="546" t="s">
        <v>490</v>
      </c>
      <c r="E65" s="574" t="s">
        <v>462</v>
      </c>
      <c r="F65" s="630" t="s">
        <v>429</v>
      </c>
      <c r="G65" s="630"/>
      <c r="H65" s="630"/>
      <c r="I65" s="630"/>
      <c r="J65" s="630"/>
      <c r="K65" s="556">
        <f>+'COMBUSTIBLES '!E8</f>
        <v>7.45</v>
      </c>
    </row>
    <row r="66" spans="2:11">
      <c r="D66" s="546" t="s">
        <v>491</v>
      </c>
      <c r="E66" s="574" t="s">
        <v>428</v>
      </c>
      <c r="F66" s="630" t="s">
        <v>429</v>
      </c>
      <c r="G66" s="630"/>
      <c r="H66" s="630"/>
      <c r="I66" s="630"/>
      <c r="J66" s="630"/>
      <c r="K66" s="556">
        <f>+'COMBUSTIBLES '!E7</f>
        <v>4116.29</v>
      </c>
    </row>
    <row r="67" spans="2:11">
      <c r="D67" s="546" t="s">
        <v>492</v>
      </c>
      <c r="E67" s="575" t="s">
        <v>466</v>
      </c>
      <c r="F67" s="631" t="s">
        <v>464</v>
      </c>
      <c r="G67" s="631"/>
      <c r="H67" s="631"/>
      <c r="I67" s="631"/>
      <c r="J67" s="631"/>
      <c r="K67" s="555"/>
    </row>
    <row r="68" spans="2:11">
      <c r="D68" s="546" t="s">
        <v>493</v>
      </c>
      <c r="E68" s="574" t="s">
        <v>436</v>
      </c>
      <c r="F68" s="630" t="s">
        <v>471</v>
      </c>
      <c r="G68" s="630"/>
      <c r="H68" s="630"/>
      <c r="I68" s="630"/>
      <c r="J68" s="630"/>
      <c r="K68" s="556">
        <f>+BIODIESEL!E10</f>
        <v>4233.74</v>
      </c>
    </row>
    <row r="69" spans="2:11">
      <c r="D69" s="546" t="s">
        <v>494</v>
      </c>
      <c r="E69" s="574" t="s">
        <v>462</v>
      </c>
      <c r="F69" s="630" t="s">
        <v>471</v>
      </c>
      <c r="G69" s="630"/>
      <c r="H69" s="630"/>
      <c r="I69" s="630"/>
      <c r="J69" s="630"/>
      <c r="K69" s="556">
        <f>+BIODIESEL!E8</f>
        <v>4033.96</v>
      </c>
    </row>
    <row r="70" spans="2:11">
      <c r="D70" s="546" t="s">
        <v>495</v>
      </c>
      <c r="E70" s="574" t="s">
        <v>476</v>
      </c>
      <c r="F70" s="630" t="s">
        <v>471</v>
      </c>
      <c r="G70" s="630"/>
      <c r="H70" s="630"/>
      <c r="I70" s="630"/>
      <c r="J70" s="630"/>
      <c r="K70" s="556">
        <f>+BIODIESEL!E9</f>
        <v>199.78</v>
      </c>
    </row>
    <row r="71" spans="2:11">
      <c r="D71" s="546" t="s">
        <v>496</v>
      </c>
      <c r="E71" s="575" t="s">
        <v>466</v>
      </c>
      <c r="F71" s="631" t="s">
        <v>464</v>
      </c>
      <c r="G71" s="631"/>
      <c r="H71" s="631"/>
      <c r="I71" s="631"/>
      <c r="J71" s="631"/>
      <c r="K71" s="555"/>
    </row>
    <row r="72" spans="2:11">
      <c r="D72" s="546" t="s">
        <v>636</v>
      </c>
      <c r="E72" s="574" t="s">
        <v>428</v>
      </c>
      <c r="F72" s="630" t="s">
        <v>429</v>
      </c>
      <c r="G72" s="630"/>
      <c r="H72" s="630"/>
      <c r="I72" s="630"/>
      <c r="J72" s="630"/>
      <c r="K72" s="556">
        <f>+'COMBUSTIBLES '!E7</f>
        <v>4116.29</v>
      </c>
    </row>
    <row r="73" spans="2:11">
      <c r="D73" s="546" t="s">
        <v>637</v>
      </c>
      <c r="E73" s="575" t="s">
        <v>466</v>
      </c>
      <c r="F73" s="631" t="s">
        <v>464</v>
      </c>
      <c r="G73" s="631"/>
      <c r="H73" s="631"/>
      <c r="I73" s="631"/>
      <c r="J73" s="631"/>
      <c r="K73" s="555"/>
    </row>
    <row r="74" spans="2:11">
      <c r="D74" s="546" t="s">
        <v>638</v>
      </c>
      <c r="E74" s="574" t="s">
        <v>462</v>
      </c>
      <c r="F74" s="630" t="s">
        <v>429</v>
      </c>
      <c r="G74" s="630"/>
      <c r="H74" s="630"/>
      <c r="I74" s="630"/>
      <c r="J74" s="630"/>
      <c r="K74" s="556">
        <f>+'COMBUSTIBLES '!E8</f>
        <v>7.45</v>
      </c>
    </row>
    <row r="75" spans="2:11">
      <c r="D75" s="546" t="s">
        <v>639</v>
      </c>
      <c r="E75" s="574"/>
      <c r="F75" s="630" t="s">
        <v>456</v>
      </c>
      <c r="G75" s="630"/>
      <c r="H75" s="630"/>
      <c r="I75" s="630"/>
      <c r="J75" s="630"/>
      <c r="K75" s="555"/>
    </row>
    <row r="76" spans="2:11" ht="36">
      <c r="B76" s="534">
        <v>2</v>
      </c>
      <c r="D76" s="535" t="s">
        <v>497</v>
      </c>
    </row>
    <row r="78" spans="2:11" ht="21">
      <c r="D78" s="537" t="s">
        <v>403</v>
      </c>
      <c r="E78" s="538" t="s">
        <v>404</v>
      </c>
      <c r="F78" s="539" t="s">
        <v>405</v>
      </c>
    </row>
    <row r="79" spans="2:11" ht="21">
      <c r="D79" s="537"/>
      <c r="E79" s="538"/>
      <c r="F79" s="539" t="s">
        <v>453</v>
      </c>
    </row>
    <row r="80" spans="2:11">
      <c r="D80" s="543" t="s">
        <v>498</v>
      </c>
      <c r="E80" s="547" t="s">
        <v>499</v>
      </c>
      <c r="F80" s="630" t="s">
        <v>429</v>
      </c>
      <c r="G80" s="630"/>
      <c r="H80" s="630"/>
      <c r="I80" s="630"/>
      <c r="J80" s="630"/>
      <c r="K80" s="556">
        <f>+'COMBUSTIBLES '!D7</f>
        <v>5210</v>
      </c>
    </row>
    <row r="81" spans="4:11">
      <c r="D81" s="543" t="s">
        <v>500</v>
      </c>
      <c r="E81" s="547" t="s">
        <v>501</v>
      </c>
      <c r="F81" s="630" t="s">
        <v>429</v>
      </c>
      <c r="G81" s="630"/>
      <c r="H81" s="630"/>
      <c r="I81" s="630"/>
      <c r="J81" s="630"/>
      <c r="K81" s="555">
        <f>+'COMBUSTIBLES '!F7</f>
        <v>5670</v>
      </c>
    </row>
    <row r="82" spans="4:11">
      <c r="D82" s="542" t="s">
        <v>502</v>
      </c>
      <c r="E82" s="548"/>
      <c r="F82" s="640" t="s">
        <v>503</v>
      </c>
      <c r="G82" s="640"/>
      <c r="H82" s="640"/>
      <c r="I82" s="640"/>
      <c r="J82" s="640"/>
    </row>
    <row r="83" spans="4:11">
      <c r="D83" s="535" t="s">
        <v>653</v>
      </c>
      <c r="E83" s="536" t="s">
        <v>654</v>
      </c>
    </row>
    <row r="84" spans="4:11" ht="21">
      <c r="D84" s="539" t="s">
        <v>504</v>
      </c>
      <c r="E84" s="536" t="s">
        <v>655</v>
      </c>
    </row>
    <row r="85" spans="4:11">
      <c r="D85" s="545" t="s">
        <v>505</v>
      </c>
    </row>
    <row r="86" spans="4:11">
      <c r="D86" s="545" t="s">
        <v>506</v>
      </c>
    </row>
    <row r="87" spans="4:11">
      <c r="D87" s="545"/>
    </row>
    <row r="88" spans="4:11">
      <c r="D88" s="545" t="s">
        <v>507</v>
      </c>
    </row>
    <row r="89" spans="4:11">
      <c r="D89" s="545"/>
    </row>
    <row r="90" spans="4:11">
      <c r="D90" s="545"/>
    </row>
    <row r="91" spans="4:11" ht="21">
      <c r="D91" s="537" t="s">
        <v>508</v>
      </c>
    </row>
    <row r="92" spans="4:11">
      <c r="D92" s="545" t="s">
        <v>509</v>
      </c>
    </row>
    <row r="93" spans="4:11">
      <c r="D93" s="545" t="s">
        <v>444</v>
      </c>
    </row>
    <row r="94" spans="4:11">
      <c r="D94" s="535" t="s">
        <v>445</v>
      </c>
    </row>
    <row r="95" spans="4:11">
      <c r="D95" s="535" t="s">
        <v>446</v>
      </c>
    </row>
    <row r="96" spans="4:11">
      <c r="D96" s="563" t="s">
        <v>510</v>
      </c>
    </row>
    <row r="97" spans="4:11">
      <c r="D97" s="535" t="s">
        <v>448</v>
      </c>
    </row>
    <row r="100" spans="4:11" ht="21">
      <c r="D100" s="621" t="s">
        <v>451</v>
      </c>
      <c r="E100" s="622" t="s">
        <v>404</v>
      </c>
      <c r="F100" s="623" t="s">
        <v>405</v>
      </c>
      <c r="G100" s="624"/>
      <c r="H100" s="624"/>
      <c r="I100" s="624"/>
      <c r="J100" s="625"/>
    </row>
    <row r="101" spans="4:11" ht="21">
      <c r="D101" s="621"/>
      <c r="E101" s="622"/>
      <c r="F101" s="626" t="s">
        <v>453</v>
      </c>
      <c r="G101" s="627"/>
      <c r="H101" s="627"/>
      <c r="I101" s="627"/>
      <c r="J101" s="628"/>
    </row>
    <row r="102" spans="4:11" ht="15" customHeight="1">
      <c r="D102" s="549" t="s">
        <v>511</v>
      </c>
      <c r="E102" s="550"/>
      <c r="F102" s="637" t="s">
        <v>512</v>
      </c>
      <c r="G102" s="638"/>
      <c r="H102" s="638"/>
      <c r="I102" s="638"/>
      <c r="J102" s="639"/>
      <c r="K102" s="563"/>
    </row>
    <row r="103" spans="4:11">
      <c r="D103" s="551" t="s">
        <v>513</v>
      </c>
      <c r="E103" s="559">
        <v>7.45</v>
      </c>
      <c r="F103" s="637"/>
      <c r="G103" s="638"/>
      <c r="H103" s="638"/>
      <c r="I103" s="638"/>
      <c r="J103" s="639"/>
    </row>
    <row r="104" spans="4:11">
      <c r="D104" s="551" t="s">
        <v>514</v>
      </c>
      <c r="E104" s="559">
        <v>7.45</v>
      </c>
      <c r="F104" s="637"/>
      <c r="G104" s="638"/>
      <c r="H104" s="638"/>
      <c r="I104" s="638"/>
      <c r="J104" s="639"/>
    </row>
    <row r="105" spans="4:11">
      <c r="D105" s="551" t="s">
        <v>515</v>
      </c>
      <c r="E105" s="559">
        <v>0</v>
      </c>
      <c r="F105" s="637"/>
      <c r="G105" s="638"/>
      <c r="H105" s="638"/>
      <c r="I105" s="638"/>
      <c r="J105" s="639"/>
    </row>
    <row r="106" spans="4:11">
      <c r="D106" s="549" t="s">
        <v>516</v>
      </c>
      <c r="E106" s="559" t="s">
        <v>517</v>
      </c>
      <c r="F106" s="637" t="s">
        <v>518</v>
      </c>
      <c r="G106" s="638"/>
      <c r="H106" s="638"/>
      <c r="I106" s="638"/>
      <c r="J106" s="639"/>
      <c r="K106" s="556">
        <f>+'GASOLINA EXTRA OXIGENADA'!C7</f>
        <v>5210</v>
      </c>
    </row>
    <row r="107" spans="4:11">
      <c r="D107" s="562" t="s">
        <v>640</v>
      </c>
      <c r="E107" s="559"/>
      <c r="F107" s="631" t="s">
        <v>464</v>
      </c>
      <c r="G107" s="631"/>
      <c r="H107" s="631"/>
      <c r="I107" s="631"/>
      <c r="J107" s="631"/>
    </row>
    <row r="108" spans="4:11">
      <c r="D108" s="551"/>
      <c r="E108" s="552"/>
      <c r="F108" s="637"/>
      <c r="G108" s="638"/>
      <c r="H108" s="638"/>
      <c r="I108" s="638"/>
      <c r="J108" s="639"/>
    </row>
    <row r="109" spans="4:11">
      <c r="D109" s="551" t="s">
        <v>519</v>
      </c>
      <c r="E109" s="559" t="s">
        <v>501</v>
      </c>
      <c r="F109" s="637" t="s">
        <v>520</v>
      </c>
      <c r="G109" s="638"/>
      <c r="H109" s="638"/>
      <c r="I109" s="638"/>
      <c r="J109" s="639"/>
      <c r="K109" s="556">
        <f>+'COMBUSTIBLES '!F7</f>
        <v>5670</v>
      </c>
    </row>
    <row r="110" spans="4:11">
      <c r="D110" s="551" t="s">
        <v>521</v>
      </c>
      <c r="E110" s="559">
        <v>0</v>
      </c>
      <c r="F110" s="637"/>
      <c r="G110" s="638"/>
      <c r="H110" s="638"/>
      <c r="I110" s="638"/>
      <c r="J110" s="639"/>
    </row>
    <row r="111" spans="4:11">
      <c r="D111" s="549" t="s">
        <v>522</v>
      </c>
      <c r="E111" s="559"/>
      <c r="F111" s="631" t="s">
        <v>464</v>
      </c>
      <c r="G111" s="631"/>
      <c r="H111" s="631"/>
      <c r="I111" s="631"/>
      <c r="J111" s="631"/>
    </row>
    <row r="112" spans="4:11">
      <c r="D112" s="551" t="s">
        <v>523</v>
      </c>
      <c r="E112" s="559">
        <v>7.45</v>
      </c>
      <c r="F112" s="637"/>
      <c r="G112" s="638"/>
      <c r="H112" s="638"/>
      <c r="I112" s="638"/>
      <c r="J112" s="639"/>
    </row>
    <row r="113" spans="2:11">
      <c r="D113" s="552" t="s">
        <v>524</v>
      </c>
      <c r="E113" s="559" t="s">
        <v>517</v>
      </c>
      <c r="F113" s="637" t="s">
        <v>518</v>
      </c>
      <c r="G113" s="638"/>
      <c r="H113" s="638"/>
      <c r="I113" s="638"/>
      <c r="J113" s="639"/>
      <c r="K113" s="556">
        <f>+'GASOLINA EXTRA OXIGENADA'!C7</f>
        <v>5210</v>
      </c>
    </row>
    <row r="117" spans="2:11" ht="36">
      <c r="B117" s="534">
        <v>3</v>
      </c>
      <c r="D117" s="535" t="s">
        <v>525</v>
      </c>
    </row>
    <row r="119" spans="2:11" ht="21">
      <c r="D119" s="537" t="s">
        <v>403</v>
      </c>
      <c r="E119" s="538" t="s">
        <v>404</v>
      </c>
      <c r="F119" s="539" t="s">
        <v>405</v>
      </c>
    </row>
    <row r="120" spans="2:11" ht="21">
      <c r="D120" s="537"/>
      <c r="E120" s="538"/>
      <c r="F120" s="539" t="s">
        <v>633</v>
      </c>
    </row>
    <row r="121" spans="2:11">
      <c r="D121" s="543" t="s">
        <v>526</v>
      </c>
      <c r="E121" s="541" t="s">
        <v>527</v>
      </c>
      <c r="F121" s="630" t="s">
        <v>528</v>
      </c>
      <c r="G121" s="630"/>
      <c r="H121" s="630"/>
      <c r="I121" s="630"/>
      <c r="J121" s="630"/>
    </row>
    <row r="122" spans="2:11">
      <c r="D122" s="543" t="s">
        <v>529</v>
      </c>
      <c r="E122" s="541" t="s">
        <v>530</v>
      </c>
      <c r="F122" s="630" t="s">
        <v>528</v>
      </c>
      <c r="G122" s="630"/>
      <c r="H122" s="630"/>
      <c r="I122" s="630"/>
      <c r="J122" s="630"/>
    </row>
    <row r="125" spans="2:11" ht="21">
      <c r="D125" s="537" t="s">
        <v>531</v>
      </c>
    </row>
    <row r="126" spans="2:11">
      <c r="D126" s="545" t="s">
        <v>532</v>
      </c>
    </row>
    <row r="127" spans="2:11">
      <c r="D127" s="545" t="s">
        <v>444</v>
      </c>
    </row>
    <row r="128" spans="2:11">
      <c r="D128" s="535" t="s">
        <v>445</v>
      </c>
    </row>
    <row r="129" spans="4:10">
      <c r="D129" s="535" t="s">
        <v>446</v>
      </c>
    </row>
    <row r="130" spans="4:10">
      <c r="D130" s="535" t="s">
        <v>533</v>
      </c>
    </row>
    <row r="131" spans="4:10">
      <c r="D131" s="535" t="s">
        <v>448</v>
      </c>
    </row>
    <row r="134" spans="4:10" ht="21">
      <c r="D134" s="621" t="s">
        <v>451</v>
      </c>
      <c r="E134" s="622" t="s">
        <v>404</v>
      </c>
      <c r="F134" s="623" t="s">
        <v>405</v>
      </c>
      <c r="G134" s="624"/>
      <c r="H134" s="624"/>
      <c r="I134" s="624"/>
      <c r="J134" s="625"/>
    </row>
    <row r="135" spans="4:10" ht="21">
      <c r="D135" s="621"/>
      <c r="E135" s="622"/>
      <c r="F135" s="626" t="s">
        <v>534</v>
      </c>
      <c r="G135" s="627"/>
      <c r="H135" s="627"/>
      <c r="I135" s="627"/>
      <c r="J135" s="628"/>
    </row>
    <row r="136" spans="4:10">
      <c r="D136" s="549" t="s">
        <v>535</v>
      </c>
      <c r="E136" s="547" t="s">
        <v>462</v>
      </c>
      <c r="F136" s="630" t="s">
        <v>536</v>
      </c>
      <c r="G136" s="630"/>
      <c r="H136" s="630"/>
      <c r="I136" s="630"/>
      <c r="J136" s="630"/>
    </row>
    <row r="137" spans="4:10">
      <c r="D137" s="549" t="s">
        <v>537</v>
      </c>
      <c r="E137" s="547" t="s">
        <v>476</v>
      </c>
      <c r="F137" s="630" t="s">
        <v>538</v>
      </c>
      <c r="G137" s="630"/>
      <c r="H137" s="630"/>
      <c r="I137" s="630"/>
      <c r="J137" s="630"/>
    </row>
    <row r="138" spans="4:10">
      <c r="D138" s="549" t="s">
        <v>539</v>
      </c>
      <c r="E138" s="547" t="s">
        <v>433</v>
      </c>
      <c r="F138" s="630" t="s">
        <v>540</v>
      </c>
      <c r="G138" s="630"/>
      <c r="H138" s="630"/>
      <c r="I138" s="630"/>
      <c r="J138" s="630"/>
    </row>
    <row r="139" spans="4:10">
      <c r="D139" s="549" t="s">
        <v>541</v>
      </c>
      <c r="E139" s="547" t="s">
        <v>428</v>
      </c>
      <c r="F139" s="630" t="s">
        <v>540</v>
      </c>
      <c r="G139" s="630"/>
      <c r="H139" s="630"/>
      <c r="I139" s="630"/>
      <c r="J139" s="630"/>
    </row>
    <row r="140" spans="4:10">
      <c r="D140" s="549" t="s">
        <v>542</v>
      </c>
      <c r="E140" s="547" t="s">
        <v>486</v>
      </c>
      <c r="F140" s="630" t="s">
        <v>543</v>
      </c>
      <c r="G140" s="630"/>
      <c r="H140" s="630"/>
      <c r="I140" s="630"/>
      <c r="J140" s="630"/>
    </row>
    <row r="141" spans="4:10">
      <c r="D141" s="549" t="s">
        <v>544</v>
      </c>
      <c r="E141" s="547" t="s">
        <v>545</v>
      </c>
      <c r="F141" s="630" t="s">
        <v>543</v>
      </c>
      <c r="G141" s="630"/>
      <c r="H141" s="630"/>
      <c r="I141" s="630"/>
      <c r="J141" s="630"/>
    </row>
    <row r="142" spans="4:10" ht="15" customHeight="1">
      <c r="D142" s="549" t="s">
        <v>546</v>
      </c>
      <c r="E142" s="547" t="s">
        <v>547</v>
      </c>
      <c r="F142" s="630" t="s">
        <v>543</v>
      </c>
      <c r="G142" s="630"/>
      <c r="H142" s="630"/>
      <c r="I142" s="630"/>
      <c r="J142" s="630"/>
    </row>
    <row r="143" spans="4:10" ht="15" customHeight="1">
      <c r="D143" s="549" t="s">
        <v>548</v>
      </c>
      <c r="E143" s="547" t="s">
        <v>549</v>
      </c>
      <c r="F143" s="630" t="s">
        <v>543</v>
      </c>
      <c r="G143" s="630"/>
      <c r="H143" s="630"/>
      <c r="I143" s="630"/>
      <c r="J143" s="630"/>
    </row>
    <row r="144" spans="4:10" ht="15" customHeight="1">
      <c r="D144" s="549" t="s">
        <v>550</v>
      </c>
      <c r="E144" s="547" t="s">
        <v>551</v>
      </c>
      <c r="F144" s="630" t="s">
        <v>543</v>
      </c>
      <c r="G144" s="630"/>
      <c r="H144" s="630"/>
      <c r="I144" s="630"/>
      <c r="J144" s="630"/>
    </row>
    <row r="145" spans="4:10">
      <c r="D145" s="549" t="s">
        <v>552</v>
      </c>
      <c r="E145" s="547" t="s">
        <v>553</v>
      </c>
      <c r="F145" s="630" t="s">
        <v>543</v>
      </c>
      <c r="G145" s="630"/>
      <c r="H145" s="630"/>
      <c r="I145" s="630"/>
      <c r="J145" s="630"/>
    </row>
    <row r="146" spans="4:10">
      <c r="D146" s="549" t="s">
        <v>554</v>
      </c>
      <c r="E146" s="547" t="s">
        <v>433</v>
      </c>
      <c r="F146" s="630" t="s">
        <v>540</v>
      </c>
      <c r="G146" s="630"/>
      <c r="H146" s="630"/>
      <c r="I146" s="630"/>
      <c r="J146" s="630"/>
    </row>
    <row r="147" spans="4:10">
      <c r="D147" s="549" t="s">
        <v>555</v>
      </c>
      <c r="E147" s="547" t="s">
        <v>551</v>
      </c>
      <c r="F147" s="630" t="s">
        <v>556</v>
      </c>
      <c r="G147" s="630"/>
      <c r="H147" s="630"/>
      <c r="I147" s="630"/>
      <c r="J147" s="630"/>
    </row>
    <row r="148" spans="4:10">
      <c r="D148" s="549" t="s">
        <v>557</v>
      </c>
      <c r="E148" s="547" t="s">
        <v>558</v>
      </c>
      <c r="F148" s="630" t="s">
        <v>543</v>
      </c>
      <c r="G148" s="630"/>
      <c r="H148" s="630"/>
      <c r="I148" s="630"/>
      <c r="J148" s="630"/>
    </row>
    <row r="149" spans="4:10">
      <c r="D149" s="549" t="s">
        <v>559</v>
      </c>
      <c r="E149" s="547">
        <v>0</v>
      </c>
      <c r="F149" s="630"/>
      <c r="G149" s="630"/>
      <c r="H149" s="630"/>
      <c r="I149" s="630"/>
      <c r="J149" s="630"/>
    </row>
    <row r="150" spans="4:10">
      <c r="D150" s="549" t="s">
        <v>560</v>
      </c>
      <c r="E150" s="547" t="s">
        <v>561</v>
      </c>
      <c r="F150" s="630" t="s">
        <v>543</v>
      </c>
      <c r="G150" s="630"/>
      <c r="H150" s="630"/>
      <c r="I150" s="630"/>
      <c r="J150" s="630"/>
    </row>
    <row r="151" spans="4:10">
      <c r="D151" s="549" t="s">
        <v>562</v>
      </c>
      <c r="E151" s="547" t="s">
        <v>563</v>
      </c>
      <c r="F151" s="630" t="s">
        <v>543</v>
      </c>
      <c r="G151" s="630"/>
      <c r="H151" s="630"/>
      <c r="I151" s="630"/>
      <c r="J151" s="630"/>
    </row>
    <row r="152" spans="4:10">
      <c r="D152" s="549" t="s">
        <v>564</v>
      </c>
      <c r="E152" s="547" t="s">
        <v>565</v>
      </c>
      <c r="F152" s="630" t="s">
        <v>566</v>
      </c>
      <c r="G152" s="630"/>
      <c r="H152" s="630"/>
      <c r="I152" s="630"/>
      <c r="J152" s="630"/>
    </row>
    <row r="153" spans="4:10">
      <c r="D153" s="549" t="s">
        <v>567</v>
      </c>
      <c r="E153" s="547" t="s">
        <v>568</v>
      </c>
      <c r="F153" s="630" t="s">
        <v>566</v>
      </c>
      <c r="G153" s="630"/>
      <c r="H153" s="630"/>
      <c r="I153" s="630"/>
      <c r="J153" s="630"/>
    </row>
    <row r="154" spans="4:10">
      <c r="D154" s="549" t="s">
        <v>569</v>
      </c>
      <c r="E154" s="547" t="s">
        <v>570</v>
      </c>
      <c r="F154" s="630" t="s">
        <v>566</v>
      </c>
      <c r="G154" s="630"/>
      <c r="H154" s="630"/>
      <c r="I154" s="630"/>
      <c r="J154" s="630"/>
    </row>
    <row r="155" spans="4:10">
      <c r="D155" s="549" t="s">
        <v>571</v>
      </c>
      <c r="E155" s="547" t="s">
        <v>572</v>
      </c>
      <c r="F155" s="630" t="s">
        <v>573</v>
      </c>
      <c r="G155" s="630"/>
      <c r="H155" s="630"/>
      <c r="I155" s="630"/>
      <c r="J155" s="630"/>
    </row>
    <row r="156" spans="4:10">
      <c r="D156" s="549" t="s">
        <v>574</v>
      </c>
      <c r="E156" s="547" t="s">
        <v>575</v>
      </c>
      <c r="F156" s="630" t="s">
        <v>573</v>
      </c>
      <c r="G156" s="630"/>
      <c r="H156" s="630"/>
      <c r="I156" s="630"/>
      <c r="J156" s="630"/>
    </row>
    <row r="157" spans="4:10">
      <c r="D157" s="549" t="s">
        <v>576</v>
      </c>
      <c r="E157" s="547" t="s">
        <v>577</v>
      </c>
      <c r="F157" s="630" t="s">
        <v>573</v>
      </c>
      <c r="G157" s="630"/>
      <c r="H157" s="630"/>
      <c r="I157" s="630"/>
      <c r="J157" s="630"/>
    </row>
    <row r="158" spans="4:10">
      <c r="D158" s="549" t="s">
        <v>578</v>
      </c>
      <c r="E158" s="547" t="s">
        <v>579</v>
      </c>
      <c r="F158" s="630" t="s">
        <v>580</v>
      </c>
      <c r="G158" s="630"/>
      <c r="H158" s="630"/>
      <c r="I158" s="630"/>
      <c r="J158" s="630"/>
    </row>
    <row r="159" spans="4:10">
      <c r="D159" s="549" t="s">
        <v>581</v>
      </c>
      <c r="E159" s="547" t="s">
        <v>527</v>
      </c>
      <c r="F159" s="630" t="s">
        <v>580</v>
      </c>
      <c r="G159" s="630"/>
      <c r="H159" s="630"/>
      <c r="I159" s="630"/>
      <c r="J159" s="630"/>
    </row>
    <row r="160" spans="4:10">
      <c r="D160" s="549" t="s">
        <v>582</v>
      </c>
      <c r="E160" s="547" t="s">
        <v>583</v>
      </c>
      <c r="F160" s="630" t="s">
        <v>580</v>
      </c>
      <c r="G160" s="630"/>
      <c r="H160" s="630"/>
      <c r="I160" s="630"/>
      <c r="J160" s="630"/>
    </row>
    <row r="161" spans="2:10">
      <c r="D161" s="549" t="s">
        <v>584</v>
      </c>
      <c r="E161" s="547">
        <v>0</v>
      </c>
      <c r="F161" s="630"/>
      <c r="G161" s="630"/>
      <c r="H161" s="630"/>
      <c r="I161" s="630"/>
      <c r="J161" s="630"/>
    </row>
    <row r="162" spans="2:10">
      <c r="D162" s="553"/>
      <c r="E162" s="571"/>
    </row>
    <row r="163" spans="2:10">
      <c r="D163" s="553"/>
      <c r="E163" s="571"/>
    </row>
    <row r="164" spans="2:10" ht="36">
      <c r="B164" s="534">
        <v>4</v>
      </c>
      <c r="D164" s="539" t="s">
        <v>585</v>
      </c>
    </row>
    <row r="165" spans="2:10">
      <c r="D165" s="553"/>
    </row>
    <row r="166" spans="2:10">
      <c r="D166" s="553"/>
    </row>
    <row r="167" spans="2:10" ht="21">
      <c r="D167" s="537" t="s">
        <v>586</v>
      </c>
    </row>
    <row r="168" spans="2:10">
      <c r="D168" s="545" t="s">
        <v>587</v>
      </c>
    </row>
    <row r="169" spans="2:10">
      <c r="D169" s="545" t="s">
        <v>444</v>
      </c>
    </row>
    <row r="170" spans="2:10">
      <c r="D170" s="535" t="s">
        <v>445</v>
      </c>
    </row>
    <row r="171" spans="2:10">
      <c r="D171" s="535" t="s">
        <v>446</v>
      </c>
    </row>
    <row r="172" spans="2:10">
      <c r="D172" s="535" t="s">
        <v>588</v>
      </c>
    </row>
    <row r="173" spans="2:10">
      <c r="D173" s="535" t="s">
        <v>448</v>
      </c>
    </row>
    <row r="175" spans="2:10">
      <c r="D175" s="553"/>
    </row>
    <row r="176" spans="2:10" ht="21">
      <c r="D176" s="621" t="s">
        <v>451</v>
      </c>
      <c r="E176" s="622" t="s">
        <v>404</v>
      </c>
      <c r="F176" s="623" t="s">
        <v>405</v>
      </c>
      <c r="G176" s="624"/>
      <c r="H176" s="624"/>
      <c r="I176" s="624"/>
      <c r="J176" s="625"/>
    </row>
    <row r="177" spans="2:11" ht="21">
      <c r="D177" s="621"/>
      <c r="E177" s="622"/>
      <c r="F177" s="626" t="s">
        <v>634</v>
      </c>
      <c r="G177" s="627"/>
      <c r="H177" s="627"/>
      <c r="I177" s="627"/>
      <c r="J177" s="628"/>
    </row>
    <row r="178" spans="2:11">
      <c r="D178" s="551" t="s">
        <v>589</v>
      </c>
      <c r="E178" s="574" t="s">
        <v>476</v>
      </c>
      <c r="F178" s="630" t="s">
        <v>538</v>
      </c>
      <c r="G178" s="630"/>
      <c r="H178" s="630"/>
      <c r="I178" s="630"/>
      <c r="J178" s="630"/>
      <c r="K178" s="556">
        <f>+BIODIESEL!E9</f>
        <v>199.78</v>
      </c>
    </row>
    <row r="179" spans="2:11">
      <c r="D179" s="549" t="s">
        <v>590</v>
      </c>
      <c r="E179" s="574" t="s">
        <v>436</v>
      </c>
      <c r="F179" s="630" t="s">
        <v>538</v>
      </c>
      <c r="G179" s="630"/>
      <c r="H179" s="630"/>
      <c r="I179" s="630"/>
      <c r="J179" s="630"/>
      <c r="K179" s="556">
        <f>+BIODIESEL!E10</f>
        <v>4233.74</v>
      </c>
    </row>
    <row r="180" spans="2:11">
      <c r="D180" s="549" t="s">
        <v>591</v>
      </c>
      <c r="E180" s="574" t="s">
        <v>462</v>
      </c>
      <c r="F180" s="630" t="s">
        <v>538</v>
      </c>
      <c r="G180" s="630"/>
      <c r="H180" s="630"/>
      <c r="I180" s="630"/>
      <c r="J180" s="630"/>
      <c r="K180" s="556">
        <f>+BIODIESEL!E8</f>
        <v>4033.96</v>
      </c>
    </row>
    <row r="181" spans="2:11">
      <c r="D181" s="546" t="s">
        <v>592</v>
      </c>
      <c r="E181" s="574">
        <v>7.45</v>
      </c>
      <c r="F181" s="636"/>
      <c r="G181" s="636"/>
      <c r="H181" s="636"/>
      <c r="I181" s="636"/>
      <c r="J181" s="636"/>
      <c r="K181" s="555"/>
    </row>
    <row r="182" spans="2:11">
      <c r="D182" s="549" t="s">
        <v>593</v>
      </c>
      <c r="E182" s="574" t="s">
        <v>428</v>
      </c>
      <c r="F182" s="630" t="s">
        <v>540</v>
      </c>
      <c r="G182" s="630"/>
      <c r="H182" s="630"/>
      <c r="I182" s="630"/>
      <c r="J182" s="630"/>
      <c r="K182" s="556">
        <f>+'COMBUSTIBLES '!E7</f>
        <v>4116.29</v>
      </c>
    </row>
    <row r="183" spans="2:11">
      <c r="D183" s="549" t="s">
        <v>594</v>
      </c>
      <c r="E183" s="574" t="s">
        <v>440</v>
      </c>
      <c r="F183" s="630" t="s">
        <v>538</v>
      </c>
      <c r="G183" s="630"/>
      <c r="H183" s="630"/>
      <c r="I183" s="630"/>
      <c r="J183" s="630"/>
      <c r="K183" s="556">
        <f>+BIODIESEL!F10</f>
        <v>4351.21</v>
      </c>
    </row>
    <row r="184" spans="2:11">
      <c r="D184" s="546" t="s">
        <v>595</v>
      </c>
      <c r="E184" s="574">
        <v>7.45</v>
      </c>
      <c r="F184" s="632"/>
      <c r="G184" s="633"/>
      <c r="H184" s="633"/>
      <c r="I184" s="633"/>
      <c r="J184" s="634"/>
      <c r="K184" s="555"/>
    </row>
    <row r="185" spans="2:11">
      <c r="D185" s="549" t="s">
        <v>596</v>
      </c>
      <c r="E185" s="574" t="s">
        <v>486</v>
      </c>
      <c r="F185" s="630" t="s">
        <v>538</v>
      </c>
      <c r="G185" s="630"/>
      <c r="H185" s="630"/>
      <c r="I185" s="630"/>
      <c r="J185" s="630"/>
      <c r="K185" s="556">
        <f>+BIODIESEL!F8</f>
        <v>3951.64</v>
      </c>
    </row>
    <row r="186" spans="2:11">
      <c r="D186" s="549" t="s">
        <v>597</v>
      </c>
      <c r="E186" s="574" t="s">
        <v>488</v>
      </c>
      <c r="F186" s="630" t="s">
        <v>538</v>
      </c>
      <c r="G186" s="630"/>
      <c r="H186" s="630"/>
      <c r="I186" s="630"/>
      <c r="J186" s="630"/>
      <c r="K186" s="556">
        <f>+BIODIESEL!F9</f>
        <v>399.57</v>
      </c>
    </row>
    <row r="187" spans="2:11">
      <c r="E187" s="572"/>
    </row>
    <row r="188" spans="2:11">
      <c r="E188" s="571"/>
    </row>
    <row r="190" spans="2:11" ht="36">
      <c r="B190" s="534">
        <v>5</v>
      </c>
      <c r="D190" s="539" t="s">
        <v>598</v>
      </c>
    </row>
    <row r="192" spans="2:11" ht="21">
      <c r="D192" s="537" t="s">
        <v>599</v>
      </c>
    </row>
    <row r="193" spans="4:11">
      <c r="D193" s="544" t="s">
        <v>657</v>
      </c>
    </row>
    <row r="194" spans="4:11">
      <c r="D194" s="535" t="s">
        <v>648</v>
      </c>
    </row>
    <row r="195" spans="4:11">
      <c r="D195" s="535" t="s">
        <v>658</v>
      </c>
    </row>
    <row r="196" spans="4:11">
      <c r="D196" s="545" t="s">
        <v>600</v>
      </c>
    </row>
    <row r="197" spans="4:11">
      <c r="D197" s="545" t="s">
        <v>444</v>
      </c>
    </row>
    <row r="198" spans="4:11">
      <c r="D198" s="535" t="s">
        <v>445</v>
      </c>
    </row>
    <row r="199" spans="4:11">
      <c r="D199" s="535" t="s">
        <v>446</v>
      </c>
    </row>
    <row r="200" spans="4:11">
      <c r="D200" s="535" t="s">
        <v>588</v>
      </c>
    </row>
    <row r="201" spans="4:11">
      <c r="D201" s="535" t="s">
        <v>448</v>
      </c>
    </row>
    <row r="204" spans="4:11" ht="21">
      <c r="D204" s="629" t="s">
        <v>403</v>
      </c>
      <c r="E204" s="622" t="s">
        <v>404</v>
      </c>
      <c r="F204" s="623" t="s">
        <v>405</v>
      </c>
      <c r="G204" s="624"/>
      <c r="H204" s="624"/>
      <c r="I204" s="624"/>
      <c r="J204" s="624"/>
      <c r="K204" s="625"/>
    </row>
    <row r="205" spans="4:11" ht="21">
      <c r="D205" s="629"/>
      <c r="E205" s="622"/>
      <c r="F205" s="626" t="s">
        <v>406</v>
      </c>
      <c r="G205" s="627"/>
      <c r="H205" s="627"/>
      <c r="I205" s="627"/>
      <c r="J205" s="627"/>
      <c r="K205" s="628"/>
    </row>
    <row r="206" spans="4:11">
      <c r="D206" s="551" t="s">
        <v>601</v>
      </c>
      <c r="E206" s="574" t="s">
        <v>602</v>
      </c>
      <c r="F206" s="635" t="s">
        <v>603</v>
      </c>
      <c r="G206" s="635"/>
      <c r="H206" s="635"/>
      <c r="I206" s="635"/>
      <c r="J206" s="635"/>
      <c r="K206" s="558">
        <f>+'DIESEL MARINO '!F110</f>
        <v>790.33048000000008</v>
      </c>
    </row>
    <row r="207" spans="4:11">
      <c r="D207" s="549" t="s">
        <v>604</v>
      </c>
      <c r="E207" s="574" t="s">
        <v>605</v>
      </c>
      <c r="F207" s="630" t="s">
        <v>603</v>
      </c>
      <c r="G207" s="630"/>
      <c r="H207" s="630"/>
      <c r="I207" s="630"/>
      <c r="J207" s="630"/>
      <c r="K207" s="557">
        <f>+'DIESEL MARINO '!F109</f>
        <v>823.25799999999981</v>
      </c>
    </row>
    <row r="208" spans="4:11">
      <c r="D208" s="549" t="s">
        <v>606</v>
      </c>
      <c r="E208" s="574" t="s">
        <v>605</v>
      </c>
      <c r="F208" s="630" t="s">
        <v>603</v>
      </c>
      <c r="G208" s="630"/>
      <c r="H208" s="630"/>
      <c r="I208" s="630"/>
      <c r="J208" s="630"/>
      <c r="K208" s="557">
        <f>+'DIESEL MARINO '!F109</f>
        <v>823.25799999999981</v>
      </c>
    </row>
    <row r="209" spans="2:20">
      <c r="D209" s="546" t="s">
        <v>607</v>
      </c>
      <c r="E209" s="574" t="s">
        <v>608</v>
      </c>
      <c r="F209" s="630" t="s">
        <v>603</v>
      </c>
      <c r="G209" s="630"/>
      <c r="H209" s="630"/>
      <c r="I209" s="630"/>
      <c r="J209" s="630"/>
      <c r="K209" s="557">
        <f>+'DIESEL MARINO '!F111</f>
        <v>806.7842399999995</v>
      </c>
      <c r="L209" s="535" t="s">
        <v>607</v>
      </c>
      <c r="T209" s="535" t="s">
        <v>656</v>
      </c>
    </row>
    <row r="210" spans="2:20">
      <c r="D210" s="546" t="s">
        <v>609</v>
      </c>
      <c r="E210" s="574" t="s">
        <v>610</v>
      </c>
      <c r="F210" s="630" t="s">
        <v>603</v>
      </c>
      <c r="G210" s="630"/>
      <c r="H210" s="630"/>
      <c r="I210" s="630"/>
      <c r="J210" s="630"/>
      <c r="K210" s="557">
        <f>+'DIESEL MARINO '!F111</f>
        <v>806.7842399999995</v>
      </c>
    </row>
    <row r="211" spans="2:20">
      <c r="E211" s="571"/>
    </row>
    <row r="212" spans="2:20">
      <c r="E212" s="571"/>
    </row>
    <row r="213" spans="2:20">
      <c r="E213" s="571"/>
    </row>
    <row r="214" spans="2:20" ht="36">
      <c r="B214" s="534">
        <v>6</v>
      </c>
      <c r="D214" s="539" t="s">
        <v>611</v>
      </c>
      <c r="E214" s="571"/>
    </row>
    <row r="216" spans="2:20" ht="21">
      <c r="D216" s="537" t="s">
        <v>612</v>
      </c>
    </row>
    <row r="217" spans="2:20">
      <c r="D217" s="545" t="s">
        <v>613</v>
      </c>
    </row>
    <row r="218" spans="2:20">
      <c r="D218" s="545" t="s">
        <v>444</v>
      </c>
    </row>
    <row r="219" spans="2:20">
      <c r="D219" s="535" t="s">
        <v>445</v>
      </c>
    </row>
    <row r="220" spans="2:20">
      <c r="D220" s="535" t="s">
        <v>446</v>
      </c>
    </row>
    <row r="221" spans="2:20">
      <c r="D221" s="535" t="s">
        <v>588</v>
      </c>
    </row>
    <row r="222" spans="2:20">
      <c r="D222" s="535" t="s">
        <v>448</v>
      </c>
    </row>
    <row r="224" spans="2:20" ht="21">
      <c r="D224" s="621" t="s">
        <v>451</v>
      </c>
      <c r="E224" s="622" t="s">
        <v>404</v>
      </c>
      <c r="F224" s="623" t="s">
        <v>405</v>
      </c>
      <c r="G224" s="624"/>
      <c r="H224" s="624"/>
      <c r="I224" s="624"/>
      <c r="J224" s="625"/>
    </row>
    <row r="225" spans="2:10" ht="21">
      <c r="D225" s="621"/>
      <c r="E225" s="622"/>
      <c r="F225" s="626" t="s">
        <v>534</v>
      </c>
      <c r="G225" s="627"/>
      <c r="H225" s="627"/>
      <c r="I225" s="627"/>
      <c r="J225" s="628"/>
    </row>
    <row r="226" spans="2:10">
      <c r="D226" s="551" t="s">
        <v>614</v>
      </c>
      <c r="E226" s="547" t="s">
        <v>615</v>
      </c>
      <c r="F226" s="630" t="s">
        <v>616</v>
      </c>
      <c r="G226" s="630"/>
      <c r="H226" s="630"/>
      <c r="I226" s="630"/>
      <c r="J226" s="630"/>
    </row>
    <row r="227" spans="2:10">
      <c r="D227" s="549" t="s">
        <v>617</v>
      </c>
      <c r="E227" s="547" t="s">
        <v>565</v>
      </c>
      <c r="F227" s="630" t="s">
        <v>616</v>
      </c>
      <c r="G227" s="630"/>
      <c r="H227" s="630"/>
      <c r="I227" s="630"/>
      <c r="J227" s="630"/>
    </row>
    <row r="228" spans="2:10">
      <c r="D228" s="549" t="s">
        <v>618</v>
      </c>
      <c r="E228" s="547" t="s">
        <v>551</v>
      </c>
      <c r="F228" s="630" t="s">
        <v>616</v>
      </c>
      <c r="G228" s="630"/>
      <c r="H228" s="630"/>
      <c r="I228" s="630"/>
      <c r="J228" s="630"/>
    </row>
    <row r="229" spans="2:10">
      <c r="E229" s="535"/>
    </row>
    <row r="231" spans="2:10" ht="36">
      <c r="B231" s="534">
        <v>7</v>
      </c>
      <c r="D231" s="539" t="s">
        <v>619</v>
      </c>
    </row>
    <row r="233" spans="2:10" ht="21">
      <c r="D233" s="537" t="s">
        <v>620</v>
      </c>
    </row>
    <row r="234" spans="2:10">
      <c r="D234" s="545" t="s">
        <v>621</v>
      </c>
    </row>
    <row r="235" spans="2:10">
      <c r="D235" s="545" t="s">
        <v>444</v>
      </c>
    </row>
    <row r="236" spans="2:10">
      <c r="D236" s="535" t="s">
        <v>445</v>
      </c>
    </row>
    <row r="237" spans="2:10">
      <c r="D237" s="535" t="s">
        <v>446</v>
      </c>
    </row>
    <row r="238" spans="2:10">
      <c r="D238" s="535" t="s">
        <v>588</v>
      </c>
    </row>
    <row r="239" spans="2:10" ht="21">
      <c r="D239" s="573" t="s">
        <v>622</v>
      </c>
    </row>
    <row r="243" spans="2:11" ht="36">
      <c r="B243" s="534">
        <v>8</v>
      </c>
      <c r="D243" s="539" t="s">
        <v>623</v>
      </c>
    </row>
    <row r="245" spans="2:11" ht="21">
      <c r="D245" s="537" t="s">
        <v>624</v>
      </c>
    </row>
    <row r="246" spans="2:11">
      <c r="D246" s="545" t="s">
        <v>625</v>
      </c>
    </row>
    <row r="247" spans="2:11">
      <c r="D247" s="545" t="s">
        <v>444</v>
      </c>
    </row>
    <row r="248" spans="2:11">
      <c r="D248" s="535" t="s">
        <v>445</v>
      </c>
    </row>
    <row r="249" spans="2:11">
      <c r="D249" s="535" t="s">
        <v>446</v>
      </c>
    </row>
    <row r="250" spans="2:11">
      <c r="D250" s="535" t="s">
        <v>588</v>
      </c>
    </row>
    <row r="251" spans="2:11">
      <c r="D251" s="535" t="s">
        <v>448</v>
      </c>
    </row>
    <row r="252" spans="2:11">
      <c r="D252" s="544"/>
    </row>
    <row r="254" spans="2:11" ht="21">
      <c r="D254" s="629" t="s">
        <v>403</v>
      </c>
      <c r="E254" s="622" t="s">
        <v>404</v>
      </c>
      <c r="F254" s="623" t="s">
        <v>405</v>
      </c>
      <c r="G254" s="624"/>
      <c r="H254" s="624"/>
      <c r="I254" s="624"/>
      <c r="J254" s="624"/>
      <c r="K254" s="625"/>
    </row>
    <row r="255" spans="2:11" ht="21">
      <c r="D255" s="629"/>
      <c r="E255" s="622"/>
      <c r="F255" s="626" t="s">
        <v>406</v>
      </c>
      <c r="G255" s="627"/>
      <c r="H255" s="627"/>
      <c r="I255" s="627"/>
      <c r="J255" s="627"/>
      <c r="K255" s="628"/>
    </row>
    <row r="256" spans="2:11">
      <c r="D256" s="551" t="s">
        <v>626</v>
      </c>
      <c r="E256" s="547" t="s">
        <v>468</v>
      </c>
      <c r="F256" s="630" t="s">
        <v>429</v>
      </c>
      <c r="G256" s="630"/>
      <c r="H256" s="630"/>
      <c r="I256" s="630"/>
      <c r="J256" s="630"/>
      <c r="K256" s="576">
        <f>+'COMBUSTIBLES '!B8</f>
        <v>7.45</v>
      </c>
    </row>
    <row r="257" spans="2:11">
      <c r="D257" s="549" t="s">
        <v>627</v>
      </c>
      <c r="E257" s="547" t="s">
        <v>433</v>
      </c>
      <c r="F257" s="630" t="s">
        <v>429</v>
      </c>
      <c r="G257" s="630"/>
      <c r="H257" s="630"/>
      <c r="I257" s="630"/>
      <c r="J257" s="630"/>
      <c r="K257" s="576">
        <f>+'COMBUSTIBLES '!B7</f>
        <v>4122.03</v>
      </c>
    </row>
    <row r="258" spans="2:11">
      <c r="D258" s="549" t="s">
        <v>628</v>
      </c>
      <c r="E258" s="547"/>
      <c r="F258" s="631" t="s">
        <v>464</v>
      </c>
      <c r="G258" s="631"/>
      <c r="H258" s="631"/>
      <c r="I258" s="631"/>
      <c r="J258" s="631"/>
    </row>
    <row r="259" spans="2:11">
      <c r="E259" s="571"/>
    </row>
    <row r="260" spans="2:11">
      <c r="E260" s="571"/>
    </row>
    <row r="261" spans="2:11">
      <c r="E261" s="571"/>
    </row>
    <row r="262" spans="2:11" ht="36">
      <c r="B262" s="534">
        <v>9</v>
      </c>
      <c r="D262" s="539" t="s">
        <v>629</v>
      </c>
      <c r="E262" s="571"/>
    </row>
    <row r="263" spans="2:11">
      <c r="E263" s="571"/>
    </row>
    <row r="264" spans="2:11" ht="21">
      <c r="D264" s="537" t="s">
        <v>630</v>
      </c>
    </row>
    <row r="265" spans="2:11">
      <c r="D265" s="545" t="s">
        <v>631</v>
      </c>
    </row>
    <row r="266" spans="2:11">
      <c r="D266" s="545" t="s">
        <v>444</v>
      </c>
    </row>
    <row r="267" spans="2:11">
      <c r="D267" s="535" t="s">
        <v>445</v>
      </c>
    </row>
    <row r="268" spans="2:11">
      <c r="D268" s="535" t="s">
        <v>446</v>
      </c>
    </row>
    <row r="269" spans="2:11">
      <c r="D269" s="535" t="s">
        <v>588</v>
      </c>
    </row>
    <row r="270" spans="2:11" ht="21">
      <c r="D270" s="573" t="s">
        <v>641</v>
      </c>
    </row>
    <row r="272" spans="2:11">
      <c r="D272" s="544"/>
    </row>
    <row r="277" spans="2:4" ht="23.25">
      <c r="D277" s="554" t="s">
        <v>632</v>
      </c>
    </row>
    <row r="279" spans="2:4">
      <c r="B279" s="535" t="s">
        <v>642</v>
      </c>
      <c r="C279" s="535">
        <v>1</v>
      </c>
      <c r="D279" s="564" t="s">
        <v>663</v>
      </c>
    </row>
    <row r="280" spans="2:4">
      <c r="D280" s="564" t="s">
        <v>644</v>
      </c>
    </row>
    <row r="281" spans="2:4">
      <c r="D281" s="564"/>
    </row>
    <row r="282" spans="2:4">
      <c r="B282" s="535" t="s">
        <v>643</v>
      </c>
      <c r="C282" s="535">
        <v>2</v>
      </c>
      <c r="D282" s="577" t="s">
        <v>664</v>
      </c>
    </row>
    <row r="283" spans="2:4">
      <c r="D283" s="564" t="s">
        <v>645</v>
      </c>
    </row>
    <row r="284" spans="2:4">
      <c r="D284" s="564"/>
    </row>
    <row r="285" spans="2:4">
      <c r="B285" s="535" t="s">
        <v>646</v>
      </c>
      <c r="C285" s="535">
        <v>3</v>
      </c>
      <c r="D285" s="564" t="s">
        <v>665</v>
      </c>
    </row>
    <row r="286" spans="2:4">
      <c r="D286" s="564" t="s">
        <v>644</v>
      </c>
    </row>
    <row r="287" spans="2:4">
      <c r="D287" s="564"/>
    </row>
    <row r="288" spans="2:4">
      <c r="B288" s="535" t="s">
        <v>647</v>
      </c>
      <c r="C288" s="535">
        <v>4</v>
      </c>
      <c r="D288" s="564" t="s">
        <v>666</v>
      </c>
    </row>
    <row r="289" spans="2:4">
      <c r="D289" s="564" t="s">
        <v>644</v>
      </c>
    </row>
    <row r="290" spans="2:4">
      <c r="D290" s="564"/>
    </row>
    <row r="291" spans="2:4">
      <c r="B291" s="535" t="s">
        <v>648</v>
      </c>
      <c r="C291" s="535">
        <v>5</v>
      </c>
      <c r="D291" s="564" t="s">
        <v>667</v>
      </c>
    </row>
    <row r="292" spans="2:4">
      <c r="D292" s="564" t="s">
        <v>644</v>
      </c>
    </row>
    <row r="293" spans="2:4">
      <c r="D293" s="564"/>
    </row>
    <row r="294" spans="2:4">
      <c r="B294" s="535" t="s">
        <v>649</v>
      </c>
      <c r="C294" s="535">
        <v>6</v>
      </c>
      <c r="D294" s="564" t="s">
        <v>668</v>
      </c>
    </row>
    <row r="295" spans="2:4">
      <c r="D295" s="564" t="s">
        <v>644</v>
      </c>
    </row>
    <row r="296" spans="2:4">
      <c r="D296" s="564"/>
    </row>
    <row r="297" spans="2:4">
      <c r="B297" s="535" t="s">
        <v>650</v>
      </c>
      <c r="C297" s="535">
        <v>7</v>
      </c>
      <c r="D297" s="577" t="s">
        <v>669</v>
      </c>
    </row>
    <row r="298" spans="2:4">
      <c r="D298" s="564" t="s">
        <v>644</v>
      </c>
    </row>
    <row r="299" spans="2:4">
      <c r="D299" s="564"/>
    </row>
    <row r="300" spans="2:4">
      <c r="B300" s="535" t="s">
        <v>651</v>
      </c>
      <c r="C300" s="535">
        <v>8</v>
      </c>
      <c r="D300" s="564" t="s">
        <v>670</v>
      </c>
    </row>
    <row r="301" spans="2:4">
      <c r="D301" s="564" t="s">
        <v>644</v>
      </c>
    </row>
    <row r="302" spans="2:4">
      <c r="D302" s="564"/>
    </row>
    <row r="303" spans="2:4">
      <c r="B303" s="535" t="s">
        <v>652</v>
      </c>
      <c r="C303" s="535">
        <v>9</v>
      </c>
      <c r="D303" s="577" t="s">
        <v>671</v>
      </c>
    </row>
    <row r="304" spans="2:4">
      <c r="D304" s="564" t="s">
        <v>644</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662</v>
      </c>
      <c r="B1" s="4"/>
      <c r="C1" s="4">
        <v>7.2405999999999997</v>
      </c>
      <c r="D1" s="6"/>
      <c r="E1" s="7"/>
      <c r="F1" s="5"/>
    </row>
    <row r="2" spans="1:9" s="62" customFormat="1" ht="21.75" customHeight="1" thickTop="1">
      <c r="A2" s="643" t="str">
        <f>CONCATENATE("ESTRUCTURAS DE PRECIOS DE COMBUSTIBLES LIQUIDOS VIGENTES A PARTIR DE ",$A$1)</f>
        <v>ESTRUCTURAS DE PRECIOS DE COMBUSTIBLES LIQUIDOS VIGENTES A PARTIR DE 2 DE AGOSTO DE 2017</v>
      </c>
      <c r="B2" s="644"/>
      <c r="C2" s="644"/>
      <c r="D2" s="644"/>
      <c r="E2" s="644"/>
      <c r="F2" s="645"/>
    </row>
    <row r="3" spans="1:9" s="62" customFormat="1" ht="21.75" customHeight="1">
      <c r="A3" s="333" t="s">
        <v>0</v>
      </c>
      <c r="B3" s="193"/>
      <c r="C3" s="193"/>
      <c r="D3" s="193"/>
      <c r="E3" s="193"/>
      <c r="F3" s="334"/>
    </row>
    <row r="4" spans="1:9" s="56" customFormat="1" ht="24" customHeight="1">
      <c r="A4" s="649" t="s">
        <v>1</v>
      </c>
      <c r="B4" s="651" t="s">
        <v>25</v>
      </c>
      <c r="C4" s="653" t="s">
        <v>10</v>
      </c>
      <c r="D4" s="654"/>
      <c r="E4" s="651" t="s">
        <v>216</v>
      </c>
      <c r="F4" s="335" t="s">
        <v>376</v>
      </c>
    </row>
    <row r="5" spans="1:9" s="56" customFormat="1" ht="24" customHeight="1">
      <c r="A5" s="649"/>
      <c r="B5" s="652"/>
      <c r="C5" s="71" t="s">
        <v>51</v>
      </c>
      <c r="D5" s="71" t="s">
        <v>52</v>
      </c>
      <c r="E5" s="652"/>
      <c r="F5" s="336" t="s">
        <v>183</v>
      </c>
    </row>
    <row r="6" spans="1:9" s="56" customFormat="1" ht="24" customHeight="1" thickBot="1">
      <c r="A6" s="650"/>
      <c r="B6" s="194" t="str">
        <f>+A1</f>
        <v>2 DE AGOSTO DE 2017</v>
      </c>
      <c r="C6" s="195" t="str">
        <f>+B6</f>
        <v>2 DE AGOSTO DE 2017</v>
      </c>
      <c r="D6" s="194" t="str">
        <f>+C6</f>
        <v>2 DE AGOSTO DE 2017</v>
      </c>
      <c r="E6" s="194" t="str">
        <f>+D6</f>
        <v>2 DE AGOSTO DE 2017</v>
      </c>
      <c r="F6" s="337" t="str">
        <f>+C6</f>
        <v>2 DE AGOSTO DE 2017</v>
      </c>
    </row>
    <row r="7" spans="1:9" ht="22.5" customHeight="1" thickTop="1">
      <c r="A7" s="80" t="s">
        <v>3</v>
      </c>
      <c r="B7" s="501">
        <v>4122.03</v>
      </c>
      <c r="C7" s="190">
        <v>5210</v>
      </c>
      <c r="D7" s="190">
        <f>+C7</f>
        <v>5210</v>
      </c>
      <c r="E7" s="190">
        <v>4116.29</v>
      </c>
      <c r="F7" s="472">
        <v>5670</v>
      </c>
    </row>
    <row r="8" spans="1:9" ht="22.5" customHeight="1">
      <c r="A8" s="72" t="s">
        <v>57</v>
      </c>
      <c r="B8" s="523">
        <f>7.45</f>
        <v>7.45</v>
      </c>
      <c r="C8" s="499">
        <f>+B8</f>
        <v>7.45</v>
      </c>
      <c r="D8" s="499">
        <f>+C8</f>
        <v>7.45</v>
      </c>
      <c r="E8" s="499">
        <f>D8</f>
        <v>7.45</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490</v>
      </c>
      <c r="C11" s="74">
        <f>+Variables!C22</f>
        <v>930</v>
      </c>
      <c r="D11" s="74">
        <f>+ROUND(C11,2)</f>
        <v>930</v>
      </c>
      <c r="E11" s="74">
        <f>+Variables!C26</f>
        <v>469</v>
      </c>
      <c r="F11" s="79"/>
      <c r="H11" s="504"/>
      <c r="I11" s="504"/>
    </row>
    <row r="12" spans="1:9" ht="22.5" customHeight="1">
      <c r="A12" s="72" t="s">
        <v>284</v>
      </c>
      <c r="B12" s="529" t="s">
        <v>401</v>
      </c>
      <c r="C12" s="529" t="s">
        <v>401</v>
      </c>
      <c r="D12" s="529" t="s">
        <v>401</v>
      </c>
      <c r="E12" s="529" t="s">
        <v>401</v>
      </c>
      <c r="F12" s="530" t="s">
        <v>401</v>
      </c>
    </row>
    <row r="13" spans="1:9" ht="22.5" customHeight="1">
      <c r="A13" s="72" t="s">
        <v>378</v>
      </c>
      <c r="B13" s="500">
        <f>Variables!C44</f>
        <v>135</v>
      </c>
      <c r="C13" s="74">
        <f>Variables!C44</f>
        <v>135</v>
      </c>
      <c r="D13" s="74">
        <f>Variables!C44</f>
        <v>135</v>
      </c>
      <c r="E13" s="74">
        <f>Variables!C45</f>
        <v>152</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47"/>
      <c r="B22" s="648"/>
      <c r="C22" s="648"/>
      <c r="D22" s="648"/>
      <c r="E22" s="648"/>
      <c r="F22" s="648"/>
    </row>
    <row r="23" spans="1:6" s="70" customFormat="1" ht="30" customHeight="1">
      <c r="A23" s="642" t="s">
        <v>228</v>
      </c>
      <c r="B23" s="642"/>
      <c r="C23" s="642"/>
      <c r="D23" s="642"/>
      <c r="E23" s="642"/>
      <c r="F23" s="642"/>
    </row>
    <row r="24" spans="1:6" s="70" customFormat="1" ht="11.25" customHeight="1">
      <c r="A24" s="330"/>
      <c r="B24" s="330"/>
      <c r="C24" s="330"/>
      <c r="D24" s="330"/>
      <c r="E24" s="330"/>
      <c r="F24" s="330"/>
    </row>
    <row r="25" spans="1:6" s="70" customFormat="1" ht="31.5" customHeight="1">
      <c r="A25" s="642" t="s">
        <v>224</v>
      </c>
      <c r="B25" s="642"/>
      <c r="C25" s="642"/>
      <c r="D25" s="642"/>
      <c r="E25" s="642"/>
      <c r="F25" s="642"/>
    </row>
    <row r="26" spans="1:6" s="70" customFormat="1" ht="7.5" customHeight="1">
      <c r="A26" s="16"/>
      <c r="B26" s="331"/>
      <c r="C26" s="331"/>
      <c r="D26" s="331"/>
      <c r="E26" s="331"/>
      <c r="F26" s="331"/>
    </row>
    <row r="27" spans="1:6" ht="43.5" customHeight="1">
      <c r="A27" s="646" t="s">
        <v>225</v>
      </c>
      <c r="B27" s="646"/>
      <c r="C27" s="646"/>
      <c r="D27" s="646"/>
      <c r="E27" s="646"/>
      <c r="F27" s="646"/>
    </row>
    <row r="28" spans="1:6" s="11" customFormat="1" ht="8.25" customHeight="1">
      <c r="A28" s="332"/>
      <c r="B28" s="332"/>
      <c r="C28" s="332"/>
      <c r="D28" s="332"/>
      <c r="E28" s="332"/>
      <c r="F28" s="332"/>
    </row>
    <row r="29" spans="1:6" ht="18" customHeight="1">
      <c r="A29" s="642" t="s">
        <v>226</v>
      </c>
      <c r="B29" s="642"/>
      <c r="C29" s="642"/>
      <c r="D29" s="642"/>
      <c r="E29" s="642"/>
      <c r="F29" s="642"/>
    </row>
    <row r="30" spans="1:6" ht="7.5" customHeight="1">
      <c r="A30" s="647"/>
      <c r="B30" s="648"/>
      <c r="C30" s="648"/>
      <c r="D30" s="648"/>
      <c r="E30" s="648"/>
      <c r="F30" s="648"/>
    </row>
    <row r="31" spans="1:6" ht="29.25" customHeight="1">
      <c r="A31" s="642" t="s">
        <v>311</v>
      </c>
      <c r="B31" s="642"/>
      <c r="C31" s="642"/>
      <c r="D31" s="642"/>
      <c r="E31" s="642"/>
      <c r="F31" s="642"/>
    </row>
    <row r="32" spans="1:6" s="12" customFormat="1" ht="18" customHeight="1">
      <c r="A32" s="642" t="s">
        <v>319</v>
      </c>
      <c r="B32" s="642"/>
      <c r="C32" s="642"/>
      <c r="D32" s="642"/>
      <c r="E32" s="642"/>
      <c r="F32" s="642"/>
    </row>
    <row r="33" spans="1:6" s="12" customFormat="1">
      <c r="A33" s="642" t="s">
        <v>377</v>
      </c>
      <c r="B33" s="642"/>
      <c r="C33" s="642"/>
      <c r="D33" s="642"/>
      <c r="E33" s="642"/>
      <c r="F33" s="642"/>
    </row>
    <row r="34" spans="1:6" s="12" customFormat="1">
      <c r="A34" s="525"/>
      <c r="B34" s="525"/>
      <c r="C34" s="525"/>
      <c r="D34" s="525"/>
      <c r="E34" s="525"/>
      <c r="F34" s="525"/>
    </row>
    <row r="35" spans="1:6" s="12" customFormat="1">
      <c r="A35" s="642" t="s">
        <v>400</v>
      </c>
      <c r="B35" s="642"/>
      <c r="C35" s="642"/>
      <c r="D35" s="642"/>
      <c r="E35" s="642"/>
      <c r="F35" s="642"/>
    </row>
    <row r="36" spans="1:6" s="12" customFormat="1" ht="14.25" customHeight="1">
      <c r="A36" s="642" t="s">
        <v>398</v>
      </c>
      <c r="B36" s="642"/>
      <c r="C36" s="642"/>
      <c r="D36" s="642"/>
      <c r="E36" s="642"/>
      <c r="F36" s="642"/>
    </row>
    <row r="37" spans="1:6" s="12" customFormat="1">
      <c r="A37" s="642" t="s">
        <v>399</v>
      </c>
      <c r="B37" s="642"/>
      <c r="C37" s="642"/>
      <c r="D37" s="642"/>
      <c r="E37" s="642"/>
      <c r="F37" s="642"/>
    </row>
    <row r="38" spans="1:6" s="12" customFormat="1" ht="90" customHeight="1">
      <c r="A38" s="655" t="s">
        <v>352</v>
      </c>
      <c r="B38" s="655"/>
      <c r="C38" s="655"/>
      <c r="D38" s="655"/>
      <c r="E38" s="655"/>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56" t="str">
        <f>CONCATENATE("ESTRUCTURAS DE PRECIOS PARA GASOLINA MOTOR CORRIENTE OXIGENADA VIGENTES A PARTIR DE ",'COMBUSTIBLES '!$A$1)</f>
        <v>ESTRUCTURAS DE PRECIOS PARA GASOLINA MOTOR CORRIENTE OXIGENADA VIGENTES A PARTIR DE 2 DE AGOSTO DE 2017</v>
      </c>
      <c r="B2" s="657"/>
      <c r="C2" s="657"/>
      <c r="D2" s="657"/>
      <c r="E2" s="657"/>
      <c r="F2" s="65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58" t="s">
        <v>0</v>
      </c>
      <c r="B3" s="659"/>
      <c r="C3" s="659"/>
      <c r="D3" s="659"/>
      <c r="E3" s="659"/>
      <c r="F3" s="65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61" t="s">
        <v>1</v>
      </c>
      <c r="B4" s="660" t="s">
        <v>27</v>
      </c>
      <c r="C4" s="660" t="s">
        <v>186</v>
      </c>
      <c r="D4" s="401" t="s">
        <v>28</v>
      </c>
      <c r="E4" s="488" t="s">
        <v>28</v>
      </c>
      <c r="F4" s="510"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49"/>
      <c r="B5" s="652"/>
      <c r="C5" s="652"/>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50"/>
      <c r="B6" s="196" t="str">
        <f>+'COMBUSTIBLES '!B6</f>
        <v>2 DE AGOSTO DE 2017</v>
      </c>
      <c r="C6" s="195" t="str">
        <f>'COMBUSTIBLES '!B6</f>
        <v>2 DE AGOSTO DE 2017</v>
      </c>
      <c r="D6" s="195" t="str">
        <f>+C6</f>
        <v>2 DE AGOSTO DE 2017</v>
      </c>
      <c r="E6" s="195" t="str">
        <f>+D6</f>
        <v>2 DE AGOSTO DE 2017</v>
      </c>
      <c r="F6" s="195" t="str">
        <f>+B6</f>
        <v>2 DE AGOSTO DE 2017</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316">
        <v>8559.67</v>
      </c>
      <c r="C7" s="316">
        <f>+'COMBUSTIBLES '!B7</f>
        <v>4122.03</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3792.27</v>
      </c>
      <c r="E8" s="338">
        <f>ROUND($C$7*(1-E5),2)</f>
        <v>3709.83</v>
      </c>
      <c r="F8" s="338">
        <f>ROUND($C$7*(1-F5),2)</f>
        <v>3874.71</v>
      </c>
      <c r="G8" s="504"/>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684.77</v>
      </c>
      <c r="E9" s="338">
        <f>+ROUND(B7*E5,2)</f>
        <v>855.97</v>
      </c>
      <c r="F9" s="338">
        <f>+ROUND(B7*F5,2)</f>
        <v>513.58000000000004</v>
      </c>
      <c r="G9" s="504"/>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4477.04</v>
      </c>
      <c r="E10" s="338">
        <f>E8+E9</f>
        <v>4565.8</v>
      </c>
      <c r="F10" s="338">
        <f>F8+F9+0.01</f>
        <v>4388.3</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490</v>
      </c>
      <c r="D11" s="338">
        <f>+C11*(1-D5)</f>
        <v>450.8</v>
      </c>
      <c r="E11" s="338">
        <f>+C11*(1-E5)</f>
        <v>441</v>
      </c>
      <c r="F11" s="338">
        <f>+C11*(1-F5)</f>
        <v>460.59999999999997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3"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135</v>
      </c>
      <c r="D13" s="338">
        <f>ROUND(C13*(1-D5),2)</f>
        <v>124.2</v>
      </c>
      <c r="E13" s="338">
        <f>ROUND(C13*(1-E5),2)</f>
        <v>121.5</v>
      </c>
      <c r="F13" s="338">
        <f>ROUND(C13*(1-F5),2)</f>
        <v>126.9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76">
        <f>'COMBUSTIBLES '!B8</f>
        <v>7.45</v>
      </c>
      <c r="D14" s="338">
        <f>C14</f>
        <v>7.45</v>
      </c>
      <c r="E14" s="338">
        <f>+D14</f>
        <v>7.45</v>
      </c>
      <c r="F14" s="338">
        <f>C14</f>
        <v>7.45</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+ROUND(C19*(1-E5)+0.005,2)</f>
        <v>1142.73</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62" t="s">
        <v>263</v>
      </c>
      <c r="B27" s="662"/>
      <c r="C27" s="662"/>
      <c r="D27" s="662"/>
      <c r="E27" s="66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1"/>
      <c r="E28" s="352"/>
      <c r="F28" s="490"/>
    </row>
    <row r="29" spans="1:61" s="350" customFormat="1" ht="48" customHeight="1">
      <c r="A29" s="663" t="s">
        <v>264</v>
      </c>
      <c r="B29" s="663"/>
      <c r="C29" s="663"/>
      <c r="D29" s="663"/>
      <c r="E29" s="663"/>
    </row>
    <row r="30" spans="1:61" s="350" customFormat="1" ht="12.75">
      <c r="A30" s="353"/>
      <c r="B30" s="353"/>
      <c r="C30" s="354"/>
      <c r="D30" s="354"/>
      <c r="E30" s="354"/>
      <c r="F30" s="354"/>
    </row>
    <row r="31" spans="1:61" s="350" customFormat="1" ht="35.25" customHeight="1">
      <c r="A31" s="663" t="s">
        <v>233</v>
      </c>
      <c r="B31" s="663"/>
      <c r="C31" s="663"/>
      <c r="D31" s="663"/>
      <c r="E31" s="663"/>
    </row>
    <row r="32" spans="1:61" s="350" customFormat="1" ht="12.75">
      <c r="A32" s="353"/>
      <c r="B32" s="353"/>
      <c r="C32" s="354"/>
      <c r="D32" s="354"/>
      <c r="E32" s="354"/>
      <c r="F32" s="354"/>
    </row>
    <row r="33" spans="1:7" s="393" customFormat="1" ht="36.75" customHeight="1">
      <c r="A33" s="664" t="s">
        <v>234</v>
      </c>
      <c r="B33" s="664"/>
      <c r="C33" s="664"/>
      <c r="D33" s="664"/>
      <c r="E33" s="664"/>
    </row>
    <row r="34" spans="1:7" s="350" customFormat="1" ht="9" customHeight="1">
      <c r="A34" s="353"/>
      <c r="B34" s="353"/>
      <c r="C34" s="354"/>
      <c r="D34" s="354"/>
      <c r="E34" s="354"/>
      <c r="F34" s="354"/>
    </row>
    <row r="35" spans="1:7" s="350" customFormat="1" ht="12.75">
      <c r="A35" s="663" t="s">
        <v>235</v>
      </c>
      <c r="B35" s="663"/>
      <c r="C35" s="663"/>
      <c r="D35" s="663"/>
      <c r="E35" s="663"/>
    </row>
    <row r="36" spans="1:7" s="350" customFormat="1" ht="10.5" customHeight="1">
      <c r="A36" s="355"/>
      <c r="B36" s="355"/>
      <c r="C36" s="355"/>
      <c r="D36" s="512"/>
      <c r="E36" s="355"/>
      <c r="F36" s="489"/>
    </row>
    <row r="37" spans="1:7" s="350" customFormat="1" ht="30.75" customHeight="1">
      <c r="A37" s="642" t="s">
        <v>311</v>
      </c>
      <c r="B37" s="642"/>
      <c r="C37" s="642"/>
      <c r="D37" s="642"/>
      <c r="E37" s="642"/>
      <c r="F37" s="642"/>
      <c r="G37" s="642"/>
    </row>
    <row r="38" spans="1:7" s="350" customFormat="1" ht="12.75">
      <c r="A38" s="642" t="s">
        <v>400</v>
      </c>
      <c r="B38" s="642"/>
      <c r="C38" s="642"/>
      <c r="D38" s="642"/>
      <c r="E38" s="642"/>
      <c r="F38" s="642"/>
      <c r="G38" s="525"/>
    </row>
    <row r="39" spans="1:7" s="350" customFormat="1" ht="12.75">
      <c r="A39" s="642" t="s">
        <v>398</v>
      </c>
      <c r="B39" s="642"/>
      <c r="C39" s="642"/>
      <c r="D39" s="642"/>
      <c r="E39" s="642"/>
      <c r="F39" s="642"/>
      <c r="G39" s="525"/>
    </row>
    <row r="40" spans="1:7">
      <c r="A40" s="642" t="s">
        <v>399</v>
      </c>
      <c r="B40" s="642"/>
      <c r="C40" s="642"/>
      <c r="D40" s="642"/>
      <c r="E40" s="642"/>
      <c r="F40" s="642"/>
    </row>
    <row r="42" spans="1:7" ht="98.25" customHeight="1">
      <c r="A42" s="655" t="s">
        <v>352</v>
      </c>
      <c r="B42" s="655"/>
      <c r="C42" s="655"/>
      <c r="D42" s="655"/>
      <c r="E42" s="655"/>
      <c r="F42" s="655"/>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65" t="s">
        <v>320</v>
      </c>
      <c r="B4" s="666"/>
      <c r="C4" s="666"/>
      <c r="D4" s="666"/>
      <c r="E4" s="666"/>
      <c r="F4" s="666"/>
      <c r="G4" s="666"/>
      <c r="H4" s="666"/>
      <c r="I4" s="666"/>
      <c r="J4" s="666"/>
      <c r="K4" s="666"/>
      <c r="L4" s="666"/>
      <c r="M4" s="666"/>
      <c r="N4" s="666"/>
      <c r="O4" s="666"/>
      <c r="P4" s="667"/>
    </row>
    <row r="5" spans="1:16" ht="18" customHeight="1">
      <c r="A5" s="668"/>
      <c r="B5" s="669"/>
      <c r="C5" s="669"/>
      <c r="D5" s="669"/>
      <c r="E5" s="669"/>
      <c r="F5" s="669"/>
      <c r="G5" s="669"/>
      <c r="H5" s="669"/>
      <c r="I5" s="669"/>
      <c r="J5" s="669"/>
      <c r="K5" s="669"/>
      <c r="L5" s="669"/>
      <c r="M5" s="669"/>
      <c r="N5" s="669"/>
      <c r="O5" s="669"/>
      <c r="P5" s="670"/>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490</v>
      </c>
      <c r="C8" s="454">
        <f>+B8</f>
        <v>490</v>
      </c>
      <c r="D8" s="454">
        <f>+B8</f>
        <v>490</v>
      </c>
      <c r="E8" s="454">
        <f t="shared" ref="E8:O8" si="0">+C8</f>
        <v>490</v>
      </c>
      <c r="F8" s="454">
        <f t="shared" si="0"/>
        <v>490</v>
      </c>
      <c r="G8" s="454">
        <f t="shared" si="0"/>
        <v>490</v>
      </c>
      <c r="H8" s="454">
        <f t="shared" si="0"/>
        <v>490</v>
      </c>
      <c r="I8" s="454">
        <f t="shared" si="0"/>
        <v>490</v>
      </c>
      <c r="J8" s="454">
        <f t="shared" si="0"/>
        <v>490</v>
      </c>
      <c r="K8" s="454">
        <f t="shared" si="0"/>
        <v>490</v>
      </c>
      <c r="L8" s="454">
        <f t="shared" si="0"/>
        <v>490</v>
      </c>
      <c r="M8" s="454">
        <f t="shared" si="0"/>
        <v>490</v>
      </c>
      <c r="N8" s="454">
        <f t="shared" si="0"/>
        <v>490</v>
      </c>
      <c r="O8" s="454">
        <f t="shared" si="0"/>
        <v>490</v>
      </c>
      <c r="P8" s="455">
        <f>+M8</f>
        <v>490</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71" t="s">
        <v>351</v>
      </c>
      <c r="B21" s="672"/>
      <c r="C21" s="672"/>
      <c r="D21" s="672"/>
      <c r="E21" s="672"/>
      <c r="F21" s="672"/>
      <c r="G21" s="672"/>
      <c r="H21" s="672"/>
      <c r="I21" s="672"/>
      <c r="J21" s="672"/>
      <c r="K21" s="672"/>
      <c r="L21" s="672"/>
      <c r="M21" s="672"/>
      <c r="N21" s="672"/>
      <c r="O21" s="672"/>
      <c r="P21" s="672"/>
    </row>
    <row r="22" spans="1:16" ht="15">
      <c r="A22" s="477"/>
      <c r="B22" s="478"/>
      <c r="C22" s="478"/>
      <c r="D22" s="478"/>
      <c r="E22" s="478"/>
      <c r="F22" s="478"/>
      <c r="G22" s="478"/>
      <c r="H22" s="478"/>
      <c r="I22" s="478"/>
      <c r="J22" s="478"/>
      <c r="K22" s="478"/>
      <c r="L22" s="478"/>
      <c r="M22" s="478"/>
      <c r="N22" s="478"/>
      <c r="O22" s="478"/>
      <c r="P22" s="478"/>
    </row>
    <row r="23" spans="1:16">
      <c r="A23" s="642" t="s">
        <v>228</v>
      </c>
      <c r="B23" s="642"/>
      <c r="C23" s="642"/>
      <c r="D23" s="642"/>
      <c r="E23" s="642"/>
      <c r="F23" s="642"/>
    </row>
    <row r="24" spans="1:16">
      <c r="A24" s="473"/>
      <c r="B24" s="473"/>
      <c r="C24" s="473"/>
      <c r="D24" s="473"/>
      <c r="E24" s="473"/>
      <c r="F24" s="473"/>
    </row>
    <row r="25" spans="1:16">
      <c r="A25" s="642" t="s">
        <v>224</v>
      </c>
      <c r="B25" s="642"/>
      <c r="C25" s="642"/>
      <c r="D25" s="642"/>
      <c r="E25" s="642"/>
      <c r="F25" s="642"/>
    </row>
    <row r="26" spans="1:16" ht="15">
      <c r="A26" s="16"/>
      <c r="B26" s="331"/>
      <c r="C26" s="331"/>
      <c r="D26" s="331"/>
      <c r="E26" s="331"/>
      <c r="F26" s="331"/>
    </row>
    <row r="27" spans="1:16">
      <c r="A27" s="646" t="s">
        <v>225</v>
      </c>
      <c r="B27" s="646"/>
      <c r="C27" s="646"/>
      <c r="D27" s="646"/>
      <c r="E27" s="646"/>
      <c r="F27" s="646"/>
    </row>
    <row r="28" spans="1:16">
      <c r="A28" s="474"/>
      <c r="B28" s="474"/>
      <c r="C28" s="474"/>
      <c r="D28" s="474"/>
      <c r="E28" s="474"/>
      <c r="F28" s="474"/>
    </row>
    <row r="29" spans="1:16">
      <c r="A29" s="642" t="s">
        <v>226</v>
      </c>
      <c r="B29" s="642"/>
      <c r="C29" s="642"/>
      <c r="D29" s="642"/>
      <c r="E29" s="642"/>
      <c r="F29" s="642"/>
    </row>
    <row r="30" spans="1:16" ht="15">
      <c r="A30" s="647"/>
      <c r="B30" s="648"/>
      <c r="C30" s="648"/>
      <c r="D30" s="648"/>
      <c r="E30" s="648"/>
      <c r="F30" s="648"/>
    </row>
    <row r="31" spans="1:16">
      <c r="A31" s="642" t="s">
        <v>311</v>
      </c>
      <c r="B31" s="642"/>
      <c r="C31" s="642"/>
      <c r="D31" s="642"/>
      <c r="E31" s="642"/>
      <c r="F31" s="642"/>
    </row>
    <row r="32" spans="1:16">
      <c r="A32" s="642" t="s">
        <v>319</v>
      </c>
      <c r="B32" s="642"/>
      <c r="C32" s="642"/>
      <c r="D32" s="642"/>
      <c r="E32" s="642"/>
      <c r="F32" s="642"/>
    </row>
    <row r="35" spans="1:5" ht="114.75" customHeight="1">
      <c r="A35" s="655" t="s">
        <v>352</v>
      </c>
      <c r="B35" s="655"/>
      <c r="C35" s="655"/>
      <c r="D35" s="655"/>
      <c r="E35" s="655"/>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73" t="str">
        <f>CONCATENATE("ESTRUCTURA DE PRECIOS DE GASOLINA EXTRA OXIGENADA VIGENTE A PARTIR DE ",'COMBUSTIBLES '!$A$1)</f>
        <v>ESTRUCTURA DE PRECIOS DE GASOLINA EXTRA OXIGENADA VIGENTE A PARTIR DE 2 DE AGOSTO DE 2017</v>
      </c>
      <c r="B2" s="674"/>
      <c r="C2" s="674"/>
      <c r="D2" s="674"/>
      <c r="E2" s="674"/>
      <c r="F2" s="67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75" t="s">
        <v>0</v>
      </c>
      <c r="B3" s="676"/>
      <c r="C3" s="676"/>
      <c r="D3" s="676"/>
      <c r="E3" s="676"/>
      <c r="F3" s="67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61" t="s">
        <v>1</v>
      </c>
      <c r="B4" s="660" t="s">
        <v>27</v>
      </c>
      <c r="C4" s="660" t="s">
        <v>56</v>
      </c>
      <c r="D4" s="102" t="s">
        <v>29</v>
      </c>
      <c r="E4" s="102" t="s">
        <v>29</v>
      </c>
      <c r="F4" s="102" t="s">
        <v>29</v>
      </c>
    </row>
    <row r="5" spans="1:53" ht="21.75" customHeight="1">
      <c r="A5" s="649"/>
      <c r="B5" s="652"/>
      <c r="C5" s="652"/>
      <c r="D5" s="103">
        <v>0.08</v>
      </c>
      <c r="E5" s="103">
        <v>0.1</v>
      </c>
      <c r="F5" s="103">
        <v>0.06</v>
      </c>
    </row>
    <row r="6" spans="1:53" ht="35.25" customHeight="1" thickBot="1">
      <c r="A6" s="650"/>
      <c r="B6" s="81" t="str">
        <f>C6</f>
        <v>2 DE AGOSTO DE 2017</v>
      </c>
      <c r="C6" s="81" t="str">
        <f>+'COMBUSTIBLES '!C6</f>
        <v>2 DE AGOSTO DE 2017</v>
      </c>
      <c r="D6" s="82" t="str">
        <f>B6</f>
        <v>2 DE AGOSTO DE 2017</v>
      </c>
      <c r="E6" s="82" t="str">
        <f>C6</f>
        <v>2 DE AGOSTO DE 2017</v>
      </c>
      <c r="F6" s="82" t="str">
        <f>D6</f>
        <v>2 DE AGOSTO DE 2017</v>
      </c>
    </row>
    <row r="7" spans="1:53" ht="22.5" customHeight="1" thickTop="1">
      <c r="A7" s="80" t="s">
        <v>3</v>
      </c>
      <c r="B7" s="106">
        <f>+'GASOLINA CORRIENTE OXIGENADA'!B7</f>
        <v>8559.67</v>
      </c>
      <c r="C7" s="106">
        <f>'COMBUSTIBLES '!C7</f>
        <v>5210</v>
      </c>
      <c r="D7" s="107">
        <f>+ROUND((C7*(1-D5))+($B$7*D5),2)</f>
        <v>5477.97</v>
      </c>
      <c r="E7" s="107">
        <f>+ROUND((C7*(1-E5))+($B$7*E5),2)</f>
        <v>5544.97</v>
      </c>
      <c r="F7" s="107">
        <f>+ROUND((C7*(1-F5))+($B$7*F5),2)</f>
        <v>5410.98</v>
      </c>
    </row>
    <row r="8" spans="1:53" ht="22.5" customHeight="1">
      <c r="A8" s="72" t="s">
        <v>26</v>
      </c>
      <c r="B8" s="74"/>
      <c r="C8" s="74">
        <f>'GASOLINA CORRIENTE OXIGENADA'!D14</f>
        <v>7.45</v>
      </c>
      <c r="D8" s="79">
        <f>+C8</f>
        <v>7.45</v>
      </c>
      <c r="E8" s="79">
        <f>+D8</f>
        <v>7.45</v>
      </c>
      <c r="F8" s="79">
        <f>+E8</f>
        <v>7.45</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930</v>
      </c>
      <c r="D11" s="79">
        <f>+ROUND(+C11*(1-D5),2)</f>
        <v>855.6</v>
      </c>
      <c r="E11" s="79">
        <f>+ROUND(+C11*(1-E5),2)</f>
        <v>837</v>
      </c>
      <c r="F11" s="79">
        <f>+ROUND(+C11*(1-F5),2)</f>
        <v>874.2</v>
      </c>
    </row>
    <row r="12" spans="1:53" ht="22.5" customHeight="1">
      <c r="A12" s="72" t="str">
        <f>+'COMBUSTIBLES '!A12</f>
        <v>Impuesto sobre las Ventas</v>
      </c>
      <c r="B12" s="74"/>
      <c r="C12" s="499" t="str">
        <f>+'COMBUSTIBLES '!C12</f>
        <v>(3)</v>
      </c>
      <c r="D12" s="530" t="str">
        <f>+C12</f>
        <v>(3)</v>
      </c>
      <c r="E12" s="530" t="str">
        <f>+D12</f>
        <v>(3)</v>
      </c>
      <c r="F12" s="530" t="str">
        <f>+E12</f>
        <v>(3)</v>
      </c>
    </row>
    <row r="13" spans="1:53" ht="22.5" customHeight="1">
      <c r="A13" s="72" t="str">
        <f>+'COMBUSTIBLES '!A13</f>
        <v>Impuesto al carbono</v>
      </c>
      <c r="B13" s="74"/>
      <c r="C13" s="74">
        <f>Variables!C44</f>
        <v>135</v>
      </c>
      <c r="D13" s="79">
        <f>+ROUND(+C13*(1-D5),2)</f>
        <v>124.2</v>
      </c>
      <c r="E13" s="79">
        <f>+ROUND(+C13*(1-E5),2)</f>
        <v>121.5</v>
      </c>
      <c r="F13" s="79">
        <f>+ROUND(+C13*(1-F5),2)</f>
        <v>126.9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42" t="s">
        <v>223</v>
      </c>
      <c r="B23" s="642"/>
      <c r="C23" s="642"/>
      <c r="D23" s="642"/>
    </row>
    <row r="24" spans="1:6" ht="10.5" customHeight="1">
      <c r="A24" s="330"/>
      <c r="B24" s="330"/>
      <c r="C24" s="330"/>
      <c r="D24" s="330"/>
      <c r="E24" s="487"/>
    </row>
    <row r="25" spans="1:6" ht="31.5" customHeight="1">
      <c r="A25" s="642" t="s">
        <v>238</v>
      </c>
      <c r="B25" s="642"/>
      <c r="C25" s="642"/>
      <c r="D25" s="642"/>
    </row>
    <row r="26" spans="1:6" ht="12.75" customHeight="1">
      <c r="A26" s="330"/>
      <c r="B26" s="330"/>
      <c r="C26" s="330"/>
      <c r="D26" s="330"/>
      <c r="E26" s="487"/>
    </row>
    <row r="27" spans="1:6" ht="57" customHeight="1">
      <c r="A27" s="642" t="s">
        <v>311</v>
      </c>
      <c r="B27" s="642"/>
      <c r="C27" s="642"/>
      <c r="D27" s="642"/>
      <c r="E27" s="642"/>
      <c r="F27" s="642"/>
    </row>
    <row r="28" spans="1:6">
      <c r="A28" s="642" t="s">
        <v>400</v>
      </c>
      <c r="B28" s="642"/>
      <c r="C28" s="642"/>
      <c r="D28" s="642"/>
      <c r="E28" s="642"/>
      <c r="F28" s="642"/>
    </row>
    <row r="29" spans="1:6">
      <c r="A29" s="642" t="s">
        <v>398</v>
      </c>
      <c r="B29" s="642"/>
      <c r="C29" s="642"/>
      <c r="D29" s="642"/>
      <c r="E29" s="642"/>
      <c r="F29" s="642"/>
    </row>
    <row r="30" spans="1:6">
      <c r="A30" s="642" t="s">
        <v>399</v>
      </c>
      <c r="B30" s="642"/>
      <c r="C30" s="642"/>
      <c r="D30" s="642"/>
      <c r="E30" s="642"/>
      <c r="F30" s="642"/>
    </row>
    <row r="31" spans="1:6" ht="103.5" customHeight="1">
      <c r="A31" s="655" t="s">
        <v>352</v>
      </c>
      <c r="B31" s="655"/>
      <c r="C31" s="655"/>
      <c r="D31" s="655"/>
      <c r="E31" s="655"/>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77" t="str">
        <f>CONCATENATE("ESTRUCTURAS DE PRECIOS PARA LA MEZCLA DE BIOCOMBUSTIBLE PARA USO EN MOTORES DIESEL CON EL ACPM VIGENTES A PARTIR DE ",'COMBUSTIBLES '!$A$1)</f>
        <v>ESTRUCTURAS DE PRECIOS PARA LA MEZCLA DE BIOCOMBUSTIBLE PARA USO EN MOTORES DIESEL CON EL ACPM VIGENTES A PARTIR DE 2 DE AGOSTO DE 2017</v>
      </c>
      <c r="B2" s="678"/>
      <c r="C2" s="678"/>
      <c r="D2" s="678"/>
      <c r="E2" s="678"/>
      <c r="F2" s="678"/>
      <c r="G2" s="678"/>
      <c r="H2" s="678"/>
      <c r="I2" s="67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79" t="s">
        <v>0</v>
      </c>
      <c r="B3" s="680"/>
      <c r="C3" s="680"/>
      <c r="D3" s="680"/>
      <c r="E3" s="680"/>
      <c r="F3" s="680"/>
      <c r="G3" s="680"/>
      <c r="H3" s="680"/>
      <c r="I3" s="68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81" t="s">
        <v>1</v>
      </c>
      <c r="B4" s="92" t="s">
        <v>166</v>
      </c>
      <c r="C4" s="684" t="s">
        <v>65</v>
      </c>
      <c r="D4" s="684" t="s">
        <v>66</v>
      </c>
      <c r="E4" s="93" t="s">
        <v>312</v>
      </c>
      <c r="F4" s="93" t="s">
        <v>282</v>
      </c>
      <c r="G4" s="93" t="s">
        <v>271</v>
      </c>
      <c r="H4" s="93" t="s">
        <v>270</v>
      </c>
      <c r="I4" s="93" t="s">
        <v>635</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82"/>
      <c r="B5" s="94">
        <v>1</v>
      </c>
      <c r="C5" s="685"/>
      <c r="D5" s="685"/>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83"/>
      <c r="B6" s="191" t="str">
        <f>+'COMBUSTIBLES '!C6</f>
        <v>2 DE AGOSTO DE 2017</v>
      </c>
      <c r="C6" s="191" t="str">
        <f>+B6</f>
        <v>2 DE AGOSTO DE 2017</v>
      </c>
      <c r="D6" s="191" t="str">
        <f>+C6</f>
        <v>2 DE AGOSTO DE 2017</v>
      </c>
      <c r="E6" s="192" t="str">
        <f>+G6</f>
        <v>2 DE AGOSTO DE 2017</v>
      </c>
      <c r="F6" s="192" t="str">
        <f>+H6</f>
        <v>2 DE AGOSTO DE 2017</v>
      </c>
      <c r="G6" s="192" t="str">
        <f>+D6</f>
        <v>2 DE AGOSTO DE 2017</v>
      </c>
      <c r="H6" s="192" t="str">
        <f>+G6</f>
        <v>2 DE AGOSTO DE 2017</v>
      </c>
      <c r="I6" s="192" t="str">
        <f>+G6</f>
        <v>2 DE AGOSTO DE 2017</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9989.2199999999993</v>
      </c>
      <c r="C7" s="467">
        <f>+'COMBUSTIBLES '!E7</f>
        <v>4116.29</v>
      </c>
      <c r="D7" s="467">
        <f>+C7</f>
        <v>4116.29</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4033.96</v>
      </c>
      <c r="F8" s="96">
        <f>+ROUND(C7*(1-F5), 2)</f>
        <v>3951.64</v>
      </c>
      <c r="G8" s="96">
        <f>+ROUND(D7*(1-G5),2)</f>
        <v>3786.99</v>
      </c>
      <c r="H8" s="96">
        <f>+ROUND(+C7*(1-H5),2)</f>
        <v>3704.66</v>
      </c>
      <c r="I8" s="96">
        <f>+ROUND($D$7*(1-I5),2)</f>
        <v>3745.82</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199.78</v>
      </c>
      <c r="F9" s="96">
        <f>+ROUND($B$7*F5,2)</f>
        <v>399.57</v>
      </c>
      <c r="G9" s="96">
        <f>+ROUND($B$7*G5,2)</f>
        <v>799.14</v>
      </c>
      <c r="H9" s="96">
        <f>+ROUND($B$7*H5,2)</f>
        <v>998.92</v>
      </c>
      <c r="I9" s="96">
        <f>+ROUND($B$7*I5,2)</f>
        <v>899.03</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4233.74</v>
      </c>
      <c r="F10" s="96">
        <f>+F9+F8</f>
        <v>4351.21</v>
      </c>
      <c r="G10" s="96">
        <f>+G9+G8</f>
        <v>4586.13</v>
      </c>
      <c r="H10" s="96">
        <f>+H9+H8</f>
        <v>4703.58</v>
      </c>
      <c r="I10" s="96">
        <f>+I9+I8</f>
        <v>4644.8500000000004</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469</v>
      </c>
      <c r="D11" s="98">
        <f>+Variables!C29</f>
        <v>469</v>
      </c>
      <c r="E11" s="96">
        <f>+ROUND($C$11*(1-E5),2)</f>
        <v>459.62</v>
      </c>
      <c r="F11" s="96">
        <f>+ROUND($C$11*(1-F5),2)</f>
        <v>450.24</v>
      </c>
      <c r="G11" s="96">
        <f>+ROUND(C$11*(1-G5),2)</f>
        <v>431.48</v>
      </c>
      <c r="H11" s="96">
        <f>+ROUND($D$11*(1-H5),2)</f>
        <v>422.1</v>
      </c>
      <c r="I11" s="96">
        <f>+ROUND($C$11*(1-I5),2)</f>
        <v>426.79</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152</v>
      </c>
      <c r="D13" s="98">
        <f>C13</f>
        <v>152</v>
      </c>
      <c r="E13" s="96">
        <f>ROUND(D13*(1-E5),2)</f>
        <v>148.96</v>
      </c>
      <c r="F13" s="96">
        <f>ROUND(D13*(1-F5),2)</f>
        <v>145.91999999999999</v>
      </c>
      <c r="G13" s="96">
        <f>ROUND(D13*(1-G5),2)</f>
        <v>139.84</v>
      </c>
      <c r="H13" s="96">
        <f>ROUND(D13*(1-H5),2)</f>
        <v>136.80000000000001</v>
      </c>
      <c r="I13" s="96">
        <f>ROUND(D13*(1-I5),2)</f>
        <v>138.32</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7.45</v>
      </c>
      <c r="D14" s="470">
        <f>+C14</f>
        <v>7.45</v>
      </c>
      <c r="E14" s="96">
        <f>+D14</f>
        <v>7.45</v>
      </c>
      <c r="F14" s="96">
        <f>+E14</f>
        <v>7.45</v>
      </c>
      <c r="G14" s="96">
        <f>+F14</f>
        <v>7.45</v>
      </c>
      <c r="H14" s="96">
        <f>+C14</f>
        <v>7.45</v>
      </c>
      <c r="I14" s="96">
        <f>H14</f>
        <v>7.45</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42" t="s">
        <v>311</v>
      </c>
      <c r="B38" s="642"/>
      <c r="C38" s="642"/>
      <c r="D38" s="642"/>
      <c r="E38" s="642"/>
      <c r="F38" s="642"/>
      <c r="G38" s="404"/>
      <c r="H38" s="91"/>
      <c r="I38" s="404"/>
    </row>
    <row r="39" spans="1:9" s="61" customFormat="1">
      <c r="A39" s="642" t="s">
        <v>400</v>
      </c>
      <c r="B39" s="642"/>
      <c r="C39" s="642"/>
      <c r="D39" s="642"/>
      <c r="E39" s="642"/>
      <c r="F39" s="642"/>
      <c r="G39" s="404"/>
      <c r="H39" s="91"/>
      <c r="I39" s="404"/>
    </row>
    <row r="40" spans="1:9" s="61" customFormat="1">
      <c r="A40" s="642" t="s">
        <v>398</v>
      </c>
      <c r="B40" s="642"/>
      <c r="C40" s="642"/>
      <c r="D40" s="642"/>
      <c r="E40" s="642"/>
      <c r="F40" s="642"/>
      <c r="G40" s="404"/>
      <c r="H40" s="91"/>
      <c r="I40" s="404"/>
    </row>
    <row r="41" spans="1:9" s="61" customFormat="1">
      <c r="A41" s="642" t="s">
        <v>399</v>
      </c>
      <c r="B41" s="642"/>
      <c r="C41" s="642"/>
      <c r="D41" s="642"/>
      <c r="E41" s="642"/>
      <c r="F41" s="642"/>
      <c r="G41" s="404"/>
      <c r="H41" s="91"/>
      <c r="I41" s="404"/>
    </row>
    <row r="42" spans="1:9" s="61" customFormat="1">
      <c r="A42" s="91"/>
      <c r="B42" s="91"/>
      <c r="C42" s="91"/>
      <c r="D42" s="91"/>
      <c r="E42" s="91"/>
      <c r="F42" s="91"/>
      <c r="G42" s="91"/>
      <c r="H42" s="91"/>
      <c r="I42" s="91"/>
    </row>
    <row r="43" spans="1:9" s="61" customFormat="1" ht="93.75" customHeight="1">
      <c r="A43" s="655" t="s">
        <v>352</v>
      </c>
      <c r="B43" s="655"/>
      <c r="C43" s="655"/>
      <c r="D43" s="655"/>
      <c r="E43" s="655"/>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86" t="s">
        <v>330</v>
      </c>
      <c r="B4" s="687"/>
      <c r="C4" s="687"/>
      <c r="D4" s="687"/>
      <c r="E4" s="687"/>
      <c r="F4" s="687"/>
      <c r="G4" s="687"/>
      <c r="H4" s="687"/>
      <c r="I4" s="687"/>
      <c r="J4" s="687"/>
      <c r="K4" s="687"/>
      <c r="L4" s="687"/>
      <c r="M4" s="687"/>
      <c r="N4" s="687"/>
      <c r="O4" s="687"/>
      <c r="P4" s="688"/>
    </row>
    <row r="5" spans="1:17" ht="18" customHeight="1">
      <c r="A5" s="689"/>
      <c r="B5" s="690"/>
      <c r="C5" s="690"/>
      <c r="D5" s="690"/>
      <c r="E5" s="690"/>
      <c r="F5" s="690"/>
      <c r="G5" s="690"/>
      <c r="H5" s="690"/>
      <c r="I5" s="690"/>
      <c r="J5" s="690"/>
      <c r="K5" s="690"/>
      <c r="L5" s="690"/>
      <c r="M5" s="690"/>
      <c r="N5" s="690"/>
      <c r="O5" s="690"/>
      <c r="P5" s="691"/>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199.78</v>
      </c>
      <c r="C9" s="450">
        <f>+B9</f>
        <v>199.78</v>
      </c>
      <c r="D9" s="450">
        <f>+BIODIESEL!F9</f>
        <v>399.57</v>
      </c>
      <c r="E9" s="450">
        <f>+D9</f>
        <v>399.57</v>
      </c>
      <c r="F9" s="450">
        <f>+B9</f>
        <v>199.78</v>
      </c>
      <c r="G9" s="450">
        <f>+B9</f>
        <v>199.78</v>
      </c>
      <c r="H9" s="450">
        <f>+B9</f>
        <v>199.78</v>
      </c>
      <c r="I9" s="450">
        <f>+C9</f>
        <v>199.78</v>
      </c>
      <c r="J9" s="450">
        <f>+B9</f>
        <v>199.78</v>
      </c>
      <c r="K9" s="450">
        <f>+B9</f>
        <v>199.78</v>
      </c>
      <c r="L9" s="450">
        <f>+B9</f>
        <v>199.78</v>
      </c>
      <c r="M9" s="450">
        <f>+C9</f>
        <v>199.78</v>
      </c>
      <c r="N9" s="450">
        <f>+M9</f>
        <v>199.78</v>
      </c>
      <c r="O9" s="450">
        <f>+N9</f>
        <v>199.78</v>
      </c>
      <c r="P9" s="451">
        <f>+B9</f>
        <v>199.78</v>
      </c>
      <c r="Q9" s="464"/>
    </row>
    <row r="10" spans="1:17" ht="21" customHeight="1">
      <c r="A10" s="83" t="s">
        <v>304</v>
      </c>
      <c r="B10" s="452">
        <f>+B8+B9</f>
        <v>5580.4699999999993</v>
      </c>
      <c r="C10" s="452">
        <f t="shared" ref="C10:P10" si="1">+C8+C9</f>
        <v>5582.2830000000004</v>
      </c>
      <c r="D10" s="452">
        <f t="shared" si="1"/>
        <v>5689.1219999999994</v>
      </c>
      <c r="E10" s="452">
        <f t="shared" si="1"/>
        <v>5684.4276</v>
      </c>
      <c r="F10" s="452">
        <f t="shared" si="1"/>
        <v>5638.2115999999996</v>
      </c>
      <c r="G10" s="452">
        <f t="shared" si="1"/>
        <v>5649.7069999999994</v>
      </c>
      <c r="H10" s="452">
        <f t="shared" si="1"/>
        <v>5647.5509999999995</v>
      </c>
      <c r="I10" s="452">
        <f t="shared" si="1"/>
        <v>5639.5149999999994</v>
      </c>
      <c r="J10" s="452">
        <f t="shared" si="1"/>
        <v>5648.9817999999996</v>
      </c>
      <c r="K10" s="452">
        <f t="shared" si="1"/>
        <v>5642.9939999999997</v>
      </c>
      <c r="L10" s="452">
        <f t="shared" si="1"/>
        <v>5630.4205999999995</v>
      </c>
      <c r="M10" s="452">
        <f t="shared" si="1"/>
        <v>5630.45</v>
      </c>
      <c r="N10" s="452">
        <f t="shared" si="1"/>
        <v>5631.4201999999996</v>
      </c>
      <c r="O10" s="452">
        <f t="shared" si="1"/>
        <v>5640.7889999999998</v>
      </c>
      <c r="P10" s="452">
        <f t="shared" si="1"/>
        <v>5635.7517999999991</v>
      </c>
    </row>
    <row r="11" spans="1:17" ht="21" customHeight="1">
      <c r="A11" s="83" t="s">
        <v>305</v>
      </c>
      <c r="B11" s="452">
        <f>+BIODIESEL!E11</f>
        <v>459.62</v>
      </c>
      <c r="C11" s="452">
        <f>+BIODIESEL!F11</f>
        <v>450.24</v>
      </c>
      <c r="D11" s="452">
        <f>+BIODIESEL!F11</f>
        <v>450.24</v>
      </c>
      <c r="E11" s="452">
        <f>+D11</f>
        <v>450.24</v>
      </c>
      <c r="F11" s="452">
        <f>+B11</f>
        <v>459.62</v>
      </c>
      <c r="G11" s="452">
        <f>+B11</f>
        <v>459.62</v>
      </c>
      <c r="H11" s="452">
        <f>+B11</f>
        <v>459.62</v>
      </c>
      <c r="I11" s="452">
        <f>+C11</f>
        <v>450.24</v>
      </c>
      <c r="J11" s="452">
        <f>+B11</f>
        <v>459.62</v>
      </c>
      <c r="K11" s="452">
        <f>+B11</f>
        <v>459.62</v>
      </c>
      <c r="L11" s="452">
        <f>+B11</f>
        <v>459.62</v>
      </c>
      <c r="M11" s="452">
        <f t="shared" ref="M11:O12" si="2">+C11</f>
        <v>450.24</v>
      </c>
      <c r="N11" s="452">
        <f t="shared" si="2"/>
        <v>450.24</v>
      </c>
      <c r="O11" s="452">
        <f t="shared" si="2"/>
        <v>450.24</v>
      </c>
      <c r="P11" s="453">
        <f>+B11</f>
        <v>459.62</v>
      </c>
    </row>
    <row r="12" spans="1:17" ht="21" customHeight="1">
      <c r="A12" s="83" t="s">
        <v>57</v>
      </c>
      <c r="B12" s="454">
        <f>+BIODIESEL!E14</f>
        <v>7.45</v>
      </c>
      <c r="C12" s="454">
        <f>+B12</f>
        <v>7.45</v>
      </c>
      <c r="D12" s="465">
        <v>5.17</v>
      </c>
      <c r="E12" s="465">
        <f>+D12</f>
        <v>5.17</v>
      </c>
      <c r="F12" s="454">
        <f>+B12</f>
        <v>7.45</v>
      </c>
      <c r="G12" s="454">
        <f>+B12</f>
        <v>7.45</v>
      </c>
      <c r="H12" s="454">
        <f>+B12</f>
        <v>7.45</v>
      </c>
      <c r="I12" s="454">
        <f>+C12</f>
        <v>7.45</v>
      </c>
      <c r="J12" s="454">
        <f>+B12</f>
        <v>7.45</v>
      </c>
      <c r="K12" s="454">
        <f>+B12</f>
        <v>7.45</v>
      </c>
      <c r="L12" s="454">
        <f>+B12</f>
        <v>7.45</v>
      </c>
      <c r="M12" s="454">
        <f t="shared" si="2"/>
        <v>7.45</v>
      </c>
      <c r="N12" s="454">
        <f>+M12</f>
        <v>7.45</v>
      </c>
      <c r="O12" s="454">
        <f>+N12</f>
        <v>7.45</v>
      </c>
      <c r="P12" s="455">
        <f>+B12</f>
        <v>7.45</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71" t="s">
        <v>350</v>
      </c>
      <c r="B24" s="672"/>
      <c r="C24" s="672"/>
      <c r="D24" s="672"/>
      <c r="E24" s="672"/>
      <c r="F24" s="672"/>
      <c r="G24" s="672"/>
      <c r="H24" s="672"/>
      <c r="I24" s="672"/>
      <c r="J24" s="672"/>
      <c r="K24" s="672"/>
      <c r="L24" s="672"/>
      <c r="M24" s="672"/>
      <c r="N24" s="672"/>
      <c r="O24" s="672"/>
      <c r="P24" s="672"/>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55" t="s">
        <v>352</v>
      </c>
      <c r="B34" s="655"/>
      <c r="C34" s="655"/>
      <c r="D34" s="655"/>
      <c r="E34" s="655"/>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2020-03-04T21:42:03Z</dcterms:modified>
</cp:coreProperties>
</file>