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Y:\GRE_PUBLICACIONES\HISTORICOS 2024\Combustibles\"/>
    </mc:Choice>
  </mc:AlternateContent>
  <xr:revisionPtr revIDLastSave="0" documentId="8_{DF890937-2FAD-4E4F-BAAB-F38B5373B658}" xr6:coauthVersionLast="47" xr6:coauthVersionMax="47" xr10:uidLastSave="{00000000-0000-0000-0000-000000000000}"/>
  <bookViews>
    <workbookView xWindow="-120" yWindow="-120" windowWidth="29040" windowHeight="15720" tabRatio="938" firstSheet="8" activeTab="30" xr2:uid="{00000000-000D-0000-FFFF-FFFF00000000}"/>
  </bookViews>
  <sheets>
    <sheet name="Resoluciones, leyes" sheetId="122" state="hidden" r:id="rId1"/>
    <sheet name="TARIFAS DE TRANSPORTE" sheetId="61" state="hidden" r:id="rId2"/>
    <sheet name="Fechas" sheetId="188" state="hidden" r:id="rId3"/>
    <sheet name="COMBUSTIBLES " sheetId="1" r:id="rId4"/>
    <sheet name="GASOLINA CORRIENTE " sheetId="46" r:id="rId5"/>
    <sheet name="GASOLINA EXTRA" sheetId="116" r:id="rId6"/>
    <sheet name="BIODIESEL" sheetId="95" r:id="rId7"/>
    <sheet name="SAN-ANDRES + GENERACION" sheetId="4" r:id="rId8"/>
    <sheet name="DIESEL MARINO" sheetId="121" r:id="rId9"/>
    <sheet name="GCINI 31 Ag al 02 de Sep" sheetId="178" state="hidden" r:id="rId10"/>
    <sheet name="GCINI 03 al 09 de Sep" sheetId="181" state="hidden" r:id="rId11"/>
    <sheet name="GCINI 10 al 16 de Sep" sheetId="182" state="hidden" r:id="rId12"/>
    <sheet name="GCINI 17 al 23 de Sep" sheetId="184" state="hidden" r:id="rId13"/>
    <sheet name="GCINI 24 al 30 de Sep" sheetId="187" state="hidden" r:id="rId14"/>
    <sheet name="GR. CONSU. 31 Agost 02 de sep" sheetId="179" state="hidden" r:id="rId15"/>
    <sheet name="GR. CONSU. 03 al 09 de Sep" sheetId="180" state="hidden" r:id="rId16"/>
    <sheet name="GR. CONSU. 10 al 16 de Sep" sheetId="183" state="hidden" r:id="rId17"/>
    <sheet name="GR. CONSU. 17 al 23 de Sep" sheetId="185" state="hidden" r:id="rId18"/>
    <sheet name="GR. CONSU. 24 al 30 de Sep" sheetId="186" state="hidden" r:id="rId19"/>
    <sheet name="GCINI 01 al 05 de Nov" sheetId="199" r:id="rId20"/>
    <sheet name="GCINI 06 al 06 de Nov" sheetId="202" r:id="rId21"/>
    <sheet name="GCINI 07 al 12 de Nov" sheetId="203" r:id="rId22"/>
    <sheet name="GCINI 13 al 18 de Nov" sheetId="206" r:id="rId23"/>
    <sheet name="GCINI 19 al 25 de Nov" sheetId="209" r:id="rId24"/>
    <sheet name="GCINI 26 Nov al 30 de Nov" sheetId="211" r:id="rId25"/>
    <sheet name="GR. Cons 29 OCT a 4 de Nov" sheetId="200" r:id="rId26"/>
    <sheet name="GR. Cons 05 a 06  de Nov" sheetId="201" r:id="rId27"/>
    <sheet name="GR. Cons 07 a 11 de Nov" sheetId="204" r:id="rId28"/>
    <sheet name="GR. Cons 12 a 18 de Nov" sheetId="205" r:id="rId29"/>
    <sheet name="GR. Cons 19 a 25 de Nov" sheetId="208" r:id="rId30"/>
    <sheet name="GR. Cons 26 Nov a 30 Nov" sheetId="210" r:id="rId31"/>
    <sheet name="BI ECOPETROL" sheetId="130" state="hidden" r:id="rId32"/>
    <sheet name="BI RCSA" sheetId="131"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s>
  <definedNames>
    <definedName name="\A" localSheetId="6">#REF!</definedName>
    <definedName name="\A" localSheetId="3">#REF!</definedName>
    <definedName name="\A" localSheetId="8">#REF!</definedName>
    <definedName name="\A" localSheetId="4">#REF!</definedName>
    <definedName name="\A">#REF!</definedName>
    <definedName name="\L" localSheetId="6">#REF!</definedName>
    <definedName name="\L" localSheetId="3">#REF!</definedName>
    <definedName name="\L" localSheetId="8">#REF!</definedName>
    <definedName name="\L" localSheetId="4">#REF!</definedName>
    <definedName name="\L">#REF!</definedName>
    <definedName name="\P" localSheetId="6">#REF!</definedName>
    <definedName name="\P" localSheetId="3">#REF!</definedName>
    <definedName name="\P" localSheetId="8">#REF!</definedName>
    <definedName name="\P" localSheetId="4">#REF!</definedName>
    <definedName name="\P">#REF!</definedName>
    <definedName name="_xlnm._FilterDatabase" localSheetId="31" hidden="1">'BI ECOPETROL'!$A$1:$V$98</definedName>
    <definedName name="_xlnm._FilterDatabase" localSheetId="32" hidden="1">'BI RCSA'!$A$1:$V$45</definedName>
    <definedName name="_xlnm._FilterDatabase" localSheetId="3" hidden="1">'COMBUSTIBLES '!$A$1:$K$21</definedName>
    <definedName name="_xlnm._FilterDatabase" localSheetId="2" hidden="1">Fechas!$A$1:$B$854</definedName>
    <definedName name="_xlnm._FilterDatabase" localSheetId="19" hidden="1">'GCINI 01 al 05 de Nov'!$A$1:$A$9</definedName>
    <definedName name="_xlnm._FilterDatabase" localSheetId="10" hidden="1">'GCINI 03 al 09 de Sep'!$A$1:$A$9</definedName>
    <definedName name="_xlnm._FilterDatabase" localSheetId="20" hidden="1">'GCINI 06 al 06 de Nov'!$A$1:$A$9</definedName>
    <definedName name="_xlnm._FilterDatabase" localSheetId="21" hidden="1">'GCINI 07 al 12 de Nov'!$A$1:$A$9</definedName>
    <definedName name="_xlnm._FilterDatabase" localSheetId="11" hidden="1">'GCINI 10 al 16 de Sep'!$A$1:$A$9</definedName>
    <definedName name="_xlnm._FilterDatabase" localSheetId="22" hidden="1">'GCINI 13 al 18 de Nov'!$A$1:$A$9</definedName>
    <definedName name="_xlnm._FilterDatabase" localSheetId="12" hidden="1">'GCINI 17 al 23 de Sep'!$A$1:$A$9</definedName>
    <definedName name="_xlnm._FilterDatabase" localSheetId="23" hidden="1">'GCINI 19 al 25 de Nov'!$A$1:$A$9</definedName>
    <definedName name="_xlnm._FilterDatabase" localSheetId="13" hidden="1">'GCINI 24 al 30 de Sep'!$A$1:$A$9</definedName>
    <definedName name="_xlnm._FilterDatabase" localSheetId="24" hidden="1">'GCINI 26 Nov al 30 de Nov'!$A$1:$A$9</definedName>
    <definedName name="_xlnm._FilterDatabase" localSheetId="9" hidden="1">'GCINI 31 Ag al 02 de Sep'!$A$1:$A$9</definedName>
    <definedName name="_xlnm._FilterDatabase" localSheetId="26" hidden="1">'GR. Cons 05 a 06  de Nov'!$A$1:$A$10</definedName>
    <definedName name="_xlnm._FilterDatabase" localSheetId="27" hidden="1">'GR. Cons 07 a 11 de Nov'!$A$1:$A$10</definedName>
    <definedName name="_xlnm._FilterDatabase" localSheetId="28" hidden="1">'GR. Cons 12 a 18 de Nov'!$A$1:$A$10</definedName>
    <definedName name="_xlnm._FilterDatabase" localSheetId="29" hidden="1">'GR. Cons 19 a 25 de Nov'!$A$1:$A$10</definedName>
    <definedName name="_xlnm._FilterDatabase" localSheetId="30" hidden="1">'GR. Cons 26 Nov a 30 Nov'!$A$1:$A$10</definedName>
    <definedName name="_xlnm._FilterDatabase" localSheetId="25" hidden="1">'GR. Cons 29 OCT a 4 de Nov'!$A$1:$A$10</definedName>
    <definedName name="_xlnm._FilterDatabase" localSheetId="15" hidden="1">'GR. CONSU. 03 al 09 de Sep'!$A$1:$A$10</definedName>
    <definedName name="_xlnm._FilterDatabase" localSheetId="16" hidden="1">'GR. CONSU. 10 al 16 de Sep'!$A$1:$A$10</definedName>
    <definedName name="_xlnm._FilterDatabase" localSheetId="17" hidden="1">'GR. CONSU. 17 al 23 de Sep'!$A$1:$A$10</definedName>
    <definedName name="_xlnm._FilterDatabase" localSheetId="18" hidden="1">'GR. CONSU. 24 al 30 de Sep'!$A$1:$A$10</definedName>
    <definedName name="_xlnm._FilterDatabase" localSheetId="14" hidden="1">'GR. CONSU. 31 Agost 02 de sep'!$A$1:$A$10</definedName>
    <definedName name="_xlnm._FilterDatabase" localSheetId="1" hidden="1">'TARIFAS DE TRANSPORTE'!$A$1:$B$9</definedName>
    <definedName name="A_IMPRESIÓN_IM" localSheetId="6">#REF!</definedName>
    <definedName name="A_IMPRESIÓN_IM" localSheetId="3">#REF!</definedName>
    <definedName name="A_IMPRESIÓN_IM" localSheetId="8">#REF!</definedName>
    <definedName name="A_IMPRESIÓN_IM" localSheetId="4">#REF!</definedName>
    <definedName name="A_IMPRESIÓN_IM">#REF!</definedName>
    <definedName name="ADI" localSheetId="6">#REF!</definedName>
    <definedName name="ADI" localSheetId="3">#REF!</definedName>
    <definedName name="ADI" localSheetId="8">#REF!</definedName>
    <definedName name="ADI" localSheetId="4">#REF!</definedName>
    <definedName name="ADI">#REF!</definedName>
    <definedName name="_xlnm.Print_Area" localSheetId="6">BIODIESEL!$A$4:$D$24</definedName>
    <definedName name="_xlnm.Print_Area" localSheetId="3">'COMBUSTIBLES '!$A$2:$G$21</definedName>
    <definedName name="_xlnm.Print_Area" localSheetId="8">'DIESEL MARINO'!$C$25:$H$44</definedName>
    <definedName name="_xlnm.Print_Area" localSheetId="4">'GASOLINA CORRIENTE '!$A$2:$C$25</definedName>
    <definedName name="_xlnm.Print_Area" localSheetId="19">'GCINI 01 al 05 de Nov'!$A$1:$G$18</definedName>
    <definedName name="_xlnm.Print_Area" localSheetId="10">'GCINI 03 al 09 de Sep'!$A$1:$G$18</definedName>
    <definedName name="_xlnm.Print_Area" localSheetId="20">'GCINI 06 al 06 de Nov'!$A$1:$G$18</definedName>
    <definedName name="_xlnm.Print_Area" localSheetId="21">'GCINI 07 al 12 de Nov'!$A$1:$G$18</definedName>
    <definedName name="_xlnm.Print_Area" localSheetId="11">'GCINI 10 al 16 de Sep'!$A$1:$G$18</definedName>
    <definedName name="_xlnm.Print_Area" localSheetId="22">'GCINI 13 al 18 de Nov'!$A$1:$G$18</definedName>
    <definedName name="_xlnm.Print_Area" localSheetId="12">'GCINI 17 al 23 de Sep'!$A$1:$G$18</definedName>
    <definedName name="_xlnm.Print_Area" localSheetId="23">'GCINI 19 al 25 de Nov'!$A$1:$G$18</definedName>
    <definedName name="_xlnm.Print_Area" localSheetId="13">'GCINI 24 al 30 de Sep'!$A$1:$G$18</definedName>
    <definedName name="_xlnm.Print_Area" localSheetId="24">'GCINI 26 Nov al 30 de Nov'!$A$1:$G$18</definedName>
    <definedName name="_xlnm.Print_Area" localSheetId="9">'GCINI 31 Ag al 02 de Sep'!$A$1:$K$18</definedName>
    <definedName name="_xlnm.Print_Area" localSheetId="26">'GR. Cons 05 a 06  de Nov'!$A$1:$E$14</definedName>
    <definedName name="_xlnm.Print_Area" localSheetId="27">'GR. Cons 07 a 11 de Nov'!$A$1:$E$14</definedName>
    <definedName name="_xlnm.Print_Area" localSheetId="28">'GR. Cons 12 a 18 de Nov'!$A$1:$E$14</definedName>
    <definedName name="_xlnm.Print_Area" localSheetId="29">'GR. Cons 19 a 25 de Nov'!$A$1:$E$14</definedName>
    <definedName name="_xlnm.Print_Area" localSheetId="30">'GR. Cons 26 Nov a 30 Nov'!$A$1:$E$14</definedName>
    <definedName name="_xlnm.Print_Area" localSheetId="25">'GR. Cons 29 OCT a 4 de Nov'!$A$1:$E$14</definedName>
    <definedName name="_xlnm.Print_Area" localSheetId="15">'GR. CONSU. 03 al 09 de Sep'!$A$1:$E$14</definedName>
    <definedName name="_xlnm.Print_Area" localSheetId="16">'GR. CONSU. 10 al 16 de Sep'!$A$1:$E$14</definedName>
    <definedName name="_xlnm.Print_Area" localSheetId="17">'GR. CONSU. 17 al 23 de Sep'!$A$1:$E$14</definedName>
    <definedName name="_xlnm.Print_Area" localSheetId="18">'GR. CONSU. 24 al 30 de Sep'!$A$1:$E$14</definedName>
    <definedName name="_xlnm.Print_Area" localSheetId="14">'GR. CONSU. 31 Agost 02 de sep'!$A$1:$E$14</definedName>
    <definedName name="_xlnm.Print_Area" localSheetId="7">'SAN-ANDRES + GENERACION'!$B$1:$G$32</definedName>
    <definedName name="_xlnm.Print_Area" localSheetId="1">'TARIFAS DE TRANSPORTE'!$A$1:$C$34</definedName>
    <definedName name="base" localSheetId="8">#REF!</definedName>
    <definedName name="base">#REF!</definedName>
    <definedName name="base_VaR" localSheetId="8">#REF!</definedName>
    <definedName name="base_VaR">#REF!</definedName>
    <definedName name="CONTADO" localSheetId="8">#REF!</definedName>
    <definedName name="CONTADO">#REF!</definedName>
    <definedName name="CREDITO" localSheetId="8">#REF!</definedName>
    <definedName name="CREDITO">#REF!</definedName>
    <definedName name="DAT" localSheetId="6">#REF!</definedName>
    <definedName name="DAT" localSheetId="3">#REF!</definedName>
    <definedName name="DAT" localSheetId="8">#REF!</definedName>
    <definedName name="DAT" localSheetId="4">#REF!</definedName>
    <definedName name="DAT">#REF!</definedName>
    <definedName name="E_03" localSheetId="8">#REF!</definedName>
    <definedName name="E_03">#REF!</definedName>
    <definedName name="ERR" localSheetId="6">[1]TARIF2002!#REF!</definedName>
    <definedName name="ERR" localSheetId="8">[2]TARIF2002!#REF!</definedName>
    <definedName name="ERR" localSheetId="4">[1]TARIF2002!#REF!</definedName>
    <definedName name="ERR">[2]TARIF2002!#REF!</definedName>
    <definedName name="ERROR" localSheetId="6">#REF!</definedName>
    <definedName name="ERROR" localSheetId="8">#REF!</definedName>
    <definedName name="ERROR" localSheetId="4">#REF!</definedName>
    <definedName name="ERROR">#REF!</definedName>
    <definedName name="ERROR1" localSheetId="6">#REF!</definedName>
    <definedName name="ERROR1" localSheetId="8">#REF!</definedName>
    <definedName name="ERROR1" localSheetId="4">#REF!</definedName>
    <definedName name="ERROR1">#REF!</definedName>
    <definedName name="ERROR2" localSheetId="6">#REF!</definedName>
    <definedName name="ERROR2" localSheetId="8">#REF!</definedName>
    <definedName name="ERROR2" localSheetId="4">#REF!</definedName>
    <definedName name="ERROR2">#REF!</definedName>
    <definedName name="ERROR3" localSheetId="6">[1]TARIF2002!#REF!</definedName>
    <definedName name="ERROR3" localSheetId="8">[2]TARIF2002!#REF!</definedName>
    <definedName name="ERROR3" localSheetId="4">[1]TARIF2002!#REF!</definedName>
    <definedName name="ERROR3">[2]TARIF2002!#REF!</definedName>
    <definedName name="ERROR5" localSheetId="6">[1]TARIF2002!#REF!</definedName>
    <definedName name="ERROR5" localSheetId="8">[2]TARIF2002!#REF!</definedName>
    <definedName name="ERROR5" localSheetId="4">[1]TARIF2002!#REF!</definedName>
    <definedName name="ERROR5">[2]TARIF2002!#REF!</definedName>
    <definedName name="j" localSheetId="6">#REF!</definedName>
    <definedName name="j" localSheetId="8">#REF!</definedName>
    <definedName name="j" localSheetId="4">#REF!</definedName>
    <definedName name="j">#REF!</definedName>
    <definedName name="JA" localSheetId="8">#REF!</definedName>
    <definedName name="JA">#REF!</definedName>
    <definedName name="MATRIZRICS" localSheetId="6">'[3]RICS NUEVA HOJA DIARIA'!$A$1:$AB$42</definedName>
    <definedName name="MATRIZRICS" localSheetId="4">'[3]RICS NUEVA HOJA DIARIA'!$A$1:$AB$42</definedName>
    <definedName name="MATRIZRICS">'[4]RICS NUEVA HOJA DIARIA'!$A$1:$AB$42</definedName>
    <definedName name="MES" localSheetId="6">#REF!</definedName>
    <definedName name="MES" localSheetId="3">#REF!</definedName>
    <definedName name="MES" localSheetId="8">#REF!</definedName>
    <definedName name="MES" localSheetId="4">#REF!</definedName>
    <definedName name="MES">#REF!</definedName>
    <definedName name="Q" localSheetId="6">[5]TARIF2002!#REF!</definedName>
    <definedName name="Q" localSheetId="8">[6]TARIF2002!#REF!</definedName>
    <definedName name="Q" localSheetId="4">[5]TARIF2002!#REF!</definedName>
    <definedName name="Q">[6]TARIF2002!#REF!</definedName>
    <definedName name="QE" localSheetId="6">[7]TARIF2002!#REF!</definedName>
    <definedName name="QE" localSheetId="3">[8]TARIF2002!#REF!</definedName>
    <definedName name="QE" localSheetId="8">[2]TARIF2002!#REF!</definedName>
    <definedName name="QE" localSheetId="4">[7]TARIF2002!#REF!</definedName>
    <definedName name="QE">[2]TARIF2002!#REF!</definedName>
    <definedName name="QE_TE" localSheetId="6">[7]TARIF2002!#REF!</definedName>
    <definedName name="QE_TE" localSheetId="3">[8]TARIF2002!#REF!</definedName>
    <definedName name="QE_TE" localSheetId="8">[2]TARIF2002!#REF!</definedName>
    <definedName name="QE_TE" localSheetId="4">[7]TARIF2002!#REF!</definedName>
    <definedName name="QE_TE">[2]TARIF2002!#REF!</definedName>
    <definedName name="QI" localSheetId="6">[7]TARIF2002!#REF!</definedName>
    <definedName name="QI" localSheetId="3">[8]TARIF2002!#REF!</definedName>
    <definedName name="QI" localSheetId="8">[2]TARIF2002!#REF!</definedName>
    <definedName name="QI" localSheetId="4">[7]TARIF2002!#REF!</definedName>
    <definedName name="QI">[2]TARIF2002!#REF!</definedName>
    <definedName name="QI_TI" localSheetId="6">[7]TARIF2002!#REF!</definedName>
    <definedName name="QI_TI" localSheetId="3">[8]TARIF2002!#REF!</definedName>
    <definedName name="QI_TI" localSheetId="8">[2]TARIF2002!#REF!</definedName>
    <definedName name="QI_TI" localSheetId="4">[7]TARIF2002!#REF!</definedName>
    <definedName name="QI_TI">[2]TARIF2002!#REF!</definedName>
    <definedName name="QN" localSheetId="6">[7]TARIF2002!#REF!</definedName>
    <definedName name="QN" localSheetId="3">[8]TARIF2002!#REF!</definedName>
    <definedName name="QN" localSheetId="8">[2]TARIF2002!#REF!</definedName>
    <definedName name="QN" localSheetId="4">[7]TARIF2002!#REF!</definedName>
    <definedName name="QN">[2]TARIF2002!#REF!</definedName>
    <definedName name="QN_QI" localSheetId="6">[7]TARIF2002!#REF!</definedName>
    <definedName name="QN_QI" localSheetId="3">[8]TARIF2002!#REF!</definedName>
    <definedName name="QN_QI" localSheetId="8">[2]TARIF2002!#REF!</definedName>
    <definedName name="QN_QI" localSheetId="4">[7]TARIF2002!#REF!</definedName>
    <definedName name="QN_QI">[2]TARIF2002!#REF!</definedName>
    <definedName name="QNS" localSheetId="6">[5]TARIF2002!#REF!</definedName>
    <definedName name="QNS" localSheetId="8">[6]TARIF2002!#REF!</definedName>
    <definedName name="QNS" localSheetId="4">[5]TARIF2002!#REF!</definedName>
    <definedName name="QNS">[6]TARIF2002!#REF!</definedName>
    <definedName name="REG" localSheetId="6">#REF!</definedName>
    <definedName name="REG" localSheetId="3">#REF!</definedName>
    <definedName name="REG" localSheetId="8">#REF!</definedName>
    <definedName name="REG" localSheetId="4">#REF!</definedName>
    <definedName name="REG">#REF!</definedName>
    <definedName name="REGULAR" localSheetId="6">#REF!</definedName>
    <definedName name="REGULAR" localSheetId="3">#REF!</definedName>
    <definedName name="REGULAR" localSheetId="8">#REF!</definedName>
    <definedName name="REGULAR" localSheetId="4">#REF!</definedName>
    <definedName name="REGULAR">#REF!</definedName>
    <definedName name="SOL" localSheetId="6">#REF!</definedName>
    <definedName name="SOL" localSheetId="3">#REF!</definedName>
    <definedName name="SOL" localSheetId="8">#REF!</definedName>
    <definedName name="SOL" localSheetId="4">#REF!</definedName>
    <definedName name="SOL">#REF!</definedName>
    <definedName name="TABLE" localSheetId="6">BIODIESEL!$A$2:$A$24</definedName>
    <definedName name="TABLE" localSheetId="3">'COMBUSTIBLES '!$A$2:$G$21</definedName>
    <definedName name="TABLE" localSheetId="4">'GASOLINA CORRIENTE '!$A$2:$C$23</definedName>
    <definedName name="TE" localSheetId="6">[7]TARIF2002!#REF!</definedName>
    <definedName name="TE" localSheetId="3">[8]TARIF2002!#REF!</definedName>
    <definedName name="TE" localSheetId="8">[2]TARIF2002!#REF!</definedName>
    <definedName name="TE" localSheetId="4">[7]TARIF2002!#REF!</definedName>
    <definedName name="TE">[2]TARIF2002!#REF!</definedName>
    <definedName name="TI" localSheetId="6">[7]TARIF2002!#REF!</definedName>
    <definedName name="TI" localSheetId="3">[8]TARIF2002!#REF!</definedName>
    <definedName name="TI" localSheetId="8">[2]TARIF2002!#REF!</definedName>
    <definedName name="TI" localSheetId="4">[7]TARIF2002!#REF!</definedName>
    <definedName name="TI">[2]TARIF2002!#REF!</definedName>
    <definedName name="TITU" localSheetId="6">#REF!</definedName>
    <definedName name="TITU" localSheetId="3">#REF!</definedName>
    <definedName name="TITU" localSheetId="8">#REF!</definedName>
    <definedName name="TITU" localSheetId="4">#REF!</definedName>
    <definedName name="TITU">#REF!</definedName>
    <definedName name="TOT" localSheetId="6">#REF!</definedName>
    <definedName name="TOT" localSheetId="3">#REF!</definedName>
    <definedName name="TOT" localSheetId="8">#REF!</definedName>
    <definedName name="TOT" localSheetId="4">#REF!</definedName>
    <definedName name="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211" l="1"/>
  <c r="K18" i="211" s="1"/>
  <c r="F18" i="211"/>
  <c r="I18" i="211" s="1"/>
  <c r="E18" i="211"/>
  <c r="D18" i="211"/>
  <c r="G18" i="211" s="1"/>
  <c r="J18" i="211" s="1"/>
  <c r="C18" i="211"/>
  <c r="B18" i="211"/>
  <c r="AV17" i="211"/>
  <c r="AU17" i="211"/>
  <c r="AV16" i="211"/>
  <c r="AU16" i="211"/>
  <c r="AV15" i="211"/>
  <c r="AU15" i="211"/>
  <c r="K15" i="211"/>
  <c r="J15" i="211"/>
  <c r="I15" i="211"/>
  <c r="H15" i="211"/>
  <c r="G15" i="211"/>
  <c r="F15" i="211"/>
  <c r="D15" i="211"/>
  <c r="E15" i="211" s="1"/>
  <c r="B15" i="211"/>
  <c r="C15" i="211" s="1"/>
  <c r="K13" i="211"/>
  <c r="J13" i="211"/>
  <c r="I13" i="211"/>
  <c r="H13" i="211"/>
  <c r="G13" i="211"/>
  <c r="F13" i="211"/>
  <c r="E13" i="211"/>
  <c r="D13" i="211"/>
  <c r="C13" i="211"/>
  <c r="B13" i="211"/>
  <c r="A13" i="211"/>
  <c r="AV11" i="211"/>
  <c r="AU11" i="211"/>
  <c r="V11" i="211"/>
  <c r="U11" i="211"/>
  <c r="T11" i="211"/>
  <c r="S11" i="211"/>
  <c r="AV10" i="211"/>
  <c r="AU10" i="211"/>
  <c r="I10" i="211"/>
  <c r="H10" i="211"/>
  <c r="G10" i="211"/>
  <c r="D10" i="211"/>
  <c r="E10" i="211" s="1"/>
  <c r="C10" i="211"/>
  <c r="AV9" i="211"/>
  <c r="AU9" i="211"/>
  <c r="AP9" i="211"/>
  <c r="H9" i="211"/>
  <c r="F9" i="211"/>
  <c r="D9" i="211"/>
  <c r="B9" i="211"/>
  <c r="AV8" i="211"/>
  <c r="AU8" i="211"/>
  <c r="K8" i="211"/>
  <c r="J8" i="211"/>
  <c r="G8" i="211"/>
  <c r="AP8" i="211" s="1"/>
  <c r="E8" i="211"/>
  <c r="AP10" i="211" s="1"/>
  <c r="C8" i="211"/>
  <c r="AP17" i="211" s="1"/>
  <c r="B8" i="211"/>
  <c r="AV7" i="211"/>
  <c r="AU7" i="211"/>
  <c r="AP7" i="211"/>
  <c r="J7" i="211"/>
  <c r="J9" i="211" s="1"/>
  <c r="I7" i="211"/>
  <c r="I9" i="211" s="1"/>
  <c r="G7" i="211"/>
  <c r="A38" i="211" s="1"/>
  <c r="E7" i="211"/>
  <c r="A36" i="211" s="1"/>
  <c r="C7" i="211"/>
  <c r="AP16" i="211" s="1"/>
  <c r="AV6" i="211"/>
  <c r="AU6" i="211"/>
  <c r="AV5" i="211"/>
  <c r="AU5" i="211"/>
  <c r="AP5" i="211"/>
  <c r="AV4" i="211"/>
  <c r="AU4" i="211"/>
  <c r="AP4" i="211"/>
  <c r="AV3" i="211"/>
  <c r="AU3" i="211"/>
  <c r="AV2" i="211"/>
  <c r="AU2" i="211"/>
  <c r="AP2" i="211"/>
  <c r="B36" i="210"/>
  <c r="A36" i="210"/>
  <c r="B35" i="210"/>
  <c r="A35" i="210"/>
  <c r="B34" i="210"/>
  <c r="B33" i="210"/>
  <c r="B32" i="210"/>
  <c r="A32" i="210"/>
  <c r="A39" i="210" s="1"/>
  <c r="B39" i="210" s="1"/>
  <c r="P13" i="210"/>
  <c r="O13" i="210"/>
  <c r="N13" i="210"/>
  <c r="M13" i="210"/>
  <c r="AW12" i="210"/>
  <c r="AV12" i="210"/>
  <c r="AQ12" i="210"/>
  <c r="E12" i="210"/>
  <c r="B12" i="210"/>
  <c r="C12" i="210" s="1"/>
  <c r="D12" i="210" s="1"/>
  <c r="AW11" i="210"/>
  <c r="AV11" i="210"/>
  <c r="AW10" i="210"/>
  <c r="AV10" i="210"/>
  <c r="AQ10" i="210"/>
  <c r="E10" i="210"/>
  <c r="D10" i="210"/>
  <c r="B10" i="210"/>
  <c r="AW9" i="210"/>
  <c r="AV9" i="210"/>
  <c r="AQ9" i="210"/>
  <c r="E9" i="210"/>
  <c r="AQ4" i="210" s="1"/>
  <c r="C9" i="210"/>
  <c r="AQ11" i="210" s="1"/>
  <c r="E8" i="210"/>
  <c r="A34" i="210" s="1"/>
  <c r="C8" i="210"/>
  <c r="A33" i="210" s="1"/>
  <c r="AW5" i="210"/>
  <c r="AV5" i="210"/>
  <c r="AQ5" i="210"/>
  <c r="AW4" i="210"/>
  <c r="AV4" i="210"/>
  <c r="AW3" i="210"/>
  <c r="AV3" i="210"/>
  <c r="AW2" i="210"/>
  <c r="AV2" i="210"/>
  <c r="AQ2" i="210"/>
  <c r="I7" i="209"/>
  <c r="A39" i="209" s="1"/>
  <c r="E18" i="209"/>
  <c r="H18" i="209" s="1"/>
  <c r="K18" i="209" s="1"/>
  <c r="D18" i="209"/>
  <c r="G18" i="209" s="1"/>
  <c r="J18" i="209" s="1"/>
  <c r="C18" i="209"/>
  <c r="B18" i="209"/>
  <c r="AV17" i="209"/>
  <c r="AU17" i="209"/>
  <c r="AV16" i="209"/>
  <c r="AU16" i="209"/>
  <c r="AV15" i="209"/>
  <c r="AU15" i="209"/>
  <c r="K15" i="209"/>
  <c r="J15" i="209"/>
  <c r="I15" i="209"/>
  <c r="H15" i="209"/>
  <c r="G15" i="209"/>
  <c r="F15" i="209"/>
  <c r="D15" i="209"/>
  <c r="E15" i="209" s="1"/>
  <c r="B15" i="209"/>
  <c r="C15" i="209" s="1"/>
  <c r="K13" i="209"/>
  <c r="J13" i="209"/>
  <c r="I13" i="209"/>
  <c r="H13" i="209"/>
  <c r="G13" i="209"/>
  <c r="F13" i="209"/>
  <c r="E13" i="209"/>
  <c r="D13" i="209"/>
  <c r="C13" i="209"/>
  <c r="B13" i="209"/>
  <c r="A13" i="209"/>
  <c r="AV11" i="209"/>
  <c r="AU11" i="209"/>
  <c r="V11" i="209"/>
  <c r="U11" i="209"/>
  <c r="T11" i="209"/>
  <c r="S11" i="209"/>
  <c r="AV10" i="209"/>
  <c r="AU10" i="209"/>
  <c r="I10" i="209"/>
  <c r="H10" i="209"/>
  <c r="G10" i="209"/>
  <c r="D10" i="209"/>
  <c r="E10" i="209" s="1"/>
  <c r="C10" i="209"/>
  <c r="AV9" i="209"/>
  <c r="AU9" i="209"/>
  <c r="AP9" i="209"/>
  <c r="I9" i="209"/>
  <c r="H9" i="209"/>
  <c r="F9" i="209"/>
  <c r="D9" i="209"/>
  <c r="B9" i="209"/>
  <c r="AV8" i="209"/>
  <c r="AU8" i="209"/>
  <c r="K8" i="209"/>
  <c r="G8" i="209"/>
  <c r="AP8" i="209" s="1"/>
  <c r="E8" i="209"/>
  <c r="AP10" i="209" s="1"/>
  <c r="C8" i="209"/>
  <c r="AP17" i="209" s="1"/>
  <c r="B8" i="209"/>
  <c r="J8" i="209" s="1"/>
  <c r="AV7" i="209"/>
  <c r="AU7" i="209"/>
  <c r="AP7" i="209"/>
  <c r="K7" i="209"/>
  <c r="K9" i="209" s="1"/>
  <c r="J7" i="209"/>
  <c r="J9" i="209" s="1"/>
  <c r="G7" i="209"/>
  <c r="A38" i="209" s="1"/>
  <c r="E7" i="209"/>
  <c r="A36" i="209" s="1"/>
  <c r="C7" i="209"/>
  <c r="AP16" i="209" s="1"/>
  <c r="AV6" i="209"/>
  <c r="AU6" i="209"/>
  <c r="AP6" i="209"/>
  <c r="AV5" i="209"/>
  <c r="AU5" i="209"/>
  <c r="AP5" i="209"/>
  <c r="AV4" i="209"/>
  <c r="AU4" i="209"/>
  <c r="AP4" i="209"/>
  <c r="AV3" i="209"/>
  <c r="AU3" i="209"/>
  <c r="AP3" i="209"/>
  <c r="AV2" i="209"/>
  <c r="AU2" i="209"/>
  <c r="AP2" i="209"/>
  <c r="B36" i="208"/>
  <c r="A36" i="208"/>
  <c r="B35" i="208"/>
  <c r="A35" i="208"/>
  <c r="B34" i="208"/>
  <c r="B33" i="208"/>
  <c r="B32" i="208"/>
  <c r="A32" i="208"/>
  <c r="A39" i="208" s="1"/>
  <c r="B39" i="208" s="1"/>
  <c r="P13" i="208"/>
  <c r="O13" i="208"/>
  <c r="N13" i="208"/>
  <c r="M13" i="208"/>
  <c r="AW12" i="208"/>
  <c r="AV12" i="208"/>
  <c r="AQ12" i="208"/>
  <c r="E12" i="208"/>
  <c r="B12" i="208"/>
  <c r="C12" i="208" s="1"/>
  <c r="D12" i="208" s="1"/>
  <c r="AW11" i="208"/>
  <c r="AV11" i="208"/>
  <c r="AW10" i="208"/>
  <c r="AV10" i="208"/>
  <c r="AQ10" i="208"/>
  <c r="D10" i="208"/>
  <c r="B10" i="208"/>
  <c r="AW9" i="208"/>
  <c r="AV9" i="208"/>
  <c r="AQ9" i="208"/>
  <c r="E9" i="208"/>
  <c r="E10" i="208" s="1"/>
  <c r="C9" i="208"/>
  <c r="AQ11" i="208" s="1"/>
  <c r="E8" i="208"/>
  <c r="A34" i="208" s="1"/>
  <c r="C8" i="208"/>
  <c r="A33" i="208" s="1"/>
  <c r="AW5" i="208"/>
  <c r="AV5" i="208"/>
  <c r="AQ5" i="208"/>
  <c r="AW4" i="208"/>
  <c r="AV4" i="208"/>
  <c r="AW3" i="208"/>
  <c r="AV3" i="208"/>
  <c r="AW2" i="208"/>
  <c r="AV2" i="208"/>
  <c r="AQ2" i="208"/>
  <c r="E9" i="206"/>
  <c r="E18" i="206"/>
  <c r="H18" i="206" s="1"/>
  <c r="K18" i="206" s="1"/>
  <c r="D18" i="206"/>
  <c r="G18" i="206" s="1"/>
  <c r="J18" i="206" s="1"/>
  <c r="C18" i="206"/>
  <c r="AV17" i="206"/>
  <c r="AU17" i="206"/>
  <c r="AV16" i="206"/>
  <c r="AU16" i="206"/>
  <c r="AV15" i="206"/>
  <c r="AU15" i="206"/>
  <c r="K15" i="206"/>
  <c r="J15" i="206"/>
  <c r="H15" i="206"/>
  <c r="I15" i="206" s="1"/>
  <c r="G15" i="206"/>
  <c r="F15" i="206"/>
  <c r="D15" i="206"/>
  <c r="E15" i="206" s="1"/>
  <c r="C15" i="206"/>
  <c r="B15" i="206"/>
  <c r="K13" i="206"/>
  <c r="J13" i="206"/>
  <c r="I13" i="206"/>
  <c r="H13" i="206"/>
  <c r="G13" i="206"/>
  <c r="F13" i="206"/>
  <c r="E13" i="206"/>
  <c r="D13" i="206"/>
  <c r="C13" i="206"/>
  <c r="B13" i="206"/>
  <c r="A13" i="206"/>
  <c r="AV11" i="206"/>
  <c r="AU11" i="206"/>
  <c r="AP11" i="206"/>
  <c r="V11" i="206"/>
  <c r="U11" i="206"/>
  <c r="T11" i="206"/>
  <c r="S11" i="206"/>
  <c r="AV10" i="206"/>
  <c r="AU10" i="206"/>
  <c r="I10" i="206"/>
  <c r="H10" i="206"/>
  <c r="G10" i="206"/>
  <c r="E10" i="206"/>
  <c r="F10" i="206" s="1"/>
  <c r="D10" i="206"/>
  <c r="C10" i="206"/>
  <c r="AV9" i="206"/>
  <c r="AU9" i="206"/>
  <c r="AP9" i="206"/>
  <c r="I9" i="206"/>
  <c r="H9" i="206"/>
  <c r="F9" i="206"/>
  <c r="D9" i="206"/>
  <c r="B9" i="206"/>
  <c r="AV8" i="206"/>
  <c r="AU8" i="206"/>
  <c r="K8" i="206"/>
  <c r="J8" i="206"/>
  <c r="G8" i="206"/>
  <c r="AP8" i="206" s="1"/>
  <c r="E8" i="206"/>
  <c r="AP10" i="206" s="1"/>
  <c r="C8" i="206"/>
  <c r="AP17" i="206" s="1"/>
  <c r="B8" i="206"/>
  <c r="AV7" i="206"/>
  <c r="AU7" i="206"/>
  <c r="AP7" i="206"/>
  <c r="J7" i="206"/>
  <c r="J9" i="206" s="1"/>
  <c r="A39" i="206"/>
  <c r="G7" i="206"/>
  <c r="A38" i="206" s="1"/>
  <c r="E7" i="206"/>
  <c r="A36" i="206" s="1"/>
  <c r="C7" i="206"/>
  <c r="AP16" i="206" s="1"/>
  <c r="AV6" i="206"/>
  <c r="AU6" i="206"/>
  <c r="AV5" i="206"/>
  <c r="AU5" i="206"/>
  <c r="AP5" i="206"/>
  <c r="AV4" i="206"/>
  <c r="AU4" i="206"/>
  <c r="AP4" i="206"/>
  <c r="AV3" i="206"/>
  <c r="AU3" i="206"/>
  <c r="AP3" i="206"/>
  <c r="AV2" i="206"/>
  <c r="AU2" i="206"/>
  <c r="AP2" i="206"/>
  <c r="D11" i="205"/>
  <c r="B11" i="205"/>
  <c r="Y22" i="205"/>
  <c r="K19" i="205"/>
  <c r="K18" i="205"/>
  <c r="K17" i="205"/>
  <c r="K16" i="205"/>
  <c r="K15" i="205"/>
  <c r="K14" i="205"/>
  <c r="Y21" i="205"/>
  <c r="L18" i="205" s="1"/>
  <c r="Y20" i="205"/>
  <c r="Y19" i="205"/>
  <c r="Y18" i="205"/>
  <c r="L15" i="205" s="1"/>
  <c r="Y17" i="205"/>
  <c r="U9" i="205"/>
  <c r="U8" i="205"/>
  <c r="U7" i="205"/>
  <c r="U6" i="205"/>
  <c r="K6" i="205" s="1"/>
  <c r="L6" i="205" s="1"/>
  <c r="U5" i="205"/>
  <c r="K5" i="205" s="1"/>
  <c r="L17" i="205"/>
  <c r="L16" i="205"/>
  <c r="J18" i="205"/>
  <c r="J17" i="205"/>
  <c r="J16" i="205"/>
  <c r="J15" i="205"/>
  <c r="J14" i="205"/>
  <c r="J13" i="205"/>
  <c r="L8" i="205"/>
  <c r="L7" i="205"/>
  <c r="K9" i="205"/>
  <c r="L9" i="205" s="1"/>
  <c r="K8" i="205"/>
  <c r="K7" i="205"/>
  <c r="J9" i="205"/>
  <c r="J8" i="205"/>
  <c r="J7" i="205"/>
  <c r="J6" i="205"/>
  <c r="J5" i="205"/>
  <c r="J4" i="205"/>
  <c r="V21" i="205"/>
  <c r="V20" i="205"/>
  <c r="V19" i="205"/>
  <c r="V18" i="205"/>
  <c r="V17" i="205"/>
  <c r="AP3" i="211" l="1"/>
  <c r="K7" i="211"/>
  <c r="K9" i="211" s="1"/>
  <c r="C9" i="211"/>
  <c r="A37" i="211"/>
  <c r="G9" i="211"/>
  <c r="B10" i="211"/>
  <c r="F10" i="211"/>
  <c r="AP6" i="211"/>
  <c r="E9" i="211"/>
  <c r="AP11" i="211"/>
  <c r="AP15" i="211"/>
  <c r="A39" i="211"/>
  <c r="A43" i="211" s="1"/>
  <c r="B43" i="211" s="1"/>
  <c r="A40" i="211"/>
  <c r="AQ3" i="210"/>
  <c r="C10" i="210"/>
  <c r="C9" i="209"/>
  <c r="A37" i="209"/>
  <c r="B10" i="209"/>
  <c r="F10" i="209"/>
  <c r="E9" i="209"/>
  <c r="AP11" i="209"/>
  <c r="AP15" i="209"/>
  <c r="G9" i="209"/>
  <c r="F18" i="209"/>
  <c r="I18" i="209" s="1"/>
  <c r="A40" i="209"/>
  <c r="A43" i="209" s="1"/>
  <c r="B43" i="209" s="1"/>
  <c r="AQ3" i="208"/>
  <c r="C10" i="208"/>
  <c r="AQ4" i="208"/>
  <c r="G9" i="206"/>
  <c r="AP15" i="206"/>
  <c r="K7" i="206"/>
  <c r="K9" i="206" s="1"/>
  <c r="C9" i="206"/>
  <c r="B10" i="206"/>
  <c r="B18" i="206"/>
  <c r="A37" i="206"/>
  <c r="A43" i="206" s="1"/>
  <c r="B43" i="206" s="1"/>
  <c r="AP6" i="206"/>
  <c r="F18" i="206"/>
  <c r="I18" i="206" s="1"/>
  <c r="A40" i="206"/>
  <c r="L5" i="205"/>
  <c r="L10" i="205" s="1"/>
  <c r="K10" i="205"/>
  <c r="L14" i="205"/>
  <c r="L19" i="205" s="1"/>
  <c r="U10" i="205"/>
  <c r="B8" i="205" s="1"/>
  <c r="T10" i="205"/>
  <c r="S10" i="205"/>
  <c r="G6" i="211" l="1"/>
  <c r="H6" i="211"/>
  <c r="F6" i="211"/>
  <c r="B38" i="211" s="1"/>
  <c r="B6" i="211"/>
  <c r="B37" i="211" s="1"/>
  <c r="E6" i="211"/>
  <c r="C6" i="211"/>
  <c r="D6" i="211"/>
  <c r="B36" i="211" s="1"/>
  <c r="J6" i="211"/>
  <c r="B40" i="211" s="1"/>
  <c r="K6" i="211"/>
  <c r="I6" i="211"/>
  <c r="B39" i="211" s="1"/>
  <c r="F6" i="209"/>
  <c r="B38" i="209" s="1"/>
  <c r="G6" i="209"/>
  <c r="E6" i="209"/>
  <c r="D6" i="209"/>
  <c r="B36" i="209" s="1"/>
  <c r="C6" i="209"/>
  <c r="I6" i="209"/>
  <c r="B39" i="209" s="1"/>
  <c r="B6" i="209"/>
  <c r="B37" i="209" s="1"/>
  <c r="J6" i="209"/>
  <c r="B40" i="209" s="1"/>
  <c r="K6" i="209"/>
  <c r="H6" i="209"/>
  <c r="G6" i="206"/>
  <c r="F6" i="206"/>
  <c r="B38" i="206" s="1"/>
  <c r="D6" i="206"/>
  <c r="B36" i="206" s="1"/>
  <c r="H6" i="206"/>
  <c r="E6" i="206"/>
  <c r="C6" i="206"/>
  <c r="B6" i="206"/>
  <c r="B37" i="206" s="1"/>
  <c r="I6" i="206"/>
  <c r="B39" i="206" s="1"/>
  <c r="K6" i="206"/>
  <c r="J6" i="206"/>
  <c r="B40" i="206" s="1"/>
  <c r="B36" i="205"/>
  <c r="A36" i="205"/>
  <c r="B35" i="205"/>
  <c r="A35" i="205"/>
  <c r="B34" i="205"/>
  <c r="B33" i="205"/>
  <c r="B32" i="205"/>
  <c r="A32" i="205"/>
  <c r="AW12" i="205"/>
  <c r="AV12" i="205"/>
  <c r="AQ12" i="205"/>
  <c r="E12" i="205"/>
  <c r="B12" i="205"/>
  <c r="C12" i="205" s="1"/>
  <c r="D12" i="205" s="1"/>
  <c r="AW11" i="205"/>
  <c r="AV11" i="205"/>
  <c r="AW10" i="205"/>
  <c r="AV10" i="205"/>
  <c r="AQ10" i="205"/>
  <c r="B10" i="205"/>
  <c r="AW9" i="205"/>
  <c r="AV9" i="205"/>
  <c r="AQ9" i="205"/>
  <c r="E9" i="205"/>
  <c r="C9" i="205"/>
  <c r="AQ11" i="205" s="1"/>
  <c r="C8" i="205"/>
  <c r="D8" i="205" s="1"/>
  <c r="AW5" i="205"/>
  <c r="AV5" i="205"/>
  <c r="AW4" i="205"/>
  <c r="AV4" i="205"/>
  <c r="AW3" i="205"/>
  <c r="AV3" i="205"/>
  <c r="AW2" i="205"/>
  <c r="AV2" i="205"/>
  <c r="AQ2" i="205"/>
  <c r="A2" i="1"/>
  <c r="B36" i="204"/>
  <c r="A36" i="204"/>
  <c r="B35" i="204"/>
  <c r="A35" i="204"/>
  <c r="B34" i="204"/>
  <c r="A34" i="204"/>
  <c r="B33" i="204"/>
  <c r="B32" i="204"/>
  <c r="A32" i="204"/>
  <c r="A39" i="204" s="1"/>
  <c r="B39" i="204" s="1"/>
  <c r="P13" i="204"/>
  <c r="O13" i="204"/>
  <c r="N13" i="204"/>
  <c r="M13" i="204"/>
  <c r="AV12" i="204"/>
  <c r="AQ12" i="204"/>
  <c r="E12" i="204"/>
  <c r="B12" i="204"/>
  <c r="C12" i="204" s="1"/>
  <c r="D12" i="204" s="1"/>
  <c r="AV11" i="204"/>
  <c r="AV10" i="204"/>
  <c r="AQ10" i="204"/>
  <c r="D10" i="204"/>
  <c r="B10" i="204"/>
  <c r="AV9" i="204"/>
  <c r="AQ9" i="204"/>
  <c r="E9" i="204"/>
  <c r="E10" i="204" s="1"/>
  <c r="C9" i="204"/>
  <c r="AQ11" i="204" s="1"/>
  <c r="E8" i="204"/>
  <c r="C8" i="204"/>
  <c r="A33" i="204" s="1"/>
  <c r="AV5" i="204"/>
  <c r="AQ5" i="204"/>
  <c r="AW10" i="204"/>
  <c r="AV4" i="204"/>
  <c r="AW3" i="204"/>
  <c r="AV3" i="204"/>
  <c r="AQ3" i="204"/>
  <c r="AV2" i="204"/>
  <c r="AQ2" i="204"/>
  <c r="A36" i="203"/>
  <c r="E18" i="203"/>
  <c r="H18" i="203" s="1"/>
  <c r="K18" i="203" s="1"/>
  <c r="D18" i="203"/>
  <c r="G18" i="203" s="1"/>
  <c r="J18" i="203" s="1"/>
  <c r="AU17" i="203"/>
  <c r="AU16" i="203"/>
  <c r="AU15" i="203"/>
  <c r="K15" i="203"/>
  <c r="J15" i="203"/>
  <c r="H15" i="203"/>
  <c r="I15" i="203" s="1"/>
  <c r="G15" i="203"/>
  <c r="F15" i="203"/>
  <c r="D15" i="203"/>
  <c r="E15" i="203" s="1"/>
  <c r="B15" i="203"/>
  <c r="C15" i="203" s="1"/>
  <c r="K13" i="203"/>
  <c r="J13" i="203"/>
  <c r="I13" i="203"/>
  <c r="H13" i="203"/>
  <c r="G13" i="203"/>
  <c r="F13" i="203"/>
  <c r="E13" i="203"/>
  <c r="D13" i="203"/>
  <c r="C13" i="203"/>
  <c r="B13" i="203"/>
  <c r="A13" i="203"/>
  <c r="AU11" i="203"/>
  <c r="V11" i="203"/>
  <c r="U11" i="203"/>
  <c r="T11" i="203"/>
  <c r="S11" i="203"/>
  <c r="AU10" i="203"/>
  <c r="AP10" i="203"/>
  <c r="I10" i="203"/>
  <c r="H10" i="203"/>
  <c r="G10" i="203"/>
  <c r="D10" i="203"/>
  <c r="E10" i="203" s="1"/>
  <c r="AU9" i="203"/>
  <c r="AP9" i="203"/>
  <c r="J9" i="203"/>
  <c r="H9" i="203"/>
  <c r="F9" i="203"/>
  <c r="D9" i="203"/>
  <c r="AU8" i="203"/>
  <c r="AP8" i="203"/>
  <c r="K8" i="203"/>
  <c r="G8" i="203"/>
  <c r="AP11" i="203" s="1"/>
  <c r="E8" i="203"/>
  <c r="E9" i="203" s="1"/>
  <c r="C8" i="203"/>
  <c r="AP17" i="203" s="1"/>
  <c r="B8" i="203"/>
  <c r="J8" i="203" s="1"/>
  <c r="AU7" i="203"/>
  <c r="AP7" i="203"/>
  <c r="J7" i="203"/>
  <c r="A40" i="203" s="1"/>
  <c r="I7" i="203"/>
  <c r="I9" i="203" s="1"/>
  <c r="G7" i="203"/>
  <c r="G9" i="203" s="1"/>
  <c r="E7" i="203"/>
  <c r="C7" i="203"/>
  <c r="AP16" i="203" s="1"/>
  <c r="AU6" i="203"/>
  <c r="AU5" i="203"/>
  <c r="AP5" i="203"/>
  <c r="AU4" i="203"/>
  <c r="AP4" i="203"/>
  <c r="AV15" i="203"/>
  <c r="AV3" i="203"/>
  <c r="AU3" i="203"/>
  <c r="AU2" i="203"/>
  <c r="AP2" i="203"/>
  <c r="E18" i="202"/>
  <c r="H18" i="202" s="1"/>
  <c r="K18" i="202" s="1"/>
  <c r="D18" i="202"/>
  <c r="G18" i="202" s="1"/>
  <c r="J18" i="202" s="1"/>
  <c r="AV17" i="202"/>
  <c r="AU17" i="202"/>
  <c r="AV16" i="202"/>
  <c r="AU16" i="202"/>
  <c r="AV15" i="202"/>
  <c r="AU15" i="202"/>
  <c r="K15" i="202"/>
  <c r="J15" i="202"/>
  <c r="H15" i="202"/>
  <c r="I15" i="202" s="1"/>
  <c r="G15" i="202"/>
  <c r="F15" i="202"/>
  <c r="E15" i="202"/>
  <c r="D15" i="202"/>
  <c r="B15" i="202"/>
  <c r="C15" i="202" s="1"/>
  <c r="K13" i="202"/>
  <c r="J13" i="202"/>
  <c r="I13" i="202"/>
  <c r="H13" i="202"/>
  <c r="G13" i="202"/>
  <c r="F13" i="202"/>
  <c r="E13" i="202"/>
  <c r="D13" i="202"/>
  <c r="C13" i="202"/>
  <c r="B13" i="202"/>
  <c r="A13" i="202"/>
  <c r="AV11" i="202"/>
  <c r="AU11" i="202"/>
  <c r="AP11" i="202"/>
  <c r="V11" i="202"/>
  <c r="U11" i="202"/>
  <c r="T11" i="202"/>
  <c r="S11" i="202"/>
  <c r="AV10" i="202"/>
  <c r="AU10" i="202"/>
  <c r="AP10" i="202"/>
  <c r="I10" i="202"/>
  <c r="H10" i="202"/>
  <c r="G10" i="202"/>
  <c r="E10" i="202"/>
  <c r="F10" i="202" s="1"/>
  <c r="D10" i="202"/>
  <c r="C10" i="202" s="1"/>
  <c r="AV9" i="202"/>
  <c r="AU9" i="202"/>
  <c r="AP9" i="202"/>
  <c r="H9" i="202"/>
  <c r="F9" i="202"/>
  <c r="D9" i="202"/>
  <c r="B9" i="202"/>
  <c r="AV8" i="202"/>
  <c r="AU8" i="202"/>
  <c r="AP8" i="202"/>
  <c r="E9" i="202"/>
  <c r="AP17" i="202"/>
  <c r="AV7" i="202"/>
  <c r="AU7" i="202"/>
  <c r="AP7" i="202"/>
  <c r="J7" i="202"/>
  <c r="J9" i="202" s="1"/>
  <c r="I7" i="202"/>
  <c r="AP3" i="202" s="1"/>
  <c r="G7" i="202"/>
  <c r="A38" i="202" s="1"/>
  <c r="E7" i="202"/>
  <c r="A36" i="202" s="1"/>
  <c r="C7" i="202"/>
  <c r="AP16" i="202" s="1"/>
  <c r="AV6" i="202"/>
  <c r="AU6" i="202"/>
  <c r="AV5" i="202"/>
  <c r="AU5" i="202"/>
  <c r="AP5" i="202"/>
  <c r="AV4" i="202"/>
  <c r="AU4" i="202"/>
  <c r="AP4" i="202"/>
  <c r="AV3" i="202"/>
  <c r="AU3" i="202"/>
  <c r="AV2" i="202"/>
  <c r="AU2" i="202"/>
  <c r="AP2" i="202"/>
  <c r="AW12" i="201"/>
  <c r="B36" i="201"/>
  <c r="A36" i="201"/>
  <c r="B35" i="201"/>
  <c r="A35" i="201"/>
  <c r="B34" i="201"/>
  <c r="B33" i="201"/>
  <c r="B32" i="201"/>
  <c r="A32" i="201"/>
  <c r="P13" i="201"/>
  <c r="O13" i="201"/>
  <c r="N13" i="201"/>
  <c r="M13" i="201"/>
  <c r="AV12" i="201"/>
  <c r="AQ12" i="201"/>
  <c r="E12" i="201"/>
  <c r="B12" i="201"/>
  <c r="C12" i="201" s="1"/>
  <c r="D12" i="201" s="1"/>
  <c r="AW11" i="201"/>
  <c r="AV11" i="201"/>
  <c r="AW10" i="201"/>
  <c r="AV10" i="201"/>
  <c r="AQ10" i="201"/>
  <c r="D10" i="201"/>
  <c r="B10" i="201"/>
  <c r="AV9" i="201"/>
  <c r="AQ9" i="201"/>
  <c r="AQ11" i="201"/>
  <c r="E8" i="201"/>
  <c r="AQ3" i="201" s="1"/>
  <c r="C8" i="201"/>
  <c r="C10" i="201" s="1"/>
  <c r="AW5" i="201"/>
  <c r="AV5" i="201"/>
  <c r="AQ5" i="201"/>
  <c r="AW4" i="201"/>
  <c r="AV4" i="201"/>
  <c r="AQ4" i="201"/>
  <c r="AV3" i="201"/>
  <c r="AV2" i="201"/>
  <c r="AQ2" i="201"/>
  <c r="C7" i="116"/>
  <c r="B36" i="200"/>
  <c r="A36" i="200"/>
  <c r="B35" i="200"/>
  <c r="A35" i="200"/>
  <c r="B34" i="200"/>
  <c r="B33" i="200"/>
  <c r="B32" i="200"/>
  <c r="A32" i="200"/>
  <c r="A39" i="200" s="1"/>
  <c r="B39" i="200" s="1"/>
  <c r="P13" i="200"/>
  <c r="O13" i="200"/>
  <c r="N13" i="200"/>
  <c r="M13" i="200"/>
  <c r="AW12" i="200"/>
  <c r="AV12" i="200"/>
  <c r="AQ12" i="200"/>
  <c r="E12" i="200"/>
  <c r="C12" i="200"/>
  <c r="D12" i="200" s="1"/>
  <c r="B12" i="200"/>
  <c r="AW11" i="200"/>
  <c r="AV11" i="200"/>
  <c r="AW10" i="200"/>
  <c r="AV10" i="200"/>
  <c r="AQ10" i="200"/>
  <c r="D10" i="200"/>
  <c r="B10" i="200"/>
  <c r="AW9" i="200"/>
  <c r="AV9" i="200"/>
  <c r="AQ9" i="200"/>
  <c r="E10" i="200"/>
  <c r="AQ11" i="200"/>
  <c r="E8" i="200"/>
  <c r="A34" i="200" s="1"/>
  <c r="C8" i="200"/>
  <c r="A33" i="200" s="1"/>
  <c r="AW5" i="200"/>
  <c r="AV5" i="200"/>
  <c r="AQ5" i="200"/>
  <c r="AW4" i="200"/>
  <c r="AV4" i="200"/>
  <c r="AW3" i="200"/>
  <c r="AV3" i="200"/>
  <c r="AW2" i="200"/>
  <c r="AV2" i="200"/>
  <c r="AQ2" i="200"/>
  <c r="AV8" i="199"/>
  <c r="E18" i="199"/>
  <c r="H18" i="199" s="1"/>
  <c r="K18" i="199" s="1"/>
  <c r="D18" i="199"/>
  <c r="G18" i="199" s="1"/>
  <c r="J18" i="199" s="1"/>
  <c r="C18" i="199"/>
  <c r="B18" i="199"/>
  <c r="AV17" i="199"/>
  <c r="AU17" i="199"/>
  <c r="AV16" i="199"/>
  <c r="AU16" i="199"/>
  <c r="AV15" i="199"/>
  <c r="AU15" i="199"/>
  <c r="K15" i="199"/>
  <c r="J15" i="199"/>
  <c r="H15" i="199"/>
  <c r="I15" i="199" s="1"/>
  <c r="G15" i="199"/>
  <c r="F15" i="199"/>
  <c r="D15" i="199"/>
  <c r="E15" i="199" s="1"/>
  <c r="B15" i="199"/>
  <c r="C15" i="199" s="1"/>
  <c r="K13" i="199"/>
  <c r="J13" i="199"/>
  <c r="I13" i="199"/>
  <c r="H13" i="199"/>
  <c r="G13" i="199"/>
  <c r="F13" i="199"/>
  <c r="E13" i="199"/>
  <c r="D13" i="199"/>
  <c r="C13" i="199"/>
  <c r="B13" i="199"/>
  <c r="A13" i="199"/>
  <c r="AV11" i="199"/>
  <c r="AU11" i="199"/>
  <c r="V11" i="199"/>
  <c r="U11" i="199"/>
  <c r="T11" i="199"/>
  <c r="S11" i="199"/>
  <c r="AV10" i="199"/>
  <c r="AU10" i="199"/>
  <c r="I10" i="199"/>
  <c r="H10" i="199"/>
  <c r="G10" i="199"/>
  <c r="D10" i="199"/>
  <c r="E10" i="199" s="1"/>
  <c r="C10" i="199"/>
  <c r="AV9" i="199"/>
  <c r="AU9" i="199"/>
  <c r="AP9" i="199"/>
  <c r="J9" i="199"/>
  <c r="H9" i="199"/>
  <c r="F9" i="199"/>
  <c r="D9" i="199"/>
  <c r="B9" i="199"/>
  <c r="AU8" i="199"/>
  <c r="AP8" i="199"/>
  <c r="AP11" i="199"/>
  <c r="AP10" i="199"/>
  <c r="AP17" i="199"/>
  <c r="AV7" i="199"/>
  <c r="AU7" i="199"/>
  <c r="AP7" i="199"/>
  <c r="J7" i="199"/>
  <c r="A40" i="199" s="1"/>
  <c r="I7" i="199"/>
  <c r="I9" i="199" s="1"/>
  <c r="G7" i="199"/>
  <c r="G9" i="199" s="1"/>
  <c r="E7" i="199"/>
  <c r="A36" i="199" s="1"/>
  <c r="C7" i="199"/>
  <c r="AP16" i="199" s="1"/>
  <c r="AV6" i="199"/>
  <c r="AU6" i="199"/>
  <c r="AV5" i="199"/>
  <c r="AU5" i="199"/>
  <c r="AP5" i="199"/>
  <c r="AV4" i="199"/>
  <c r="AU4" i="199"/>
  <c r="AP4" i="199"/>
  <c r="AV3" i="199"/>
  <c r="AU3" i="199"/>
  <c r="AV2" i="199"/>
  <c r="AU2" i="199"/>
  <c r="AP2" i="199"/>
  <c r="A33" i="205" l="1"/>
  <c r="C10" i="205"/>
  <c r="AQ4" i="205"/>
  <c r="AV5" i="203"/>
  <c r="AV16" i="203"/>
  <c r="AW4" i="204"/>
  <c r="AW11" i="204"/>
  <c r="AW9" i="204"/>
  <c r="AQ4" i="204"/>
  <c r="C10" i="204"/>
  <c r="AW5" i="204"/>
  <c r="AW12" i="204"/>
  <c r="AW2" i="204"/>
  <c r="F10" i="203"/>
  <c r="B10" i="203"/>
  <c r="K7" i="203"/>
  <c r="K9" i="203" s="1"/>
  <c r="B9" i="203"/>
  <c r="AV9" i="203"/>
  <c r="AV17" i="203"/>
  <c r="AV8" i="203"/>
  <c r="C9" i="203"/>
  <c r="B18" i="203"/>
  <c r="A37" i="203"/>
  <c r="A43" i="203" s="1"/>
  <c r="B43" i="203" s="1"/>
  <c r="AV10" i="203"/>
  <c r="AV4" i="203"/>
  <c r="AV7" i="203"/>
  <c r="C10" i="203"/>
  <c r="C18" i="203"/>
  <c r="AP6" i="203"/>
  <c r="A38" i="203"/>
  <c r="AP15" i="203"/>
  <c r="F18" i="203"/>
  <c r="I18" i="203" s="1"/>
  <c r="A39" i="203"/>
  <c r="AV6" i="203"/>
  <c r="AV2" i="203"/>
  <c r="AV11" i="203"/>
  <c r="AP3" i="203"/>
  <c r="AP15" i="202"/>
  <c r="K7" i="202"/>
  <c r="K9" i="202" s="1"/>
  <c r="G9" i="202"/>
  <c r="C9" i="202"/>
  <c r="B10" i="202"/>
  <c r="B18" i="202"/>
  <c r="A37" i="202"/>
  <c r="A43" i="202" s="1"/>
  <c r="B43" i="202" s="1"/>
  <c r="C18" i="202"/>
  <c r="AP6" i="202"/>
  <c r="F18" i="202"/>
  <c r="I18" i="202" s="1"/>
  <c r="A39" i="202"/>
  <c r="I9" i="202"/>
  <c r="A40" i="202"/>
  <c r="AW2" i="201"/>
  <c r="AW3" i="201"/>
  <c r="AW9" i="201"/>
  <c r="A34" i="201"/>
  <c r="E10" i="201"/>
  <c r="A33" i="201"/>
  <c r="A39" i="201" s="1"/>
  <c r="B39" i="201" s="1"/>
  <c r="AQ3" i="200"/>
  <c r="AQ4" i="200"/>
  <c r="C10" i="200"/>
  <c r="AP3" i="199"/>
  <c r="F10" i="199"/>
  <c r="B10" i="199"/>
  <c r="C9" i="199"/>
  <c r="A37" i="199"/>
  <c r="K7" i="199"/>
  <c r="K9" i="199" s="1"/>
  <c r="AP6" i="199"/>
  <c r="E9" i="199"/>
  <c r="A38" i="199"/>
  <c r="AP15" i="199"/>
  <c r="F18" i="199"/>
  <c r="I18" i="199" s="1"/>
  <c r="A39" i="199"/>
  <c r="E8" i="205" l="1"/>
  <c r="AQ5" i="205"/>
  <c r="D10" i="205"/>
  <c r="E6" i="203"/>
  <c r="D6" i="203"/>
  <c r="B36" i="203" s="1"/>
  <c r="C6" i="203"/>
  <c r="B6" i="203"/>
  <c r="B37" i="203" s="1"/>
  <c r="K6" i="203"/>
  <c r="J6" i="203"/>
  <c r="B40" i="203" s="1"/>
  <c r="H6" i="203"/>
  <c r="I6" i="203"/>
  <c r="B39" i="203" s="1"/>
  <c r="G6" i="203"/>
  <c r="F6" i="203"/>
  <c r="B38" i="203" s="1"/>
  <c r="G6" i="202"/>
  <c r="E6" i="202"/>
  <c r="B6" i="202"/>
  <c r="B37" i="202" s="1"/>
  <c r="D6" i="202"/>
  <c r="B36" i="202" s="1"/>
  <c r="C6" i="202"/>
  <c r="I6" i="202"/>
  <c r="B39" i="202" s="1"/>
  <c r="F6" i="202"/>
  <c r="B38" i="202" s="1"/>
  <c r="K6" i="202"/>
  <c r="J6" i="202"/>
  <c r="B40" i="202" s="1"/>
  <c r="H6" i="202"/>
  <c r="A43" i="199"/>
  <c r="B43" i="199" s="1"/>
  <c r="V54" i="130"/>
  <c r="V55" i="130" s="1"/>
  <c r="V56" i="130" s="1"/>
  <c r="V57" i="130" s="1"/>
  <c r="V58" i="130" s="1"/>
  <c r="V59" i="130" s="1"/>
  <c r="V60" i="130" s="1"/>
  <c r="V61" i="130" s="1"/>
  <c r="V62" i="130" s="1"/>
  <c r="V63" i="130" s="1"/>
  <c r="V64" i="130" s="1"/>
  <c r="V65" i="130" s="1"/>
  <c r="V66" i="130" s="1"/>
  <c r="V67" i="130" s="1"/>
  <c r="V68" i="130" s="1"/>
  <c r="U54" i="130"/>
  <c r="U55" i="130" s="1"/>
  <c r="U56" i="130" s="1"/>
  <c r="U57" i="130" s="1"/>
  <c r="U58" i="130" s="1"/>
  <c r="U59" i="130" s="1"/>
  <c r="U60" i="130" s="1"/>
  <c r="U61" i="130" s="1"/>
  <c r="U62" i="130" s="1"/>
  <c r="U63" i="130" s="1"/>
  <c r="U64" i="130" s="1"/>
  <c r="U65" i="130" s="1"/>
  <c r="U66" i="130" s="1"/>
  <c r="U67" i="130" s="1"/>
  <c r="U68" i="130" s="1"/>
  <c r="V53" i="130"/>
  <c r="U53" i="130"/>
  <c r="P38" i="130"/>
  <c r="U37" i="131"/>
  <c r="V3" i="131"/>
  <c r="V4" i="131" s="1"/>
  <c r="V5" i="131" s="1"/>
  <c r="V6" i="131" s="1"/>
  <c r="V7" i="131" s="1"/>
  <c r="V8" i="131" s="1"/>
  <c r="V9" i="131" s="1"/>
  <c r="V10" i="131" s="1"/>
  <c r="V11" i="131" s="1"/>
  <c r="V12" i="131" s="1"/>
  <c r="V13" i="131" s="1"/>
  <c r="V14" i="131" s="1"/>
  <c r="V15" i="131" s="1"/>
  <c r="V16" i="131" s="1"/>
  <c r="V17" i="131" s="1"/>
  <c r="U2" i="131"/>
  <c r="V98" i="130"/>
  <c r="V97" i="130"/>
  <c r="V96" i="130"/>
  <c r="V95" i="130"/>
  <c r="V94" i="130"/>
  <c r="V93" i="130"/>
  <c r="V92" i="130"/>
  <c r="V91" i="130"/>
  <c r="V90" i="130"/>
  <c r="V89" i="130"/>
  <c r="V88" i="130"/>
  <c r="V87" i="130"/>
  <c r="V86" i="130"/>
  <c r="V85" i="130"/>
  <c r="V84" i="130"/>
  <c r="P62" i="130"/>
  <c r="U2" i="130"/>
  <c r="U94" i="130" s="1"/>
  <c r="A54" i="1"/>
  <c r="AV17" i="187"/>
  <c r="AU17" i="187"/>
  <c r="AV16" i="187"/>
  <c r="AU16" i="187"/>
  <c r="AP16" i="187"/>
  <c r="AV15" i="187"/>
  <c r="AU15" i="187"/>
  <c r="AP15" i="187"/>
  <c r="AV17" i="184"/>
  <c r="AU17" i="184"/>
  <c r="AV16" i="184"/>
  <c r="AU16" i="184"/>
  <c r="AP16" i="184"/>
  <c r="AV15" i="184"/>
  <c r="AU15" i="184"/>
  <c r="AP15" i="184"/>
  <c r="AV17" i="182"/>
  <c r="AU17" i="182"/>
  <c r="AV16" i="182"/>
  <c r="AU16" i="182"/>
  <c r="AP16" i="182"/>
  <c r="AV15" i="182"/>
  <c r="AU15" i="182"/>
  <c r="AP15" i="182"/>
  <c r="AV17" i="181"/>
  <c r="AU17" i="181"/>
  <c r="AV16" i="181"/>
  <c r="AU16" i="181"/>
  <c r="AP16" i="181"/>
  <c r="AV15" i="181"/>
  <c r="AU15" i="181"/>
  <c r="AP15" i="181"/>
  <c r="AV17" i="178"/>
  <c r="AU17" i="178"/>
  <c r="AV16" i="178"/>
  <c r="AU16" i="178"/>
  <c r="AV15" i="178"/>
  <c r="AU15" i="178"/>
  <c r="AP16" i="178"/>
  <c r="AP15" i="178"/>
  <c r="AW12" i="186"/>
  <c r="AV12" i="186"/>
  <c r="AQ12" i="186"/>
  <c r="AW11" i="186"/>
  <c r="AV11" i="186"/>
  <c r="AW10" i="186"/>
  <c r="AV10" i="186"/>
  <c r="AQ10" i="186"/>
  <c r="AW9" i="186"/>
  <c r="AV9" i="186"/>
  <c r="AQ9" i="186"/>
  <c r="AW5" i="186"/>
  <c r="AV5" i="186"/>
  <c r="AQ5" i="186"/>
  <c r="AW4" i="186"/>
  <c r="AV4" i="186"/>
  <c r="AW3" i="186"/>
  <c r="AV3" i="186"/>
  <c r="AQ3" i="186"/>
  <c r="AW2" i="186"/>
  <c r="AV2" i="186"/>
  <c r="AQ2" i="186"/>
  <c r="AW12" i="185"/>
  <c r="AV12" i="185"/>
  <c r="AQ12" i="185"/>
  <c r="AW11" i="185"/>
  <c r="AV11" i="185"/>
  <c r="AW10" i="185"/>
  <c r="AV10" i="185"/>
  <c r="AQ10" i="185"/>
  <c r="AW9" i="185"/>
  <c r="AV9" i="185"/>
  <c r="AQ9" i="185"/>
  <c r="AW5" i="185"/>
  <c r="AV5" i="185"/>
  <c r="AQ5" i="185"/>
  <c r="AW4" i="185"/>
  <c r="AV4" i="185"/>
  <c r="AW3" i="185"/>
  <c r="AV3" i="185"/>
  <c r="AQ3" i="185"/>
  <c r="AW2" i="185"/>
  <c r="AV2" i="185"/>
  <c r="AQ2" i="185"/>
  <c r="AW12" i="183"/>
  <c r="AV12" i="183"/>
  <c r="AQ12" i="183"/>
  <c r="AW11" i="183"/>
  <c r="AV11" i="183"/>
  <c r="AW10" i="183"/>
  <c r="AV10" i="183"/>
  <c r="AQ10" i="183"/>
  <c r="AW9" i="183"/>
  <c r="AV9" i="183"/>
  <c r="AQ9" i="183"/>
  <c r="AW5" i="183"/>
  <c r="AV5" i="183"/>
  <c r="AQ5" i="183"/>
  <c r="AW4" i="183"/>
  <c r="AV4" i="183"/>
  <c r="AW3" i="183"/>
  <c r="AV3" i="183"/>
  <c r="AQ3" i="183"/>
  <c r="AW2" i="183"/>
  <c r="AV2" i="183"/>
  <c r="AQ2" i="183"/>
  <c r="AW12" i="180"/>
  <c r="AV12" i="180"/>
  <c r="AQ12" i="180"/>
  <c r="AW11" i="180"/>
  <c r="AV11" i="180"/>
  <c r="AW10" i="180"/>
  <c r="AV10" i="180"/>
  <c r="AQ10" i="180"/>
  <c r="AW9" i="180"/>
  <c r="AV9" i="180"/>
  <c r="AQ9" i="180"/>
  <c r="AW5" i="180"/>
  <c r="AV5" i="180"/>
  <c r="AQ5" i="180"/>
  <c r="AW4" i="180"/>
  <c r="AV4" i="180"/>
  <c r="AW3" i="180"/>
  <c r="AV3" i="180"/>
  <c r="AQ3" i="180"/>
  <c r="AW2" i="180"/>
  <c r="AV2" i="180"/>
  <c r="AQ2" i="180"/>
  <c r="AQ12" i="179"/>
  <c r="AQ11" i="179"/>
  <c r="AQ10" i="179"/>
  <c r="AQ3" i="179"/>
  <c r="AQ9" i="179"/>
  <c r="AW12" i="179"/>
  <c r="AV12" i="179"/>
  <c r="AW11" i="179"/>
  <c r="AV11" i="179"/>
  <c r="AW10" i="179"/>
  <c r="AV10" i="179"/>
  <c r="AW9" i="179"/>
  <c r="AV9" i="179"/>
  <c r="AQ5" i="179"/>
  <c r="AW5" i="179"/>
  <c r="AV5" i="179"/>
  <c r="AW4" i="179"/>
  <c r="AV4" i="179"/>
  <c r="AW3" i="179"/>
  <c r="AV3" i="179"/>
  <c r="AQ2" i="179"/>
  <c r="AW2" i="179"/>
  <c r="AV2" i="179"/>
  <c r="AV11" i="187"/>
  <c r="AU11" i="187"/>
  <c r="AP11" i="187"/>
  <c r="AV10" i="187"/>
  <c r="AU10" i="187"/>
  <c r="AV9" i="187"/>
  <c r="AU9" i="187"/>
  <c r="AP9" i="187"/>
  <c r="AV8" i="187"/>
  <c r="AU8" i="187"/>
  <c r="AV7" i="187"/>
  <c r="AU7" i="187"/>
  <c r="AP7" i="187"/>
  <c r="AV6" i="187"/>
  <c r="AU6" i="187"/>
  <c r="AP6" i="187"/>
  <c r="AV5" i="187"/>
  <c r="AU5" i="187"/>
  <c r="AP5" i="187"/>
  <c r="AV4" i="187"/>
  <c r="AU4" i="187"/>
  <c r="AP4" i="187"/>
  <c r="AV3" i="187"/>
  <c r="AU3" i="187"/>
  <c r="AP3" i="187"/>
  <c r="AV2" i="187"/>
  <c r="AU2" i="187"/>
  <c r="AP2" i="187"/>
  <c r="AV11" i="184"/>
  <c r="AU11" i="184"/>
  <c r="AV10" i="184"/>
  <c r="AU10" i="184"/>
  <c r="AV9" i="184"/>
  <c r="AU9" i="184"/>
  <c r="AP9" i="184"/>
  <c r="AV8" i="184"/>
  <c r="AU8" i="184"/>
  <c r="AV7" i="184"/>
  <c r="AU7" i="184"/>
  <c r="AP7" i="184"/>
  <c r="AV6" i="184"/>
  <c r="AU6" i="184"/>
  <c r="AP6" i="184"/>
  <c r="AV5" i="184"/>
  <c r="AU5" i="184"/>
  <c r="AP5" i="184"/>
  <c r="AV4" i="184"/>
  <c r="AU4" i="184"/>
  <c r="AP4" i="184"/>
  <c r="AV3" i="184"/>
  <c r="AU3" i="184"/>
  <c r="AP3" i="184"/>
  <c r="AV2" i="184"/>
  <c r="AU2" i="184"/>
  <c r="AP2" i="184"/>
  <c r="AV11" i="182"/>
  <c r="AU11" i="182"/>
  <c r="AV10" i="182"/>
  <c r="AU10" i="182"/>
  <c r="AV9" i="182"/>
  <c r="AU9" i="182"/>
  <c r="AP9" i="182"/>
  <c r="AV8" i="182"/>
  <c r="AU8" i="182"/>
  <c r="AV7" i="182"/>
  <c r="AU7" i="182"/>
  <c r="AP7" i="182"/>
  <c r="AV6" i="182"/>
  <c r="AU6" i="182"/>
  <c r="AP6" i="182"/>
  <c r="AV5" i="182"/>
  <c r="AU5" i="182"/>
  <c r="AP5" i="182"/>
  <c r="AV4" i="182"/>
  <c r="AU4" i="182"/>
  <c r="AP4" i="182"/>
  <c r="AV3" i="182"/>
  <c r="AU3" i="182"/>
  <c r="AP3" i="182"/>
  <c r="AV2" i="182"/>
  <c r="AU2" i="182"/>
  <c r="AP2" i="182"/>
  <c r="AV11" i="181"/>
  <c r="AU11" i="181"/>
  <c r="AV10" i="181"/>
  <c r="AU10" i="181"/>
  <c r="AV9" i="181"/>
  <c r="AU9" i="181"/>
  <c r="AP9" i="181"/>
  <c r="AV8" i="181"/>
  <c r="AU8" i="181"/>
  <c r="AV7" i="181"/>
  <c r="AU7" i="181"/>
  <c r="AP7" i="181"/>
  <c r="AV6" i="181"/>
  <c r="AU6" i="181"/>
  <c r="AP6" i="181"/>
  <c r="AV5" i="181"/>
  <c r="AU5" i="181"/>
  <c r="AP5" i="181"/>
  <c r="AV4" i="181"/>
  <c r="AU4" i="181"/>
  <c r="AP4" i="181"/>
  <c r="AV3" i="181"/>
  <c r="AU3" i="181"/>
  <c r="AP3" i="181"/>
  <c r="AV2" i="181"/>
  <c r="AU2" i="181"/>
  <c r="AP2" i="181"/>
  <c r="AV11" i="178"/>
  <c r="AU11" i="178"/>
  <c r="AV10" i="178"/>
  <c r="AU10" i="178"/>
  <c r="AV9" i="178"/>
  <c r="AU9" i="178"/>
  <c r="AV8" i="178"/>
  <c r="AU8" i="178"/>
  <c r="AP9" i="178"/>
  <c r="AP7" i="178"/>
  <c r="AP6" i="178"/>
  <c r="AP5" i="178"/>
  <c r="AP4" i="178"/>
  <c r="AP3" i="178"/>
  <c r="AP2" i="178"/>
  <c r="AV7" i="178"/>
  <c r="AU7" i="178"/>
  <c r="AV6" i="178"/>
  <c r="AU6" i="178"/>
  <c r="AV5" i="178"/>
  <c r="AU5" i="178"/>
  <c r="B850" i="188"/>
  <c r="B843" i="188"/>
  <c r="B836" i="188"/>
  <c r="B829" i="188"/>
  <c r="B822" i="188"/>
  <c r="B815" i="188"/>
  <c r="B808" i="188"/>
  <c r="B801" i="188"/>
  <c r="B794" i="188"/>
  <c r="B787" i="188"/>
  <c r="B780" i="188"/>
  <c r="B773" i="188"/>
  <c r="B766" i="188"/>
  <c r="B759" i="188"/>
  <c r="B752" i="188"/>
  <c r="B745" i="188"/>
  <c r="B738" i="188"/>
  <c r="B731" i="188"/>
  <c r="B724" i="188"/>
  <c r="B717" i="188"/>
  <c r="B710" i="188"/>
  <c r="B703" i="188"/>
  <c r="B696" i="188"/>
  <c r="B689" i="188"/>
  <c r="B682" i="188"/>
  <c r="B675" i="188"/>
  <c r="B668" i="188"/>
  <c r="B661" i="188"/>
  <c r="B654" i="188"/>
  <c r="B647" i="188"/>
  <c r="B640" i="188"/>
  <c r="B633" i="188"/>
  <c r="B626" i="188"/>
  <c r="B619" i="188"/>
  <c r="B612" i="188"/>
  <c r="B605" i="188"/>
  <c r="B598" i="188"/>
  <c r="B591" i="188"/>
  <c r="B584" i="188"/>
  <c r="B577" i="188"/>
  <c r="B570" i="188"/>
  <c r="B563" i="188"/>
  <c r="B556" i="188"/>
  <c r="B549" i="188"/>
  <c r="B542" i="188"/>
  <c r="B535" i="188"/>
  <c r="B528" i="188"/>
  <c r="B521" i="188"/>
  <c r="B514" i="188"/>
  <c r="B507" i="188"/>
  <c r="B500" i="188"/>
  <c r="B493" i="188"/>
  <c r="B486" i="188"/>
  <c r="B479" i="188"/>
  <c r="B472" i="188"/>
  <c r="B465" i="188"/>
  <c r="B458" i="188"/>
  <c r="B451" i="188"/>
  <c r="B444" i="188"/>
  <c r="B437" i="188"/>
  <c r="B430" i="188"/>
  <c r="B423" i="188"/>
  <c r="B416" i="188"/>
  <c r="B409" i="188"/>
  <c r="B402" i="188"/>
  <c r="B395" i="188"/>
  <c r="B388" i="188"/>
  <c r="B381" i="188"/>
  <c r="B374" i="188"/>
  <c r="B367" i="188"/>
  <c r="B360" i="188"/>
  <c r="B353" i="188"/>
  <c r="B346" i="188"/>
  <c r="B339" i="188"/>
  <c r="B332" i="188"/>
  <c r="B325" i="188"/>
  <c r="B318" i="188"/>
  <c r="B311" i="188"/>
  <c r="B304" i="188"/>
  <c r="B297" i="188"/>
  <c r="B290" i="188"/>
  <c r="B283" i="188"/>
  <c r="B276" i="188"/>
  <c r="B269" i="188"/>
  <c r="B262" i="188"/>
  <c r="B255" i="188"/>
  <c r="B248" i="188"/>
  <c r="B241" i="188"/>
  <c r="B234" i="188"/>
  <c r="B227" i="188"/>
  <c r="B220" i="188"/>
  <c r="B213" i="188"/>
  <c r="B206" i="188"/>
  <c r="B199" i="188"/>
  <c r="B192" i="188"/>
  <c r="B185" i="188"/>
  <c r="B178" i="188"/>
  <c r="B171" i="188"/>
  <c r="B164" i="188"/>
  <c r="B157" i="188"/>
  <c r="B150" i="188"/>
  <c r="B143" i="188"/>
  <c r="B136" i="188"/>
  <c r="B129" i="188"/>
  <c r="B122" i="188"/>
  <c r="B115" i="188"/>
  <c r="B108" i="188"/>
  <c r="B101" i="188"/>
  <c r="B94" i="188"/>
  <c r="B87" i="188"/>
  <c r="B80" i="188"/>
  <c r="B73" i="188"/>
  <c r="B66" i="188"/>
  <c r="B59" i="188"/>
  <c r="B52" i="188"/>
  <c r="B45" i="188"/>
  <c r="B38" i="188"/>
  <c r="B31" i="188"/>
  <c r="B24" i="188"/>
  <c r="B17" i="188"/>
  <c r="B10" i="188"/>
  <c r="B3" i="188"/>
  <c r="B854" i="188"/>
  <c r="B847" i="188"/>
  <c r="B840" i="188"/>
  <c r="B833" i="188"/>
  <c r="B826" i="188"/>
  <c r="B819" i="188"/>
  <c r="B812" i="188"/>
  <c r="B805" i="188"/>
  <c r="B798" i="188"/>
  <c r="B791" i="188"/>
  <c r="B784" i="188"/>
  <c r="B777" i="188"/>
  <c r="B770" i="188"/>
  <c r="B763" i="188"/>
  <c r="B756" i="188"/>
  <c r="B749" i="188"/>
  <c r="B742" i="188"/>
  <c r="B735" i="188"/>
  <c r="B728" i="188"/>
  <c r="B721" i="188"/>
  <c r="B714" i="188"/>
  <c r="B707" i="188"/>
  <c r="B700" i="188"/>
  <c r="B693" i="188"/>
  <c r="B686" i="188"/>
  <c r="B679" i="188"/>
  <c r="B672" i="188"/>
  <c r="B665" i="188"/>
  <c r="B658" i="188"/>
  <c r="B651" i="188"/>
  <c r="B644" i="188"/>
  <c r="B637" i="188"/>
  <c r="B630" i="188"/>
  <c r="B623" i="188"/>
  <c r="B616" i="188"/>
  <c r="B609" i="188"/>
  <c r="B602" i="188"/>
  <c r="B595" i="188"/>
  <c r="B588" i="188"/>
  <c r="B581" i="188"/>
  <c r="B574" i="188"/>
  <c r="B567" i="188"/>
  <c r="B560" i="188"/>
  <c r="B553" i="188"/>
  <c r="B546" i="188"/>
  <c r="B539" i="188"/>
  <c r="B532" i="188"/>
  <c r="B525" i="188"/>
  <c r="B518" i="188"/>
  <c r="B511" i="188"/>
  <c r="B504" i="188"/>
  <c r="B497" i="188"/>
  <c r="B490" i="188"/>
  <c r="B483" i="188"/>
  <c r="B476" i="188"/>
  <c r="B469" i="188"/>
  <c r="B462" i="188"/>
  <c r="B455" i="188"/>
  <c r="B448" i="188"/>
  <c r="B441" i="188"/>
  <c r="B434" i="188"/>
  <c r="B427" i="188"/>
  <c r="B420" i="188"/>
  <c r="B413" i="188"/>
  <c r="B406" i="188"/>
  <c r="B399" i="188"/>
  <c r="B392" i="188"/>
  <c r="B385" i="188"/>
  <c r="B378" i="188"/>
  <c r="B371" i="188"/>
  <c r="B364" i="188"/>
  <c r="B357" i="188"/>
  <c r="B350" i="188"/>
  <c r="B343" i="188"/>
  <c r="B336" i="188"/>
  <c r="B329" i="188"/>
  <c r="B322" i="188"/>
  <c r="B315" i="188"/>
  <c r="B308" i="188"/>
  <c r="B301" i="188"/>
  <c r="B294" i="188"/>
  <c r="B287" i="188"/>
  <c r="B280" i="188"/>
  <c r="B273" i="188"/>
  <c r="B266" i="188"/>
  <c r="B259" i="188"/>
  <c r="B252" i="188"/>
  <c r="B245" i="188"/>
  <c r="B238" i="188"/>
  <c r="B231" i="188"/>
  <c r="B224" i="188"/>
  <c r="B217" i="188"/>
  <c r="B210" i="188"/>
  <c r="B203" i="188"/>
  <c r="B196" i="188"/>
  <c r="B189" i="188"/>
  <c r="B182" i="188"/>
  <c r="B175" i="188"/>
  <c r="B168" i="188"/>
  <c r="B161" i="188"/>
  <c r="B154" i="188"/>
  <c r="B147" i="188"/>
  <c r="B140" i="188"/>
  <c r="B133" i="188"/>
  <c r="B126" i="188"/>
  <c r="B119" i="188"/>
  <c r="B112" i="188"/>
  <c r="B105" i="188"/>
  <c r="B98" i="188"/>
  <c r="B91" i="188"/>
  <c r="B84" i="188"/>
  <c r="B77" i="188"/>
  <c r="B70" i="188"/>
  <c r="B63" i="188"/>
  <c r="B56" i="188"/>
  <c r="B49" i="188"/>
  <c r="B42" i="188"/>
  <c r="B35" i="188"/>
  <c r="B28" i="188"/>
  <c r="B21" i="188"/>
  <c r="B14" i="188"/>
  <c r="B7" i="188"/>
  <c r="B848" i="188"/>
  <c r="B832" i="188"/>
  <c r="B2" i="188"/>
  <c r="AV4" i="178"/>
  <c r="AU4" i="178"/>
  <c r="AV3" i="178"/>
  <c r="AU3" i="178"/>
  <c r="AV2" i="178"/>
  <c r="AU2" i="178"/>
  <c r="V103" i="181"/>
  <c r="V104" i="181" s="1"/>
  <c r="V105" i="181" s="1"/>
  <c r="V106" i="181" s="1"/>
  <c r="U103" i="181"/>
  <c r="U104" i="181" s="1"/>
  <c r="U105" i="181" s="1"/>
  <c r="U106" i="181" s="1"/>
  <c r="V102" i="181"/>
  <c r="U102" i="181"/>
  <c r="P106" i="181"/>
  <c r="P105" i="181"/>
  <c r="P104" i="181"/>
  <c r="P103" i="181"/>
  <c r="P102" i="181"/>
  <c r="P101" i="181"/>
  <c r="A36" i="187"/>
  <c r="E18" i="187"/>
  <c r="H18" i="187" s="1"/>
  <c r="K18" i="187" s="1"/>
  <c r="D18" i="187"/>
  <c r="G18" i="187" s="1"/>
  <c r="J18" i="187" s="1"/>
  <c r="K15" i="187"/>
  <c r="J15" i="187"/>
  <c r="H15" i="187"/>
  <c r="I15" i="187" s="1"/>
  <c r="F15" i="187"/>
  <c r="G15" i="187" s="1"/>
  <c r="D15" i="187"/>
  <c r="E15" i="187" s="1"/>
  <c r="C15" i="187"/>
  <c r="B15" i="187"/>
  <c r="K13" i="187"/>
  <c r="J13" i="187"/>
  <c r="I13" i="187"/>
  <c r="H13" i="187"/>
  <c r="G13" i="187"/>
  <c r="F13" i="187"/>
  <c r="E13" i="187"/>
  <c r="D13" i="187"/>
  <c r="C13" i="187"/>
  <c r="B13" i="187"/>
  <c r="A13" i="187"/>
  <c r="V11" i="187"/>
  <c r="U11" i="187"/>
  <c r="T11" i="187"/>
  <c r="S11" i="187"/>
  <c r="I10" i="187"/>
  <c r="H10" i="187"/>
  <c r="G10" i="187"/>
  <c r="I9" i="187"/>
  <c r="H9" i="187"/>
  <c r="F9" i="187"/>
  <c r="D9" i="187"/>
  <c r="J8" i="187"/>
  <c r="G8" i="187"/>
  <c r="AP8" i="187" s="1"/>
  <c r="E8" i="187"/>
  <c r="E9" i="187" s="1"/>
  <c r="C8" i="187"/>
  <c r="C9" i="187" s="1"/>
  <c r="B8" i="187"/>
  <c r="B9" i="187" s="1"/>
  <c r="J7" i="187"/>
  <c r="A40" i="187" s="1"/>
  <c r="I7" i="187"/>
  <c r="A39" i="187" s="1"/>
  <c r="G7" i="187"/>
  <c r="A38" i="187" s="1"/>
  <c r="E7" i="187"/>
  <c r="C7" i="187"/>
  <c r="A37" i="187" s="1"/>
  <c r="B36" i="186"/>
  <c r="A36" i="186"/>
  <c r="B35" i="186"/>
  <c r="A35" i="186"/>
  <c r="B34" i="186"/>
  <c r="B33" i="186"/>
  <c r="B32" i="186"/>
  <c r="A32" i="186"/>
  <c r="P13" i="186"/>
  <c r="O13" i="186"/>
  <c r="N13" i="186"/>
  <c r="M13" i="186"/>
  <c r="E12" i="186"/>
  <c r="D10" i="186"/>
  <c r="B10" i="186"/>
  <c r="E9" i="186"/>
  <c r="AQ4" i="186" s="1"/>
  <c r="C9" i="186"/>
  <c r="AQ11" i="186" s="1"/>
  <c r="E8" i="186"/>
  <c r="A34" i="186" s="1"/>
  <c r="C8" i="186"/>
  <c r="A33" i="186" s="1"/>
  <c r="B36" i="185"/>
  <c r="A36" i="185"/>
  <c r="B35" i="185"/>
  <c r="A35" i="185"/>
  <c r="B34" i="185"/>
  <c r="B33" i="185"/>
  <c r="B32" i="185"/>
  <c r="A32" i="185"/>
  <c r="P13" i="185"/>
  <c r="O13" i="185"/>
  <c r="N13" i="185"/>
  <c r="M13" i="185"/>
  <c r="E12" i="185"/>
  <c r="D10" i="185"/>
  <c r="B10" i="185"/>
  <c r="E9" i="185"/>
  <c r="AQ4" i="185" s="1"/>
  <c r="C9" i="185"/>
  <c r="AQ11" i="185" s="1"/>
  <c r="E8" i="185"/>
  <c r="C8" i="185"/>
  <c r="A33" i="185" s="1"/>
  <c r="E18" i="184"/>
  <c r="H18" i="184" s="1"/>
  <c r="K18" i="184" s="1"/>
  <c r="D18" i="184"/>
  <c r="G18" i="184" s="1"/>
  <c r="J18" i="184" s="1"/>
  <c r="K15" i="184"/>
  <c r="J15" i="184"/>
  <c r="H15" i="184"/>
  <c r="I15" i="184" s="1"/>
  <c r="F15" i="184"/>
  <c r="G15" i="184" s="1"/>
  <c r="D15" i="184"/>
  <c r="E15" i="184" s="1"/>
  <c r="B15" i="184"/>
  <c r="C15" i="184" s="1"/>
  <c r="K13" i="184"/>
  <c r="J13" i="184"/>
  <c r="I13" i="184"/>
  <c r="H13" i="184"/>
  <c r="G13" i="184"/>
  <c r="F13" i="184"/>
  <c r="E13" i="184"/>
  <c r="D13" i="184"/>
  <c r="C13" i="184"/>
  <c r="B13" i="184"/>
  <c r="A13" i="184"/>
  <c r="V11" i="184"/>
  <c r="U11" i="184"/>
  <c r="T11" i="184"/>
  <c r="S11" i="184"/>
  <c r="I10" i="184"/>
  <c r="H10" i="184"/>
  <c r="G10" i="184"/>
  <c r="J9" i="184"/>
  <c r="I9" i="184"/>
  <c r="H9" i="184"/>
  <c r="F9" i="184"/>
  <c r="D9" i="184"/>
  <c r="G8" i="184"/>
  <c r="AP11" i="184" s="1"/>
  <c r="E8" i="184"/>
  <c r="AP10" i="184" s="1"/>
  <c r="C8" i="184"/>
  <c r="AP17" i="184" s="1"/>
  <c r="B8" i="184"/>
  <c r="J8" i="184" s="1"/>
  <c r="J7" i="184"/>
  <c r="A40" i="184" s="1"/>
  <c r="I7" i="184"/>
  <c r="A39" i="184" s="1"/>
  <c r="G7" i="184"/>
  <c r="A38" i="184" s="1"/>
  <c r="E7" i="184"/>
  <c r="A36" i="184" s="1"/>
  <c r="C7" i="184"/>
  <c r="A37" i="184" s="1"/>
  <c r="B36" i="183"/>
  <c r="A36" i="183"/>
  <c r="B35" i="183"/>
  <c r="A35" i="183"/>
  <c r="B34" i="183"/>
  <c r="B33" i="183"/>
  <c r="B32" i="183"/>
  <c r="A32" i="183"/>
  <c r="P13" i="183"/>
  <c r="O13" i="183"/>
  <c r="N13" i="183"/>
  <c r="M13" i="183"/>
  <c r="E12" i="183"/>
  <c r="D10" i="183"/>
  <c r="B10" i="183"/>
  <c r="E9" i="183"/>
  <c r="E10" i="183" s="1"/>
  <c r="C9" i="183"/>
  <c r="AQ11" i="183" s="1"/>
  <c r="E8" i="183"/>
  <c r="A34" i="183" s="1"/>
  <c r="C8" i="183"/>
  <c r="E18" i="182"/>
  <c r="H18" i="182" s="1"/>
  <c r="K18" i="182" s="1"/>
  <c r="D18" i="182"/>
  <c r="G18" i="182" s="1"/>
  <c r="J18" i="182" s="1"/>
  <c r="K15" i="182"/>
  <c r="J15" i="182"/>
  <c r="H15" i="182"/>
  <c r="I15" i="182" s="1"/>
  <c r="F15" i="182"/>
  <c r="G15" i="182" s="1"/>
  <c r="D15" i="182"/>
  <c r="E15" i="182" s="1"/>
  <c r="B15" i="182"/>
  <c r="C15" i="182" s="1"/>
  <c r="K13" i="182"/>
  <c r="J13" i="182"/>
  <c r="I13" i="182"/>
  <c r="H13" i="182"/>
  <c r="G13" i="182"/>
  <c r="F13" i="182"/>
  <c r="E13" i="182"/>
  <c r="D13" i="182"/>
  <c r="C13" i="182"/>
  <c r="B13" i="182"/>
  <c r="A13" i="182"/>
  <c r="V11" i="182"/>
  <c r="U11" i="182"/>
  <c r="T11" i="182"/>
  <c r="S11" i="182"/>
  <c r="I10" i="182"/>
  <c r="H10" i="182"/>
  <c r="G10" i="182"/>
  <c r="J9" i="182"/>
  <c r="I9" i="182"/>
  <c r="H9" i="182"/>
  <c r="F9" i="182"/>
  <c r="D9" i="182"/>
  <c r="G8" i="182"/>
  <c r="AP8" i="182" s="1"/>
  <c r="E8" i="182"/>
  <c r="E9" i="182" s="1"/>
  <c r="C8" i="182"/>
  <c r="AP17" i="182" s="1"/>
  <c r="B8" i="182"/>
  <c r="B9" i="182" s="1"/>
  <c r="J7" i="182"/>
  <c r="A40" i="182" s="1"/>
  <c r="I7" i="182"/>
  <c r="A39" i="182" s="1"/>
  <c r="G7" i="182"/>
  <c r="A38" i="182" s="1"/>
  <c r="E7" i="182"/>
  <c r="A36" i="182" s="1"/>
  <c r="C7" i="182"/>
  <c r="A37" i="182" s="1"/>
  <c r="E18" i="181"/>
  <c r="H18" i="181" s="1"/>
  <c r="K18" i="181" s="1"/>
  <c r="D18" i="181"/>
  <c r="G18" i="181" s="1"/>
  <c r="J18" i="181" s="1"/>
  <c r="K15" i="181"/>
  <c r="J15" i="181"/>
  <c r="H15" i="181"/>
  <c r="I15" i="181" s="1"/>
  <c r="F15" i="181"/>
  <c r="G15" i="181" s="1"/>
  <c r="D15" i="181"/>
  <c r="E15" i="181" s="1"/>
  <c r="B15" i="181"/>
  <c r="C15" i="181" s="1"/>
  <c r="K13" i="181"/>
  <c r="J13" i="181"/>
  <c r="I13" i="181"/>
  <c r="H13" i="181"/>
  <c r="G13" i="181"/>
  <c r="F13" i="181"/>
  <c r="E13" i="181"/>
  <c r="D13" i="181"/>
  <c r="C13" i="181"/>
  <c r="B13" i="181"/>
  <c r="A13" i="181"/>
  <c r="V11" i="181"/>
  <c r="U11" i="181"/>
  <c r="T11" i="181"/>
  <c r="S11" i="181"/>
  <c r="I10" i="181"/>
  <c r="H10" i="181"/>
  <c r="G10" i="181"/>
  <c r="H9" i="181"/>
  <c r="F9" i="181"/>
  <c r="D9" i="181"/>
  <c r="G8" i="181"/>
  <c r="G9" i="181" s="1"/>
  <c r="E8" i="181"/>
  <c r="AP10" i="181" s="1"/>
  <c r="C8" i="181"/>
  <c r="AP17" i="181" s="1"/>
  <c r="B8" i="181"/>
  <c r="B9" i="181" s="1"/>
  <c r="J7" i="181"/>
  <c r="A40" i="181" s="1"/>
  <c r="I7" i="181"/>
  <c r="A39" i="181" s="1"/>
  <c r="G7" i="181"/>
  <c r="A38" i="181" s="1"/>
  <c r="E7" i="181"/>
  <c r="A36" i="181" s="1"/>
  <c r="C7" i="181"/>
  <c r="A37" i="181" s="1"/>
  <c r="B36" i="180"/>
  <c r="A36" i="180"/>
  <c r="B35" i="180"/>
  <c r="A35" i="180"/>
  <c r="B34" i="180"/>
  <c r="B33" i="180"/>
  <c r="B32" i="180"/>
  <c r="A32" i="180"/>
  <c r="P13" i="180"/>
  <c r="O13" i="180"/>
  <c r="N13" i="180"/>
  <c r="M13" i="180"/>
  <c r="E12" i="180"/>
  <c r="D10" i="180"/>
  <c r="B10" i="180"/>
  <c r="E9" i="180"/>
  <c r="AQ4" i="180" s="1"/>
  <c r="C9" i="180"/>
  <c r="AQ11" i="180" s="1"/>
  <c r="E8" i="180"/>
  <c r="C8" i="180"/>
  <c r="B36" i="179"/>
  <c r="A36" i="179"/>
  <c r="B35" i="179"/>
  <c r="A35" i="179"/>
  <c r="B34" i="179"/>
  <c r="B33" i="179"/>
  <c r="A33" i="179"/>
  <c r="B32" i="179"/>
  <c r="A32" i="179"/>
  <c r="P13" i="179"/>
  <c r="O13" i="179"/>
  <c r="N13" i="179"/>
  <c r="M13" i="179"/>
  <c r="E12" i="179"/>
  <c r="D10" i="179"/>
  <c r="B10" i="179"/>
  <c r="E9" i="179"/>
  <c r="E10" i="179" s="1"/>
  <c r="C9" i="179"/>
  <c r="C10" i="179" s="1"/>
  <c r="E8" i="179"/>
  <c r="A34" i="179" s="1"/>
  <c r="C8" i="179"/>
  <c r="G8" i="178"/>
  <c r="AP11" i="178" s="1"/>
  <c r="E8" i="178"/>
  <c r="AP10" i="178" s="1"/>
  <c r="C8" i="178"/>
  <c r="AP17" i="178" s="1"/>
  <c r="A37" i="178"/>
  <c r="E18" i="178"/>
  <c r="H18" i="178" s="1"/>
  <c r="K18" i="178" s="1"/>
  <c r="D18" i="178"/>
  <c r="G18" i="178" s="1"/>
  <c r="J18" i="178" s="1"/>
  <c r="B18" i="178"/>
  <c r="K15" i="178"/>
  <c r="J15" i="178"/>
  <c r="H15" i="178"/>
  <c r="I15" i="178" s="1"/>
  <c r="F15" i="178"/>
  <c r="G15" i="178" s="1"/>
  <c r="D15" i="178"/>
  <c r="E15" i="178" s="1"/>
  <c r="B15" i="178"/>
  <c r="C15" i="178" s="1"/>
  <c r="K13" i="178"/>
  <c r="J13" i="178"/>
  <c r="I13" i="178"/>
  <c r="H13" i="178"/>
  <c r="G13" i="178"/>
  <c r="F13" i="178"/>
  <c r="E13" i="178"/>
  <c r="D13" i="178"/>
  <c r="C13" i="178"/>
  <c r="B13" i="178"/>
  <c r="A13" i="178"/>
  <c r="V11" i="178"/>
  <c r="U11" i="178"/>
  <c r="T11" i="178"/>
  <c r="S11" i="178"/>
  <c r="I10" i="178"/>
  <c r="H10" i="178"/>
  <c r="G10" i="178"/>
  <c r="H9" i="178"/>
  <c r="F9" i="178"/>
  <c r="D9" i="178"/>
  <c r="B8" i="178"/>
  <c r="B9" i="178" s="1"/>
  <c r="J7" i="178"/>
  <c r="J9" i="178" s="1"/>
  <c r="I7" i="178"/>
  <c r="A39" i="178" s="1"/>
  <c r="G7" i="178"/>
  <c r="A38" i="178" s="1"/>
  <c r="E7" i="178"/>
  <c r="C7" i="178"/>
  <c r="A34" i="205" l="1"/>
  <c r="A39" i="205" s="1"/>
  <c r="B39" i="205" s="1"/>
  <c r="AQ3" i="205"/>
  <c r="E10" i="205"/>
  <c r="AP8" i="178"/>
  <c r="G9" i="182"/>
  <c r="AP11" i="182"/>
  <c r="G9" i="184"/>
  <c r="E9" i="178"/>
  <c r="AP8" i="181"/>
  <c r="C10" i="183"/>
  <c r="F6" i="199"/>
  <c r="B38" i="199" s="1"/>
  <c r="D6" i="199"/>
  <c r="B36" i="199" s="1"/>
  <c r="C6" i="199"/>
  <c r="B6" i="199"/>
  <c r="B37" i="199" s="1"/>
  <c r="E6" i="199"/>
  <c r="K6" i="199"/>
  <c r="G6" i="199"/>
  <c r="J6" i="199"/>
  <c r="B40" i="199" s="1"/>
  <c r="I6" i="199"/>
  <c r="B39" i="199" s="1"/>
  <c r="H6" i="199"/>
  <c r="AP17" i="187"/>
  <c r="AQ4" i="183"/>
  <c r="AP10" i="187"/>
  <c r="C9" i="178"/>
  <c r="AP10" i="182"/>
  <c r="AP8" i="184"/>
  <c r="E10" i="185"/>
  <c r="G9" i="187"/>
  <c r="AP11" i="181"/>
  <c r="AQ4" i="179"/>
  <c r="U95" i="130"/>
  <c r="U90" i="130"/>
  <c r="U85" i="130"/>
  <c r="U91" i="130"/>
  <c r="U97" i="130"/>
  <c r="U84" i="130"/>
  <c r="U96" i="130"/>
  <c r="U86" i="130"/>
  <c r="U92" i="130"/>
  <c r="U98" i="130"/>
  <c r="U87" i="130"/>
  <c r="U93" i="130"/>
  <c r="U89" i="130"/>
  <c r="U88" i="130"/>
  <c r="C10" i="180"/>
  <c r="E10" i="180"/>
  <c r="A39" i="179"/>
  <c r="B39" i="179" s="1"/>
  <c r="B18" i="184"/>
  <c r="C18" i="184"/>
  <c r="C18" i="178"/>
  <c r="A36" i="178"/>
  <c r="J8" i="178"/>
  <c r="E9" i="181"/>
  <c r="B18" i="181"/>
  <c r="J9" i="187"/>
  <c r="K7" i="187"/>
  <c r="K9" i="187" s="1"/>
  <c r="A43" i="187"/>
  <c r="B43" i="187" s="1"/>
  <c r="B18" i="187"/>
  <c r="C18" i="187"/>
  <c r="K8" i="187"/>
  <c r="F18" i="187"/>
  <c r="I18" i="187" s="1"/>
  <c r="E10" i="186"/>
  <c r="C10" i="186"/>
  <c r="A39" i="186"/>
  <c r="B39" i="186" s="1"/>
  <c r="A34" i="185"/>
  <c r="A39" i="185"/>
  <c r="B39" i="185" s="1"/>
  <c r="C10" i="185"/>
  <c r="K7" i="184"/>
  <c r="K9" i="184" s="1"/>
  <c r="C9" i="184"/>
  <c r="E9" i="184"/>
  <c r="A43" i="184"/>
  <c r="B43" i="184" s="1"/>
  <c r="K8" i="184"/>
  <c r="F18" i="184"/>
  <c r="I18" i="184" s="1"/>
  <c r="B9" i="184"/>
  <c r="I9" i="181"/>
  <c r="J9" i="181"/>
  <c r="K7" i="181"/>
  <c r="K9" i="181" s="1"/>
  <c r="C9" i="181"/>
  <c r="A33" i="183"/>
  <c r="A39" i="183"/>
  <c r="B39" i="183" s="1"/>
  <c r="K7" i="182"/>
  <c r="K9" i="182" s="1"/>
  <c r="C9" i="182"/>
  <c r="A43" i="182"/>
  <c r="B43" i="182" s="1"/>
  <c r="D6" i="182" s="1"/>
  <c r="B36" i="182" s="1"/>
  <c r="C18" i="182"/>
  <c r="B18" i="182"/>
  <c r="J8" i="182"/>
  <c r="K8" i="182"/>
  <c r="F18" i="182"/>
  <c r="I18" i="182" s="1"/>
  <c r="A43" i="181"/>
  <c r="B43" i="181" s="1"/>
  <c r="C18" i="181"/>
  <c r="J8" i="181"/>
  <c r="K8" i="181"/>
  <c r="F18" i="181"/>
  <c r="I18" i="181" s="1"/>
  <c r="A33" i="180"/>
  <c r="A34" i="180"/>
  <c r="A39" i="180" s="1"/>
  <c r="B39" i="180" s="1"/>
  <c r="G9" i="178"/>
  <c r="I9" i="178"/>
  <c r="K8" i="178"/>
  <c r="F18" i="178"/>
  <c r="I18" i="178" s="1"/>
  <c r="K7" i="178"/>
  <c r="K9" i="178" s="1"/>
  <c r="A40" i="178"/>
  <c r="A43" i="178" s="1"/>
  <c r="B43" i="178" s="1"/>
  <c r="B849" i="188" l="1"/>
  <c r="B4" i="188"/>
  <c r="D6" i="187"/>
  <c r="B36" i="187" s="1"/>
  <c r="C6" i="187"/>
  <c r="B6" i="187"/>
  <c r="B37" i="187" s="1"/>
  <c r="K6" i="187"/>
  <c r="J6" i="187"/>
  <c r="B40" i="187" s="1"/>
  <c r="I6" i="187"/>
  <c r="B39" i="187" s="1"/>
  <c r="H6" i="187"/>
  <c r="G6" i="187"/>
  <c r="F6" i="187"/>
  <c r="B38" i="187" s="1"/>
  <c r="E6" i="187"/>
  <c r="D6" i="184"/>
  <c r="B36" i="184" s="1"/>
  <c r="C6" i="184"/>
  <c r="E6" i="184"/>
  <c r="B6" i="184"/>
  <c r="B37" i="184" s="1"/>
  <c r="I6" i="184"/>
  <c r="B39" i="184" s="1"/>
  <c r="F6" i="184"/>
  <c r="B38" i="184" s="1"/>
  <c r="K6" i="184"/>
  <c r="J6" i="184"/>
  <c r="B40" i="184" s="1"/>
  <c r="H6" i="184"/>
  <c r="G6" i="184"/>
  <c r="C6" i="182"/>
  <c r="E6" i="182"/>
  <c r="K6" i="182"/>
  <c r="G6" i="182"/>
  <c r="I6" i="182"/>
  <c r="B39" i="182" s="1"/>
  <c r="F6" i="182"/>
  <c r="B38" i="182" s="1"/>
  <c r="J6" i="182"/>
  <c r="B40" i="182" s="1"/>
  <c r="B6" i="182"/>
  <c r="B37" i="182" s="1"/>
  <c r="H6" i="182"/>
  <c r="D6" i="181"/>
  <c r="B36" i="181" s="1"/>
  <c r="C6" i="181"/>
  <c r="F6" i="181"/>
  <c r="B38" i="181" s="1"/>
  <c r="B6" i="181"/>
  <c r="B37" i="181" s="1"/>
  <c r="E6" i="181"/>
  <c r="K6" i="181"/>
  <c r="J6" i="181"/>
  <c r="B40" i="181" s="1"/>
  <c r="I6" i="181"/>
  <c r="B39" i="181" s="1"/>
  <c r="H6" i="181"/>
  <c r="G6" i="181"/>
  <c r="D6" i="178"/>
  <c r="B36" i="178" s="1"/>
  <c r="B6" i="178"/>
  <c r="B37" i="178" s="1"/>
  <c r="K6" i="178"/>
  <c r="J6" i="178"/>
  <c r="B40" i="178" s="1"/>
  <c r="I6" i="178"/>
  <c r="B39" i="178" s="1"/>
  <c r="H6" i="178"/>
  <c r="G6" i="178"/>
  <c r="C6" i="178"/>
  <c r="E6" i="178"/>
  <c r="F6" i="178"/>
  <c r="B38" i="178" s="1"/>
  <c r="B834" i="188" l="1"/>
  <c r="B5" i="188"/>
  <c r="B7" i="116"/>
  <c r="B851" i="188" l="1"/>
  <c r="B835" i="188"/>
  <c r="B6" i="188"/>
  <c r="D54" i="121"/>
  <c r="V37" i="122"/>
  <c r="J7" i="121" s="1"/>
  <c r="J31" i="121" s="1"/>
  <c r="U88" i="122"/>
  <c r="U93" i="122"/>
  <c r="U92" i="122"/>
  <c r="U91" i="122"/>
  <c r="U90" i="122"/>
  <c r="U89" i="122"/>
  <c r="U87" i="122"/>
  <c r="D56" i="121"/>
  <c r="F54" i="121"/>
  <c r="E54" i="121"/>
  <c r="F31" i="121"/>
  <c r="E31" i="121"/>
  <c r="F7" i="121"/>
  <c r="E7" i="121"/>
  <c r="D7" i="121"/>
  <c r="D31" i="121" s="1"/>
  <c r="D14" i="95"/>
  <c r="C14" i="95"/>
  <c r="C13" i="95"/>
  <c r="D13" i="95"/>
  <c r="D11" i="1"/>
  <c r="C11" i="1"/>
  <c r="B852" i="188" l="1"/>
  <c r="B853" i="188"/>
  <c r="F33" i="121"/>
  <c r="E33" i="121"/>
  <c r="D33" i="121"/>
  <c r="F9" i="121"/>
  <c r="E9" i="121"/>
  <c r="D9" i="121"/>
  <c r="F14" i="4"/>
  <c r="E14" i="4"/>
  <c r="D14" i="4"/>
  <c r="C14" i="4"/>
  <c r="F12" i="4"/>
  <c r="E12" i="4"/>
  <c r="D12" i="4"/>
  <c r="C12" i="4"/>
  <c r="G10" i="4"/>
  <c r="F10" i="4"/>
  <c r="E10" i="4"/>
  <c r="D10" i="4"/>
  <c r="C10" i="4"/>
  <c r="E8" i="1"/>
  <c r="D8" i="1"/>
  <c r="C8" i="1"/>
  <c r="B8" i="1"/>
  <c r="C14" i="46"/>
  <c r="C13" i="46"/>
  <c r="V92" i="122"/>
  <c r="V91" i="122"/>
  <c r="E13" i="1" s="1"/>
  <c r="V90" i="122"/>
  <c r="V89" i="122"/>
  <c r="C13" i="116" s="1"/>
  <c r="V88" i="122"/>
  <c r="V87" i="122"/>
  <c r="V68" i="122"/>
  <c r="V67" i="122"/>
  <c r="V66" i="122"/>
  <c r="V33" i="122"/>
  <c r="B11" i="1" s="1"/>
  <c r="V153" i="122"/>
  <c r="V150" i="122"/>
  <c r="D11" i="95"/>
  <c r="C11" i="95"/>
  <c r="E11" i="1"/>
  <c r="V86" i="122"/>
  <c r="V65" i="122"/>
  <c r="V32" i="122"/>
  <c r="V38" i="122"/>
  <c r="V36" i="122"/>
  <c r="V35" i="122"/>
  <c r="V34" i="122"/>
  <c r="AQ3" i="122"/>
  <c r="AQ4" i="122" s="1"/>
  <c r="AQ5" i="122" s="1"/>
  <c r="AQ6" i="122" s="1"/>
  <c r="AQ7" i="122" s="1"/>
  <c r="AQ8" i="122" s="1"/>
  <c r="AQ9" i="122" s="1"/>
  <c r="AQ10" i="122" s="1"/>
  <c r="AQ11" i="122" s="1"/>
  <c r="AQ12" i="122" s="1"/>
  <c r="AQ13" i="122" s="1"/>
  <c r="AQ2" i="122"/>
  <c r="N94" i="122"/>
  <c r="B837" i="188" l="1"/>
  <c r="B8" i="188"/>
  <c r="D10" i="181"/>
  <c r="B12" i="179"/>
  <c r="C12" i="179" s="1"/>
  <c r="D12" i="179" s="1"/>
  <c r="D10" i="187"/>
  <c r="B12" i="180"/>
  <c r="C12" i="180" s="1"/>
  <c r="D12" i="180" s="1"/>
  <c r="B12" i="185"/>
  <c r="C12" i="185" s="1"/>
  <c r="D12" i="185" s="1"/>
  <c r="D10" i="182"/>
  <c r="B12" i="183"/>
  <c r="C12" i="183" s="1"/>
  <c r="D12" i="183" s="1"/>
  <c r="B12" i="186"/>
  <c r="C12" i="186" s="1"/>
  <c r="D12" i="186" s="1"/>
  <c r="D10" i="178"/>
  <c r="D10" i="184"/>
  <c r="B13" i="1"/>
  <c r="C13" i="1"/>
  <c r="D13" i="116"/>
  <c r="D13" i="1"/>
  <c r="C11" i="46"/>
  <c r="S27" i="122"/>
  <c r="P98" i="130"/>
  <c r="P97" i="130"/>
  <c r="P96" i="130"/>
  <c r="B838" i="188" l="1"/>
  <c r="B9" i="188"/>
  <c r="E10" i="182"/>
  <c r="C10" i="182"/>
  <c r="E10" i="187"/>
  <c r="C10" i="187"/>
  <c r="E10" i="184"/>
  <c r="C10" i="184"/>
  <c r="E10" i="178"/>
  <c r="C10" i="178"/>
  <c r="E10" i="181"/>
  <c r="C10" i="181"/>
  <c r="T93" i="122"/>
  <c r="T89" i="122"/>
  <c r="T91" i="122"/>
  <c r="B839" i="188" l="1"/>
  <c r="F10" i="181"/>
  <c r="B10" i="181"/>
  <c r="B10" i="178"/>
  <c r="F10" i="178"/>
  <c r="F10" i="187"/>
  <c r="B10" i="187"/>
  <c r="B10" i="184"/>
  <c r="F10" i="184"/>
  <c r="F10" i="182"/>
  <c r="B10" i="182"/>
  <c r="T68" i="122"/>
  <c r="B11" i="188" l="1"/>
  <c r="F53" i="121"/>
  <c r="B841" i="188" l="1"/>
  <c r="B12" i="188"/>
  <c r="P68" i="130"/>
  <c r="P67" i="130"/>
  <c r="P66" i="130"/>
  <c r="P65" i="130"/>
  <c r="B842" i="188" l="1"/>
  <c r="B13" i="188"/>
  <c r="P36" i="131"/>
  <c r="P35" i="131"/>
  <c r="P34" i="131"/>
  <c r="P33" i="131"/>
  <c r="P32" i="131"/>
  <c r="P31" i="131"/>
  <c r="P30" i="131"/>
  <c r="P29" i="131"/>
  <c r="P28" i="131"/>
  <c r="P27" i="131"/>
  <c r="P26" i="131"/>
  <c r="P25" i="131"/>
  <c r="P24" i="131"/>
  <c r="P23" i="131"/>
  <c r="P22" i="131"/>
  <c r="P21" i="131"/>
  <c r="P20" i="131"/>
  <c r="P19" i="131"/>
  <c r="P18" i="131"/>
  <c r="P11" i="131"/>
  <c r="P10" i="131"/>
  <c r="P4" i="131"/>
  <c r="P64" i="130"/>
  <c r="P61" i="130"/>
  <c r="P60" i="130"/>
  <c r="P59" i="130"/>
  <c r="P63" i="130" s="1"/>
  <c r="P58" i="130"/>
  <c r="P57" i="130"/>
  <c r="P56" i="130"/>
  <c r="P55" i="130"/>
  <c r="P54" i="130"/>
  <c r="P53" i="130"/>
  <c r="P52" i="130"/>
  <c r="P51" i="130"/>
  <c r="P50" i="130"/>
  <c r="P49" i="130"/>
  <c r="P48" i="130"/>
  <c r="P47" i="130"/>
  <c r="P46" i="130"/>
  <c r="P39" i="130"/>
  <c r="P37" i="130"/>
  <c r="P22" i="130"/>
  <c r="U36" i="131"/>
  <c r="V19" i="131"/>
  <c r="V20" i="131" s="1"/>
  <c r="V21" i="131" s="1"/>
  <c r="V22" i="131" s="1"/>
  <c r="V23" i="131" s="1"/>
  <c r="V24" i="131" s="1"/>
  <c r="V25" i="131" s="1"/>
  <c r="V26" i="131" s="1"/>
  <c r="V27" i="131" s="1"/>
  <c r="V28" i="131" s="1"/>
  <c r="V29" i="131" s="1"/>
  <c r="V30" i="131" s="1"/>
  <c r="V31" i="131" s="1"/>
  <c r="V32" i="131" s="1"/>
  <c r="V33" i="131" s="1"/>
  <c r="V34" i="131" s="1"/>
  <c r="V35" i="131" s="1"/>
  <c r="V36" i="131" s="1"/>
  <c r="U47" i="130"/>
  <c r="U48" i="130" s="1"/>
  <c r="U49" i="130" s="1"/>
  <c r="U50" i="130" s="1"/>
  <c r="U51" i="130" s="1"/>
  <c r="U52" i="130" s="1"/>
  <c r="V3" i="130"/>
  <c r="V4" i="130" s="1"/>
  <c r="V5" i="130" s="1"/>
  <c r="V6" i="130" s="1"/>
  <c r="V7" i="130" s="1"/>
  <c r="V8" i="130" s="1"/>
  <c r="V9" i="130" s="1"/>
  <c r="V10" i="130" s="1"/>
  <c r="V11" i="130" s="1"/>
  <c r="V12" i="130" s="1"/>
  <c r="V13" i="130" s="1"/>
  <c r="V14" i="130" s="1"/>
  <c r="V15" i="130" s="1"/>
  <c r="V16" i="130" s="1"/>
  <c r="V17" i="130" s="1"/>
  <c r="V18" i="130" s="1"/>
  <c r="V19" i="130" s="1"/>
  <c r="V20" i="130" s="1"/>
  <c r="V21" i="130" s="1"/>
  <c r="V22" i="130" s="1"/>
  <c r="V23" i="130" s="1"/>
  <c r="V24" i="130" s="1"/>
  <c r="V25" i="130" s="1"/>
  <c r="V26" i="130" s="1"/>
  <c r="V27" i="130" s="1"/>
  <c r="V28" i="130" s="1"/>
  <c r="V29" i="130" s="1"/>
  <c r="V30" i="130" s="1"/>
  <c r="V31" i="130" s="1"/>
  <c r="V32" i="130" s="1"/>
  <c r="V33" i="130" s="1"/>
  <c r="V35" i="130" l="1"/>
  <c r="V36" i="130" s="1"/>
  <c r="V37" i="130" s="1"/>
  <c r="V34" i="130"/>
  <c r="V39" i="130" l="1"/>
  <c r="V40" i="130" s="1"/>
  <c r="V41" i="130" s="1"/>
  <c r="V42" i="130" s="1"/>
  <c r="V43" i="130" s="1"/>
  <c r="V44" i="130" s="1"/>
  <c r="V38" i="130"/>
  <c r="B844" i="188"/>
  <c r="B15" i="188"/>
  <c r="V47" i="130"/>
  <c r="V48" i="130" s="1"/>
  <c r="V49" i="130" s="1"/>
  <c r="V50" i="130" s="1"/>
  <c r="V51" i="130" s="1"/>
  <c r="V52" i="130" s="1"/>
  <c r="V38" i="131"/>
  <c r="V39" i="131" s="1"/>
  <c r="B845" i="188" l="1"/>
  <c r="B16" i="188"/>
  <c r="V40" i="131"/>
  <c r="V41" i="131" s="1"/>
  <c r="V44" i="131" s="1"/>
  <c r="V45" i="131" s="1"/>
  <c r="V42" i="131"/>
  <c r="V43" i="131" s="1"/>
  <c r="V70" i="130" l="1"/>
  <c r="V71" i="130" s="1"/>
  <c r="V76" i="130" s="1"/>
  <c r="V73" i="130" s="1"/>
  <c r="B846" i="188"/>
  <c r="V79" i="130" l="1"/>
  <c r="B18" i="188"/>
  <c r="V74" i="130"/>
  <c r="B19" i="188" l="1"/>
  <c r="V75" i="130"/>
  <c r="B20" i="188" l="1"/>
  <c r="V77" i="130"/>
  <c r="V78" i="130" s="1"/>
  <c r="V72" i="130" l="1"/>
  <c r="V80" i="130" s="1"/>
  <c r="V81" i="130" s="1"/>
  <c r="V82" i="130" s="1"/>
  <c r="B22" i="188" l="1"/>
  <c r="B23" i="188" l="1"/>
  <c r="B25" i="188" l="1"/>
  <c r="B26" i="188" l="1"/>
  <c r="B27" i="188" l="1"/>
  <c r="B29" i="188" l="1"/>
  <c r="B30" i="188" l="1"/>
  <c r="F9" i="4"/>
  <c r="E8" i="4"/>
  <c r="D8" i="4"/>
  <c r="S35" i="122" l="1"/>
  <c r="T35" i="122" s="1"/>
  <c r="S67" i="122"/>
  <c r="T67" i="122" s="1"/>
  <c r="S66" i="122"/>
  <c r="T66" i="122" s="1"/>
  <c r="D9" i="95"/>
  <c r="P89" i="130" l="1"/>
  <c r="P88" i="130"/>
  <c r="P87" i="130"/>
  <c r="B32" i="188"/>
  <c r="P86" i="130"/>
  <c r="P85" i="130"/>
  <c r="P84" i="130"/>
  <c r="P81" i="130"/>
  <c r="P82" i="130"/>
  <c r="P43" i="131"/>
  <c r="P30" i="130"/>
  <c r="P17" i="130"/>
  <c r="P5" i="130"/>
  <c r="P12" i="131"/>
  <c r="P44" i="130"/>
  <c r="P15" i="130"/>
  <c r="P29" i="130"/>
  <c r="P28" i="130"/>
  <c r="P3" i="130"/>
  <c r="P42" i="130"/>
  <c r="P13" i="130"/>
  <c r="P21" i="130"/>
  <c r="P16" i="131"/>
  <c r="P7" i="130"/>
  <c r="P45" i="131"/>
  <c r="P19" i="130"/>
  <c r="P31" i="130"/>
  <c r="P11" i="130"/>
  <c r="P9" i="130"/>
  <c r="P32" i="130"/>
  <c r="P14" i="131"/>
  <c r="B33" i="188" l="1"/>
  <c r="O94" i="122"/>
  <c r="P94" i="122"/>
  <c r="Q94" i="122"/>
  <c r="R94" i="122"/>
  <c r="B34" i="188" l="1"/>
  <c r="F8" i="4"/>
  <c r="E76" i="121" l="1"/>
  <c r="K11" i="95"/>
  <c r="B36" i="188" l="1"/>
  <c r="C7" i="46"/>
  <c r="F7" i="116"/>
  <c r="B37" i="188" l="1"/>
  <c r="D13" i="121"/>
  <c r="D29" i="121" l="1"/>
  <c r="B39" i="188" l="1"/>
  <c r="B10" i="1"/>
  <c r="B40" i="188" l="1"/>
  <c r="Q38" i="122"/>
  <c r="R38" i="122" s="1"/>
  <c r="S38" i="122" s="1"/>
  <c r="T38" i="122" s="1"/>
  <c r="Q37" i="122"/>
  <c r="R37" i="122" s="1"/>
  <c r="S37" i="122" s="1"/>
  <c r="T37" i="122" s="1"/>
  <c r="B41" i="188" l="1"/>
  <c r="N153" i="122"/>
  <c r="O153" i="122" s="1"/>
  <c r="P153" i="122" s="1"/>
  <c r="Q153" i="122" s="1"/>
  <c r="R153" i="122" s="1"/>
  <c r="D30" i="121" l="1"/>
  <c r="C8" i="4"/>
  <c r="B43" i="188" l="1"/>
  <c r="P80" i="130"/>
  <c r="P79" i="130"/>
  <c r="F30" i="121"/>
  <c r="E77" i="121" s="1"/>
  <c r="D77" i="121"/>
  <c r="E30" i="121"/>
  <c r="B44" i="188" l="1"/>
  <c r="J30" i="121"/>
  <c r="N67" i="122" l="1"/>
  <c r="O67" i="122" s="1"/>
  <c r="P67" i="122" s="1"/>
  <c r="Q67" i="122" s="1"/>
  <c r="N68" i="122"/>
  <c r="O68" i="122" s="1"/>
  <c r="P68" i="122" s="1"/>
  <c r="Q68" i="122" s="1"/>
  <c r="N66" i="122"/>
  <c r="O66" i="122" s="1"/>
  <c r="P66" i="122" s="1"/>
  <c r="N36" i="122"/>
  <c r="O36" i="122" s="1"/>
  <c r="P36" i="122" s="1"/>
  <c r="Q36" i="122" s="1"/>
  <c r="R36" i="122" s="1"/>
  <c r="S36" i="122" s="1"/>
  <c r="T36" i="122" s="1"/>
  <c r="N35" i="122"/>
  <c r="O35" i="122" s="1"/>
  <c r="P35" i="122" s="1"/>
  <c r="N34" i="122"/>
  <c r="O34" i="122" s="1"/>
  <c r="P34" i="122" s="1"/>
  <c r="Q34" i="122" s="1"/>
  <c r="R34" i="122" s="1"/>
  <c r="S34" i="122" s="1"/>
  <c r="T34" i="122" s="1"/>
  <c r="N33" i="122"/>
  <c r="O33" i="122" s="1"/>
  <c r="P33" i="122" s="1"/>
  <c r="Q33" i="122" s="1"/>
  <c r="R33" i="122" s="1"/>
  <c r="S33" i="122" s="1"/>
  <c r="T33" i="122" s="1"/>
  <c r="B46" i="188" l="1"/>
  <c r="B47" i="188" l="1"/>
  <c r="E58" i="121"/>
  <c r="F58" i="121" s="1"/>
  <c r="E57" i="121"/>
  <c r="F57" i="121" s="1"/>
  <c r="D55" i="121"/>
  <c r="E55" i="121" s="1"/>
  <c r="F55" i="121" s="1"/>
  <c r="E38" i="121"/>
  <c r="F38" i="121" s="1"/>
  <c r="G38" i="121" s="1"/>
  <c r="H38" i="121" s="1"/>
  <c r="E37" i="121"/>
  <c r="F37" i="121" s="1"/>
  <c r="J37" i="121" s="1"/>
  <c r="J34" i="121"/>
  <c r="G31" i="121"/>
  <c r="F29" i="121"/>
  <c r="E29" i="121"/>
  <c r="J10" i="121"/>
  <c r="D10" i="121"/>
  <c r="D34" i="121" s="1"/>
  <c r="E34" i="121" s="1"/>
  <c r="F34" i="121" s="1"/>
  <c r="G34" i="121" s="1"/>
  <c r="H34" i="121" s="1"/>
  <c r="I9" i="121"/>
  <c r="J9" i="121"/>
  <c r="E8" i="121"/>
  <c r="F8" i="121" s="1"/>
  <c r="I8" i="121" s="1"/>
  <c r="J8" i="121" s="1"/>
  <c r="D8" i="121"/>
  <c r="D6" i="121"/>
  <c r="B48" i="188" l="1"/>
  <c r="E56" i="121"/>
  <c r="F56" i="121" s="1"/>
  <c r="J33" i="121"/>
  <c r="E6" i="121"/>
  <c r="J38" i="121"/>
  <c r="G37" i="121"/>
  <c r="H37" i="121" s="1"/>
  <c r="I7" i="121"/>
  <c r="E10" i="121"/>
  <c r="F10" i="121" s="1"/>
  <c r="D75" i="121" l="1"/>
  <c r="O75" i="121" s="1"/>
  <c r="D73" i="121"/>
  <c r="F6" i="121"/>
  <c r="H31" i="121"/>
  <c r="B50" i="188" l="1"/>
  <c r="P73" i="130"/>
  <c r="P39" i="131"/>
  <c r="P76" i="130"/>
  <c r="P72" i="130"/>
  <c r="P75" i="130"/>
  <c r="P37" i="131"/>
  <c r="P74" i="130"/>
  <c r="P78" i="130"/>
  <c r="P38" i="131"/>
  <c r="P77" i="130"/>
  <c r="E73" i="121"/>
  <c r="F73" i="121" s="1"/>
  <c r="L73" i="121" s="1"/>
  <c r="J6" i="121"/>
  <c r="E74" i="121" s="1"/>
  <c r="E75" i="121"/>
  <c r="F75" i="121" s="1"/>
  <c r="I6" i="121"/>
  <c r="B51" i="188" l="1"/>
  <c r="L75" i="121"/>
  <c r="F77" i="121" l="1"/>
  <c r="B53" i="188" l="1"/>
  <c r="L77" i="121"/>
  <c r="B54" i="188" l="1"/>
  <c r="I11" i="4"/>
  <c r="B55" i="188" l="1"/>
  <c r="B57" i="188" l="1"/>
  <c r="D7" i="116"/>
  <c r="B58" i="188" l="1"/>
  <c r="D18" i="4"/>
  <c r="D17" i="4"/>
  <c r="F16" i="4"/>
  <c r="G16" i="4" s="1"/>
  <c r="D11" i="4"/>
  <c r="C11" i="4"/>
  <c r="D9" i="4"/>
  <c r="A13" i="95"/>
  <c r="A12" i="95"/>
  <c r="A11" i="95"/>
  <c r="C7" i="95"/>
  <c r="C17" i="46"/>
  <c r="A13" i="46"/>
  <c r="C12" i="46"/>
  <c r="A12" i="46"/>
  <c r="A11" i="46"/>
  <c r="E20" i="1"/>
  <c r="E18" i="1"/>
  <c r="E15" i="1"/>
  <c r="C11" i="116"/>
  <c r="E10" i="1"/>
  <c r="D10" i="1"/>
  <c r="D10" i="116" s="1"/>
  <c r="C10" i="1"/>
  <c r="AX81" i="61"/>
  <c r="BA81" i="61" s="1"/>
  <c r="BD81" i="61" s="1"/>
  <c r="BG81" i="61" s="1"/>
  <c r="AU81" i="61"/>
  <c r="AR81" i="61"/>
  <c r="AX80" i="61"/>
  <c r="BA80" i="61" s="1"/>
  <c r="BD80" i="61" s="1"/>
  <c r="BG80" i="61" s="1"/>
  <c r="AW80" i="61"/>
  <c r="AZ80" i="61" s="1"/>
  <c r="BC80" i="61" s="1"/>
  <c r="BF80" i="61" s="1"/>
  <c r="BI80" i="61" s="1"/>
  <c r="AV80" i="61"/>
  <c r="AY80" i="61" s="1"/>
  <c r="BB80" i="61" s="1"/>
  <c r="BE80" i="61" s="1"/>
  <c r="BH80" i="61" s="1"/>
  <c r="AU80" i="61"/>
  <c r="AT80" i="61"/>
  <c r="AS80" i="61"/>
  <c r="AR80" i="61"/>
  <c r="AG76" i="61"/>
  <c r="AJ76" i="61" s="1"/>
  <c r="BG75" i="61"/>
  <c r="BB75" i="61"/>
  <c r="BE75" i="61" s="1"/>
  <c r="BH75" i="61" s="1"/>
  <c r="AY75" i="61"/>
  <c r="AT75" i="61"/>
  <c r="AW75" i="61" s="1"/>
  <c r="AZ75" i="61" s="1"/>
  <c r="BC75" i="61" s="1"/>
  <c r="BF75" i="61" s="1"/>
  <c r="BI75" i="61" s="1"/>
  <c r="AS75" i="61"/>
  <c r="AV75" i="61" s="1"/>
  <c r="AR75" i="61"/>
  <c r="AU75" i="61" s="1"/>
  <c r="AX75" i="61" s="1"/>
  <c r="BA75" i="61" s="1"/>
  <c r="BD75" i="61" s="1"/>
  <c r="AG75" i="61"/>
  <c r="AH75" i="61" s="1"/>
  <c r="AI75" i="61" s="1"/>
  <c r="AE75" i="61"/>
  <c r="AF75" i="61" s="1"/>
  <c r="AD75" i="61"/>
  <c r="AV73" i="61"/>
  <c r="AY73" i="61" s="1"/>
  <c r="BB73" i="61" s="1"/>
  <c r="BE73" i="61" s="1"/>
  <c r="BH73" i="61" s="1"/>
  <c r="AU73" i="61"/>
  <c r="AX73" i="61" s="1"/>
  <c r="BA73" i="61" s="1"/>
  <c r="BD73" i="61" s="1"/>
  <c r="BG73" i="61" s="1"/>
  <c r="AT73" i="61"/>
  <c r="AW73" i="61" s="1"/>
  <c r="AZ73" i="61" s="1"/>
  <c r="BC73" i="61" s="1"/>
  <c r="BF73" i="61" s="1"/>
  <c r="BI73" i="61" s="1"/>
  <c r="AS73" i="61"/>
  <c r="AR73" i="61"/>
  <c r="AH70" i="61"/>
  <c r="AG70" i="61"/>
  <c r="AJ70" i="61" s="1"/>
  <c r="AF70" i="61"/>
  <c r="AI68" i="61"/>
  <c r="AH68" i="61"/>
  <c r="AK68" i="61" s="1"/>
  <c r="AL68" i="61" s="1"/>
  <c r="AG68" i="61"/>
  <c r="AJ68" i="61" s="1"/>
  <c r="AF68" i="61"/>
  <c r="AW61" i="61"/>
  <c r="AZ61" i="61" s="1"/>
  <c r="BC61" i="61" s="1"/>
  <c r="BF61" i="61" s="1"/>
  <c r="BI61" i="61" s="1"/>
  <c r="AV61" i="61"/>
  <c r="AY61" i="61" s="1"/>
  <c r="BB61" i="61" s="1"/>
  <c r="BE61" i="61" s="1"/>
  <c r="BH61" i="61" s="1"/>
  <c r="AU61" i="61"/>
  <c r="AX61" i="61" s="1"/>
  <c r="BA61" i="61" s="1"/>
  <c r="BD61" i="61" s="1"/>
  <c r="BG61" i="61" s="1"/>
  <c r="AT61" i="61"/>
  <c r="AS61" i="61"/>
  <c r="AR61" i="61"/>
  <c r="BD60" i="61"/>
  <c r="BG60" i="61" s="1"/>
  <c r="AY60" i="61"/>
  <c r="BB60" i="61" s="1"/>
  <c r="BE60" i="61" s="1"/>
  <c r="BH60" i="61" s="1"/>
  <c r="AW60" i="61"/>
  <c r="AZ60" i="61" s="1"/>
  <c r="BC60" i="61" s="1"/>
  <c r="BF60" i="61" s="1"/>
  <c r="BI60" i="61" s="1"/>
  <c r="AV60" i="61"/>
  <c r="AT60" i="61"/>
  <c r="AS60" i="61"/>
  <c r="AR60" i="61"/>
  <c r="AU60" i="61" s="1"/>
  <c r="AX60" i="61" s="1"/>
  <c r="BA60" i="61" s="1"/>
  <c r="BF59" i="61"/>
  <c r="BI59" i="61" s="1"/>
  <c r="BA59" i="61"/>
  <c r="BD59" i="61" s="1"/>
  <c r="BG59" i="61" s="1"/>
  <c r="AT59" i="61"/>
  <c r="AW59" i="61" s="1"/>
  <c r="AZ59" i="61" s="1"/>
  <c r="BC59" i="61" s="1"/>
  <c r="AS59" i="61"/>
  <c r="AV59" i="61" s="1"/>
  <c r="AY59" i="61" s="1"/>
  <c r="BB59" i="61" s="1"/>
  <c r="BE59" i="61" s="1"/>
  <c r="BH59" i="61" s="1"/>
  <c r="AR59" i="61"/>
  <c r="AU59" i="61" s="1"/>
  <c r="AX59" i="61" s="1"/>
  <c r="AJ59" i="61"/>
  <c r="AX58" i="61"/>
  <c r="BA58" i="61" s="1"/>
  <c r="BD58" i="61" s="1"/>
  <c r="BG58" i="61" s="1"/>
  <c r="AW58" i="61"/>
  <c r="AZ58" i="61" s="1"/>
  <c r="BC58" i="61" s="1"/>
  <c r="BF58" i="61" s="1"/>
  <c r="BI58" i="61" s="1"/>
  <c r="AT58" i="61"/>
  <c r="AS58" i="61"/>
  <c r="AV58" i="61" s="1"/>
  <c r="AY58" i="61" s="1"/>
  <c r="BB58" i="61" s="1"/>
  <c r="BE58" i="61" s="1"/>
  <c r="BH58" i="61" s="1"/>
  <c r="AR58" i="61"/>
  <c r="AU58" i="61" s="1"/>
  <c r="AJ58" i="61"/>
  <c r="AK58" i="61" s="1"/>
  <c r="AL58" i="61" s="1"/>
  <c r="AH58" i="61"/>
  <c r="AI58" i="61" s="1"/>
  <c r="BD57" i="61"/>
  <c r="BG57" i="61" s="1"/>
  <c r="AY57" i="61"/>
  <c r="BB57" i="61" s="1"/>
  <c r="BE57" i="61" s="1"/>
  <c r="BH57" i="61" s="1"/>
  <c r="AW57" i="61"/>
  <c r="AZ57" i="61" s="1"/>
  <c r="BC57" i="61" s="1"/>
  <c r="BF57" i="61" s="1"/>
  <c r="BI57" i="61" s="1"/>
  <c r="AV57" i="61"/>
  <c r="AT57" i="61"/>
  <c r="AS57" i="61"/>
  <c r="AR57" i="61"/>
  <c r="AU57" i="61" s="1"/>
  <c r="AX57" i="61" s="1"/>
  <c r="BA57" i="61" s="1"/>
  <c r="AL57" i="61"/>
  <c r="AJ57" i="61"/>
  <c r="AI57" i="61"/>
  <c r="AH57" i="61"/>
  <c r="AK57" i="61" s="1"/>
  <c r="AG57" i="61"/>
  <c r="AF57" i="61"/>
  <c r="BE56" i="61"/>
  <c r="BH56" i="61" s="1"/>
  <c r="AZ56" i="61"/>
  <c r="BC56" i="61" s="1"/>
  <c r="BF56" i="61" s="1"/>
  <c r="BI56" i="61" s="1"/>
  <c r="AX56" i="61"/>
  <c r="BA56" i="61" s="1"/>
  <c r="BD56" i="61" s="1"/>
  <c r="BG56" i="61" s="1"/>
  <c r="AW56" i="61"/>
  <c r="AT56" i="61"/>
  <c r="AS56" i="61"/>
  <c r="AV56" i="61" s="1"/>
  <c r="AY56" i="61" s="1"/>
  <c r="BB56" i="61" s="1"/>
  <c r="AR56" i="61"/>
  <c r="AU56" i="61" s="1"/>
  <c r="AK56" i="61"/>
  <c r="AL56" i="61" s="1"/>
  <c r="AJ56" i="61"/>
  <c r="AH56" i="61"/>
  <c r="AI56" i="61" s="1"/>
  <c r="AG56" i="61"/>
  <c r="AF56" i="61"/>
  <c r="AY55" i="61"/>
  <c r="BB55" i="61" s="1"/>
  <c r="BE55" i="61" s="1"/>
  <c r="BH55" i="61" s="1"/>
  <c r="AX55" i="61"/>
  <c r="BA55" i="61" s="1"/>
  <c r="BD55" i="61" s="1"/>
  <c r="BG55" i="61" s="1"/>
  <c r="AT55" i="61"/>
  <c r="AW55" i="61" s="1"/>
  <c r="AZ55" i="61" s="1"/>
  <c r="BC55" i="61" s="1"/>
  <c r="BF55" i="61" s="1"/>
  <c r="BI55" i="61" s="1"/>
  <c r="AS55" i="61"/>
  <c r="AV55" i="61" s="1"/>
  <c r="AR55" i="61"/>
  <c r="AU55" i="61" s="1"/>
  <c r="AJ55" i="61"/>
  <c r="BH54" i="61"/>
  <c r="BE54" i="61"/>
  <c r="AW54" i="61"/>
  <c r="AZ54" i="61" s="1"/>
  <c r="BC54" i="61" s="1"/>
  <c r="BF54" i="61" s="1"/>
  <c r="BI54" i="61" s="1"/>
  <c r="AT54" i="61"/>
  <c r="AS54" i="61"/>
  <c r="AV54" i="61" s="1"/>
  <c r="AY54" i="61" s="1"/>
  <c r="BB54" i="61" s="1"/>
  <c r="AR54" i="61"/>
  <c r="AU54" i="61" s="1"/>
  <c r="AX54" i="61" s="1"/>
  <c r="BA54" i="61" s="1"/>
  <c r="BD54" i="61" s="1"/>
  <c r="BG54" i="61" s="1"/>
  <c r="AK54" i="61"/>
  <c r="AJ54" i="61"/>
  <c r="AH54" i="61"/>
  <c r="AI54" i="61" s="1"/>
  <c r="AG54" i="61"/>
  <c r="AF54" i="61"/>
  <c r="BF53" i="61"/>
  <c r="BI53" i="61" s="1"/>
  <c r="BA53" i="61"/>
  <c r="BD53" i="61" s="1"/>
  <c r="BG53" i="61" s="1"/>
  <c r="AY53" i="61"/>
  <c r="BB53" i="61" s="1"/>
  <c r="BE53" i="61" s="1"/>
  <c r="BH53" i="61" s="1"/>
  <c r="AX53" i="61"/>
  <c r="AU53" i="61"/>
  <c r="AT53" i="61"/>
  <c r="AW53" i="61" s="1"/>
  <c r="AZ53" i="61" s="1"/>
  <c r="BC53" i="61" s="1"/>
  <c r="AS53" i="61"/>
  <c r="AV53" i="61" s="1"/>
  <c r="AR53" i="61"/>
  <c r="AK53" i="61"/>
  <c r="AL53" i="61" s="1"/>
  <c r="AH53" i="61"/>
  <c r="AI53" i="61" s="1"/>
  <c r="AG53" i="61"/>
  <c r="AJ53" i="61" s="1"/>
  <c r="AF53" i="61"/>
  <c r="BB52" i="61"/>
  <c r="BE52" i="61" s="1"/>
  <c r="BH52" i="61" s="1"/>
  <c r="AZ52" i="61"/>
  <c r="BC52" i="61" s="1"/>
  <c r="BF52" i="61" s="1"/>
  <c r="BI52" i="61" s="1"/>
  <c r="AY52" i="61"/>
  <c r="AV52" i="61"/>
  <c r="AT52" i="61"/>
  <c r="AW52" i="61" s="1"/>
  <c r="AS52" i="61"/>
  <c r="AR52" i="61"/>
  <c r="AU52" i="61" s="1"/>
  <c r="AX52" i="61" s="1"/>
  <c r="BA52" i="61" s="1"/>
  <c r="BD52" i="61" s="1"/>
  <c r="BG52" i="61" s="1"/>
  <c r="AI52" i="61"/>
  <c r="AH52" i="61"/>
  <c r="AK52" i="61" s="1"/>
  <c r="AL52" i="61" s="1"/>
  <c r="AG52" i="61"/>
  <c r="AJ52" i="61" s="1"/>
  <c r="AF52" i="61"/>
  <c r="AU51" i="61"/>
  <c r="AX51" i="61" s="1"/>
  <c r="BA51" i="61" s="1"/>
  <c r="BD51" i="61" s="1"/>
  <c r="BG51" i="61" s="1"/>
  <c r="AT51" i="61"/>
  <c r="AW51" i="61" s="1"/>
  <c r="AZ51" i="61" s="1"/>
  <c r="BC51" i="61" s="1"/>
  <c r="BF51" i="61" s="1"/>
  <c r="BI51" i="61" s="1"/>
  <c r="AS51" i="61"/>
  <c r="AV51" i="61" s="1"/>
  <c r="AY51" i="61" s="1"/>
  <c r="BB51" i="61" s="1"/>
  <c r="BE51" i="61" s="1"/>
  <c r="BH51" i="61" s="1"/>
  <c r="AR51" i="61"/>
  <c r="AH51" i="61"/>
  <c r="AG51" i="61"/>
  <c r="AJ51" i="61" s="1"/>
  <c r="AF51" i="61"/>
  <c r="BI50" i="61"/>
  <c r="BB50" i="61"/>
  <c r="BE50" i="61" s="1"/>
  <c r="BH50" i="61" s="1"/>
  <c r="BA50" i="61"/>
  <c r="BD50" i="61" s="1"/>
  <c r="BG50" i="61" s="1"/>
  <c r="AU50" i="61"/>
  <c r="AX50" i="61" s="1"/>
  <c r="AT50" i="61"/>
  <c r="AW50" i="61" s="1"/>
  <c r="AZ50" i="61" s="1"/>
  <c r="BC50" i="61" s="1"/>
  <c r="BF50" i="61" s="1"/>
  <c r="AS50" i="61"/>
  <c r="AV50" i="61" s="1"/>
  <c r="AY50" i="61" s="1"/>
  <c r="AR50" i="61"/>
  <c r="AG50" i="61"/>
  <c r="AJ50" i="61" s="1"/>
  <c r="AF50" i="61"/>
  <c r="AV49" i="61"/>
  <c r="AY49" i="61" s="1"/>
  <c r="BB49" i="61" s="1"/>
  <c r="BE49" i="61" s="1"/>
  <c r="BH49" i="61" s="1"/>
  <c r="AU49" i="61"/>
  <c r="AX49" i="61" s="1"/>
  <c r="BA49" i="61" s="1"/>
  <c r="BD49" i="61" s="1"/>
  <c r="BG49" i="61" s="1"/>
  <c r="AT49" i="61"/>
  <c r="AW49" i="61" s="1"/>
  <c r="AZ49" i="61" s="1"/>
  <c r="BC49" i="61" s="1"/>
  <c r="BF49" i="61" s="1"/>
  <c r="BI49" i="61" s="1"/>
  <c r="AS49" i="61"/>
  <c r="AR49" i="61"/>
  <c r="AJ49" i="61"/>
  <c r="AG49" i="61"/>
  <c r="AF49" i="61"/>
  <c r="BF48" i="61"/>
  <c r="BI48" i="61" s="1"/>
  <c r="BD48" i="61"/>
  <c r="BG48" i="61" s="1"/>
  <c r="BC48" i="61"/>
  <c r="AW48" i="61"/>
  <c r="AZ48" i="61" s="1"/>
  <c r="AV48" i="61"/>
  <c r="AY48" i="61" s="1"/>
  <c r="BB48" i="61" s="1"/>
  <c r="BE48" i="61" s="1"/>
  <c r="BH48" i="61" s="1"/>
  <c r="AU48" i="61"/>
  <c r="AX48" i="61" s="1"/>
  <c r="BA48" i="61" s="1"/>
  <c r="AT48" i="61"/>
  <c r="AS48" i="61"/>
  <c r="AR48" i="61"/>
  <c r="AK48" i="61"/>
  <c r="AJ48" i="61"/>
  <c r="AH48" i="61"/>
  <c r="AG48" i="61"/>
  <c r="AF48" i="61"/>
  <c r="BE47" i="61"/>
  <c r="BH47" i="61" s="1"/>
  <c r="BD47" i="61"/>
  <c r="BG47" i="61" s="1"/>
  <c r="AW47" i="61"/>
  <c r="AZ47" i="61" s="1"/>
  <c r="BC47" i="61" s="1"/>
  <c r="BF47" i="61" s="1"/>
  <c r="BI47" i="61" s="1"/>
  <c r="AV47" i="61"/>
  <c r="AY47" i="61" s="1"/>
  <c r="BB47" i="61" s="1"/>
  <c r="AT47" i="61"/>
  <c r="AS47" i="61"/>
  <c r="AR47" i="61"/>
  <c r="AU47" i="61" s="1"/>
  <c r="AX47" i="61" s="1"/>
  <c r="BA47" i="61" s="1"/>
  <c r="AL47" i="61"/>
  <c r="AK47" i="61"/>
  <c r="AJ47" i="61"/>
  <c r="AI47" i="61"/>
  <c r="AH47" i="61"/>
  <c r="AG47" i="61"/>
  <c r="AF47" i="61"/>
  <c r="BE46" i="61"/>
  <c r="BH46" i="61" s="1"/>
  <c r="AW46" i="61"/>
  <c r="AZ46" i="61" s="1"/>
  <c r="BC46" i="61" s="1"/>
  <c r="BF46" i="61" s="1"/>
  <c r="BI46" i="61" s="1"/>
  <c r="AT46" i="61"/>
  <c r="AS46" i="61"/>
  <c r="AV46" i="61" s="1"/>
  <c r="AY46" i="61" s="1"/>
  <c r="BB46" i="61" s="1"/>
  <c r="AR46" i="61"/>
  <c r="AU46" i="61" s="1"/>
  <c r="AX46" i="61" s="1"/>
  <c r="BA46" i="61" s="1"/>
  <c r="BD46" i="61" s="1"/>
  <c r="BG46" i="61" s="1"/>
  <c r="AK46" i="61"/>
  <c r="AL46" i="61" s="1"/>
  <c r="AJ46" i="61"/>
  <c r="AH46" i="61"/>
  <c r="AI46" i="61" s="1"/>
  <c r="AG46" i="61"/>
  <c r="AF46" i="61"/>
  <c r="BF45" i="61"/>
  <c r="BI45" i="61" s="1"/>
  <c r="AY45" i="61"/>
  <c r="BB45" i="61" s="1"/>
  <c r="BE45" i="61" s="1"/>
  <c r="BH45" i="61" s="1"/>
  <c r="AT45" i="61"/>
  <c r="AW45" i="61" s="1"/>
  <c r="AZ45" i="61" s="1"/>
  <c r="BC45" i="61" s="1"/>
  <c r="AS45" i="61"/>
  <c r="AV45" i="61" s="1"/>
  <c r="AR45" i="61"/>
  <c r="AU45" i="61" s="1"/>
  <c r="AX45" i="61" s="1"/>
  <c r="BA45" i="61" s="1"/>
  <c r="BD45" i="61" s="1"/>
  <c r="BG45" i="61" s="1"/>
  <c r="AL45" i="61"/>
  <c r="AK45" i="61"/>
  <c r="AH45" i="61"/>
  <c r="AI45" i="61" s="1"/>
  <c r="AG45" i="61"/>
  <c r="AJ45" i="61" s="1"/>
  <c r="AF45" i="61"/>
  <c r="BG44" i="61"/>
  <c r="AY44" i="61"/>
  <c r="BB44" i="61" s="1"/>
  <c r="BE44" i="61" s="1"/>
  <c r="BH44" i="61" s="1"/>
  <c r="AT44" i="61"/>
  <c r="AW44" i="61" s="1"/>
  <c r="AZ44" i="61" s="1"/>
  <c r="BC44" i="61" s="1"/>
  <c r="BF44" i="61" s="1"/>
  <c r="BI44" i="61" s="1"/>
  <c r="AS44" i="61"/>
  <c r="AV44" i="61" s="1"/>
  <c r="AR44" i="61"/>
  <c r="AU44" i="61" s="1"/>
  <c r="AX44" i="61" s="1"/>
  <c r="BA44" i="61" s="1"/>
  <c r="BD44" i="61" s="1"/>
  <c r="AH44" i="61"/>
  <c r="AK44" i="61" s="1"/>
  <c r="AL44" i="61" s="1"/>
  <c r="AG44" i="61"/>
  <c r="AJ44" i="61" s="1"/>
  <c r="AF44" i="61"/>
  <c r="BH43" i="61"/>
  <c r="BC43" i="61"/>
  <c r="BF43" i="61" s="1"/>
  <c r="BI43" i="61" s="1"/>
  <c r="AZ43" i="61"/>
  <c r="AT43" i="61"/>
  <c r="AW43" i="61" s="1"/>
  <c r="AS43" i="61"/>
  <c r="AV43" i="61" s="1"/>
  <c r="AY43" i="61" s="1"/>
  <c r="BB43" i="61" s="1"/>
  <c r="BE43" i="61" s="1"/>
  <c r="AR43" i="61"/>
  <c r="AU43" i="61" s="1"/>
  <c r="AX43" i="61" s="1"/>
  <c r="BA43" i="61" s="1"/>
  <c r="BD43" i="61" s="1"/>
  <c r="BG43" i="61" s="1"/>
  <c r="AH43" i="61"/>
  <c r="AG43" i="61"/>
  <c r="AJ43" i="61" s="1"/>
  <c r="AF43" i="61"/>
  <c r="BA42" i="61"/>
  <c r="BD42" i="61" s="1"/>
  <c r="BG42" i="61" s="1"/>
  <c r="AV42" i="61"/>
  <c r="AY42" i="61" s="1"/>
  <c r="BB42" i="61" s="1"/>
  <c r="BE42" i="61" s="1"/>
  <c r="BH42" i="61" s="1"/>
  <c r="AU42" i="61"/>
  <c r="AX42" i="61" s="1"/>
  <c r="AT42" i="61"/>
  <c r="AW42" i="61" s="1"/>
  <c r="AZ42" i="61" s="1"/>
  <c r="BC42" i="61" s="1"/>
  <c r="BF42" i="61" s="1"/>
  <c r="BI42" i="61" s="1"/>
  <c r="AS42" i="61"/>
  <c r="AR42" i="61"/>
  <c r="AI42" i="61"/>
  <c r="AH42" i="61"/>
  <c r="AK42" i="61" s="1"/>
  <c r="AL42" i="61" s="1"/>
  <c r="AG42" i="61"/>
  <c r="AJ42" i="61" s="1"/>
  <c r="AF42" i="61"/>
  <c r="BE41" i="61"/>
  <c r="BH41" i="61" s="1"/>
  <c r="AV41" i="61"/>
  <c r="AY41" i="61" s="1"/>
  <c r="BB41" i="61" s="1"/>
  <c r="AU41" i="61"/>
  <c r="AX41" i="61" s="1"/>
  <c r="BA41" i="61" s="1"/>
  <c r="BD41" i="61" s="1"/>
  <c r="BG41" i="61" s="1"/>
  <c r="AT41" i="61"/>
  <c r="AW41" i="61" s="1"/>
  <c r="AZ41" i="61" s="1"/>
  <c r="BC41" i="61" s="1"/>
  <c r="BF41" i="61" s="1"/>
  <c r="BI41" i="61" s="1"/>
  <c r="AS41" i="61"/>
  <c r="AR41" i="61"/>
  <c r="AJ41" i="61"/>
  <c r="AH41" i="61"/>
  <c r="AG41" i="61"/>
  <c r="AF41" i="61"/>
  <c r="AX40" i="61"/>
  <c r="BA40" i="61" s="1"/>
  <c r="BD40" i="61" s="1"/>
  <c r="BG40" i="61" s="1"/>
  <c r="AW40" i="61"/>
  <c r="AZ40" i="61" s="1"/>
  <c r="BC40" i="61" s="1"/>
  <c r="BF40" i="61" s="1"/>
  <c r="BI40" i="61" s="1"/>
  <c r="AV40" i="61"/>
  <c r="AY40" i="61" s="1"/>
  <c r="BB40" i="61" s="1"/>
  <c r="BE40" i="61" s="1"/>
  <c r="BH40" i="61" s="1"/>
  <c r="AU40" i="61"/>
  <c r="AT40" i="61"/>
  <c r="AS40" i="61"/>
  <c r="AR40" i="61"/>
  <c r="AK40" i="61"/>
  <c r="AJ40" i="61"/>
  <c r="AI40" i="61"/>
  <c r="AH40" i="61"/>
  <c r="AG40" i="61"/>
  <c r="AF40" i="61"/>
  <c r="BD39" i="61"/>
  <c r="BG39" i="61" s="1"/>
  <c r="AY39" i="61"/>
  <c r="BB39" i="61" s="1"/>
  <c r="BE39" i="61" s="1"/>
  <c r="BH39" i="61" s="1"/>
  <c r="AW39" i="61"/>
  <c r="AZ39" i="61" s="1"/>
  <c r="BC39" i="61" s="1"/>
  <c r="BF39" i="61" s="1"/>
  <c r="BI39" i="61" s="1"/>
  <c r="AV39" i="61"/>
  <c r="AT39" i="61"/>
  <c r="AS39" i="61"/>
  <c r="AR39" i="61"/>
  <c r="AU39" i="61" s="1"/>
  <c r="AX39" i="61" s="1"/>
  <c r="BA39" i="61" s="1"/>
  <c r="AJ39" i="61"/>
  <c r="AI39" i="61"/>
  <c r="AH39" i="61"/>
  <c r="AK39" i="61" s="1"/>
  <c r="AL39" i="61" s="1"/>
  <c r="AG39" i="61"/>
  <c r="AF39" i="61"/>
  <c r="BE38" i="61"/>
  <c r="BH38" i="61" s="1"/>
  <c r="AZ38" i="61"/>
  <c r="BC38" i="61" s="1"/>
  <c r="BF38" i="61" s="1"/>
  <c r="BI38" i="61" s="1"/>
  <c r="AX38" i="61"/>
  <c r="BA38" i="61" s="1"/>
  <c r="BD38" i="61" s="1"/>
  <c r="BG38" i="61" s="1"/>
  <c r="AW38" i="61"/>
  <c r="AT38" i="61"/>
  <c r="AS38" i="61"/>
  <c r="AV38" i="61" s="1"/>
  <c r="AY38" i="61" s="1"/>
  <c r="BB38" i="61" s="1"/>
  <c r="AR38" i="61"/>
  <c r="AU38" i="61" s="1"/>
  <c r="AK38" i="61"/>
  <c r="AL38" i="61" s="1"/>
  <c r="AJ38" i="61"/>
  <c r="AH38" i="61"/>
  <c r="AI38" i="61" s="1"/>
  <c r="AG38" i="61"/>
  <c r="AF38" i="61"/>
  <c r="AY37" i="61"/>
  <c r="BB37" i="61" s="1"/>
  <c r="BE37" i="61" s="1"/>
  <c r="BH37" i="61" s="1"/>
  <c r="AX37" i="61"/>
  <c r="BA37" i="61" s="1"/>
  <c r="BD37" i="61" s="1"/>
  <c r="BG37" i="61" s="1"/>
  <c r="AT37" i="61"/>
  <c r="AW37" i="61" s="1"/>
  <c r="AZ37" i="61" s="1"/>
  <c r="BC37" i="61" s="1"/>
  <c r="BF37" i="61" s="1"/>
  <c r="BI37" i="61" s="1"/>
  <c r="AS37" i="61"/>
  <c r="AV37" i="61" s="1"/>
  <c r="AR37" i="61"/>
  <c r="AU37" i="61" s="1"/>
  <c r="AK37" i="61"/>
  <c r="AL37" i="61" s="1"/>
  <c r="AH37" i="61"/>
  <c r="AI37" i="61" s="1"/>
  <c r="AG37" i="61"/>
  <c r="AJ37" i="61" s="1"/>
  <c r="AF37" i="61"/>
  <c r="BH36" i="61"/>
  <c r="BG36" i="61"/>
  <c r="AZ36" i="61"/>
  <c r="BC36" i="61" s="1"/>
  <c r="BF36" i="61" s="1"/>
  <c r="BI36" i="61" s="1"/>
  <c r="AT36" i="61"/>
  <c r="AW36" i="61" s="1"/>
  <c r="AS36" i="61"/>
  <c r="AV36" i="61" s="1"/>
  <c r="AY36" i="61" s="1"/>
  <c r="BB36" i="61" s="1"/>
  <c r="BE36" i="61" s="1"/>
  <c r="AR36" i="61"/>
  <c r="AU36" i="61" s="1"/>
  <c r="AX36" i="61" s="1"/>
  <c r="BA36" i="61" s="1"/>
  <c r="BD36" i="61" s="1"/>
  <c r="AH36" i="61"/>
  <c r="AK36" i="61" s="1"/>
  <c r="AL36" i="61" s="1"/>
  <c r="AG36" i="61"/>
  <c r="AJ36" i="61" s="1"/>
  <c r="AF36" i="61"/>
  <c r="BA35" i="61"/>
  <c r="BD35" i="61" s="1"/>
  <c r="BG35" i="61" s="1"/>
  <c r="AZ35" i="61"/>
  <c r="BC35" i="61" s="1"/>
  <c r="BF35" i="61" s="1"/>
  <c r="BI35" i="61" s="1"/>
  <c r="AU35" i="61"/>
  <c r="AX35" i="61" s="1"/>
  <c r="AT35" i="61"/>
  <c r="AW35" i="61" s="1"/>
  <c r="AS35" i="61"/>
  <c r="AV35" i="61" s="1"/>
  <c r="AY35" i="61" s="1"/>
  <c r="BB35" i="61" s="1"/>
  <c r="BE35" i="61" s="1"/>
  <c r="BH35" i="61" s="1"/>
  <c r="AR35" i="61"/>
  <c r="AH35" i="61"/>
  <c r="AG35" i="61"/>
  <c r="AJ35" i="61" s="1"/>
  <c r="AF35" i="61"/>
  <c r="BD34" i="61"/>
  <c r="BG34" i="61" s="1"/>
  <c r="BA34" i="61"/>
  <c r="AU34" i="61"/>
  <c r="AX34" i="61" s="1"/>
  <c r="AT34" i="61"/>
  <c r="AW34" i="61" s="1"/>
  <c r="AZ34" i="61" s="1"/>
  <c r="BC34" i="61" s="1"/>
  <c r="BF34" i="61" s="1"/>
  <c r="BI34" i="61" s="1"/>
  <c r="AS34" i="61"/>
  <c r="AV34" i="61" s="1"/>
  <c r="AY34" i="61" s="1"/>
  <c r="BB34" i="61" s="1"/>
  <c r="BE34" i="61" s="1"/>
  <c r="BH34" i="61" s="1"/>
  <c r="AR34" i="61"/>
  <c r="AI34" i="61"/>
  <c r="AH34" i="61"/>
  <c r="AK34" i="61" s="1"/>
  <c r="AL34" i="61" s="1"/>
  <c r="AG34" i="61"/>
  <c r="AJ34" i="61" s="1"/>
  <c r="AF34" i="61"/>
  <c r="BB33" i="61"/>
  <c r="BE33" i="61" s="1"/>
  <c r="BH33" i="61" s="1"/>
  <c r="AW33" i="61"/>
  <c r="AZ33" i="61" s="1"/>
  <c r="BC33" i="61" s="1"/>
  <c r="BF33" i="61" s="1"/>
  <c r="BI33" i="61" s="1"/>
  <c r="AV33" i="61"/>
  <c r="AY33" i="61" s="1"/>
  <c r="AU33" i="61"/>
  <c r="AX33" i="61" s="1"/>
  <c r="BA33" i="61" s="1"/>
  <c r="BD33" i="61" s="1"/>
  <c r="BG33" i="61" s="1"/>
  <c r="AT33" i="61"/>
  <c r="AS33" i="61"/>
  <c r="AR33" i="61"/>
  <c r="AH33" i="61"/>
  <c r="AG33" i="61"/>
  <c r="AJ33" i="61" s="1"/>
  <c r="AF33" i="61"/>
  <c r="AW32" i="61"/>
  <c r="AZ32" i="61" s="1"/>
  <c r="BC32" i="61" s="1"/>
  <c r="BF32" i="61" s="1"/>
  <c r="BI32" i="61" s="1"/>
  <c r="AV32" i="61"/>
  <c r="AY32" i="61" s="1"/>
  <c r="BB32" i="61" s="1"/>
  <c r="BE32" i="61" s="1"/>
  <c r="BH32" i="61" s="1"/>
  <c r="AU32" i="61"/>
  <c r="AX32" i="61" s="1"/>
  <c r="BA32" i="61" s="1"/>
  <c r="BD32" i="61" s="1"/>
  <c r="BG32" i="61" s="1"/>
  <c r="AT32" i="61"/>
  <c r="AS32" i="61"/>
  <c r="AR32" i="61"/>
  <c r="AJ32" i="61"/>
  <c r="AI32" i="61"/>
  <c r="AH32" i="61"/>
  <c r="AK32" i="61" s="1"/>
  <c r="AL32" i="61" s="1"/>
  <c r="AG32" i="61"/>
  <c r="AF32" i="61"/>
  <c r="BD31" i="61"/>
  <c r="BG31" i="61" s="1"/>
  <c r="AV31" i="61"/>
  <c r="AY31" i="61" s="1"/>
  <c r="BB31" i="61" s="1"/>
  <c r="BE31" i="61" s="1"/>
  <c r="BH31" i="61" s="1"/>
  <c r="AT31" i="61"/>
  <c r="AW31" i="61" s="1"/>
  <c r="AZ31" i="61" s="1"/>
  <c r="BC31" i="61" s="1"/>
  <c r="BF31" i="61" s="1"/>
  <c r="BI31" i="61" s="1"/>
  <c r="AS31" i="61"/>
  <c r="AR31" i="61"/>
  <c r="AU31" i="61" s="1"/>
  <c r="AX31" i="61" s="1"/>
  <c r="BA31" i="61" s="1"/>
  <c r="AL31" i="61"/>
  <c r="AK31" i="61"/>
  <c r="AI31" i="61"/>
  <c r="AH31" i="61"/>
  <c r="AG31" i="61"/>
  <c r="AJ31" i="61" s="1"/>
  <c r="AF31" i="61"/>
  <c r="BE30" i="61"/>
  <c r="BH30" i="61" s="1"/>
  <c r="AZ30" i="61"/>
  <c r="BC30" i="61" s="1"/>
  <c r="BF30" i="61" s="1"/>
  <c r="BI30" i="61" s="1"/>
  <c r="AX30" i="61"/>
  <c r="BA30" i="61" s="1"/>
  <c r="BD30" i="61" s="1"/>
  <c r="BG30" i="61" s="1"/>
  <c r="AW30" i="61"/>
  <c r="AU30" i="61"/>
  <c r="AT30" i="61"/>
  <c r="AS30" i="61"/>
  <c r="AV30" i="61" s="1"/>
  <c r="AY30" i="61" s="1"/>
  <c r="BB30" i="61" s="1"/>
  <c r="AR30" i="61"/>
  <c r="AJ30" i="61"/>
  <c r="AH30" i="61"/>
  <c r="AG30" i="61"/>
  <c r="AF30" i="61"/>
  <c r="BA29" i="61"/>
  <c r="BD29" i="61" s="1"/>
  <c r="BG29" i="61" s="1"/>
  <c r="AZ29" i="61"/>
  <c r="BC29" i="61" s="1"/>
  <c r="BF29" i="61" s="1"/>
  <c r="BI29" i="61" s="1"/>
  <c r="AT29" i="61"/>
  <c r="AW29" i="61" s="1"/>
  <c r="AS29" i="61"/>
  <c r="AV29" i="61" s="1"/>
  <c r="AY29" i="61" s="1"/>
  <c r="BB29" i="61" s="1"/>
  <c r="BE29" i="61" s="1"/>
  <c r="BH29" i="61" s="1"/>
  <c r="AR29" i="61"/>
  <c r="AU29" i="61" s="1"/>
  <c r="AX29" i="61" s="1"/>
  <c r="AL29" i="61"/>
  <c r="AK29" i="61"/>
  <c r="AI29" i="61"/>
  <c r="AH29" i="61"/>
  <c r="AG29" i="61"/>
  <c r="AJ29" i="61" s="1"/>
  <c r="AF29" i="61"/>
  <c r="AZ28" i="61"/>
  <c r="BC28" i="61" s="1"/>
  <c r="BF28" i="61" s="1"/>
  <c r="BI28" i="61" s="1"/>
  <c r="AU28" i="61"/>
  <c r="AX28" i="61" s="1"/>
  <c r="BA28" i="61" s="1"/>
  <c r="BD28" i="61" s="1"/>
  <c r="BG28" i="61" s="1"/>
  <c r="AT28" i="61"/>
  <c r="AW28" i="61" s="1"/>
  <c r="AS28" i="61"/>
  <c r="AV28" i="61" s="1"/>
  <c r="AY28" i="61" s="1"/>
  <c r="BB28" i="61" s="1"/>
  <c r="BE28" i="61" s="1"/>
  <c r="BH28" i="61" s="1"/>
  <c r="AR28" i="61"/>
  <c r="AH28" i="61"/>
  <c r="AG28" i="61"/>
  <c r="AJ28" i="61" s="1"/>
  <c r="AF28" i="61"/>
  <c r="BD27" i="61"/>
  <c r="BG27" i="61" s="1"/>
  <c r="BA27" i="61"/>
  <c r="AU27" i="61"/>
  <c r="AX27" i="61" s="1"/>
  <c r="AT27" i="61"/>
  <c r="AW27" i="61" s="1"/>
  <c r="AZ27" i="61" s="1"/>
  <c r="BC27" i="61" s="1"/>
  <c r="BF27" i="61" s="1"/>
  <c r="BI27" i="61" s="1"/>
  <c r="AS27" i="61"/>
  <c r="AV27" i="61" s="1"/>
  <c r="AY27" i="61" s="1"/>
  <c r="BB27" i="61" s="1"/>
  <c r="BE27" i="61" s="1"/>
  <c r="BH27" i="61" s="1"/>
  <c r="AR27" i="61"/>
  <c r="AI27" i="61"/>
  <c r="AH27" i="61"/>
  <c r="AK27" i="61" s="1"/>
  <c r="AL27" i="61" s="1"/>
  <c r="AG27" i="61"/>
  <c r="AJ27" i="61" s="1"/>
  <c r="AF27" i="61"/>
  <c r="BC26" i="61"/>
  <c r="BF26" i="61" s="1"/>
  <c r="BI26" i="61" s="1"/>
  <c r="BB26" i="61"/>
  <c r="BE26" i="61" s="1"/>
  <c r="BH26" i="61" s="1"/>
  <c r="AW26" i="61"/>
  <c r="AZ26" i="61" s="1"/>
  <c r="AV26" i="61"/>
  <c r="AY26" i="61" s="1"/>
  <c r="AU26" i="61"/>
  <c r="AX26" i="61" s="1"/>
  <c r="BA26" i="61" s="1"/>
  <c r="BD26" i="61" s="1"/>
  <c r="BG26" i="61" s="1"/>
  <c r="AT26" i="61"/>
  <c r="AS26" i="61"/>
  <c r="AR26" i="61"/>
  <c r="AJ26" i="61"/>
  <c r="AI26" i="61"/>
  <c r="AH26" i="61"/>
  <c r="AK26" i="61" s="1"/>
  <c r="AL26" i="61" s="1"/>
  <c r="AG26" i="61"/>
  <c r="AF26" i="61"/>
  <c r="BC25" i="61"/>
  <c r="BF25" i="61" s="1"/>
  <c r="BI25" i="61" s="1"/>
  <c r="AX25" i="61"/>
  <c r="BA25" i="61" s="1"/>
  <c r="BD25" i="61" s="1"/>
  <c r="BG25" i="61" s="1"/>
  <c r="AW25" i="61"/>
  <c r="AZ25" i="61" s="1"/>
  <c r="AV25" i="61"/>
  <c r="AY25" i="61" s="1"/>
  <c r="BB25" i="61" s="1"/>
  <c r="BE25" i="61" s="1"/>
  <c r="BH25" i="61" s="1"/>
  <c r="AU25" i="61"/>
  <c r="AT25" i="61"/>
  <c r="AS25" i="61"/>
  <c r="AR25" i="61"/>
  <c r="AK25" i="61"/>
  <c r="AL25" i="61" s="1"/>
  <c r="AJ25" i="61"/>
  <c r="AI25" i="61"/>
  <c r="AH25" i="61"/>
  <c r="AG25" i="61"/>
  <c r="AF25" i="61"/>
  <c r="BE24" i="61"/>
  <c r="BH24" i="61" s="1"/>
  <c r="BD24" i="61"/>
  <c r="BG24" i="61" s="1"/>
  <c r="AY24" i="61"/>
  <c r="BB24" i="61" s="1"/>
  <c r="AX24" i="61"/>
  <c r="BA24" i="61" s="1"/>
  <c r="AW24" i="61"/>
  <c r="AZ24" i="61" s="1"/>
  <c r="BC24" i="61" s="1"/>
  <c r="BF24" i="61" s="1"/>
  <c r="BI24" i="61" s="1"/>
  <c r="AV24" i="61"/>
  <c r="AU24" i="61"/>
  <c r="AT24" i="61"/>
  <c r="AS24" i="61"/>
  <c r="AR24" i="61"/>
  <c r="AL24" i="61"/>
  <c r="AK24" i="61"/>
  <c r="AJ24" i="61"/>
  <c r="AI24" i="61"/>
  <c r="AH24" i="61"/>
  <c r="AG24" i="61"/>
  <c r="AF24" i="61"/>
  <c r="BH23" i="61"/>
  <c r="BE23" i="61"/>
  <c r="AY23" i="61"/>
  <c r="BB23" i="61" s="1"/>
  <c r="AW23" i="61"/>
  <c r="AZ23" i="61" s="1"/>
  <c r="BC23" i="61" s="1"/>
  <c r="BF23" i="61" s="1"/>
  <c r="BI23" i="61" s="1"/>
  <c r="AV23" i="61"/>
  <c r="AT23" i="61"/>
  <c r="AS23" i="61"/>
  <c r="AR23" i="61"/>
  <c r="AU23" i="61" s="1"/>
  <c r="AX23" i="61" s="1"/>
  <c r="BA23" i="61" s="1"/>
  <c r="BD23" i="61" s="1"/>
  <c r="BG23" i="61" s="1"/>
  <c r="AK23" i="61"/>
  <c r="AL23" i="61" s="1"/>
  <c r="AJ23" i="61"/>
  <c r="AH23" i="61"/>
  <c r="AI23" i="61" s="1"/>
  <c r="AG23" i="61"/>
  <c r="AF23" i="61"/>
  <c r="BA22" i="61"/>
  <c r="BD22" i="61" s="1"/>
  <c r="BG22" i="61" s="1"/>
  <c r="AZ22" i="61"/>
  <c r="BC22" i="61" s="1"/>
  <c r="BF22" i="61" s="1"/>
  <c r="BI22" i="61" s="1"/>
  <c r="AY22" i="61"/>
  <c r="BB22" i="61" s="1"/>
  <c r="BE22" i="61" s="1"/>
  <c r="BH22" i="61" s="1"/>
  <c r="AX22" i="61"/>
  <c r="AW22" i="61"/>
  <c r="AT22" i="61"/>
  <c r="AS22" i="61"/>
  <c r="AV22" i="61" s="1"/>
  <c r="AR22" i="61"/>
  <c r="AU22" i="61" s="1"/>
  <c r="AK22" i="61"/>
  <c r="AL22" i="61" s="1"/>
  <c r="AJ22" i="61"/>
  <c r="AH22" i="61"/>
  <c r="AI22" i="61" s="1"/>
  <c r="AG22" i="61"/>
  <c r="AF22" i="61"/>
  <c r="BB21" i="61"/>
  <c r="BE21" i="61" s="1"/>
  <c r="BH21" i="61" s="1"/>
  <c r="BA21" i="61"/>
  <c r="BD21" i="61" s="1"/>
  <c r="BG21" i="61" s="1"/>
  <c r="AY21" i="61"/>
  <c r="AT21" i="61"/>
  <c r="AW21" i="61" s="1"/>
  <c r="AZ21" i="61" s="1"/>
  <c r="BC21" i="61" s="1"/>
  <c r="BF21" i="61" s="1"/>
  <c r="BI21" i="61" s="1"/>
  <c r="AS21" i="61"/>
  <c r="AV21" i="61" s="1"/>
  <c r="AR21" i="61"/>
  <c r="AU21" i="61" s="1"/>
  <c r="AX21" i="61" s="1"/>
  <c r="AL21" i="61"/>
  <c r="AK21" i="61"/>
  <c r="AI21" i="61"/>
  <c r="AH21" i="61"/>
  <c r="AG21" i="61"/>
  <c r="AJ21" i="61" s="1"/>
  <c r="AF21" i="61"/>
  <c r="BB20" i="61"/>
  <c r="BE20" i="61" s="1"/>
  <c r="BH20" i="61" s="1"/>
  <c r="BA20" i="61"/>
  <c r="BD20" i="61" s="1"/>
  <c r="BG20" i="61" s="1"/>
  <c r="AU20" i="61"/>
  <c r="AX20" i="61" s="1"/>
  <c r="AT20" i="61"/>
  <c r="AW20" i="61" s="1"/>
  <c r="AZ20" i="61" s="1"/>
  <c r="BC20" i="61" s="1"/>
  <c r="BF20" i="61" s="1"/>
  <c r="BI20" i="61" s="1"/>
  <c r="AS20" i="61"/>
  <c r="AV20" i="61" s="1"/>
  <c r="AY20" i="61" s="1"/>
  <c r="AR20" i="61"/>
  <c r="AH20" i="61"/>
  <c r="AG20" i="61"/>
  <c r="AJ20" i="61" s="1"/>
  <c r="AF20" i="61"/>
  <c r="AV19" i="61"/>
  <c r="AY19" i="61" s="1"/>
  <c r="BB19" i="61" s="1"/>
  <c r="BE19" i="61" s="1"/>
  <c r="BH19" i="61" s="1"/>
  <c r="AU19" i="61"/>
  <c r="AX19" i="61" s="1"/>
  <c r="BA19" i="61" s="1"/>
  <c r="BD19" i="61" s="1"/>
  <c r="BG19" i="61" s="1"/>
  <c r="AT19" i="61"/>
  <c r="AW19" i="61" s="1"/>
  <c r="AZ19" i="61" s="1"/>
  <c r="BC19" i="61" s="1"/>
  <c r="BF19" i="61" s="1"/>
  <c r="BI19" i="61" s="1"/>
  <c r="AS19" i="61"/>
  <c r="AR19" i="61"/>
  <c r="AI19" i="61"/>
  <c r="AH19" i="61"/>
  <c r="AK19" i="61" s="1"/>
  <c r="AL19" i="61" s="1"/>
  <c r="AG19" i="61"/>
  <c r="AJ19" i="61" s="1"/>
  <c r="AF19" i="61"/>
  <c r="BE18" i="61"/>
  <c r="BH18" i="61" s="1"/>
  <c r="BD18" i="61"/>
  <c r="BG18" i="61" s="1"/>
  <c r="BB18" i="61"/>
  <c r="AW18" i="61"/>
  <c r="AZ18" i="61" s="1"/>
  <c r="BC18" i="61" s="1"/>
  <c r="BF18" i="61" s="1"/>
  <c r="BI18" i="61" s="1"/>
  <c r="AV18" i="61"/>
  <c r="AY18" i="61" s="1"/>
  <c r="AU18" i="61"/>
  <c r="AX18" i="61" s="1"/>
  <c r="BA18" i="61" s="1"/>
  <c r="AT18" i="61"/>
  <c r="AS18" i="61"/>
  <c r="AR18" i="61"/>
  <c r="AJ18" i="61"/>
  <c r="AH18" i="61"/>
  <c r="AK18" i="61" s="1"/>
  <c r="AL18" i="61" s="1"/>
  <c r="AG18" i="61"/>
  <c r="AF18" i="61"/>
  <c r="BE17" i="61"/>
  <c r="BH17" i="61" s="1"/>
  <c r="BD17" i="61"/>
  <c r="BG17" i="61" s="1"/>
  <c r="AX17" i="61"/>
  <c r="BA17" i="61" s="1"/>
  <c r="AW17" i="61"/>
  <c r="AZ17" i="61" s="1"/>
  <c r="BC17" i="61" s="1"/>
  <c r="BF17" i="61" s="1"/>
  <c r="BI17" i="61" s="1"/>
  <c r="AV17" i="61"/>
  <c r="AY17" i="61" s="1"/>
  <c r="BB17" i="61" s="1"/>
  <c r="AU17" i="61"/>
  <c r="AT17" i="61"/>
  <c r="AS17" i="61"/>
  <c r="AR17" i="61"/>
  <c r="AK17" i="61"/>
  <c r="AL17" i="61" s="1"/>
  <c r="AJ17" i="61"/>
  <c r="AI17" i="61"/>
  <c r="AH17" i="61"/>
  <c r="AG17" i="61"/>
  <c r="AF17" i="61"/>
  <c r="BG16" i="61"/>
  <c r="BF16" i="61"/>
  <c r="BI16" i="61" s="1"/>
  <c r="BD16" i="61"/>
  <c r="AY16" i="61"/>
  <c r="BB16" i="61" s="1"/>
  <c r="BE16" i="61" s="1"/>
  <c r="BH16" i="61" s="1"/>
  <c r="AX16" i="61"/>
  <c r="BA16" i="61" s="1"/>
  <c r="AW16" i="61"/>
  <c r="AZ16" i="61" s="1"/>
  <c r="BC16" i="61" s="1"/>
  <c r="AV16" i="61"/>
  <c r="AU16" i="61"/>
  <c r="AT16" i="61"/>
  <c r="AS16" i="61"/>
  <c r="AR16" i="61"/>
  <c r="AL16" i="61"/>
  <c r="AK16" i="61"/>
  <c r="AJ16" i="61"/>
  <c r="AI16" i="61"/>
  <c r="AH16" i="61"/>
  <c r="AG16" i="61"/>
  <c r="AF16" i="61"/>
  <c r="AZ15" i="61"/>
  <c r="BC15" i="61" s="1"/>
  <c r="BF15" i="61" s="1"/>
  <c r="BI15" i="61" s="1"/>
  <c r="AY15" i="61"/>
  <c r="BB15" i="61" s="1"/>
  <c r="BE15" i="61" s="1"/>
  <c r="BH15" i="61" s="1"/>
  <c r="AX15" i="61"/>
  <c r="BA15" i="61" s="1"/>
  <c r="BD15" i="61" s="1"/>
  <c r="BG15" i="61" s="1"/>
  <c r="AW15" i="61"/>
  <c r="AV15" i="61"/>
  <c r="AT15" i="61"/>
  <c r="AS15" i="61"/>
  <c r="AR15" i="61"/>
  <c r="AU15" i="61" s="1"/>
  <c r="AK15" i="61"/>
  <c r="AL15" i="61" s="1"/>
  <c r="AJ15" i="61"/>
  <c r="AH15" i="61"/>
  <c r="AI15" i="61" s="1"/>
  <c r="AG15" i="61"/>
  <c r="AF15" i="61"/>
  <c r="BF14" i="61"/>
  <c r="BI14" i="61" s="1"/>
  <c r="AZ14" i="61"/>
  <c r="BC14" i="61" s="1"/>
  <c r="AW14" i="61"/>
  <c r="AT14" i="61"/>
  <c r="AS14" i="61"/>
  <c r="AV14" i="61" s="1"/>
  <c r="AY14" i="61" s="1"/>
  <c r="BB14" i="61" s="1"/>
  <c r="BE14" i="61" s="1"/>
  <c r="BH14" i="61" s="1"/>
  <c r="AR14" i="61"/>
  <c r="AU14" i="61" s="1"/>
  <c r="AX14" i="61" s="1"/>
  <c r="BA14" i="61" s="1"/>
  <c r="BD14" i="61" s="1"/>
  <c r="BG14" i="61" s="1"/>
  <c r="AL14" i="61"/>
  <c r="AK14" i="61"/>
  <c r="AJ14" i="61"/>
  <c r="AH14" i="61"/>
  <c r="AI14" i="61" s="1"/>
  <c r="AG14" i="61"/>
  <c r="AF14" i="61"/>
  <c r="AZ13" i="61"/>
  <c r="BC13" i="61" s="1"/>
  <c r="BF13" i="61" s="1"/>
  <c r="BI13" i="61" s="1"/>
  <c r="AT13" i="61"/>
  <c r="AW13" i="61" s="1"/>
  <c r="AS13" i="61"/>
  <c r="AV13" i="61" s="1"/>
  <c r="AY13" i="61" s="1"/>
  <c r="BB13" i="61" s="1"/>
  <c r="BE13" i="61" s="1"/>
  <c r="BH13" i="61" s="1"/>
  <c r="AR13" i="61"/>
  <c r="AU13" i="61" s="1"/>
  <c r="AX13" i="61" s="1"/>
  <c r="BA13" i="61" s="1"/>
  <c r="BD13" i="61" s="1"/>
  <c r="BG13" i="61" s="1"/>
  <c r="AL13" i="61"/>
  <c r="AK13" i="61"/>
  <c r="AI13" i="61"/>
  <c r="AH13" i="61"/>
  <c r="AG13" i="61"/>
  <c r="AJ13" i="61" s="1"/>
  <c r="AF13" i="61"/>
  <c r="BC12" i="61"/>
  <c r="BF12" i="61" s="1"/>
  <c r="BI12" i="61" s="1"/>
  <c r="AZ12" i="61"/>
  <c r="AT12" i="61"/>
  <c r="AW12" i="61" s="1"/>
  <c r="AS12" i="61"/>
  <c r="AV12" i="61" s="1"/>
  <c r="AY12" i="61" s="1"/>
  <c r="BB12" i="61" s="1"/>
  <c r="BE12" i="61" s="1"/>
  <c r="BH12" i="61" s="1"/>
  <c r="AR12" i="61"/>
  <c r="AU12" i="61" s="1"/>
  <c r="AX12" i="61" s="1"/>
  <c r="BA12" i="61" s="1"/>
  <c r="BD12" i="61" s="1"/>
  <c r="BG12" i="61" s="1"/>
  <c r="AH12" i="61"/>
  <c r="AG12" i="61"/>
  <c r="AJ12" i="61" s="1"/>
  <c r="AF12" i="61"/>
  <c r="BA11" i="61"/>
  <c r="BD11" i="61" s="1"/>
  <c r="BG11" i="61" s="1"/>
  <c r="AV11" i="61"/>
  <c r="AY11" i="61" s="1"/>
  <c r="BB11" i="61" s="1"/>
  <c r="BE11" i="61" s="1"/>
  <c r="BH11" i="61" s="1"/>
  <c r="AU11" i="61"/>
  <c r="AX11" i="61" s="1"/>
  <c r="AT11" i="61"/>
  <c r="AW11" i="61" s="1"/>
  <c r="AZ11" i="61" s="1"/>
  <c r="BC11" i="61" s="1"/>
  <c r="BF11" i="61" s="1"/>
  <c r="BI11" i="61" s="1"/>
  <c r="AS11" i="61"/>
  <c r="AR11" i="61"/>
  <c r="AH11" i="61"/>
  <c r="AK11" i="61" s="1"/>
  <c r="AL11" i="61" s="1"/>
  <c r="AG11" i="61"/>
  <c r="AJ11" i="61" s="1"/>
  <c r="AF11" i="61"/>
  <c r="BC10" i="61"/>
  <c r="BF10" i="61" s="1"/>
  <c r="BI10" i="61" s="1"/>
  <c r="AW10" i="61"/>
  <c r="AZ10" i="61" s="1"/>
  <c r="AV10" i="61"/>
  <c r="AY10" i="61" s="1"/>
  <c r="BB10" i="61" s="1"/>
  <c r="BE10" i="61" s="1"/>
  <c r="BH10" i="61" s="1"/>
  <c r="AU10" i="61"/>
  <c r="AX10" i="61" s="1"/>
  <c r="BA10" i="61" s="1"/>
  <c r="BD10" i="61" s="1"/>
  <c r="BG10" i="61" s="1"/>
  <c r="AT10" i="61"/>
  <c r="AS10" i="61"/>
  <c r="AR10" i="61"/>
  <c r="AH10" i="61"/>
  <c r="AK10" i="61" s="1"/>
  <c r="AL10" i="61" s="1"/>
  <c r="AG10" i="61"/>
  <c r="AJ10" i="61" s="1"/>
  <c r="AF10" i="61"/>
  <c r="AZ9" i="61"/>
  <c r="BC9" i="61" s="1"/>
  <c r="BF9" i="61" s="1"/>
  <c r="BI9" i="61" s="1"/>
  <c r="AX9" i="61"/>
  <c r="BA9" i="61" s="1"/>
  <c r="BD9" i="61" s="1"/>
  <c r="BG9" i="61" s="1"/>
  <c r="AW9" i="61"/>
  <c r="AV9" i="61"/>
  <c r="AY9" i="61" s="1"/>
  <c r="BB9" i="61" s="1"/>
  <c r="BE9" i="61" s="1"/>
  <c r="BH9" i="61" s="1"/>
  <c r="AU9" i="61"/>
  <c r="AT9" i="61"/>
  <c r="AS9" i="61"/>
  <c r="AR9" i="61"/>
  <c r="AK9" i="61"/>
  <c r="AL9" i="61" s="1"/>
  <c r="AJ9" i="61"/>
  <c r="AI9" i="61"/>
  <c r="AH9" i="61"/>
  <c r="AG9" i="61"/>
  <c r="AE9" i="61"/>
  <c r="AF9" i="61" s="1"/>
  <c r="AD9" i="61"/>
  <c r="BI8" i="61"/>
  <c r="BF8" i="61"/>
  <c r="BC8" i="61"/>
  <c r="AZ8" i="61"/>
  <c r="AW8" i="61"/>
  <c r="AU8" i="61"/>
  <c r="AX8" i="61" s="1"/>
  <c r="BA8" i="61" s="1"/>
  <c r="BD8" i="61" s="1"/>
  <c r="BG8" i="61" s="1"/>
  <c r="AT8" i="61"/>
  <c r="AS8" i="61"/>
  <c r="AV8" i="61" s="1"/>
  <c r="AY8" i="61" s="1"/>
  <c r="BB8" i="61" s="1"/>
  <c r="BE8" i="61" s="1"/>
  <c r="BH8" i="61" s="1"/>
  <c r="AR8" i="61"/>
  <c r="AJ8" i="61"/>
  <c r="AH8" i="61"/>
  <c r="AI8" i="61" s="1"/>
  <c r="AG8" i="61"/>
  <c r="AF8" i="61"/>
  <c r="BH7" i="61"/>
  <c r="BB7" i="61"/>
  <c r="BE7" i="61" s="1"/>
  <c r="BA7" i="61"/>
  <c r="BD7" i="61" s="1"/>
  <c r="BG7" i="61" s="1"/>
  <c r="AZ7" i="61"/>
  <c r="BC7" i="61" s="1"/>
  <c r="BF7" i="61" s="1"/>
  <c r="BI7" i="61" s="1"/>
  <c r="AY7" i="61"/>
  <c r="AV7" i="61"/>
  <c r="AT7" i="61"/>
  <c r="AW7" i="61" s="1"/>
  <c r="AS7" i="61"/>
  <c r="AR7" i="61"/>
  <c r="AU7" i="61" s="1"/>
  <c r="AX7" i="61" s="1"/>
  <c r="AL7" i="61"/>
  <c r="AK7" i="61"/>
  <c r="AI7" i="61"/>
  <c r="AH7" i="61"/>
  <c r="AG7" i="61"/>
  <c r="AJ7" i="61" s="1"/>
  <c r="AF7" i="61"/>
  <c r="F17" i="4" l="1"/>
  <c r="G17" i="4" s="1"/>
  <c r="E17" i="4"/>
  <c r="F18" i="4"/>
  <c r="G18" i="4" s="1"/>
  <c r="E18" i="4"/>
  <c r="P34" i="130"/>
  <c r="P9" i="131"/>
  <c r="P40" i="131"/>
  <c r="C10" i="116"/>
  <c r="E11" i="4"/>
  <c r="F11" i="4"/>
  <c r="G11" i="4" s="1"/>
  <c r="P33" i="130"/>
  <c r="P3" i="131"/>
  <c r="P2" i="131"/>
  <c r="P40" i="130"/>
  <c r="P36" i="130"/>
  <c r="P7" i="131"/>
  <c r="P6" i="131"/>
  <c r="P35" i="130"/>
  <c r="P8" i="131"/>
  <c r="P5" i="131"/>
  <c r="G9" i="4"/>
  <c r="E9" i="4"/>
  <c r="D8" i="95"/>
  <c r="K13" i="95"/>
  <c r="G12" i="4"/>
  <c r="K10" i="95"/>
  <c r="AK12" i="61"/>
  <c r="AL12" i="61" s="1"/>
  <c r="AI12" i="61"/>
  <c r="AK20" i="61"/>
  <c r="AL20" i="61" s="1"/>
  <c r="AI20" i="61"/>
  <c r="AJ75" i="61"/>
  <c r="AK75" i="61" s="1"/>
  <c r="AL75" i="61" s="1"/>
  <c r="AL40" i="61"/>
  <c r="AK43" i="61"/>
  <c r="AL43" i="61" s="1"/>
  <c r="AI43" i="61"/>
  <c r="AL54" i="61"/>
  <c r="AK55" i="61"/>
  <c r="AL55" i="61" s="1"/>
  <c r="AI10" i="61"/>
  <c r="AK8" i="61"/>
  <c r="AL8" i="61" s="1"/>
  <c r="AI11" i="61"/>
  <c r="AK28" i="61"/>
  <c r="AL28" i="61" s="1"/>
  <c r="AI28" i="61"/>
  <c r="AK59" i="61"/>
  <c r="AL59" i="61" s="1"/>
  <c r="AK33" i="61"/>
  <c r="AL33" i="61" s="1"/>
  <c r="AI33" i="61"/>
  <c r="AI18" i="61"/>
  <c r="AI30" i="61"/>
  <c r="AK30" i="61"/>
  <c r="AL30" i="61" s="1"/>
  <c r="AK50" i="61"/>
  <c r="AL50" i="61" s="1"/>
  <c r="AK49" i="61"/>
  <c r="AL49" i="61" s="1"/>
  <c r="AL48" i="61"/>
  <c r="AK35" i="61"/>
  <c r="AL35" i="61" s="1"/>
  <c r="AI35" i="61"/>
  <c r="AK70" i="61"/>
  <c r="AL70" i="61" s="1"/>
  <c r="AI70" i="61"/>
  <c r="AH50" i="61"/>
  <c r="AI50" i="61" s="1"/>
  <c r="AH49" i="61"/>
  <c r="AI49" i="61" s="1"/>
  <c r="AI48" i="61"/>
  <c r="AK51" i="61"/>
  <c r="AL51" i="61" s="1"/>
  <c r="AI51" i="61"/>
  <c r="AK41" i="61"/>
  <c r="AL41" i="61" s="1"/>
  <c r="AI41" i="61"/>
  <c r="AI36" i="61"/>
  <c r="AI44" i="61"/>
  <c r="AH55" i="61"/>
  <c r="AI55" i="61" s="1"/>
  <c r="AH59" i="61"/>
  <c r="AI59" i="61" s="1"/>
  <c r="D40" i="121"/>
  <c r="C17" i="95"/>
  <c r="D17" i="95" s="1"/>
  <c r="G8" i="4"/>
  <c r="C15" i="4"/>
  <c r="C7" i="121"/>
  <c r="C31" i="121" s="1"/>
  <c r="C54" i="121" s="1"/>
  <c r="C8" i="121"/>
  <c r="C32" i="121" s="1"/>
  <c r="C55" i="121" s="1"/>
  <c r="C9" i="121"/>
  <c r="C33" i="121" s="1"/>
  <c r="C56" i="121" s="1"/>
  <c r="D16" i="116"/>
  <c r="C16" i="116"/>
  <c r="I12" i="4"/>
  <c r="I13" i="4" s="1"/>
  <c r="C8" i="116"/>
  <c r="D11" i="116"/>
  <c r="B60" i="188" l="1"/>
  <c r="P95" i="130"/>
  <c r="P93" i="130"/>
  <c r="P94" i="130"/>
  <c r="P92" i="130"/>
  <c r="P91" i="130"/>
  <c r="P90" i="130"/>
  <c r="P42" i="131"/>
  <c r="P8" i="130"/>
  <c r="P27" i="130"/>
  <c r="P26" i="130"/>
  <c r="P4" i="130"/>
  <c r="P6" i="130"/>
  <c r="P25" i="130"/>
  <c r="P2" i="130"/>
  <c r="P15" i="131"/>
  <c r="P18" i="130"/>
  <c r="P41" i="130"/>
  <c r="P12" i="130"/>
  <c r="P10" i="130"/>
  <c r="P24" i="130"/>
  <c r="P44" i="131"/>
  <c r="P17" i="131"/>
  <c r="P43" i="130"/>
  <c r="P16" i="130"/>
  <c r="P23" i="130"/>
  <c r="P20" i="130"/>
  <c r="P13" i="131"/>
  <c r="P14" i="130"/>
  <c r="D15" i="4"/>
  <c r="E15" i="4"/>
  <c r="D10" i="95"/>
  <c r="D62" i="121"/>
  <c r="D12" i="121"/>
  <c r="D8" i="116"/>
  <c r="B61" i="188" l="1"/>
  <c r="F15" i="4"/>
  <c r="G14" i="4"/>
  <c r="D36" i="121"/>
  <c r="D39" i="121" s="1"/>
  <c r="E12" i="121"/>
  <c r="D74" i="121"/>
  <c r="F74" i="121" s="1"/>
  <c r="L74" i="121" s="1"/>
  <c r="D53" i="121"/>
  <c r="D76" i="121" s="1"/>
  <c r="B62" i="188" l="1"/>
  <c r="E36" i="121"/>
  <c r="E39" i="121" s="1"/>
  <c r="I11" i="121"/>
  <c r="F12" i="121"/>
  <c r="O76" i="121"/>
  <c r="E53" i="121"/>
  <c r="D60" i="121"/>
  <c r="D61" i="121" s="1"/>
  <c r="P71" i="130" l="1"/>
  <c r="P70" i="130"/>
  <c r="P41" i="131"/>
  <c r="F36" i="121"/>
  <c r="F39" i="121" s="1"/>
  <c r="E60" i="121"/>
  <c r="E61" i="121" s="1"/>
  <c r="G36" i="121"/>
  <c r="G39" i="121" s="1"/>
  <c r="I12" i="121"/>
  <c r="F76" i="121"/>
  <c r="B64" i="188" l="1"/>
  <c r="G15" i="4"/>
  <c r="H36" i="121"/>
  <c r="H39" i="121" s="1"/>
  <c r="J12" i="121"/>
  <c r="J36" i="121"/>
  <c r="J39" i="121" s="1"/>
  <c r="F60" i="121"/>
  <c r="F61" i="121" s="1"/>
  <c r="L76" i="121"/>
  <c r="B65" i="188" l="1"/>
  <c r="B67" i="188" l="1"/>
  <c r="B68" i="188" l="1"/>
  <c r="B69" i="188" l="1"/>
  <c r="B71" i="188" l="1"/>
  <c r="B72" i="188" l="1"/>
  <c r="B74" i="188" l="1"/>
  <c r="B75" i="188" l="1"/>
  <c r="B76" i="188" l="1"/>
  <c r="B78" i="188" l="1"/>
  <c r="B79" i="188" l="1"/>
  <c r="B81" i="188" l="1"/>
  <c r="B82" i="188" l="1"/>
  <c r="B83" i="188" l="1"/>
  <c r="B85" i="188" l="1"/>
  <c r="B86" i="188" l="1"/>
  <c r="B88" i="188" l="1"/>
  <c r="B89" i="188" l="1"/>
  <c r="B90" i="188" l="1"/>
  <c r="B92" i="188" l="1"/>
  <c r="B93" i="188" l="1"/>
  <c r="B95" i="188" l="1"/>
  <c r="B96" i="188" l="1"/>
  <c r="B97" i="188" l="1"/>
  <c r="B99" i="188" l="1"/>
  <c r="B100" i="188" l="1"/>
  <c r="B102" i="188" l="1"/>
  <c r="B103" i="188" l="1"/>
  <c r="B104" i="188" l="1"/>
  <c r="B106" i="188" l="1"/>
  <c r="B107" i="188" l="1"/>
  <c r="B109" i="188" l="1"/>
  <c r="B110" i="188" l="1"/>
  <c r="B111" i="188" l="1"/>
  <c r="B113" i="188" l="1"/>
  <c r="B114" i="188" l="1"/>
  <c r="B116" i="188" l="1"/>
  <c r="B117" i="188" l="1"/>
  <c r="B118" i="188" l="1"/>
  <c r="B120" i="188" l="1"/>
  <c r="B121" i="188" l="1"/>
  <c r="B123" i="188" l="1"/>
  <c r="B124" i="188" l="1"/>
  <c r="B125" i="188" l="1"/>
  <c r="B127" i="188" l="1"/>
  <c r="B128" i="188" l="1"/>
  <c r="B130" i="188" l="1"/>
  <c r="B131" i="188" l="1"/>
  <c r="B132" i="188" l="1"/>
  <c r="B134" i="188" l="1"/>
  <c r="B135" i="188" l="1"/>
  <c r="B137" i="188" l="1"/>
  <c r="B138" i="188" l="1"/>
  <c r="B139" i="188" l="1"/>
  <c r="B141" i="188" l="1"/>
  <c r="B142" i="188" l="1"/>
  <c r="B144" i="188" l="1"/>
  <c r="B145" i="188" l="1"/>
  <c r="B146" i="188" l="1"/>
  <c r="B148" i="188" l="1"/>
  <c r="B149" i="188" l="1"/>
  <c r="B151" i="188" l="1"/>
  <c r="B152" i="188" l="1"/>
  <c r="B153" i="188" l="1"/>
  <c r="B155" i="188" l="1"/>
  <c r="B156" i="188" l="1"/>
  <c r="B158" i="188" l="1"/>
  <c r="B159" i="188" l="1"/>
  <c r="B160" i="188" l="1"/>
  <c r="B162" i="188" l="1"/>
  <c r="B163" i="188" l="1"/>
  <c r="B165" i="188" l="1"/>
  <c r="B166" i="188" l="1"/>
  <c r="B167" i="188" l="1"/>
  <c r="B169" i="188" l="1"/>
  <c r="B170" i="188" l="1"/>
  <c r="B172" i="188" l="1"/>
  <c r="B173" i="188" l="1"/>
  <c r="B174" i="188" l="1"/>
  <c r="B176" i="188" l="1"/>
  <c r="B177" i="188" l="1"/>
  <c r="B179" i="188" l="1"/>
  <c r="B180" i="188" l="1"/>
  <c r="B181" i="188" l="1"/>
  <c r="B183" i="188" l="1"/>
  <c r="B184" i="188" l="1"/>
  <c r="B186" i="188" l="1"/>
  <c r="B187" i="188" l="1"/>
  <c r="B188" i="188" l="1"/>
  <c r="B190" i="188" l="1"/>
  <c r="B191" i="188" l="1"/>
  <c r="B193" i="188" l="1"/>
  <c r="B194" i="188" l="1"/>
  <c r="B195" i="188" l="1"/>
  <c r="B197" i="188" l="1"/>
  <c r="B198" i="188" l="1"/>
  <c r="B200" i="188" l="1"/>
  <c r="B201" i="188" l="1"/>
  <c r="B202" i="188" l="1"/>
  <c r="B204" i="188" l="1"/>
  <c r="B205" i="188" l="1"/>
  <c r="B207" i="188" l="1"/>
  <c r="B208" i="188" l="1"/>
  <c r="B209" i="188" l="1"/>
  <c r="B211" i="188" l="1"/>
  <c r="B212" i="188" l="1"/>
  <c r="B214" i="188" l="1"/>
  <c r="B215" i="188" l="1"/>
  <c r="B216" i="188" l="1"/>
  <c r="B218" i="188" l="1"/>
  <c r="B219" i="188" l="1"/>
  <c r="B221" i="188" l="1"/>
  <c r="B222" i="188" l="1"/>
  <c r="B223" i="188" l="1"/>
  <c r="B225" i="188" l="1"/>
  <c r="B226" i="188" l="1"/>
  <c r="B228" i="188" l="1"/>
  <c r="B229" i="188" l="1"/>
  <c r="B230" i="188" l="1"/>
  <c r="B232" i="188" l="1"/>
  <c r="B233" i="188" l="1"/>
  <c r="B235" i="188" l="1"/>
  <c r="B236" i="188" l="1"/>
  <c r="B237" i="188" l="1"/>
  <c r="B239" i="188" l="1"/>
  <c r="B240" i="188" l="1"/>
  <c r="B242" i="188" l="1"/>
  <c r="B243" i="188" l="1"/>
  <c r="B244" i="188" l="1"/>
  <c r="B246" i="188" l="1"/>
  <c r="B247" i="188" l="1"/>
  <c r="B249" i="188" l="1"/>
  <c r="B250" i="188" l="1"/>
  <c r="B251" i="188" l="1"/>
  <c r="B253" i="188" l="1"/>
  <c r="B254" i="188" l="1"/>
  <c r="B256" i="188" l="1"/>
  <c r="B257" i="188" l="1"/>
  <c r="B258" i="188" l="1"/>
  <c r="B260" i="188" l="1"/>
  <c r="B261" i="188" l="1"/>
  <c r="B263" i="188" l="1"/>
  <c r="B264" i="188" l="1"/>
  <c r="B265" i="188" l="1"/>
  <c r="B267" i="188" l="1"/>
  <c r="B268" i="188" l="1"/>
  <c r="B270" i="188" l="1"/>
  <c r="B271" i="188" l="1"/>
  <c r="B272" i="188" l="1"/>
  <c r="B274" i="188" l="1"/>
  <c r="B275" i="188" l="1"/>
  <c r="B277" i="188" l="1"/>
  <c r="B278" i="188" l="1"/>
  <c r="B279" i="188" l="1"/>
  <c r="B281" i="188" l="1"/>
  <c r="B282" i="188" l="1"/>
  <c r="B284" i="188" l="1"/>
  <c r="B285" i="188" l="1"/>
  <c r="B286" i="188" l="1"/>
  <c r="B288" i="188" l="1"/>
  <c r="B289" i="188" l="1"/>
  <c r="B291" i="188" l="1"/>
  <c r="B292" i="188" l="1"/>
  <c r="B293" i="188" l="1"/>
  <c r="B295" i="188" l="1"/>
  <c r="B296" i="188" l="1"/>
  <c r="B298" i="188" l="1"/>
  <c r="B299" i="188" l="1"/>
  <c r="B300" i="188" l="1"/>
  <c r="B302" i="188" l="1"/>
  <c r="B303" i="188" l="1"/>
  <c r="B305" i="188" l="1"/>
  <c r="B306" i="188" l="1"/>
  <c r="B307" i="188" l="1"/>
  <c r="B309" i="188" l="1"/>
  <c r="B310" i="188" l="1"/>
  <c r="B312" i="188" l="1"/>
  <c r="B313" i="188" l="1"/>
  <c r="B314" i="188" l="1"/>
  <c r="B316" i="188" l="1"/>
  <c r="B317" i="188" l="1"/>
  <c r="B319" i="188" l="1"/>
  <c r="B320" i="188" l="1"/>
  <c r="B321" i="188" l="1"/>
  <c r="B323" i="188" l="1"/>
  <c r="B324" i="188" l="1"/>
  <c r="B326" i="188" l="1"/>
  <c r="B327" i="188" l="1"/>
  <c r="B328" i="188" l="1"/>
  <c r="B330" i="188" l="1"/>
  <c r="B331" i="188" l="1"/>
  <c r="B333" i="188" l="1"/>
  <c r="B334" i="188" l="1"/>
  <c r="B335" i="188" l="1"/>
  <c r="B337" i="188" l="1"/>
  <c r="B338" i="188" l="1"/>
  <c r="B340" i="188" l="1"/>
  <c r="B341" i="188" l="1"/>
  <c r="B342" i="188" l="1"/>
  <c r="B344" i="188" l="1"/>
  <c r="B345" i="188" l="1"/>
  <c r="B347" i="188" l="1"/>
  <c r="B348" i="188" l="1"/>
  <c r="B349" i="188" l="1"/>
  <c r="B351" i="188" l="1"/>
  <c r="B352" i="188" l="1"/>
  <c r="B354" i="188" l="1"/>
  <c r="B355" i="188" l="1"/>
  <c r="B356" i="188" l="1"/>
  <c r="B358" i="188" l="1"/>
  <c r="B359" i="188" l="1"/>
  <c r="B361" i="188" l="1"/>
  <c r="B362" i="188" l="1"/>
  <c r="B363" i="188" l="1"/>
  <c r="B365" i="188" l="1"/>
  <c r="B366" i="188" l="1"/>
  <c r="B368" i="188" l="1"/>
  <c r="B369" i="188" l="1"/>
  <c r="B370" i="188" l="1"/>
  <c r="B372" i="188" l="1"/>
  <c r="B373" i="188" l="1"/>
  <c r="B375" i="188" l="1"/>
  <c r="B376" i="188" l="1"/>
  <c r="B377" i="188" l="1"/>
  <c r="B379" i="188" l="1"/>
  <c r="B380" i="188" l="1"/>
  <c r="B382" i="188" l="1"/>
  <c r="B383" i="188" l="1"/>
  <c r="B384" i="188" l="1"/>
  <c r="B386" i="188" l="1"/>
  <c r="B387" i="188" l="1"/>
  <c r="B389" i="188" l="1"/>
  <c r="B390" i="188" l="1"/>
  <c r="B391" i="188" l="1"/>
  <c r="B393" i="188" l="1"/>
  <c r="B394" i="188" l="1"/>
  <c r="B396" i="188" l="1"/>
  <c r="B397" i="188" l="1"/>
  <c r="B398" i="188" l="1"/>
  <c r="B400" i="188" l="1"/>
  <c r="B401" i="188" l="1"/>
  <c r="B403" i="188" l="1"/>
  <c r="B404" i="188" l="1"/>
  <c r="B405" i="188" l="1"/>
  <c r="B407" i="188" l="1"/>
  <c r="B408" i="188" l="1"/>
  <c r="B410" i="188" l="1"/>
  <c r="B411" i="188" l="1"/>
  <c r="B412" i="188" l="1"/>
  <c r="B414" i="188" l="1"/>
  <c r="B415" i="188" l="1"/>
  <c r="B417" i="188" l="1"/>
  <c r="B418" i="188" l="1"/>
  <c r="B419" i="188" l="1"/>
  <c r="B421" i="188" l="1"/>
  <c r="B422" i="188" l="1"/>
  <c r="B424" i="188" l="1"/>
  <c r="B425" i="188" l="1"/>
  <c r="B426" i="188" l="1"/>
  <c r="B428" i="188" l="1"/>
  <c r="B429" i="188" l="1"/>
  <c r="B431" i="188" l="1"/>
  <c r="B432" i="188" l="1"/>
  <c r="B433" i="188" l="1"/>
  <c r="B435" i="188" l="1"/>
  <c r="B436" i="188" l="1"/>
  <c r="B438" i="188" l="1"/>
  <c r="B439" i="188" l="1"/>
  <c r="B440" i="188" l="1"/>
  <c r="B442" i="188" l="1"/>
  <c r="B443" i="188" l="1"/>
  <c r="B445" i="188" l="1"/>
  <c r="B446" i="188" l="1"/>
  <c r="B447" i="188" l="1"/>
  <c r="B449" i="188" l="1"/>
  <c r="B450" i="188" l="1"/>
  <c r="B452" i="188" l="1"/>
  <c r="B453" i="188" l="1"/>
  <c r="B454" i="188" l="1"/>
  <c r="B456" i="188" l="1"/>
  <c r="B457" i="188" l="1"/>
  <c r="B459" i="188" l="1"/>
  <c r="B460" i="188" l="1"/>
  <c r="B461" i="188" l="1"/>
  <c r="B463" i="188" l="1"/>
  <c r="B464" i="188" l="1"/>
  <c r="B466" i="188" l="1"/>
  <c r="B467" i="188" l="1"/>
  <c r="B468" i="188" l="1"/>
  <c r="B470" i="188" l="1"/>
  <c r="B471" i="188" l="1"/>
  <c r="B473" i="188" l="1"/>
  <c r="B474" i="188" l="1"/>
  <c r="B475" i="188" l="1"/>
  <c r="B477" i="188" l="1"/>
  <c r="B478" i="188" l="1"/>
  <c r="B480" i="188" l="1"/>
  <c r="B481" i="188" l="1"/>
  <c r="B482" i="188" l="1"/>
  <c r="B484" i="188" l="1"/>
  <c r="B485" i="188" l="1"/>
  <c r="B487" i="188" l="1"/>
  <c r="B488" i="188" l="1"/>
  <c r="B489" i="188" l="1"/>
  <c r="B491" i="188" l="1"/>
  <c r="B492" i="188" l="1"/>
  <c r="B494" i="188" l="1"/>
  <c r="B495" i="188" l="1"/>
  <c r="B496" i="188" l="1"/>
  <c r="B498" i="188" l="1"/>
  <c r="B499" i="188" l="1"/>
  <c r="B501" i="188" l="1"/>
  <c r="B502" i="188" l="1"/>
  <c r="B503" i="188" l="1"/>
  <c r="B505" i="188" l="1"/>
  <c r="B506" i="188" l="1"/>
  <c r="B508" i="188" l="1"/>
  <c r="B509" i="188" l="1"/>
  <c r="B510" i="188" l="1"/>
  <c r="B512" i="188" l="1"/>
  <c r="B513" i="188" l="1"/>
  <c r="B515" i="188" l="1"/>
  <c r="B516" i="188" l="1"/>
  <c r="B517" i="188" l="1"/>
  <c r="B519" i="188" l="1"/>
  <c r="B520" i="188" l="1"/>
  <c r="B522" i="188" l="1"/>
  <c r="B523" i="188" l="1"/>
  <c r="B524" i="188" l="1"/>
  <c r="B526" i="188" l="1"/>
  <c r="B527" i="188" l="1"/>
  <c r="B529" i="188" l="1"/>
  <c r="B530" i="188" l="1"/>
  <c r="B531" i="188" l="1"/>
  <c r="B533" i="188" l="1"/>
  <c r="B534" i="188" l="1"/>
  <c r="B536" i="188" l="1"/>
  <c r="B537" i="188" l="1"/>
  <c r="B538" i="188" l="1"/>
  <c r="B540" i="188" l="1"/>
  <c r="B541" i="188" l="1"/>
  <c r="B543" i="188" l="1"/>
  <c r="B544" i="188" l="1"/>
  <c r="B545" i="188" l="1"/>
  <c r="B547" i="188" l="1"/>
  <c r="B548" i="188" l="1"/>
  <c r="B550" i="188" l="1"/>
  <c r="B551" i="188" l="1"/>
  <c r="B552" i="188" l="1"/>
  <c r="B554" i="188" l="1"/>
  <c r="B555" i="188" l="1"/>
  <c r="B557" i="188" l="1"/>
  <c r="B558" i="188" l="1"/>
  <c r="B559" i="188" l="1"/>
  <c r="B561" i="188" l="1"/>
  <c r="B562" i="188" l="1"/>
  <c r="B564" i="188" l="1"/>
  <c r="B565" i="188" l="1"/>
  <c r="B566" i="188" l="1"/>
  <c r="B568" i="188" l="1"/>
  <c r="B569" i="188" l="1"/>
  <c r="B571" i="188" l="1"/>
  <c r="B572" i="188" l="1"/>
  <c r="B573" i="188" l="1"/>
  <c r="B575" i="188" l="1"/>
  <c r="B576" i="188" l="1"/>
  <c r="B578" i="188" l="1"/>
  <c r="B579" i="188" l="1"/>
  <c r="B580" i="188" l="1"/>
  <c r="B582" i="188" l="1"/>
  <c r="B583" i="188" l="1"/>
  <c r="B585" i="188" l="1"/>
  <c r="B586" i="188" l="1"/>
  <c r="B587" i="188" l="1"/>
  <c r="B589" i="188" l="1"/>
  <c r="B590" i="188" l="1"/>
  <c r="B592" i="188" l="1"/>
  <c r="B593" i="188" l="1"/>
  <c r="B594" i="188" l="1"/>
  <c r="B596" i="188" l="1"/>
  <c r="B597" i="188" l="1"/>
  <c r="B599" i="188" l="1"/>
  <c r="B600" i="188" l="1"/>
  <c r="B601" i="188" l="1"/>
  <c r="B603" i="188" l="1"/>
  <c r="B604" i="188" l="1"/>
  <c r="B606" i="188" l="1"/>
  <c r="B607" i="188" l="1"/>
  <c r="B608" i="188" l="1"/>
  <c r="B610" i="188" l="1"/>
  <c r="B611" i="188" l="1"/>
  <c r="B613" i="188" l="1"/>
  <c r="B614" i="188" l="1"/>
  <c r="B615" i="188" l="1"/>
  <c r="B617" i="188" l="1"/>
  <c r="B618" i="188" l="1"/>
  <c r="B620" i="188" l="1"/>
  <c r="B621" i="188" l="1"/>
  <c r="B622" i="188" l="1"/>
  <c r="B624" i="188" l="1"/>
  <c r="B625" i="188" l="1"/>
  <c r="B627" i="188" l="1"/>
  <c r="B628" i="188" l="1"/>
  <c r="B629" i="188" l="1"/>
  <c r="B631" i="188" l="1"/>
  <c r="B632" i="188" l="1"/>
  <c r="B634" i="188" l="1"/>
  <c r="B635" i="188" l="1"/>
  <c r="B636" i="188" l="1"/>
  <c r="B638" i="188" l="1"/>
  <c r="B639" i="188" l="1"/>
  <c r="B641" i="188" l="1"/>
  <c r="B642" i="188" l="1"/>
  <c r="B643" i="188" l="1"/>
  <c r="B645" i="188" l="1"/>
  <c r="B646" i="188" l="1"/>
  <c r="B648" i="188" l="1"/>
  <c r="B649" i="188" l="1"/>
  <c r="B650" i="188" l="1"/>
  <c r="B652" i="188" l="1"/>
  <c r="B653" i="188" l="1"/>
  <c r="B655" i="188" l="1"/>
  <c r="B656" i="188" l="1"/>
  <c r="B657" i="188" l="1"/>
  <c r="B659" i="188" l="1"/>
  <c r="B660" i="188" l="1"/>
  <c r="B662" i="188" l="1"/>
  <c r="B663" i="188" l="1"/>
  <c r="B664" i="188" l="1"/>
  <c r="B666" i="188" l="1"/>
  <c r="B667" i="188" l="1"/>
  <c r="B669" i="188" l="1"/>
  <c r="B670" i="188" l="1"/>
  <c r="B671" i="188" l="1"/>
  <c r="B673" i="188" l="1"/>
  <c r="B674" i="188" l="1"/>
  <c r="B676" i="188" l="1"/>
  <c r="B677" i="188" l="1"/>
  <c r="B678" i="188" l="1"/>
  <c r="B680" i="188" l="1"/>
  <c r="B681" i="188" l="1"/>
  <c r="B683" i="188" l="1"/>
  <c r="B684" i="188" l="1"/>
  <c r="B685" i="188" l="1"/>
  <c r="B687" i="188" l="1"/>
  <c r="B688" i="188" l="1"/>
  <c r="B690" i="188" l="1"/>
  <c r="B691" i="188" l="1"/>
  <c r="B692" i="188" l="1"/>
  <c r="B694" i="188" l="1"/>
  <c r="B695" i="188" l="1"/>
  <c r="B697" i="188" l="1"/>
  <c r="B698" i="188" l="1"/>
  <c r="B699" i="188" l="1"/>
  <c r="B701" i="188" l="1"/>
  <c r="B702" i="188" l="1"/>
  <c r="B704" i="188" l="1"/>
  <c r="B705" i="188" l="1"/>
  <c r="B706" i="188" l="1"/>
  <c r="B708" i="188" l="1"/>
  <c r="B709" i="188" l="1"/>
  <c r="B711" i="188" l="1"/>
  <c r="B712" i="188" l="1"/>
  <c r="B713" i="188" l="1"/>
  <c r="B715" i="188" l="1"/>
  <c r="B716" i="188" l="1"/>
  <c r="B718" i="188" l="1"/>
  <c r="B719" i="188" l="1"/>
  <c r="B720" i="188" l="1"/>
  <c r="B722" i="188" l="1"/>
  <c r="B723" i="188" l="1"/>
  <c r="B725" i="188" l="1"/>
  <c r="B726" i="188" l="1"/>
  <c r="B727" i="188" l="1"/>
  <c r="B729" i="188" l="1"/>
  <c r="B730" i="188" l="1"/>
  <c r="B732" i="188" l="1"/>
  <c r="B733" i="188" l="1"/>
  <c r="B734" i="188" l="1"/>
  <c r="B736" i="188" l="1"/>
  <c r="B737" i="188" l="1"/>
  <c r="B739" i="188" l="1"/>
  <c r="B740" i="188" l="1"/>
  <c r="B741" i="188" l="1"/>
  <c r="B743" i="188" l="1"/>
  <c r="B744" i="188" l="1"/>
  <c r="B746" i="188" l="1"/>
  <c r="B747" i="188" l="1"/>
  <c r="B748" i="188" l="1"/>
  <c r="B750" i="188" l="1"/>
  <c r="B751" i="188" l="1"/>
  <c r="B753" i="188" l="1"/>
  <c r="B754" i="188" l="1"/>
  <c r="B755" i="188" l="1"/>
  <c r="B757" i="188" l="1"/>
  <c r="B758" i="188" l="1"/>
  <c r="B760" i="188" l="1"/>
  <c r="B761" i="188" l="1"/>
  <c r="B762" i="188" l="1"/>
  <c r="B764" i="188" l="1"/>
  <c r="B765" i="188" l="1"/>
  <c r="B767" i="188" l="1"/>
  <c r="B768" i="188" l="1"/>
  <c r="B769" i="188" l="1"/>
  <c r="B771" i="188" l="1"/>
  <c r="B772" i="188" l="1"/>
  <c r="B774" i="188" l="1"/>
  <c r="B775" i="188" l="1"/>
  <c r="B776" i="188" l="1"/>
  <c r="B778" i="188" l="1"/>
  <c r="B779" i="188" l="1"/>
  <c r="B781" i="188" l="1"/>
  <c r="B782" i="188" l="1"/>
  <c r="B783" i="188" l="1"/>
  <c r="B785" i="188" l="1"/>
  <c r="B786" i="188" l="1"/>
  <c r="B788" i="188" l="1"/>
  <c r="B789" i="188" l="1"/>
  <c r="B790" i="188" l="1"/>
  <c r="B792" i="188" l="1"/>
  <c r="B793" i="188" l="1"/>
  <c r="B795" i="188" l="1"/>
  <c r="B796" i="188" l="1"/>
  <c r="B797" i="188" l="1"/>
  <c r="B799" i="188" l="1"/>
  <c r="B800" i="188" l="1"/>
  <c r="B802" i="188" l="1"/>
  <c r="B803" i="188" l="1"/>
  <c r="B804" i="188" l="1"/>
  <c r="B806" i="188" l="1"/>
  <c r="B807" i="188" l="1"/>
  <c r="B809" i="188" l="1"/>
  <c r="B810" i="188" l="1"/>
  <c r="B811" i="188" l="1"/>
  <c r="B813" i="188" l="1"/>
  <c r="B814" i="188" l="1"/>
  <c r="B816" i="188" l="1"/>
  <c r="B817" i="188" l="1"/>
  <c r="B818" i="188" l="1"/>
  <c r="B820" i="188" l="1"/>
  <c r="B821" i="188" l="1"/>
  <c r="B823" i="188" l="1"/>
  <c r="B824" i="188" l="1"/>
  <c r="B825" i="188" l="1"/>
  <c r="B827" i="188" l="1"/>
  <c r="B828" i="188" l="1"/>
  <c r="B830" i="188" l="1"/>
  <c r="B831" i="188" l="1"/>
  <c r="C4" i="121"/>
  <c r="C28" i="121" s="1"/>
  <c r="C51" i="121" s="1"/>
  <c r="D6" i="1"/>
  <c r="E6" i="1" s="1"/>
  <c r="B6" i="95"/>
  <c r="C6" i="95" s="1"/>
  <c r="U3" i="130"/>
  <c r="U4" i="130" s="1"/>
  <c r="U5" i="130" s="1"/>
  <c r="U6" i="130" s="1"/>
  <c r="U7" i="130" s="1"/>
  <c r="U8" i="130" s="1"/>
  <c r="U9" i="130" s="1"/>
  <c r="U10" i="130" s="1"/>
  <c r="U11" i="130" s="1"/>
  <c r="U12" i="130" s="1"/>
  <c r="U13" i="130" s="1"/>
  <c r="U14" i="130" s="1"/>
  <c r="U15" i="130" s="1"/>
  <c r="U16" i="130" s="1"/>
  <c r="U17" i="130" s="1"/>
  <c r="U18" i="130" s="1"/>
  <c r="U19" i="130" s="1"/>
  <c r="U20" i="130" s="1"/>
  <c r="U21" i="130" s="1"/>
  <c r="U22" i="130" s="1"/>
  <c r="U23" i="130" s="1"/>
  <c r="U24" i="130" s="1"/>
  <c r="U25" i="130" s="1"/>
  <c r="U26" i="130" s="1"/>
  <c r="U27" i="130" s="1"/>
  <c r="U28" i="130" s="1"/>
  <c r="U29" i="130" s="1"/>
  <c r="U30" i="130" s="1"/>
  <c r="U31" i="130" s="1"/>
  <c r="U32" i="130" s="1"/>
  <c r="U33" i="130" s="1"/>
  <c r="B6" i="1"/>
  <c r="C7" i="4" s="1"/>
  <c r="D7" i="4" s="1"/>
  <c r="B5" i="4"/>
  <c r="A2" i="116"/>
  <c r="A2" i="95"/>
  <c r="A2" i="46"/>
  <c r="B6" i="46" l="1"/>
  <c r="B6" i="116" s="1"/>
  <c r="E7" i="4"/>
  <c r="F7" i="4"/>
  <c r="G7" i="4" s="1"/>
  <c r="U34" i="130"/>
  <c r="U35" i="130"/>
  <c r="U36" i="130" s="1"/>
  <c r="U37" i="130" s="1"/>
  <c r="F6" i="1"/>
  <c r="G6" i="1" s="1"/>
  <c r="H6" i="1"/>
  <c r="I6" i="1" s="1"/>
  <c r="D6" i="95"/>
  <c r="U70" i="130"/>
  <c r="U71" i="130" s="1"/>
  <c r="C6" i="46"/>
  <c r="C6" i="1"/>
  <c r="U39" i="130" l="1"/>
  <c r="U40" i="130" s="1"/>
  <c r="U41" i="130" s="1"/>
  <c r="U42" i="130" s="1"/>
  <c r="U43" i="130" s="1"/>
  <c r="U44" i="130" s="1"/>
  <c r="U38" i="130"/>
  <c r="D6" i="116"/>
  <c r="C6" i="116"/>
  <c r="U3" i="131"/>
  <c r="U4" i="131" s="1"/>
  <c r="U5" i="131" s="1"/>
  <c r="U6" i="131" s="1"/>
  <c r="U7" i="131" s="1"/>
  <c r="U8" i="131" s="1"/>
  <c r="U9" i="131" s="1"/>
  <c r="U10" i="131" s="1"/>
  <c r="U11" i="131" s="1"/>
  <c r="U12" i="131" s="1"/>
  <c r="U13" i="131" s="1"/>
  <c r="U14" i="131" s="1"/>
  <c r="U15" i="131" s="1"/>
  <c r="U16" i="131" s="1"/>
  <c r="U17" i="131" s="1"/>
  <c r="U79" i="130"/>
  <c r="U76" i="130"/>
  <c r="U73" i="130" s="1"/>
  <c r="U74" i="130" s="1"/>
  <c r="U75" i="130" s="1"/>
  <c r="U77" i="130" s="1"/>
  <c r="U78" i="130" s="1"/>
  <c r="U72" i="130" s="1"/>
  <c r="U80" i="130" s="1"/>
  <c r="U81" i="130" s="1"/>
  <c r="U82" i="130" s="1"/>
  <c r="U38" i="131" l="1"/>
  <c r="U39" i="131" l="1"/>
  <c r="U40" i="131" l="1"/>
  <c r="U42" i="131"/>
  <c r="U43" i="131" l="1"/>
  <c r="U41" i="131"/>
  <c r="U44" i="131" l="1"/>
  <c r="U45" i="1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Helbert Martinez Puerto</author>
    <author>Fabian Cardona Flor</author>
  </authors>
  <commentList>
    <comment ref="T35" authorId="0" shapeId="0" xr:uid="{3912FD4A-326C-4B71-9C17-9172F84D00A9}">
      <text>
        <r>
          <rPr>
            <b/>
            <sz val="9"/>
            <color indexed="81"/>
            <rFont val="Tahoma"/>
            <family val="2"/>
          </rPr>
          <t>Helbert Martinez Puerto:</t>
        </r>
        <r>
          <rPr>
            <sz val="9"/>
            <color indexed="81"/>
            <rFont val="Tahoma"/>
            <family val="2"/>
          </rPr>
          <t xml:space="preserve">
El calculado dio 693,64 Vs el de resolución de 693,65</t>
        </r>
      </text>
    </comment>
    <comment ref="T37" authorId="0" shapeId="0" xr:uid="{027BAB04-3BC5-4071-9E1F-2E8CE0A0FCB0}">
      <text>
        <r>
          <rPr>
            <b/>
            <sz val="9"/>
            <color indexed="81"/>
            <rFont val="Tahoma"/>
            <family val="2"/>
          </rPr>
          <t>Helbert Martinez Puerto:</t>
        </r>
        <r>
          <rPr>
            <sz val="9"/>
            <color indexed="81"/>
            <rFont val="Tahoma"/>
            <family val="2"/>
          </rPr>
          <t xml:space="preserve">
el calculado dio 679,78 vs el de resolución de 679,77</t>
        </r>
      </text>
    </comment>
    <comment ref="T38" authorId="0" shapeId="0" xr:uid="{41D2E9CE-009F-41E6-ADBA-532C617520AB}">
      <text>
        <r>
          <rPr>
            <b/>
            <sz val="9"/>
            <color indexed="81"/>
            <rFont val="Tahoma"/>
            <family val="2"/>
          </rPr>
          <t>Helbert Martinez Puerto:</t>
        </r>
        <r>
          <rPr>
            <sz val="9"/>
            <color indexed="81"/>
            <rFont val="Tahoma"/>
            <family val="2"/>
          </rPr>
          <t xml:space="preserve">
el calculado dio 884,08 vs el de resolución de 884,07</t>
        </r>
      </text>
    </comment>
    <comment ref="L64" authorId="1" shapeId="0" xr:uid="{00000000-0006-0000-0200-000001000000}">
      <text>
        <r>
          <rPr>
            <b/>
            <sz val="10"/>
            <color indexed="81"/>
            <rFont val="Tahoma"/>
            <family val="2"/>
          </rPr>
          <t>Resolución DIAN 00004 de Feb 2017</t>
        </r>
      </text>
    </comment>
    <comment ref="N67" authorId="1" shapeId="0" xr:uid="{00000000-0006-0000-0200-000002000000}">
      <text>
        <r>
          <rPr>
            <b/>
            <sz val="10"/>
            <color indexed="81"/>
            <rFont val="Tahoma"/>
            <family val="2"/>
          </rPr>
          <t>La resolución dice 1063,09</t>
        </r>
      </text>
    </comment>
    <comment ref="O68" authorId="1" shapeId="0" xr:uid="{00000000-0006-0000-0200-000003000000}">
      <text>
        <r>
          <rPr>
            <sz val="10"/>
            <color indexed="81"/>
            <rFont val="Tahoma"/>
            <family val="2"/>
          </rPr>
          <t>La Resolución DIAN  000009 28 FEB19 indicó 686,84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Diana Alfonso</author>
  </authors>
  <commentList>
    <comment ref="AE9" authorId="0" shapeId="0" xr:uid="{00000000-0006-0000-0300-000001000000}">
      <text>
        <r>
          <rPr>
            <b/>
            <sz val="8"/>
            <color indexed="81"/>
            <rFont val="Tahoma"/>
            <family val="2"/>
          </rPr>
          <t>Administrador:</t>
        </r>
        <r>
          <rPr>
            <sz val="8"/>
            <color indexed="81"/>
            <rFont val="Tahoma"/>
            <family val="2"/>
          </rPr>
          <t xml:space="preserve">
Se ajusta debido a resolución Ministerio de Minas y Energia la Resolución 180116 del 28 de enero, adjunta, por medio de la cual se modifican los precios mensuales del ACPM y de la mezcla del mismo con el biocombustible.
</t>
        </r>
      </text>
    </comment>
    <comment ref="AG58" authorId="0" shapeId="0" xr:uid="{00000000-0006-0000-0300-000002000000}">
      <text>
        <r>
          <rPr>
            <b/>
            <sz val="8"/>
            <color indexed="81"/>
            <rFont val="Tahoma"/>
            <family val="2"/>
          </rPr>
          <t>Administrador:</t>
        </r>
        <r>
          <rPr>
            <sz val="8"/>
            <color indexed="81"/>
            <rFont val="Tahoma"/>
            <family val="2"/>
          </rPr>
          <t xml:space="preserve">
Tarifa calculada por B/Km</t>
        </r>
      </text>
    </comment>
    <comment ref="AM73" authorId="1" shapeId="0" xr:uid="{00000000-0006-0000-0300-000003000000}">
      <text>
        <r>
          <rPr>
            <b/>
            <sz val="9"/>
            <color indexed="81"/>
            <rFont val="Tahoma"/>
            <family val="2"/>
          </rPr>
          <t>Diana Alfonso:</t>
        </r>
        <r>
          <rPr>
            <sz val="9"/>
            <color indexed="81"/>
            <rFont val="Tahoma"/>
            <family val="2"/>
          </rPr>
          <t xml:space="preserve">
Resolución 180324 de Marzo 28-03: FI será el valor que se reconoce por el transporte marítimo entre Cartagena y Buenaventura, siempre y cuando se utilice este medio de transporte. El valor a reconocer será de (327,72 $/Gl)</t>
        </r>
      </text>
    </comment>
    <comment ref="AQ73" authorId="1" shapeId="0" xr:uid="{00000000-0006-0000-0300-000004000000}">
      <text>
        <r>
          <rPr>
            <b/>
            <sz val="9"/>
            <color indexed="81"/>
            <rFont val="Tahoma"/>
            <family val="2"/>
          </rPr>
          <t>Diana Alfonso:</t>
        </r>
        <r>
          <rPr>
            <sz val="9"/>
            <color indexed="81"/>
            <rFont val="Tahoma"/>
            <family val="2"/>
          </rPr>
          <t xml:space="preserve">
Resolución 180324 de Marzo 28-03: FI será el valor que se reconoce por el transporte marítimo entre Cartagena y Buenaventura, siempre y cuando se utilice este medio de transporte. El valor a reconocer será de (327,72 $/Gl)</t>
        </r>
      </text>
    </comment>
    <comment ref="AM75" authorId="1" shapeId="0" xr:uid="{00000000-0006-0000-0300-000005000000}">
      <text>
        <r>
          <rPr>
            <b/>
            <sz val="9"/>
            <color indexed="81"/>
            <rFont val="Tahoma"/>
            <family val="2"/>
          </rPr>
          <t>Diana Alfonso:</t>
        </r>
        <r>
          <rPr>
            <sz val="9"/>
            <color indexed="81"/>
            <rFont val="Tahoma"/>
            <family val="2"/>
          </rPr>
          <t xml:space="preserve">
Para entregas en Buenaventura de producto importado por Ecopetrol, la tarifa máxima será la establecida para este ítem: 323 $/GL</t>
        </r>
      </text>
    </comment>
    <comment ref="AQ75" authorId="1" shapeId="0" xr:uid="{00000000-0006-0000-0300-000006000000}">
      <text>
        <r>
          <rPr>
            <b/>
            <sz val="9"/>
            <color indexed="81"/>
            <rFont val="Tahoma"/>
            <family val="2"/>
          </rPr>
          <t>Diana Alfonso:</t>
        </r>
        <r>
          <rPr>
            <sz val="9"/>
            <color indexed="81"/>
            <rFont val="Tahoma"/>
            <family val="2"/>
          </rPr>
          <t xml:space="preserve">
Para entregas en Buenaventura de producto importado por Ecopetrol, la tarifa máxima será la establecida para este ítem: 323 $/GL</t>
        </r>
      </text>
    </comment>
    <comment ref="AM80" authorId="1" shapeId="0" xr:uid="{00000000-0006-0000-0300-000007000000}">
      <text>
        <r>
          <rPr>
            <b/>
            <sz val="9"/>
            <color indexed="81"/>
            <rFont val="Tahoma"/>
            <family val="2"/>
          </rPr>
          <t>Diana Alfonso:</t>
        </r>
        <r>
          <rPr>
            <sz val="9"/>
            <color indexed="81"/>
            <rFont val="Tahoma"/>
            <family val="2"/>
          </rPr>
          <t xml:space="preserve">
Para el caso del diesel marino que se transporta a través del sistema de poliductos, será el valor adcional que se reconoce por manejo y operación en el que se incurre para transportar diesel marino desde Yumbo hacia Buenaventura. Este valor se determinó con base en el siguiente valor: Nov/03= 38,72 $/GL</t>
        </r>
      </text>
    </comment>
    <comment ref="AQ80" authorId="1" shapeId="0" xr:uid="{00000000-0006-0000-0300-000008000000}">
      <text>
        <r>
          <rPr>
            <b/>
            <sz val="9"/>
            <color indexed="81"/>
            <rFont val="Tahoma"/>
            <family val="2"/>
          </rPr>
          <t>Diana Alfonso:</t>
        </r>
        <r>
          <rPr>
            <sz val="9"/>
            <color indexed="81"/>
            <rFont val="Tahoma"/>
            <family val="2"/>
          </rPr>
          <t xml:space="preserve">
Para el caso del diesel marino que se transporta a través del sistema de poliductos, será el valor adcional que se reconoce por manejo y operación en el que se incurre para transportar diesel marino desde Yumbo hacia Buenaventura. Este valor se determinó con base en el siguiente valor: Nov/03= 38,72 $/GL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Fabian Cardona Flor (Ecopetrol S.A)</author>
    <author>User</author>
  </authors>
  <commentList>
    <comment ref="D74" authorId="0" shapeId="0" xr:uid="{8C7E7007-92E5-4709-8EA0-C8589BC9DBAA}">
      <text>
        <r>
          <rPr>
            <b/>
            <sz val="9"/>
            <color indexed="81"/>
            <rFont val="Tahoma"/>
            <family val="2"/>
          </rPr>
          <t>b2 Nacional</t>
        </r>
      </text>
    </comment>
    <comment ref="E75" authorId="1" shapeId="0" xr:uid="{00000000-0006-0000-0A00-000002000000}">
      <text>
        <r>
          <rPr>
            <b/>
            <sz val="9"/>
            <color indexed="81"/>
            <rFont val="Tahoma"/>
            <family val="2"/>
          </rPr>
          <t>User:</t>
        </r>
        <r>
          <rPr>
            <sz val="9"/>
            <color indexed="81"/>
            <rFont val="Tahoma"/>
            <family val="2"/>
          </rPr>
          <t xml:space="preserve">
TENER PRESENTE TEMA REGULATORIO DMA PACIFICO</t>
        </r>
      </text>
    </comment>
  </commentList>
</comments>
</file>

<file path=xl/sharedStrings.xml><?xml version="1.0" encoding="utf-8"?>
<sst xmlns="http://schemas.openxmlformats.org/spreadsheetml/2006/main" count="4876" uniqueCount="451">
  <si>
    <t>($/Galón)</t>
  </si>
  <si>
    <t>ITEM</t>
  </si>
  <si>
    <t> </t>
  </si>
  <si>
    <t>Ingreso al productor</t>
  </si>
  <si>
    <t>Margen mayorista</t>
  </si>
  <si>
    <t>Precio de venta en planta de abasto mayorista</t>
  </si>
  <si>
    <t>Margen minorista</t>
  </si>
  <si>
    <t>Pérdida evaporación</t>
  </si>
  <si>
    <t>Sobretasa</t>
  </si>
  <si>
    <t>Precio de venta al público</t>
  </si>
  <si>
    <t>(*)</t>
  </si>
  <si>
    <t>(**)</t>
  </si>
  <si>
    <t>ESTRUCTURA DE PRECIOS DE COMBUSTIBLES LIQUIDOS</t>
  </si>
  <si>
    <t>$/Galón</t>
  </si>
  <si>
    <t>CONCEPTO</t>
  </si>
  <si>
    <t>GASOLINA REGULAR</t>
  </si>
  <si>
    <t>ACPM</t>
  </si>
  <si>
    <t>Ingreso al Productor</t>
  </si>
  <si>
    <t>Tarifa de Transporte</t>
  </si>
  <si>
    <t>(***)</t>
  </si>
  <si>
    <t>Precio máximo de venta al Distribuidor Mayorista</t>
  </si>
  <si>
    <t xml:space="preserve"> ($/Galón)</t>
  </si>
  <si>
    <t>Gasolina Corriente</t>
  </si>
  <si>
    <t>Tarifa de Marcación</t>
  </si>
  <si>
    <t>Alcohol Carburante</t>
  </si>
  <si>
    <t xml:space="preserve">ESTRUCTURA DE PRECIOS DE COMBUSTIBLES LÍQUIDOS </t>
  </si>
  <si>
    <t>INCLUYE LA ARMADA NACIONAL VENTA LOCAL</t>
  </si>
  <si>
    <t>Precio Venta Distribuidor Final</t>
  </si>
  <si>
    <t>EN SAN ANDRES Y PROVIDENCIA INCLUYE LA ARMADA NACIONAL VENTA LOCAL</t>
  </si>
  <si>
    <t>Precio en Cartagena</t>
  </si>
  <si>
    <t>Precio en Planta de Abasto SAI</t>
  </si>
  <si>
    <t xml:space="preserve">INCLUYE LA ARMADA NACIONAL VENTA LOCAL </t>
  </si>
  <si>
    <t xml:space="preserve">PRODUCTO DESDE YUMBO (TRANSPORTE POR POLIDUCTO)      </t>
  </si>
  <si>
    <t>Precio Venta Final</t>
  </si>
  <si>
    <t xml:space="preserve">COMBUSTIBLE PARA ACTIVIDADES MARITIMAS Y PESQUERAS </t>
  </si>
  <si>
    <t>COMBUSTIBLE PARA ACTIVIDADES MARITIMAS Y PESQUERAS EN BUENAVENTURA</t>
  </si>
  <si>
    <t>Margen al distribuidor mayorista</t>
  </si>
  <si>
    <t>Margen del distribuidor minorista</t>
  </si>
  <si>
    <t>Ingreso al productor de la Gasolina Motor Corriente Oxigenada</t>
  </si>
  <si>
    <t>Precio máximo de venta al distribuidor mayorista</t>
  </si>
  <si>
    <t xml:space="preserve">Sobretasa </t>
  </si>
  <si>
    <t>Tarifa de marcación</t>
  </si>
  <si>
    <t>(*****)</t>
  </si>
  <si>
    <t>Perdida por evaporación</t>
  </si>
  <si>
    <t>Precio máximo de venta por galón incluida la sobretasa</t>
  </si>
  <si>
    <t>Precio máximo en planta de abastecimiento mayorista</t>
  </si>
  <si>
    <t xml:space="preserve">Proporción Ingreso al productor del ACPM </t>
  </si>
  <si>
    <t>Tarifa de Marcación*</t>
  </si>
  <si>
    <t>Año 2009</t>
  </si>
  <si>
    <t>Año 2010</t>
  </si>
  <si>
    <t>TABLA DE TARIFAS DE TRANSPORTE POLIDUCTOS</t>
  </si>
  <si>
    <t>IPC proyectado 2007 BanRep</t>
  </si>
  <si>
    <t>IPC proyectado 2008 BanRep</t>
  </si>
  <si>
    <t>IPC proyectado BREPUBLICA</t>
  </si>
  <si>
    <t>Resolución No. 180088 Enero 30 de 2003</t>
  </si>
  <si>
    <t>Resolución No. 18 1701 Diciembre 22 de 2003</t>
  </si>
  <si>
    <t>Año 2004</t>
  </si>
  <si>
    <t>Año 2005</t>
  </si>
  <si>
    <t>Año 2006</t>
  </si>
  <si>
    <t>Año 2006  A PARTIR DE MARZO SE MODIFICÓ TARIFA EN B/BERMEJA Y LIZAMA</t>
  </si>
  <si>
    <t>Año 2007 A partir de Febrero 1</t>
  </si>
  <si>
    <t>Año 2008 A partir de Febrero 1</t>
  </si>
  <si>
    <t>Tarifa Tramo Febrero/03 Gl</t>
  </si>
  <si>
    <t>Sitio de Entrega/Gl</t>
  </si>
  <si>
    <t>Valor barril</t>
  </si>
  <si>
    <t>Tarifa Tramo  Diciembre 22/03 Gl</t>
  </si>
  <si>
    <t>Tarifa Tramo  Febrero/04 Gl</t>
  </si>
  <si>
    <t>Tarifa Tramo  Febrero/05 Gl</t>
  </si>
  <si>
    <t>Tarifa Tramo  Febrero/07 Gl</t>
  </si>
  <si>
    <t>Tarifa Tramo  Febrero/10 Gl</t>
  </si>
  <si>
    <t>CARTAGENA  / MUELLE</t>
  </si>
  <si>
    <t>CARTAGENA / Mamonal</t>
  </si>
  <si>
    <t>CARTAGENA  / MUELLE 1 sept 2007</t>
  </si>
  <si>
    <t>CARTAGENA / Mamonal 1 sept 2007</t>
  </si>
  <si>
    <t xml:space="preserve">     GALAPA+BARANOA</t>
  </si>
  <si>
    <t>POZOS - GALAN</t>
  </si>
  <si>
    <t>COVEÑAS -GALAN</t>
  </si>
  <si>
    <t>BARRANCABERMEJA/Galán</t>
  </si>
  <si>
    <t xml:space="preserve">     B/MANGA</t>
  </si>
  <si>
    <t xml:space="preserve">     LIZAMA</t>
  </si>
  <si>
    <t xml:space="preserve">     SEBASTOPOL</t>
  </si>
  <si>
    <t xml:space="preserve">     TOCANCIPA</t>
  </si>
  <si>
    <t xml:space="preserve">     PTO. NIÑO</t>
  </si>
  <si>
    <t xml:space="preserve">     SALGAR</t>
  </si>
  <si>
    <t xml:space="preserve">     MANSILLA-CONSORCIO</t>
  </si>
  <si>
    <t xml:space="preserve">     PUENTE ARANDA</t>
  </si>
  <si>
    <t xml:space="preserve">     EL DORADO</t>
  </si>
  <si>
    <t xml:space="preserve">     MARIQUITA</t>
  </si>
  <si>
    <t xml:space="preserve">     GUALANDAY</t>
  </si>
  <si>
    <t xml:space="preserve">     NEIVA</t>
  </si>
  <si>
    <t xml:space="preserve">     LA PINTADA</t>
  </si>
  <si>
    <t xml:space="preserve">     MEDELLIN</t>
  </si>
  <si>
    <t xml:space="preserve">     GIRARDOTA</t>
  </si>
  <si>
    <t xml:space="preserve">     CARTAGO</t>
  </si>
  <si>
    <t xml:space="preserve">     BUGA</t>
  </si>
  <si>
    <t xml:space="preserve">     MULALO</t>
  </si>
  <si>
    <t xml:space="preserve">     YUMBO</t>
  </si>
  <si>
    <t>CTQS Buenavnetura **</t>
  </si>
  <si>
    <t xml:space="preserve">     BUENAVENTURA  **</t>
  </si>
  <si>
    <t>BUENAVENTURA/YUMBO</t>
  </si>
  <si>
    <t xml:space="preserve">     BUENAVENTURA cabotaje</t>
  </si>
  <si>
    <t xml:space="preserve">     MANIZALES</t>
  </si>
  <si>
    <t xml:space="preserve">     PEREIRA</t>
  </si>
  <si>
    <t>Tarifa según Resolución No. 180088 de Enero 30 de 2003</t>
  </si>
  <si>
    <t xml:space="preserve">Tarifa de tramos intermedios calculada de acuerdo al kilometraje </t>
  </si>
  <si>
    <t>Cambio tarifa tramo según Resolución No. 180209 de Febrero 27 2003</t>
  </si>
  <si>
    <t>Tarifa según Resolución No. 18 1701 de Diciembre 22 de 2003</t>
  </si>
  <si>
    <t xml:space="preserve">     BUENAVENTURA</t>
  </si>
  <si>
    <t>IPC Real 2007 BanRep</t>
  </si>
  <si>
    <t>IPC Real 2008 BanRep</t>
  </si>
  <si>
    <t xml:space="preserve">Diesel Marino </t>
  </si>
  <si>
    <t>Tarifa Vigente hasta Mar. 28/03</t>
  </si>
  <si>
    <t>Tarifa Vigente Mar. 28 a Dic. 31/03</t>
  </si>
  <si>
    <t>Tarifa Vigente 1 Ene. a Dic. 31/04</t>
  </si>
  <si>
    <t>Tarifa Vigente 1 Ene. a Dic. 31/05</t>
  </si>
  <si>
    <t>Tarifa Vigente 1 Ene. a Dic. 31/06</t>
  </si>
  <si>
    <t>Tarifa Vigente 1 Ene. a Dic. 31/07</t>
  </si>
  <si>
    <t>Tarifa Vigente 1 Ene. a Dic. 31/08</t>
  </si>
  <si>
    <t>Tarifa Vigente 1 Ene. a Dic. 31/09</t>
  </si>
  <si>
    <t>Tarifa Vigente 1 Ene. a Dic. 31/10</t>
  </si>
  <si>
    <t>Cartagena-Buenaventura (Cabotaje)</t>
  </si>
  <si>
    <t>Resolución 180324 de Marzo 28-03</t>
  </si>
  <si>
    <t>Tarifa Vigente Nov. 1 a Dic. 31/03</t>
  </si>
  <si>
    <t>Producto Importado</t>
  </si>
  <si>
    <t>Poliductos</t>
  </si>
  <si>
    <t>Tarifa Vigente hasta Febrero 28/03</t>
  </si>
  <si>
    <t>Tarifa Vigente hasta Dic. 31/04</t>
  </si>
  <si>
    <t>Entregas Buenaventura</t>
  </si>
  <si>
    <t>Tarifa Vigente Febrero 1 a Dic 31 /04</t>
  </si>
  <si>
    <t>Tarifa Vigente Febrero 1 a Dic 31 /05</t>
  </si>
  <si>
    <t>Diesel marino Yumbo - B/ventura</t>
  </si>
  <si>
    <t xml:space="preserve">** Nota: según resolución No 1817001 de diciembre 22 del 2003 el sector Buenaventura -Yumbo </t>
  </si>
  <si>
    <t xml:space="preserve">   disminuye en 30 pesos. (VIT-TEU-006379)</t>
  </si>
  <si>
    <t>Meta de inflación de 5% para 2009 y tasa de interés de intervención inalterada</t>
  </si>
  <si>
    <t>La estrategia de inflación objetivos en colombia</t>
  </si>
  <si>
    <t>La Junta Directiva del Banco de la República, en su sesión de hoy, fijó la meta de inflación para el año 2009 en el rango entre 4.5% y 5.5%, con 5% como meta puntual para efectos legales. Así mismo, fijó en 4% el punto medio del rango-meta de inflación para el año 2010 y confía que en el 2011 la inflación estará en el rango-meta de largo plazo (3% +/- 1 punto porcentual).</t>
  </si>
  <si>
    <t>Decisiones de política
Ante el anterior panorama macroeconómico, en septiembre de 2009 la Junta Directiva
del Banco de la República (JDBR) disminuyó 50 pb la tasa política, y
la dejó en 4%. En octubre mantuvo inalterada la tasa de interés de referencia y
fijó el objetivo de inflación para 2010 en la meta de largo plazo (entre 2% y 4%,
con punto medio de 3% para efectos legales). Así mismo, decidió dar una mayor
proporción de liquidez permanente para atender las necesidades de liquidez que
aumentan tradicionalmente en el fin de año. Para estos efectos comprará TES en
el mercado secundario y divisas por un monto de $3 billones.</t>
  </si>
  <si>
    <t>http://www.banrep.gov.co/documentos/publicaciones/inflacion/2009/septiembre_resumen.pdf</t>
  </si>
  <si>
    <t xml:space="preserve"> </t>
  </si>
  <si>
    <t>Ingreso al productor de la mezcla de ACPM- Biocombustible (1) (Diesel y Diesel Marino)</t>
  </si>
  <si>
    <t>BIOCOMBUSTIBLE B100</t>
  </si>
  <si>
    <t>* No aplica para aquellos agentes que estén ubicados en Zonas de Frontera.</t>
  </si>
  <si>
    <t>Año 2011</t>
  </si>
  <si>
    <t>IPC Real 2010 BanRep</t>
  </si>
  <si>
    <t>Tarifa Vigente 1 Ene. a Dic. 31/11</t>
  </si>
  <si>
    <t>LA DORADA</t>
  </si>
  <si>
    <t>Tarifa según Resolución No. 18 0989 de Junio 17 de 2011</t>
  </si>
  <si>
    <t xml:space="preserve">Proporción Ingreso al productor del Alcohol Carburante </t>
  </si>
  <si>
    <t xml:space="preserve">Proporción Ingreso al productor de la Gasolina Motor Corriente </t>
  </si>
  <si>
    <t xml:space="preserve">Proporción Tarifa de transporte por poliductos de Gasolina Motor Corriente </t>
  </si>
  <si>
    <t xml:space="preserve">Proporción tarifa de transporte del Alcohol Carburante </t>
  </si>
  <si>
    <t xml:space="preserve">Proporción Ingreso al productor del Biocombustible </t>
  </si>
  <si>
    <t>Recuperación Costos **</t>
  </si>
  <si>
    <t>Año 2012</t>
  </si>
  <si>
    <t>Tarifa Tramo  Febrero/11 Gl</t>
  </si>
  <si>
    <t>SUTAMARCHAN</t>
  </si>
  <si>
    <t>APIAY</t>
  </si>
  <si>
    <t>Tarifa según Resolución No. 124302 de Mayo 27 de 2011</t>
  </si>
  <si>
    <t>IPC Real 2011 BanRep</t>
  </si>
  <si>
    <t>Tarifa Vigente 1 Ene. a Dic. 31/12</t>
  </si>
  <si>
    <t>Banco de la República fija el rango meta de inflación para 2011 y mantiene inalterada tasa de interés de intervención</t>
  </si>
  <si>
    <t xml:space="preserve">La  Junta Directiva del Banco de la República en su sesión de hoy definió la meta de inflación de 2011 en un rango entre 2% y 4%, con 3% como meta puntual para efectos legales. </t>
  </si>
  <si>
    <t>http://www.banrep.gov.co/sala-prensa/com2010.html#05112010</t>
  </si>
  <si>
    <t>IP FACTURADO</t>
  </si>
  <si>
    <t>IP DESCUENTO</t>
  </si>
  <si>
    <t>DESCUENTO</t>
  </si>
  <si>
    <t>Tarifa Tramo  Febrero/12 Gl</t>
  </si>
  <si>
    <t>COMBUSTIBLE PARA ACTIVIDADES MARITIMAS, PESQUERAS Y ACUICULTORES</t>
  </si>
  <si>
    <t>Manejo y operación</t>
  </si>
  <si>
    <t>Precio Venta Distribuidor</t>
  </si>
  <si>
    <t>(**)  Se calculará en cada sitio de entrega habilitado dependiente de la tarifa de transporte por poliductos que le corresponda, así como el margen al distribuidor mayorista y del transporte entre la planta de abastecimiento y la estación de servicio según sea el caso.</t>
  </si>
  <si>
    <t>(****)  Se calculará de acuerdo con los señalado en el Articulo 3° del Decreto 3322 del 25 de septiembre de 2006</t>
  </si>
  <si>
    <r>
      <t xml:space="preserve">Margen plan de continuidad </t>
    </r>
    <r>
      <rPr>
        <b/>
        <vertAlign val="superscript"/>
        <sz val="11"/>
        <rFont val="Arial"/>
        <family val="2"/>
      </rPr>
      <t>(a)</t>
    </r>
  </si>
  <si>
    <t xml:space="preserve">Margen mayorista </t>
  </si>
  <si>
    <t xml:space="preserve">Margen minorista </t>
  </si>
  <si>
    <t>(****)</t>
  </si>
  <si>
    <t>(***)  Se calculará  en cada sitio de entrega habilitado dependiendo de las tarifas de transporte por poliductos y de alcohol que le corresponda, así como del margen al distribuidor mayorista y del transporte entre la planta de abastecimiento mayorista a la estación de servicio,  según sea el caso.</t>
  </si>
  <si>
    <t>(****)  Se calcularán y ajustaran a lo señalado en el Articulo 2° de la Resolución 18 1549 del 29 de noviembre de 2004, en el Articulo 1° de la Resolución 18 0769 del 29 de mayo de 2007, en la Resolución 18 1837 del 4 de noviembre de 2011 y en el articulo 1° y 3° de la Resolución 18 2336 del 28 de diciembre de 2011, Resolución número 18 1254 del 30 de julio de 2012.</t>
  </si>
  <si>
    <t>(*****)  Se calculará de acuerdo con los señalado en el Articulo 3° del Decreto 3322 del 25 de septiembre de 2006</t>
  </si>
  <si>
    <t>Transporte planta de abasto a estación de servicio</t>
  </si>
  <si>
    <r>
      <t>Margen plan de continuidad</t>
    </r>
    <r>
      <rPr>
        <b/>
        <vertAlign val="superscript"/>
        <sz val="11"/>
        <rFont val="Arial"/>
        <family val="2"/>
      </rPr>
      <t xml:space="preserve"> (a)</t>
    </r>
  </si>
  <si>
    <t>(**)  Se calculará  en cada sitio de entrega habilitado dependiendo de las tarifas de transporte por poliductos y de alcohol que le corresponda, así como del margen al distribuidor mayorista y del transporte entre la planta de abastecimiento mayorista a la estación de servicio,  según sea el caso.</t>
  </si>
  <si>
    <t>Tarifa de transporte por poliductos y/o manejo</t>
  </si>
  <si>
    <t>Proporción Tarifa de transporte por poliductos (*)</t>
  </si>
  <si>
    <t>Tarifa de transporte del biocombustible (**)</t>
  </si>
  <si>
    <t>(***)  Se calculará en cada sitio de entrega habilitado dependiente de la tarifa de transporte por poliductos que le corresponda, así como el margen al distribuidor mayorista y del transporte entre la planta de abastecimiento y la estación de servicio según sea el caso.</t>
  </si>
  <si>
    <t>Transporte de la planta de abastecimiento mayorista a estación</t>
  </si>
  <si>
    <t>Estos ítems se publican como una referencia y se calculan de acuerdo con lo dispuesto en las Resoluciones 18356, 18357, Y 18358 del 31 de octubre de 2003</t>
  </si>
  <si>
    <r>
      <t>Transporte por poliducto (</t>
    </r>
    <r>
      <rPr>
        <sz val="9"/>
        <rFont val="Arial"/>
        <family val="2"/>
      </rPr>
      <t>entregas Cartagena)</t>
    </r>
  </si>
  <si>
    <r>
      <t xml:space="preserve">Margen plan de continuidad </t>
    </r>
    <r>
      <rPr>
        <vertAlign val="superscript"/>
        <sz val="11"/>
        <rFont val="Arial"/>
        <family val="2"/>
      </rPr>
      <t>(a)</t>
    </r>
  </si>
  <si>
    <t>(**) Resolución 18 2336 del 28 de diciembre de 2011</t>
  </si>
  <si>
    <t>(****) Manejo de combustible y operación en los muelles utilizados por el distribuidor Mayorista en Cartagena y San Andrés, Resoluciones 18356, 18357 y 18358 de octubre 31 de 2003</t>
  </si>
  <si>
    <t>Tarifa de Transporte poliductos (*)</t>
  </si>
  <si>
    <t>Cabotaje Cartagena -San Andres</t>
  </si>
  <si>
    <t>(**) Manejo de combustible y operación en los muelles utilizados por el distribuidor Mayorista en Cartagena y San Andrés, Resoluciones 18356 y 18357 de octubre 31 de 2003</t>
  </si>
  <si>
    <t xml:space="preserve">Operación Muelle </t>
  </si>
  <si>
    <t>Tarifa de Transporte y manejo (*)</t>
  </si>
  <si>
    <t xml:space="preserve">DIESEL MARINO 2                 </t>
  </si>
  <si>
    <r>
      <t xml:space="preserve">Ingreso al Productor </t>
    </r>
    <r>
      <rPr>
        <sz val="9"/>
        <rFont val="Arial"/>
        <family val="2"/>
      </rPr>
      <t>(B2 sin destino a mezcla)</t>
    </r>
  </si>
  <si>
    <t>*** Tarifa según punto de entrega, la cual podrá ser  acordada con cada cliente. En Pozos Colorados Ecopetrol entregaría directamente como importador, aplica IVA para las ventas a empresas generadores de energía en zonas interconectadas y ventas a GCINI. En Cartagena y Barrancabermeja entrega el distribuidor mayorista</t>
  </si>
  <si>
    <r>
      <t xml:space="preserve">Ingreso al productor de ACPM puro </t>
    </r>
    <r>
      <rPr>
        <vertAlign val="superscript"/>
        <sz val="11"/>
        <rFont val="Arial"/>
        <family val="2"/>
      </rPr>
      <t>(1)</t>
    </r>
  </si>
  <si>
    <t>Proporción Tarifa de Transporte del B100 (****)</t>
  </si>
  <si>
    <t>Tarifa de entrega local y/o tarifa poliducto (***)</t>
  </si>
  <si>
    <t>**** Se calculará y ajustará de acuerdo a lo señalado en las resoluciones 181661 del 23 de Octubre de 2007 , 181639 del 29 de septiembre de 2008, 180294 del 26 de febrero de 2009 y 181452 del 27 de Agosto de 2009.</t>
  </si>
  <si>
    <t>Precio de venta al distribuidor Mayorista</t>
  </si>
  <si>
    <t>(***) Transporte de cabotaje entre la ciudad de Cartagena y el Puerto de San Andrés, Resolución 181014 del 11 de Junio de 2010</t>
  </si>
  <si>
    <t>Resoluciones 181190 de noviembre 12 de 2012 y 180091 de enero 25 de 2012.</t>
  </si>
  <si>
    <t>(*) Transporte de cabotaje entre la ciudad de Cartagena y el Puerto de San Andrés, Resolución 181014 del 11 de Junio de 2010</t>
  </si>
  <si>
    <t>DIESEL MARINO CON CUPO (ART 174 LEY 1607/12)</t>
  </si>
  <si>
    <t>B4 para B10  (con cupo y descuento)</t>
  </si>
  <si>
    <t>Impuesto sobre las Ventas</t>
  </si>
  <si>
    <t>RIO SOGAMOSO</t>
  </si>
  <si>
    <t>CHICHIMENE - APIAY</t>
  </si>
  <si>
    <t>Estructura de tarifas de transporte de Diesel Marino en Buenaventura</t>
  </si>
  <si>
    <t>Año 2013</t>
  </si>
  <si>
    <t>Tarifa Tramo  Febrero/13 Gl</t>
  </si>
  <si>
    <t>IPC Real 2012 BanRep</t>
  </si>
  <si>
    <t xml:space="preserve">Tarifa Vigente </t>
  </si>
  <si>
    <t>Tarifa Vigente</t>
  </si>
  <si>
    <t>(*) Tener en cuenta lo establecido en Parágrafo 1° del Artículo 167 de la Ley 1607.</t>
  </si>
  <si>
    <r>
      <t xml:space="preserve">Tarifa de Marcación </t>
    </r>
    <r>
      <rPr>
        <vertAlign val="superscript"/>
        <sz val="11"/>
        <rFont val="Arial"/>
        <family val="2"/>
      </rPr>
      <t>(b)</t>
    </r>
  </si>
  <si>
    <t xml:space="preserve">(b)  No aplica tarifa de marcacón para el diesel marino con destino generación electrica </t>
  </si>
  <si>
    <t>(a)  Dicho margen está dirigido a remunerar a CENIT Transporte y Logística de Hidrocarburos S.A.S. en la forma establecida en la Resolución 90228 del 1° de Abril de 2013.</t>
  </si>
  <si>
    <t>PRECIO ESPECIAL DIESEL MARINO (DECRETO 753/13)(***)</t>
  </si>
  <si>
    <t>PRECIO ESPECIAL DIESEL MARINO CON CUPO (DECRETO 753/13)(***)</t>
  </si>
  <si>
    <t xml:space="preserve">(***) Mediante el Decreto 753 del 17 de abril de 2013, el Gobierno Nacional expidió el programa San Andrés, Providencia y Santa Catalina Fase II, señalado como uno de los proyectos a implementar para la promoción y el fortalecimiento de la extracción pesquera, con el fin de mantener la generación de empleos directos e indirectos en el Archipiélago, mediante el abastecimiento del combustible requerido por las embarcaciones para las faenas.    El beneficio económico establecido es por una suma de hasta novecientos catorce millones de pesos ($914,000,000)M/Cte para apoyar dicho propósito representado en un menor valor en el diesel marino que se vende a cada embarcación pesquera en el Archipiélago de San Andrés. </t>
  </si>
  <si>
    <t xml:space="preserve">(*****)  Los precios de facturación son los vigentes en la fecha de despacho del producto y pueden variar sin previo aviso </t>
  </si>
  <si>
    <t>DIESEL MARINO CON CUPO (ART 174 LEY 1607/12) CON DESCUENTO****</t>
  </si>
  <si>
    <t>**** Vigente a partir del 2 de enero de 2014. Resolución 90002 de 2014</t>
  </si>
  <si>
    <t>Año 2014</t>
  </si>
  <si>
    <t>(*****)  Corresponde al costo máximo del transporte  a través del sistema de poliductos, definido en la Resolución 18 088 del 30 de enero de 2003, modificada por las resoluciones 18 1701, 18 0320, 181300 y 18 0989, del 22 de diciembre de 2003, 27 de febrero de 2006, 23 de agosto de 2007 y 17 de junio de 2011, respectivamente</t>
  </si>
  <si>
    <t>Año 2015</t>
  </si>
  <si>
    <t>IPC Real 2013 BanRep</t>
  </si>
  <si>
    <t>IPC Real 2014 BanRep</t>
  </si>
  <si>
    <t>Año 2016</t>
  </si>
  <si>
    <t>IPC Real 2015 BanRep</t>
  </si>
  <si>
    <t>Ingreso al Productor de DIESEL para Grandes Consumidores Individuales no Intermediarios (GCINI) de Diesel y Diesel Marino</t>
  </si>
  <si>
    <t>Impuesto al carbono</t>
  </si>
  <si>
    <t>Fuel Oil</t>
  </si>
  <si>
    <t>Año 2017</t>
  </si>
  <si>
    <t>IPC Real 2016 BanRep</t>
  </si>
  <si>
    <r>
      <t xml:space="preserve">Impuesto Nacional a la Gasolina y al ACPM </t>
    </r>
    <r>
      <rPr>
        <vertAlign val="superscript"/>
        <sz val="11"/>
        <rFont val="Arial"/>
        <family val="2"/>
      </rPr>
      <t>(*)( c )</t>
    </r>
  </si>
  <si>
    <t>normas que lo modifiquen o sustituyan, considerando la tarifa general del impuesto sobre las ventas que corresponde al 19%. El valor final se obtiene aplicando dicha tarifa sobre</t>
  </si>
  <si>
    <t>el IP fósil considerando el nivel de mezcla con biocombustible respectivo, si hay lugar.</t>
  </si>
  <si>
    <t>(3) Es el valor que se obtiene conforme se establece en el Artículo 467 del Estatuto Tributario, modificado por el Artículo 183 de la Ley 1819 del 29 de diciembre de 2016, a las</t>
  </si>
  <si>
    <t>(3)</t>
  </si>
  <si>
    <t>B2</t>
  </si>
  <si>
    <t>B2 SIN DESTINO A MEZCLA (B/VENTURA)</t>
  </si>
  <si>
    <t>DIESEL  (B/VENTURA)</t>
  </si>
  <si>
    <t>PRODUCTO</t>
  </si>
  <si>
    <t>Año 2018</t>
  </si>
  <si>
    <t>Año 2019</t>
  </si>
  <si>
    <t>ok</t>
  </si>
  <si>
    <t xml:space="preserve">Gasolina Corriente Base para Oxigenar </t>
  </si>
  <si>
    <t>(3) Es el valor que se obtiene conforme se establece en el Artículo 467 del Estatuto Tributario, modificado por el Artículo 183 de la Ley 1819 del 29 de diciembre de 2016 y el artículo 74 de la Ley 1955 del 25 de mayo de 2019, o las normas que lo modifiquen o sustituyan, considerando que dentro de los bienes gravados con la tarifa del 5% prevista en el articulo 468-1 del Estatuto Tributario, se incliuyo el ingreso al productor en la venta de gasolina y ACPM. El valor final se obtiene aplicando dicha tarifa sobre el IP fósil considerando el nivel de mezcla con biocombustible respectivo, si hay lugar.</t>
  </si>
  <si>
    <r>
      <t xml:space="preserve">Biodiesel B2 con destino a mezcla  /   </t>
    </r>
    <r>
      <rPr>
        <b/>
        <sz val="11"/>
        <color theme="8" tint="0.39997558519241921"/>
        <rFont val="Arial"/>
        <family val="2"/>
      </rPr>
      <t>B2T</t>
    </r>
  </si>
  <si>
    <t>(3) Es el valor que se obtiene conforme se establece en el Artículo 467 del Estatuto Tributario, modificado por el Artículo 183 de la Ley 1819 del 29 de diciembre de 2016 y el artículo 74 de la Ley 1955 del 25 de mayo de 2019, o las normas que lo modifiquen o sustituyan, considerando que dentro de los bienes gravados con la tarifa del 5% prevista en el articulo 468-1 del Estatuto Tributario, se incliuyo el ingreso al productor en la venta de gasolina y ACPM. El valor final se obtiene aplicando dicha tarifa sobre el IP fósil considerando el nivel de mezcla con biocombustible respectivo, si hay lugar.artículo 74 de la Ley 1955 del 25 de mayo de 2019, o las normas que lo modifiquen o sustituyan, considerando que dentro de los bienes gravados con la tarifa del 5% prevista en el articulo 468-1 del Estatuto Tributario, se incliuyo el ingreso al productor en la venta de gasolina y ACPM. El valor final se obtiene aplicando dicha tarifa sobre el IP fósil considerando el nivel de mezcla con biocombustible respectivo, si hay lugar.</t>
  </si>
  <si>
    <t>(3) Es el valor que se obtiene conforme se establece en el Artículo 467 del Estatuto Tributario, modificado por el Artículo 183 de la Ley 1819 del 29 de diciembre de 2016, a las normas que lo modifiquen o sustituyan, considerando la tarifa general del impuesto sobre las ventas que corresponde al 19%. El valor final se obtiene aplicando dicha tarifa sobre el IP fósil considerando el nivel de mezcla con biocombustible respectivo, si hay lugar.</t>
  </si>
  <si>
    <t>Ingreso al productor de la mezcla de ACPM- Biocombustible (B2, B12)</t>
  </si>
  <si>
    <t xml:space="preserve"> B2  (con cupo y descuento)</t>
  </si>
  <si>
    <t>(*) Resolución 180324 de marzo 28 de 2003. La tarifa podrá ser consultada en la página de CENIT</t>
  </si>
  <si>
    <t>DMA SAN ANDRES</t>
  </si>
  <si>
    <t>por galón para gasolina motor corriente</t>
  </si>
  <si>
    <t>por galón para ACPM</t>
  </si>
  <si>
    <t>Medida estabilización del ingreso al productor Resolución Ministerio de Hacienda y Crédito Público</t>
  </si>
  <si>
    <t>(3) Es el valor que se obtiene conforme se establece en el Artículo 467 del Estatuto Tributario, modificado por el Artículo 183 de la Ley 1819 del 29 de diciembre de 2016 y el artículo 74 de la Ley 1955 del 25 de mayo de 2019, o las normas que lo modifiquen o sustituyan, considerando que dentro de los bienes gravados con la tarifa del 5% prevista en el articulo 468-1 del Estatuto Tributario, se incluyo el ingreso al productor en la venta de gasolina y ACPM; y a lo establecido en el decreto 575 del 15 de abril de 2020. El valor final se obtiene aplicando dicha tarifa sobre el IP fósil considerando el nivel de mezcla con biocombustible respectivo, si hay lugar.</t>
  </si>
  <si>
    <t xml:space="preserve">(4) Precio sujeto a variación, a la fecha se encuentra en verificación de aspectos tributarios concernientes a la importación en virtud a lo establecido en el decreto 575 del 15 de abril de 2020. Se encuentra en verificación el IVA aplicable para importación del Avgas conforme al Concepto DIAN 100208221-624 de la Subdirección de Gestión Normativa y Doctrina.
 </t>
  </si>
  <si>
    <t>AVGAS</t>
  </si>
  <si>
    <t>Diesel 
(ACPM-ACEM)</t>
  </si>
  <si>
    <t xml:space="preserve">(d) Importado 1:  El precio publicado, corresponde al precio de venta para clientes de ECOPETROL con contrato hasta el 105% de lo asignado. </t>
  </si>
  <si>
    <t>(e) Importado 2: El precio publicado, corresponde al precio de venta para clientes de ECOPETROL con contrato por encima del 105% de lo asignado</t>
  </si>
  <si>
    <r>
      <t xml:space="preserve">Nacional 1 </t>
    </r>
    <r>
      <rPr>
        <b/>
        <vertAlign val="superscript"/>
        <sz val="11"/>
        <color theme="0"/>
        <rFont val="Arial"/>
        <family val="2"/>
      </rPr>
      <t>(b)</t>
    </r>
  </si>
  <si>
    <r>
      <t xml:space="preserve">Nacional 2 </t>
    </r>
    <r>
      <rPr>
        <b/>
        <vertAlign val="superscript"/>
        <sz val="11"/>
        <color theme="0"/>
        <rFont val="Arial"/>
        <family val="2"/>
      </rPr>
      <t>(c)</t>
    </r>
  </si>
  <si>
    <t>(c) Nacional 2: corresponde al Ingreso al Productor AVGAS de venta para clientes de ECOPETROL con contrato por encima del 105% de lo asignado.</t>
  </si>
  <si>
    <t xml:space="preserve">(b) Nacional 1: corresponde al Ingreso al Productor AVGAS para clientes de ECOPETROL con contrato hasta el 105% de lo asignado. </t>
  </si>
  <si>
    <t>PARA HACER EL CHEQUEO, TOMAR EL PRECIO DEL DIESEL * 98% Y LUEGO POR EL 77%</t>
  </si>
  <si>
    <t>CHECK</t>
  </si>
  <si>
    <t>En el sistema cargamos es un descuento</t>
  </si>
  <si>
    <r>
      <t>Importado 1</t>
    </r>
    <r>
      <rPr>
        <b/>
        <vertAlign val="superscript"/>
        <sz val="8.8000000000000007"/>
        <color theme="0"/>
        <rFont val="Arial"/>
        <family val="2"/>
      </rPr>
      <t xml:space="preserve"> </t>
    </r>
    <r>
      <rPr>
        <b/>
        <vertAlign val="superscript"/>
        <sz val="11"/>
        <color theme="0"/>
        <rFont val="Arial"/>
        <family val="2"/>
      </rPr>
      <t>(d)</t>
    </r>
  </si>
  <si>
    <r>
      <t>Importado</t>
    </r>
    <r>
      <rPr>
        <b/>
        <sz val="8"/>
        <color theme="0"/>
        <rFont val="Arial"/>
        <family val="2"/>
      </rPr>
      <t xml:space="preserve"> 2</t>
    </r>
    <r>
      <rPr>
        <b/>
        <sz val="11"/>
        <color theme="0"/>
        <rFont val="Arial"/>
        <family val="2"/>
      </rPr>
      <t xml:space="preserve"> </t>
    </r>
    <r>
      <rPr>
        <b/>
        <vertAlign val="superscript"/>
        <sz val="11"/>
        <color theme="0"/>
        <rFont val="Arial"/>
        <family val="2"/>
      </rPr>
      <t>(e)</t>
    </r>
  </si>
  <si>
    <t>CHEQUEO</t>
  </si>
  <si>
    <t>X</t>
  </si>
  <si>
    <t>IP B2</t>
  </si>
  <si>
    <t>N/A</t>
  </si>
  <si>
    <t>IPC</t>
  </si>
  <si>
    <t>GMC</t>
  </si>
  <si>
    <t>GE</t>
  </si>
  <si>
    <t>Otros</t>
  </si>
  <si>
    <t>Año vigencia</t>
  </si>
  <si>
    <t>Base ($/gl)</t>
  </si>
  <si>
    <t>Producto</t>
  </si>
  <si>
    <t>SAN ANDRES</t>
  </si>
  <si>
    <t>Diesel Pesqueros</t>
  </si>
  <si>
    <t>Gas Natural</t>
  </si>
  <si>
    <t>GLP</t>
  </si>
  <si>
    <t>1. Impuesto Nacional ACPM y Gasolina</t>
  </si>
  <si>
    <t>3. Impuesto al Carbono</t>
  </si>
  <si>
    <t>2. Impuesto Nacional ACPM y Gasolina Archipielago San Andres</t>
  </si>
  <si>
    <t>Tarifa $/ton CO2</t>
  </si>
  <si>
    <t>*Se ajusta cada primero de Febrero</t>
  </si>
  <si>
    <t>**** Vigente a partir del 2 de enero de 2014. Resolución 90002 de 2014
**** Resolución 40391 del 15 Diciembre de 2021</t>
  </si>
  <si>
    <t>4. Sobretasa Gasolina ACPM</t>
  </si>
  <si>
    <t>5. Tarifa de marcación</t>
  </si>
  <si>
    <t>Resolución 91349 de 2014</t>
  </si>
  <si>
    <t>ACPM mezclado con Bio</t>
  </si>
  <si>
    <t>ACPM mezclado con Bio ZF</t>
  </si>
  <si>
    <t>Gasolina, ACPM</t>
  </si>
  <si>
    <t>*Se ajusta cada primero de Febrero con resolución DIAN</t>
  </si>
  <si>
    <t>CON DESTINO A SAN ANDRÉS PARA GENERACION ELÉCTRICA</t>
  </si>
  <si>
    <t>Recuperación de costos y Costos de Cesión: Resolución MME 90302 de 2013, se deben actualizar cada 1º de febrero, con base en el índice de precios al consumidor del año inmediatamente anterior</t>
  </si>
  <si>
    <t>6. Recuperación de costos</t>
  </si>
  <si>
    <t>DIESEL MARINO DM2  CON CUPO (ART 174 LEY 1607/12) CON DESCUENTO****</t>
  </si>
  <si>
    <t xml:space="preserve">DIESEL MARINO DM2 CON CUPO Y DESCUENTO </t>
  </si>
  <si>
    <t>DIESEL MARINO DM2 CON CUPO</t>
  </si>
  <si>
    <t>DIESEL MARINO DM0</t>
  </si>
  <si>
    <t>DIESEL NACIONAL</t>
  </si>
  <si>
    <t>B2 PARA B10 NACIONAL</t>
  </si>
  <si>
    <t>Sobretasa (5)</t>
  </si>
  <si>
    <t>(5) La sobrestasa se determina de acuerdo con la Ley 2093 del 29 Junio 2021 por medio de la cual se modifican las Leyes 488 de 1998 y 788 de 2002</t>
  </si>
  <si>
    <t>(5)</t>
  </si>
  <si>
    <t>(5) El rubro de sobrestasa se determina de acuerdo con la Ley 2093 del 29 Junio 2021 por medio de la cual se modifican las Leyes 488 de 1998 y 788 de 2002</t>
  </si>
  <si>
    <t>Ley 2093 del 29 Junio 2021 por medio de la cual se modifican las Leyes 488 de 1998 y 788 de 2002</t>
  </si>
  <si>
    <t>(**) Se calculará y ajustará de acuerdo a lo señalado en la Resolución 41277 del 30 Diciembre de 2016 y las normas que la modifiquen, adicionen o sustituyan</t>
  </si>
  <si>
    <t>(*)  Es el valor establecido por la Resolución 41276 del 30 Diciembre de 2016 y las normas que la modifiquen, adicionen o sustituyan</t>
  </si>
  <si>
    <t>(*)  Corresponde al costo máximo del transporte establecido por la Resolución 41276 del 30 Diciembre de 2016 y las normas que la modifiquen, adicionen o sustituyan
La tarifa de manejo para el AVGAS se encuentra especificada en los contratos respectivos</t>
  </si>
  <si>
    <t>(*)  Corresponde al costo máximo del transporte establecido por la Resolución 41276 del 30 Diciembre de 2016 y las normas que la modifiquen, adicionen o sustituyan</t>
  </si>
  <si>
    <t>(*) Corresponde al costo máximo del transporte  a través del sistema de poliductos definido establecido por la Resolución 41276 del 30 Diciembre de 2016 y las normas que la modifiquen, adicionen o sustituyan. Se debe tener en cuenta el transporte del biocombustible en los casos que aplique.</t>
  </si>
  <si>
    <t>(**)  Definido por la Resolución 41277 de diciembre de 2016 y las normas que la modifiquen, adicionen o sustituyan</t>
  </si>
  <si>
    <t>https://www.banrep.gov.co/es/junta-directiva-del-banco-republica-mantiene-meta-inflacion-3-para-2022</t>
  </si>
  <si>
    <t>Impuesto Nacional a la Gasolina y al ACPM</t>
  </si>
  <si>
    <t>(***)  Se calcularán y ajustaran a lo señalado en el Articulo 2° de la Resolución 18 1549 del 29 de noviembre de 2004, en el Articulo 1° de la Resolución 18 0769 del 29 de mayo de 2007, en la Resolución 18 1837 del 4 de noviembre de 2011 y en el articulo 1° y 3° de la Resolución 18 2336 del 28 de diciembre de 2011, Resolución número 18 1254 del 30 de julio de 2012. Aplica lo dispuesto en la Resolución 40191 de 09 de julio de 2020 y las normas que la modifiquen, adicionen o sustituyan.</t>
  </si>
  <si>
    <t>(5) El rubro de sobrestasa se determina de acuerdo con la Ley 2093 del 29 Junio 2021 por medio de la cual se modifican las Leyes 488 de 1998 y 788 de 2002
La tarifa de Marcación: corresponde al valor establecido por la Resolución 91349 del 28 de Noviembre de 2014 y las normas que la modifiquen o sustituyan</t>
  </si>
  <si>
    <r>
      <rPr>
        <b/>
        <sz val="12"/>
        <color indexed="10"/>
        <rFont val="Calibri"/>
        <family val="2"/>
      </rPr>
      <t>NOTA INFORMATIVA: 
Esta publicación tiene fines netamente ilustrativos. La misma pretende reflejar los precios aplicables de los distribuidores mayoristas y minoristas, acorde con las disposiciones establecidas por el Ministerio de Minas y Energía y las autoridades locales y municipales.
En el caso de presentarse cualquier discrepancia prevalece lo establecido por las autoridades mencionadas, lo cual debe ser verificado permanentemente por todos los agentes de la cadena de distribución de los combustibles líquidos.
Esta publicación puede cambiar sin previo aviso.</t>
    </r>
  </si>
  <si>
    <r>
      <rPr>
        <b/>
        <sz val="14"/>
        <color indexed="10"/>
        <rFont val="Calibri"/>
        <family val="2"/>
      </rPr>
      <t>NOTA INFORMATIVA: 
Esta publicación tiene fines netamente ilustrativos. La misma pretende reflejar los precios aplicables de los distribuidores mayoristas y minoristas, acorde con las disposiciones establecidas por el Ministerio de Minas y Energía y las autoridades locales y municipales.
En el caso de presentarse cualquier discrepancia prevalece lo establecido por las autoridades mencionadas, lo cual debe ser verificado permanentemente por todos los agentes de la cadena de distribución de los combustibles líquidos.
Esta publicación puede cambiar sin previo aviso.</t>
    </r>
  </si>
  <si>
    <r>
      <rPr>
        <b/>
        <sz val="13"/>
        <color indexed="10"/>
        <rFont val="Calibri"/>
        <family val="2"/>
      </rPr>
      <t>NOTA INFORMATIVA: 
Esta publicación tiene fines netamente ilustrativos. La misma pretende reflejar los precios aplicables de los distribuidores mayoristas y minoristas, acorde con las disposiciones establecidas por el Ministerio de Minas y Energía y las autoridades locales y municipales.
En el caso de presentarse cualquier discrepancia prevalece lo establecido por las autoridades mencionadas, lo cual debe ser verificado permanentemente por todos los agentes de la cadena de distribución de los combustibles líquidos.
Esta publicación puede cambiar sin previo aviso.</t>
    </r>
  </si>
  <si>
    <t xml:space="preserve">(3) Es el valor que se obtiene conforme se establece en el Artículo 467 del Estatuto Tributario, modificado por el Artículo 183 de la Ley 1819 del 29 de diciembre de 2016 y el artículo 74 de la Ley 1955 del 25 de mayo de 2019, o las normas que lo modifiquen o sustituyan, considerando que dentro de los bienes gravados con la tarifa del 5% prevista en el articulo 468-1 del Estatuto Tributario, se incliuyo el ingreso al productor en la venta de gasolina y ACPM. El valor final se obtiene aplicando dicha tarifa sobre el IP fósil considerando el nivel de mezcla con biocombustible respectivo, si hay lugar.
</t>
  </si>
  <si>
    <t>-La tarifa de Marcación: corresponde al valor establecido por la Resolución 91349 del 28 de Noviembre de 2014 y las normas que la modifiquen o sustituyan</t>
  </si>
  <si>
    <t>(1) El Ingreso al Productor se calcula de acuerdo con lo dispuesto en el Decreto 1073 de 2015</t>
  </si>
  <si>
    <t>Gasolina Extra Nacional</t>
  </si>
  <si>
    <t>(**)  Se calculará como del costo máximo de transporte de alcohol carburante entre las plantas destiladoras de dicho producto, ubicadas en el suroccidente del país y el eje cafetero, y las plantas de abastecimiento mayorista en las cuales se realizará la mezcla, de acuerdo con la Resolución 18 1088 del 23 de agosto de 2005 y la Resolución 40079 de Febrero de 2018 y las normas que la modifiquen, adicionen o sustituyan.</t>
  </si>
  <si>
    <t>(*) Se calculará en cada sitio de entrega como e 90%, 94%, 96%, o 100% según corresponda del costo máximo del transporte de la gasolina motor corriente a través del sistema de poliductos, definido en la Resolución 180088 de 30 de enero de 2003, modificada por las resoluciones 181701, 180230, 181300 y 180989 del 22 de diciembre de 2003, 27 de febrero de 2006, 23 de agosto de 2007 y 17 de junio de 2011, respectivamente.</t>
  </si>
  <si>
    <t>En el año 2023 se ajusto a partir del 1 de Enero 2023 de acuerdo con la Ley 2277 Dic 2022</t>
  </si>
  <si>
    <t>Jet</t>
  </si>
  <si>
    <t>(f) Precio Gasolina extra clientes con contrato</t>
  </si>
  <si>
    <t>(g) Precio Gasolina extra clientes sin contrato (spot)</t>
  </si>
  <si>
    <t>(f) Precio Gasolina extra clientes con contrato
(g) Precio Gasolina extra clientes sin contrato (spot)</t>
  </si>
  <si>
    <t>Ecopetrol/Reficar SIN contrato (g)</t>
  </si>
  <si>
    <t>Ecopetrol/Reficar CON contrato (f)</t>
  </si>
  <si>
    <t xml:space="preserve">Gasolina Extra  Base para Oxigenar Ecopetrol/Reficar CON contrato </t>
  </si>
  <si>
    <t xml:space="preserve">Gasolina Extra  Base para Oxigenar Ecopetrol/Reficar SIN contrato </t>
  </si>
  <si>
    <t>ok  ok  ok</t>
  </si>
  <si>
    <t>ok ok  ok</t>
  </si>
  <si>
    <t>GASOLINA EXTRA CON CONTRATO</t>
  </si>
  <si>
    <t>GASOLINA EXTRA SIN CONTRATO</t>
  </si>
  <si>
    <t>Clase de condición</t>
  </si>
  <si>
    <t>Tabla de condición</t>
  </si>
  <si>
    <t>Organización de Ventas</t>
  </si>
  <si>
    <t>Canal de distribución</t>
  </si>
  <si>
    <t>Sector</t>
  </si>
  <si>
    <t>Centro</t>
  </si>
  <si>
    <t>Ruta</t>
  </si>
  <si>
    <t>Condición de Pago</t>
  </si>
  <si>
    <t>Destinatario</t>
  </si>
  <si>
    <t>Oficina de Venta</t>
  </si>
  <si>
    <t>Rappels en ventas</t>
  </si>
  <si>
    <t>Cliente</t>
  </si>
  <si>
    <t>Utilización</t>
  </si>
  <si>
    <t>pagado-numero de cliente</t>
  </si>
  <si>
    <t>Material SAP</t>
  </si>
  <si>
    <t>Importe</t>
  </si>
  <si>
    <t>Moneda de condición</t>
  </si>
  <si>
    <t>Cantidad Base</t>
  </si>
  <si>
    <t>Unidad de Medida</t>
  </si>
  <si>
    <t>Regla de Cálculo</t>
  </si>
  <si>
    <t>Valido de</t>
  </si>
  <si>
    <t>Vali hasta</t>
  </si>
  <si>
    <t>ZPRA</t>
  </si>
  <si>
    <t>CO01</t>
  </si>
  <si>
    <t>CO2</t>
  </si>
  <si>
    <t>UG6</t>
  </si>
  <si>
    <t>ZPRB</t>
  </si>
  <si>
    <t>Z01</t>
  </si>
  <si>
    <t>Z05</t>
  </si>
  <si>
    <t>ZPRE</t>
  </si>
  <si>
    <t>Z15</t>
  </si>
  <si>
    <t>MNAL</t>
  </si>
  <si>
    <t>ZMCA</t>
  </si>
  <si>
    <t>Z21</t>
  </si>
  <si>
    <t>Z08</t>
  </si>
  <si>
    <t>Z45</t>
  </si>
  <si>
    <t>COP</t>
  </si>
  <si>
    <t>Z32</t>
  </si>
  <si>
    <t>GL8</t>
  </si>
  <si>
    <t>ZPES</t>
  </si>
  <si>
    <t>Z00022</t>
  </si>
  <si>
    <t>Z07</t>
  </si>
  <si>
    <t>Z11</t>
  </si>
  <si>
    <t>Z44</t>
  </si>
  <si>
    <t>Z18</t>
  </si>
  <si>
    <t>01.09.2023</t>
  </si>
  <si>
    <t>C</t>
  </si>
  <si>
    <t>Z62</t>
  </si>
  <si>
    <t>NOTA INFORMATIVA: 
Esta publicación tiene fines netamente ilustrativos. La misma pretende reflejar los precios aplicables de los distribuidores mayoristas y minoristas, acorde con las disposiciones establecidas por el Ministerio de Minas y Energía y las autoridades locales y municipales.
En el caso de presentarse cualquier discrepancia prevalece lo establecido por las autoridades mencionadas, lo cual debe ser verificado permanentemente por todos los agentes de la cadena de distribución de los combustibles líquidos.
Esta publicación puede cambiar sin previo aviso.
GCINI Se actualiza con frecuencia semanal desde el 01 de enero de 2024.</t>
  </si>
  <si>
    <t>( 3 )</t>
  </si>
  <si>
    <t>https://www.dane.gov.co/index.php/estadisticas-por-tema/precios-y-costos/indice-de-precios-al-consumidor-ipc/ipc-informacion-tecnica</t>
  </si>
  <si>
    <t>AÑO DE ANALISIS</t>
  </si>
  <si>
    <t>(4)</t>
  </si>
  <si>
    <t xml:space="preserve">RECUPERACION DE COSTOS </t>
  </si>
  <si>
    <t>** Aplica para aquellos agentes que estén ubicados en Zonas de Frontera, según las tarifas que designe la UPME para cada sitio de zona de frontera.</t>
  </si>
  <si>
    <t xml:space="preserve">(1) Estructura de precio para el ACPM que se utiliza con destino a mezcla con un % de biocombustible para uso de motores diesel. </t>
  </si>
  <si>
    <t>ACPM Base para Mezcla de cualquier porcentaje de Biocombustible (1)</t>
  </si>
  <si>
    <t xml:space="preserve">(6) En Palermo al Biocombustible se le suma el uso del Puerto, almacenamiento  y despacho de ctk´s  </t>
  </si>
  <si>
    <r>
      <t>Biodiesel B100</t>
    </r>
    <r>
      <rPr>
        <vertAlign val="superscript"/>
        <sz val="11"/>
        <rFont val="Arial"/>
        <family val="2"/>
      </rPr>
      <t xml:space="preserve"> (6)</t>
    </r>
  </si>
  <si>
    <r>
      <t xml:space="preserve">Ingreso al productor de ACPM RES 40304-40305puro </t>
    </r>
    <r>
      <rPr>
        <vertAlign val="superscript"/>
        <sz val="11"/>
        <rFont val="Arial"/>
        <family val="2"/>
      </rPr>
      <t>(1)</t>
    </r>
  </si>
  <si>
    <t xml:space="preserve">(1) El Ingreso al Productor se calcula de acuerdo “Precio de reconocimiento” conforme con lo establecido en las Resoluciones 180522 de 2010 </t>
  </si>
  <si>
    <t>GASOLINA  (1)</t>
  </si>
  <si>
    <t>Ingreso al Productor de Gasolina Motor Corriente, ACPM y ACPM Mezclado con BIOCOMBUSTIBLE</t>
  </si>
  <si>
    <t>Cartagena (B0).</t>
  </si>
  <si>
    <t>Cartagena (B2).</t>
  </si>
  <si>
    <t>Barrancabermeja (B0).</t>
  </si>
  <si>
    <t>Barrancabermeja (B2).</t>
  </si>
  <si>
    <t xml:space="preserve">NOTA INFORMATIVA: 
Esta publicación tiene fines netamente ilustrativos. La misma pretende reflejar los precios aplicables de los distribuidores mayoristas y minoristas, acorde con las disposiciones establecidas por el Ministerio de Minas y Energía y las autoridades locales y municipales.
El presente calculo podra cambiar en el transcurso de la semana atendiendo a requerimientos normativos de la nueva resolución.
En el caso de presentarse cualquier discrepancia prevalece lo establecido por las autoridades mencionadas, lo cual debe ser verificado permanentemente por todos los agentes de la cadena de distribución de los combustibles líquidos.
Esta publicación puede cambiar sin previo aviso.
</t>
  </si>
  <si>
    <t>PROMEDIO DE CALCULO</t>
  </si>
  <si>
    <t>01.09.2024</t>
  </si>
  <si>
    <t>03.09.2024</t>
  </si>
  <si>
    <t>09.09.2024</t>
  </si>
  <si>
    <t>Fecha de Inicio</t>
  </si>
  <si>
    <t>Fecha de finalización</t>
  </si>
  <si>
    <t>FECHAS PARA GCINI &amp; GRANDES CONSUMIDORES</t>
  </si>
  <si>
    <t>Z31</t>
  </si>
  <si>
    <t>Ecopetrol</t>
  </si>
  <si>
    <t>RCSA</t>
  </si>
  <si>
    <t>REFINERIA DE CARTAGENA</t>
  </si>
  <si>
    <t>ECOPETROL</t>
  </si>
  <si>
    <t>No borrar la celda A54</t>
  </si>
  <si>
    <t>30.09.2024</t>
  </si>
  <si>
    <t>30.09.2023</t>
  </si>
  <si>
    <t>$/GL</t>
  </si>
  <si>
    <t>PROMEDIO</t>
  </si>
  <si>
    <t>FECHA</t>
  </si>
  <si>
    <t>INDICADOR ULSD US$/GL</t>
  </si>
  <si>
    <t>TRM $/US$</t>
  </si>
  <si>
    <t>UNL87 $/Gl</t>
  </si>
  <si>
    <t>Naptha Barge $/Gl</t>
  </si>
  <si>
    <t>WS</t>
  </si>
  <si>
    <t>str</t>
  </si>
  <si>
    <t>Flete</t>
  </si>
  <si>
    <t>CARTAGENA</t>
  </si>
  <si>
    <t>BARRANCABERMEJA</t>
  </si>
  <si>
    <t>we</t>
  </si>
  <si>
    <t>30.11.2024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</si>
</sst>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0.0000"/>
    <numFmt numFmtId="166" formatCode="General_)"/>
    <numFmt numFmtId="167" formatCode="_-* #,##0.0000_-;\-* #,##0.0000_-;_-* &quot;-&quot;??_-;_-@_-"/>
    <numFmt numFmtId="168" formatCode=";;;"/>
    <numFmt numFmtId="169" formatCode="#,##0.00000000"/>
    <numFmt numFmtId="170" formatCode="#,##0.00000000000"/>
    <numFmt numFmtId="171" formatCode="#,##0.00\ &quot;(*****)&quot;"/>
    <numFmt numFmtId="172" formatCode="0.0000"/>
    <numFmt numFmtId="173" formatCode="_-* #,##0.000_-;\-* #,##0.000_-;_-* &quot;-&quot;??_-;_-@_-"/>
    <numFmt numFmtId="174" formatCode="_-* #,##0.00_-;\-* #,##0.00_-;_-* &quot;-&quot;???_-;_-@_-"/>
    <numFmt numFmtId="175" formatCode="_-&quot;$&quot;\ * #,##0.00_-;\-&quot;$&quot;\ * #,##0.00_-;_-&quot;$&quot;\ * &quot;-&quot;_-;_-@_-"/>
    <numFmt numFmtId="176" formatCode="0.0"/>
    <numFmt numFmtId="177" formatCode="_-&quot;$&quot;\ * #,##0_-;\-&quot;$&quot;\ * #,##0_-;_-&quot;$&quot;\ * &quot;-&quot;??_-;_-@_-"/>
    <numFmt numFmtId="178" formatCode="_-* #,##0_-;\-* #,##0_-;_-* &quot;-&quot;??_-;_-@_-"/>
    <numFmt numFmtId="179" formatCode="dd\.mm\.yyyy"/>
    <numFmt numFmtId="180" formatCode="[$-240A]d&quot; de &quot;mmmm&quot; de &quot;yyyy;@"/>
    <numFmt numFmtId="181" formatCode="0.000"/>
    <numFmt numFmtId="182" formatCode="_-* #,##0\ &quot;€&quot;_-;\-* #,##0\ &quot;€&quot;_-;_-* &quot;-&quot;\ &quot;€&quot;_-;_-@_-"/>
    <numFmt numFmtId="183" formatCode="_(&quot;€&quot;\ * #,##0.00_);_(&quot;€&quot;\ * \(#,##0.00\);_(&quot;€&quot;\ * &quot;-&quot;??_);_(@_)"/>
    <numFmt numFmtId="184" formatCode="_(* #,##0_);_(* \(#,##0\);_(* &quot;-&quot;??_);_(@_)"/>
    <numFmt numFmtId="185" formatCode="_-* #,##0.00\ _p_t_a_-;\-* #,##0.00\ _p_t_a_-;_-* &quot;-&quot;??\ _p_t_a_-;_-@_-"/>
    <numFmt numFmtId="186" formatCode="_ * #,##0.00_ ;_ * \-#,##0.00_ ;_ * &quot;-&quot;??_ ;_ @_ "/>
    <numFmt numFmtId="187" formatCode="[$-F800]dddd\,\ mmmm\ dd\,\ yyyy"/>
    <numFmt numFmtId="188" formatCode="0.00000000"/>
  </numFmts>
  <fonts count="11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b/>
      <sz val="8"/>
      <name val="Times New Roman"/>
      <family val="1"/>
    </font>
    <font>
      <sz val="12"/>
      <name val="Arial"/>
      <family val="2"/>
    </font>
    <font>
      <sz val="8"/>
      <name val="Arial"/>
      <family val="2"/>
    </font>
    <font>
      <sz val="10"/>
      <name val="Courier"/>
      <family val="3"/>
    </font>
    <font>
      <sz val="11"/>
      <name val="Arial"/>
      <family val="2"/>
    </font>
    <font>
      <b/>
      <sz val="11"/>
      <name val="Arial"/>
      <family val="2"/>
    </font>
    <font>
      <b/>
      <sz val="11"/>
      <color indexed="10"/>
      <name val="Arial"/>
      <family val="2"/>
    </font>
    <font>
      <sz val="8"/>
      <color indexed="81"/>
      <name val="Tahoma"/>
      <family val="2"/>
    </font>
    <font>
      <b/>
      <sz val="8"/>
      <color indexed="81"/>
      <name val="Tahoma"/>
      <family val="2"/>
    </font>
    <font>
      <sz val="11"/>
      <color indexed="10"/>
      <name val="Arial"/>
      <family val="2"/>
    </font>
    <font>
      <sz val="11"/>
      <color indexed="9"/>
      <name val="Arial"/>
      <family val="2"/>
    </font>
    <font>
      <b/>
      <sz val="11"/>
      <color indexed="12"/>
      <name val="Arial"/>
      <family val="2"/>
    </font>
    <font>
      <sz val="12"/>
      <name val="Arial MT"/>
    </font>
    <font>
      <b/>
      <sz val="11"/>
      <color indexed="9"/>
      <name val="Arial Black"/>
      <family val="2"/>
    </font>
    <font>
      <sz val="16"/>
      <name val="Arial"/>
      <family val="2"/>
    </font>
    <font>
      <sz val="9"/>
      <name val="Arial"/>
      <family val="2"/>
    </font>
    <font>
      <b/>
      <sz val="9"/>
      <color indexed="9"/>
      <name val="Arial"/>
      <family val="2"/>
    </font>
    <font>
      <b/>
      <sz val="10"/>
      <name val="Arial"/>
      <family val="2"/>
    </font>
    <font>
      <b/>
      <sz val="10"/>
      <color indexed="9"/>
      <name val="Arial"/>
      <family val="2"/>
    </font>
    <font>
      <b/>
      <sz val="8"/>
      <color indexed="9"/>
      <name val="Arial"/>
      <family val="2"/>
    </font>
    <font>
      <b/>
      <sz val="7"/>
      <name val="Arial"/>
      <family val="2"/>
    </font>
    <font>
      <b/>
      <sz val="8"/>
      <name val="Arial"/>
      <family val="2"/>
    </font>
    <font>
      <sz val="6"/>
      <name val="Arial"/>
      <family val="2"/>
    </font>
    <font>
      <sz val="11"/>
      <color theme="0" tint="-0.499984740745262"/>
      <name val="Arial"/>
      <family val="2"/>
    </font>
    <font>
      <b/>
      <sz val="11"/>
      <color theme="0"/>
      <name val="Arial"/>
      <family val="2"/>
    </font>
    <font>
      <sz val="11"/>
      <color theme="0"/>
      <name val="Arial"/>
      <family val="2"/>
    </font>
    <font>
      <b/>
      <sz val="11"/>
      <color theme="0" tint="-0.499984740745262"/>
      <name val="Arial"/>
      <family val="2"/>
    </font>
    <font>
      <b/>
      <sz val="11"/>
      <color theme="6" tint="-0.499984740745262"/>
      <name val="Arial"/>
      <family val="2"/>
    </font>
    <font>
      <sz val="11"/>
      <color rgb="FFFF0000"/>
      <name val="Arial"/>
      <family val="2"/>
    </font>
    <font>
      <sz val="14"/>
      <color theme="0"/>
      <name val="Arial"/>
      <family val="2"/>
    </font>
    <font>
      <b/>
      <sz val="9"/>
      <color theme="0"/>
      <name val="Arial"/>
      <family val="2"/>
    </font>
    <font>
      <sz val="10"/>
      <color theme="0" tint="-0.499984740745262"/>
      <name val="Arial"/>
      <family val="2"/>
    </font>
    <font>
      <b/>
      <sz val="8"/>
      <color theme="0"/>
      <name val="Arial"/>
      <family val="2"/>
    </font>
    <font>
      <sz val="9"/>
      <color theme="0"/>
      <name val="Arial"/>
      <family val="2"/>
    </font>
    <font>
      <sz val="8"/>
      <color theme="0"/>
      <name val="Arial"/>
      <family val="2"/>
    </font>
    <font>
      <sz val="11"/>
      <color theme="0" tint="-0.34998626667073579"/>
      <name val="Arial"/>
      <family val="2"/>
    </font>
    <font>
      <sz val="13"/>
      <color theme="0"/>
      <name val="Arial"/>
      <family val="2"/>
    </font>
    <font>
      <b/>
      <sz val="14"/>
      <color theme="6" tint="-0.499984740745262"/>
      <name val="Arial"/>
      <family val="2"/>
    </font>
    <font>
      <sz val="7"/>
      <color rgb="FF595959"/>
      <name val="Arial"/>
      <family val="2"/>
    </font>
    <font>
      <b/>
      <sz val="7.5"/>
      <color rgb="FF003471"/>
      <name val="Arial"/>
      <family val="2"/>
    </font>
    <font>
      <b/>
      <vertAlign val="superscript"/>
      <sz val="11"/>
      <name val="Arial"/>
      <family val="2"/>
    </font>
    <font>
      <vertAlign val="superscript"/>
      <sz val="11"/>
      <name val="Arial"/>
      <family val="2"/>
    </font>
    <font>
      <sz val="12"/>
      <color theme="0"/>
      <name val="Arial"/>
      <family val="2"/>
    </font>
    <font>
      <b/>
      <sz val="10"/>
      <name val="Arial Black"/>
      <family val="2"/>
    </font>
    <font>
      <b/>
      <sz val="9"/>
      <name val="Arial"/>
      <family val="2"/>
    </font>
    <font>
      <b/>
      <sz val="9"/>
      <color indexed="81"/>
      <name val="Tahoma"/>
      <family val="2"/>
    </font>
    <font>
      <sz val="9"/>
      <color indexed="81"/>
      <name val="Tahoma"/>
      <family val="2"/>
    </font>
    <font>
      <b/>
      <i/>
      <sz val="11"/>
      <name val="Arial"/>
      <family val="2"/>
    </font>
    <font>
      <sz val="11"/>
      <color theme="3" tint="-0.249977111117893"/>
      <name val="Arial"/>
      <family val="2"/>
    </font>
    <font>
      <b/>
      <sz val="16"/>
      <color theme="1"/>
      <name val="Arial"/>
      <family val="2"/>
    </font>
    <font>
      <sz val="11"/>
      <color theme="1"/>
      <name val="Calibri"/>
      <family val="2"/>
    </font>
    <font>
      <sz val="11"/>
      <color theme="3"/>
      <name val="Arial"/>
      <family val="2"/>
    </font>
    <font>
      <sz val="10"/>
      <name val="Arial"/>
      <family val="2"/>
    </font>
    <font>
      <sz val="10"/>
      <color rgb="FFFF0000"/>
      <name val="Arial"/>
      <family val="2"/>
    </font>
    <font>
      <b/>
      <sz val="11"/>
      <color theme="1"/>
      <name val="Arial"/>
      <family val="2"/>
    </font>
    <font>
      <b/>
      <sz val="11"/>
      <color theme="8" tint="0.39997558519241921"/>
      <name val="Arial"/>
      <family val="2"/>
    </font>
    <font>
      <sz val="10"/>
      <name val="Arial"/>
      <family val="2"/>
    </font>
    <font>
      <i/>
      <sz val="12"/>
      <name val="Arial"/>
      <family val="2"/>
    </font>
    <font>
      <sz val="11"/>
      <color theme="5" tint="0.39997558519241921"/>
      <name val="Arial"/>
      <family val="2"/>
    </font>
    <font>
      <b/>
      <vertAlign val="superscript"/>
      <sz val="11"/>
      <color theme="0"/>
      <name val="Arial"/>
      <family val="2"/>
    </font>
    <font>
      <b/>
      <vertAlign val="superscript"/>
      <sz val="8.8000000000000007"/>
      <color theme="0"/>
      <name val="Arial"/>
      <family val="2"/>
    </font>
    <font>
      <b/>
      <sz val="14"/>
      <name val="Arial"/>
      <family val="2"/>
    </font>
    <font>
      <u/>
      <sz val="10"/>
      <color theme="10"/>
      <name val="Arial"/>
      <family val="2"/>
    </font>
    <font>
      <sz val="10"/>
      <color indexed="81"/>
      <name val="Tahoma"/>
      <family val="2"/>
    </font>
    <font>
      <b/>
      <sz val="10"/>
      <color indexed="81"/>
      <name val="Tahoma"/>
      <family val="2"/>
    </font>
    <font>
      <sz val="14"/>
      <color rgb="FFFF0000"/>
      <name val="Arial"/>
      <family val="2"/>
    </font>
    <font>
      <b/>
      <sz val="12"/>
      <color theme="6" tint="-0.499984740745262"/>
      <name val="Arial"/>
      <family val="2"/>
    </font>
    <font>
      <b/>
      <sz val="12"/>
      <color theme="0" tint="-0.499984740745262"/>
      <name val="Arial"/>
      <family val="2"/>
    </font>
    <font>
      <sz val="12"/>
      <color theme="0" tint="-0.499984740745262"/>
      <name val="Arial"/>
      <family val="2"/>
    </font>
    <font>
      <sz val="9.5"/>
      <name val="Verdana"/>
      <family val="2"/>
    </font>
    <font>
      <sz val="10"/>
      <name val="Arial"/>
      <family val="2"/>
    </font>
    <font>
      <sz val="11"/>
      <color theme="0" tint="-0.14999847407452621"/>
      <name val="Arial"/>
      <family val="2"/>
    </font>
    <font>
      <b/>
      <sz val="12"/>
      <color rgb="FFFF0000"/>
      <name val="Calibri"/>
      <family val="2"/>
      <scheme val="minor"/>
    </font>
    <font>
      <sz val="11"/>
      <color rgb="FFC00000"/>
      <name val="Arial"/>
      <family val="2"/>
    </font>
    <font>
      <b/>
      <sz val="12"/>
      <color indexed="10"/>
      <name val="Calibri"/>
      <family val="2"/>
    </font>
    <font>
      <b/>
      <sz val="14"/>
      <color rgb="FFFF0000"/>
      <name val="Calibri"/>
      <family val="2"/>
      <scheme val="minor"/>
    </font>
    <font>
      <b/>
      <sz val="14"/>
      <color indexed="10"/>
      <name val="Calibri"/>
      <family val="2"/>
    </font>
    <font>
      <b/>
      <sz val="13"/>
      <color rgb="FFFF0000"/>
      <name val="Calibri"/>
      <family val="2"/>
      <scheme val="minor"/>
    </font>
    <font>
      <b/>
      <sz val="13"/>
      <color indexed="10"/>
      <name val="Calibri"/>
      <family val="2"/>
    </font>
    <font>
      <b/>
      <sz val="12"/>
      <name val="Arial"/>
      <family val="2"/>
    </font>
    <font>
      <sz val="11"/>
      <color rgb="FF000000"/>
      <name val="Calibri"/>
      <family val="2"/>
    </font>
    <font>
      <u/>
      <sz val="11"/>
      <color rgb="FF0000FF"/>
      <name val="Calibri"/>
      <family val="2"/>
    </font>
    <font>
      <sz val="11"/>
      <name val="Calibri"/>
      <family val="2"/>
    </font>
    <font>
      <b/>
      <sz val="11"/>
      <color rgb="FFFF0000"/>
      <name val="Arial"/>
      <family val="2"/>
    </font>
    <font>
      <sz val="10"/>
      <color theme="1"/>
      <name val="Arial"/>
      <family val="2"/>
    </font>
    <font>
      <sz val="11"/>
      <color rgb="FFFF0000"/>
      <name val="Calibri"/>
      <family val="2"/>
    </font>
    <font>
      <sz val="10"/>
      <color rgb="FF000000"/>
      <name val="Calibri"/>
      <family val="2"/>
      <scheme val="minor"/>
    </font>
    <font>
      <sz val="11"/>
      <color theme="1"/>
      <name val="Arial"/>
      <family val="2"/>
    </font>
    <font>
      <b/>
      <sz val="12"/>
      <color rgb="FFFF0000"/>
      <name val="Arial"/>
      <family val="2"/>
    </font>
    <font>
      <sz val="10"/>
      <name val="MS Sans Serif"/>
      <family val="2"/>
    </font>
    <font>
      <u/>
      <sz val="10"/>
      <color indexed="12"/>
      <name val="Tahoma"/>
      <family val="2"/>
    </font>
    <font>
      <u/>
      <sz val="11"/>
      <color theme="10"/>
      <name val="Calibri"/>
      <family val="2"/>
      <scheme val="minor"/>
    </font>
    <font>
      <sz val="11"/>
      <color theme="0"/>
      <name val="Calibri"/>
      <family val="2"/>
    </font>
    <font>
      <b/>
      <sz val="16"/>
      <color rgb="FFFF0000"/>
      <name val="Calibri"/>
      <family val="2"/>
    </font>
    <font>
      <sz val="16"/>
      <name val="Calibri"/>
      <family val="2"/>
    </font>
    <font>
      <sz val="11"/>
      <color rgb="FFFF0000"/>
      <name val="Calibri"/>
      <family val="2"/>
      <scheme val="minor"/>
    </font>
    <font>
      <sz val="12"/>
      <color theme="1"/>
      <name val="Arial"/>
      <family val="2"/>
    </font>
    <font>
      <b/>
      <sz val="12"/>
      <color theme="1"/>
      <name val="Arial"/>
      <family val="2"/>
    </font>
  </fonts>
  <fills count="3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17"/>
        <bgColor indexed="64"/>
      </patternFill>
    </fill>
    <fill>
      <patternFill patternType="solid">
        <fgColor indexed="13"/>
        <bgColor indexed="64"/>
      </patternFill>
    </fill>
    <fill>
      <patternFill patternType="solid">
        <fgColor indexed="40"/>
        <bgColor indexed="64"/>
      </patternFill>
    </fill>
    <fill>
      <patternFill patternType="solid">
        <fgColor indexed="8"/>
        <bgColor indexed="64"/>
      </patternFill>
    </fill>
    <fill>
      <patternFill patternType="solid">
        <fgColor indexed="23"/>
        <bgColor indexed="64"/>
      </patternFill>
    </fill>
    <fill>
      <patternFill patternType="lightTrellis">
        <fgColor indexed="9"/>
      </patternFill>
    </fill>
    <fill>
      <patternFill patternType="solid">
        <fgColor theme="0"/>
        <bgColor indexed="64"/>
      </patternFill>
    </fill>
    <fill>
      <patternFill patternType="solid">
        <fgColor rgb="FFFFFF00"/>
        <bgColor indexed="64"/>
      </patternFill>
    </fill>
    <fill>
      <patternFill patternType="solid">
        <fgColor rgb="FF008000"/>
        <bgColor indexed="64"/>
      </patternFill>
    </fill>
    <fill>
      <patternFill patternType="solid">
        <fgColor theme="6" tint="-0.249977111117893"/>
        <bgColor indexed="64"/>
      </patternFill>
    </fill>
    <fill>
      <patternFill patternType="solid">
        <fgColor rgb="FF99CC00"/>
        <bgColor indexed="64"/>
      </patternFill>
    </fill>
    <fill>
      <patternFill patternType="solid">
        <fgColor theme="5" tint="0.39997558519241921"/>
        <bgColor indexed="64"/>
      </patternFill>
    </fill>
    <fill>
      <patternFill patternType="solid">
        <fgColor theme="6"/>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92D050"/>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00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66FFFF"/>
        <bgColor indexed="64"/>
      </patternFill>
    </fill>
    <fill>
      <patternFill patternType="solid">
        <fgColor rgb="FFFFFFCC"/>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59999389629810485"/>
        <bgColor indexed="64"/>
      </patternFill>
    </fill>
  </fills>
  <borders count="124">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ck">
        <color indexed="64"/>
      </left>
      <right style="thick">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right/>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bottom style="thick">
        <color indexed="64"/>
      </bottom>
      <diagonal/>
    </border>
    <border>
      <left style="dotted">
        <color rgb="FF92D050"/>
      </left>
      <right style="dotted">
        <color rgb="FF92D050"/>
      </right>
      <top style="dotted">
        <color rgb="FF92D050"/>
      </top>
      <bottom style="dotted">
        <color rgb="FF92D050"/>
      </bottom>
      <diagonal/>
    </border>
    <border>
      <left style="double">
        <color rgb="FF92D050"/>
      </left>
      <right style="dotted">
        <color rgb="FF92D050"/>
      </right>
      <top style="dotted">
        <color rgb="FF92D050"/>
      </top>
      <bottom style="dotted">
        <color rgb="FF92D050"/>
      </bottom>
      <diagonal/>
    </border>
    <border>
      <left style="double">
        <color rgb="FF92D050"/>
      </left>
      <right style="dotted">
        <color rgb="FF92D050"/>
      </right>
      <top style="dotted">
        <color rgb="FF92D050"/>
      </top>
      <bottom style="double">
        <color rgb="FF92D050"/>
      </bottom>
      <diagonal/>
    </border>
    <border>
      <left style="dotted">
        <color rgb="FF92D050"/>
      </left>
      <right style="dotted">
        <color rgb="FF92D050"/>
      </right>
      <top style="dotted">
        <color rgb="FF92D050"/>
      </top>
      <bottom style="double">
        <color rgb="FF92D050"/>
      </bottom>
      <diagonal/>
    </border>
    <border>
      <left style="dotted">
        <color rgb="FF92D050"/>
      </left>
      <right style="double">
        <color rgb="FF92D050"/>
      </right>
      <top style="dotted">
        <color rgb="FF92D050"/>
      </top>
      <bottom style="dotted">
        <color rgb="FF92D050"/>
      </bottom>
      <diagonal/>
    </border>
    <border>
      <left style="double">
        <color rgb="FF92D050"/>
      </left>
      <right style="dotted">
        <color rgb="FF92D050"/>
      </right>
      <top/>
      <bottom style="dotted">
        <color rgb="FF92D050"/>
      </bottom>
      <diagonal/>
    </border>
    <border>
      <left style="dotted">
        <color rgb="FF92D050"/>
      </left>
      <right style="double">
        <color rgb="FF92D050"/>
      </right>
      <top style="dotted">
        <color rgb="FF92D050"/>
      </top>
      <bottom style="double">
        <color rgb="FF92D050"/>
      </bottom>
      <diagonal/>
    </border>
    <border>
      <left style="dotted">
        <color rgb="FF92D050"/>
      </left>
      <right style="double">
        <color rgb="FF92D050"/>
      </right>
      <top/>
      <bottom style="dotted">
        <color rgb="FF92D050"/>
      </bottom>
      <diagonal/>
    </border>
    <border>
      <left style="dashed">
        <color rgb="FF92D050"/>
      </left>
      <right style="dashed">
        <color rgb="FF92D050"/>
      </right>
      <top style="dashed">
        <color rgb="FF92D050"/>
      </top>
      <bottom style="dashed">
        <color rgb="FF92D050"/>
      </bottom>
      <diagonal/>
    </border>
    <border>
      <left style="double">
        <color rgb="FF92D050"/>
      </left>
      <right style="dashed">
        <color rgb="FF92D050"/>
      </right>
      <top style="dashed">
        <color rgb="FF92D050"/>
      </top>
      <bottom style="double">
        <color rgb="FF92D050"/>
      </bottom>
      <diagonal/>
    </border>
    <border>
      <left style="dashed">
        <color rgb="FF92D050"/>
      </left>
      <right style="dashed">
        <color rgb="FF92D050"/>
      </right>
      <top style="dashed">
        <color rgb="FF92D050"/>
      </top>
      <bottom style="double">
        <color rgb="FF92D050"/>
      </bottom>
      <diagonal/>
    </border>
    <border>
      <left style="dotted">
        <color rgb="FF92D050"/>
      </left>
      <right style="dotted">
        <color rgb="FF92D050"/>
      </right>
      <top/>
      <bottom style="dotted">
        <color rgb="FF92D050"/>
      </bottom>
      <diagonal/>
    </border>
    <border>
      <left style="double">
        <color rgb="FF92D050"/>
      </left>
      <right style="dotted">
        <color rgb="FF92D050"/>
      </right>
      <top style="double">
        <color rgb="FF92D050"/>
      </top>
      <bottom style="dotted">
        <color rgb="FF92D050"/>
      </bottom>
      <diagonal/>
    </border>
    <border>
      <left style="dotted">
        <color rgb="FF92D050"/>
      </left>
      <right style="dotted">
        <color rgb="FF92D050"/>
      </right>
      <top style="double">
        <color rgb="FF92D050"/>
      </top>
      <bottom style="dotted">
        <color rgb="FF92D050"/>
      </bottom>
      <diagonal/>
    </border>
    <border>
      <left style="dotted">
        <color rgb="FF92D050"/>
      </left>
      <right style="double">
        <color rgb="FF92D050"/>
      </right>
      <top style="double">
        <color rgb="FF92D050"/>
      </top>
      <bottom style="dotted">
        <color rgb="FF92D050"/>
      </bottom>
      <diagonal/>
    </border>
    <border>
      <left style="dashed">
        <color rgb="FF92D050"/>
      </left>
      <right style="dashed">
        <color rgb="FF92D050"/>
      </right>
      <top/>
      <bottom style="dashed">
        <color rgb="FF92D050"/>
      </bottom>
      <diagonal/>
    </border>
    <border>
      <left style="double">
        <color rgb="FF92D050"/>
      </left>
      <right style="dashed">
        <color rgb="FF92D050"/>
      </right>
      <top style="dashed">
        <color rgb="FF92D050"/>
      </top>
      <bottom style="dashed">
        <color rgb="FF92D050"/>
      </bottom>
      <diagonal/>
    </border>
    <border>
      <left style="double">
        <color rgb="FF92D050"/>
      </left>
      <right/>
      <top/>
      <bottom/>
      <diagonal/>
    </border>
    <border>
      <left/>
      <right style="double">
        <color rgb="FF92D050"/>
      </right>
      <top/>
      <bottom/>
      <diagonal/>
    </border>
    <border>
      <left/>
      <right style="dotted">
        <color rgb="FF92D050"/>
      </right>
      <top style="dotted">
        <color rgb="FF92D050"/>
      </top>
      <bottom style="dotted">
        <color rgb="FF92D050"/>
      </bottom>
      <diagonal/>
    </border>
    <border>
      <left/>
      <right style="dotted">
        <color rgb="FF92D050"/>
      </right>
      <top style="dotted">
        <color rgb="FF92D050"/>
      </top>
      <bottom style="double">
        <color rgb="FF92D050"/>
      </bottom>
      <diagonal/>
    </border>
    <border>
      <left/>
      <right style="dotted">
        <color rgb="FF92D050"/>
      </right>
      <top/>
      <bottom style="double">
        <color rgb="FF92D050"/>
      </bottom>
      <diagonal/>
    </border>
    <border>
      <left style="dotted">
        <color rgb="FF92D050"/>
      </left>
      <right style="dotted">
        <color rgb="FF92D050"/>
      </right>
      <top/>
      <bottom/>
      <diagonal/>
    </border>
    <border>
      <left style="dotted">
        <color rgb="FF92D050"/>
      </left>
      <right/>
      <top/>
      <bottom style="dotted">
        <color rgb="FF92D050"/>
      </bottom>
      <diagonal/>
    </border>
    <border>
      <left/>
      <right style="dotted">
        <color rgb="FF92D050"/>
      </right>
      <top/>
      <bottom style="dotted">
        <color rgb="FF92D050"/>
      </bottom>
      <diagonal/>
    </border>
    <border>
      <left style="double">
        <color rgb="FF92D050"/>
      </left>
      <right style="dotted">
        <color rgb="FF92D050"/>
      </right>
      <top/>
      <bottom/>
      <diagonal/>
    </border>
    <border>
      <left style="double">
        <color rgb="FF92D050"/>
      </left>
      <right style="dotted">
        <color rgb="FF92D050"/>
      </right>
      <top/>
      <bottom style="double">
        <color rgb="FF92D050"/>
      </bottom>
      <diagonal/>
    </border>
    <border>
      <left style="dotted">
        <color rgb="FF92D050"/>
      </left>
      <right style="dotted">
        <color rgb="FF92D050"/>
      </right>
      <top style="dotted">
        <color rgb="FF92D050"/>
      </top>
      <bottom/>
      <diagonal/>
    </border>
    <border>
      <left style="double">
        <color rgb="FF92D050"/>
      </left>
      <right style="dotted">
        <color rgb="FF92D050"/>
      </right>
      <top style="dotted">
        <color rgb="FF92D050"/>
      </top>
      <bottom/>
      <diagonal/>
    </border>
    <border>
      <left style="double">
        <color rgb="FF92D050"/>
      </left>
      <right/>
      <top/>
      <bottom style="dotted">
        <color rgb="FF92D050"/>
      </bottom>
      <diagonal/>
    </border>
    <border>
      <left/>
      <right/>
      <top/>
      <bottom style="dotted">
        <color rgb="FF92D050"/>
      </bottom>
      <diagonal/>
    </border>
    <border>
      <left/>
      <right style="double">
        <color rgb="FF92D050"/>
      </right>
      <top/>
      <bottom style="dotted">
        <color rgb="FF92D050"/>
      </bottom>
      <diagonal/>
    </border>
    <border>
      <left style="double">
        <color rgb="FF92D050"/>
      </left>
      <right/>
      <top style="double">
        <color rgb="FF92D050"/>
      </top>
      <bottom style="dashed">
        <color rgb="FF92D050"/>
      </bottom>
      <diagonal/>
    </border>
    <border>
      <left/>
      <right/>
      <top style="double">
        <color rgb="FF92D050"/>
      </top>
      <bottom style="dashed">
        <color rgb="FF92D050"/>
      </bottom>
      <diagonal/>
    </border>
    <border>
      <left style="double">
        <color rgb="FF92D050"/>
      </left>
      <right style="dashed">
        <color rgb="FF92D050"/>
      </right>
      <top style="dashed">
        <color rgb="FF92D050"/>
      </top>
      <bottom/>
      <diagonal/>
    </border>
    <border>
      <left style="double">
        <color rgb="FF92D050"/>
      </left>
      <right style="dashed">
        <color rgb="FF92D050"/>
      </right>
      <top/>
      <bottom/>
      <diagonal/>
    </border>
    <border>
      <left style="double">
        <color rgb="FF92D050"/>
      </left>
      <right style="dashed">
        <color rgb="FF92D050"/>
      </right>
      <top/>
      <bottom style="double">
        <color rgb="FF92D050"/>
      </bottom>
      <diagonal/>
    </border>
    <border>
      <left style="double">
        <color rgb="FF92D050"/>
      </left>
      <right/>
      <top style="dashed">
        <color rgb="FF92D050"/>
      </top>
      <bottom style="dashed">
        <color rgb="FF92D050"/>
      </bottom>
      <diagonal/>
    </border>
    <border>
      <left/>
      <right/>
      <top style="dashed">
        <color rgb="FF92D050"/>
      </top>
      <bottom style="dashed">
        <color rgb="FF92D050"/>
      </bottom>
      <diagonal/>
    </border>
    <border>
      <left style="dashed">
        <color rgb="FF92D050"/>
      </left>
      <right style="dashed">
        <color rgb="FF92D050"/>
      </right>
      <top style="dashed">
        <color rgb="FF92D05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rgb="FF92D050"/>
      </right>
      <top style="dotted">
        <color rgb="FF92D050"/>
      </top>
      <bottom style="dotted">
        <color rgb="FF92D050"/>
      </bottom>
      <diagonal/>
    </border>
    <border>
      <left/>
      <right style="thin">
        <color indexed="64"/>
      </right>
      <top/>
      <bottom/>
      <diagonal/>
    </border>
    <border>
      <left style="thin">
        <color indexed="64"/>
      </left>
      <right style="thin">
        <color indexed="64"/>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dotted">
        <color theme="0" tint="-0.24994659260841701"/>
      </bottom>
      <diagonal/>
    </border>
    <border>
      <left/>
      <right/>
      <top/>
      <bottom style="thin">
        <color theme="0" tint="-0.249977111117893"/>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style="dotted">
        <color theme="0" tint="-0.24994659260841701"/>
      </left>
      <right/>
      <top/>
      <bottom style="dotted">
        <color theme="0" tint="-0.24994659260841701"/>
      </bottom>
      <diagonal/>
    </border>
    <border>
      <left/>
      <right/>
      <top/>
      <bottom style="dashed">
        <color theme="0" tint="-0.24994659260841701"/>
      </bottom>
      <diagonal/>
    </border>
    <border>
      <left/>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right style="double">
        <color rgb="FF92D050"/>
      </right>
      <top style="dotted">
        <color rgb="FF92D050"/>
      </top>
      <bottom style="double">
        <color rgb="FF92D050"/>
      </bottom>
      <diagonal/>
    </border>
    <border>
      <left style="double">
        <color rgb="FF92D050"/>
      </left>
      <right/>
      <top style="double">
        <color rgb="FF92D050"/>
      </top>
      <bottom/>
      <diagonal/>
    </border>
    <border>
      <left/>
      <right/>
      <top style="double">
        <color rgb="FF92D050"/>
      </top>
      <bottom/>
      <diagonal/>
    </border>
    <border>
      <left/>
      <right style="double">
        <color rgb="FF92D050"/>
      </right>
      <top style="double">
        <color rgb="FF92D050"/>
      </top>
      <bottom/>
      <diagonal/>
    </border>
    <border>
      <left style="dotted">
        <color rgb="FF92D050"/>
      </left>
      <right style="double">
        <color rgb="FF92D050"/>
      </right>
      <top style="dotted">
        <color rgb="FF92D050"/>
      </top>
      <bottom/>
      <diagonal/>
    </border>
    <border>
      <left style="double">
        <color rgb="FF92D050"/>
      </left>
      <right style="dashed">
        <color rgb="FF92D050"/>
      </right>
      <top style="double">
        <color rgb="FF92D050"/>
      </top>
      <bottom style="dashed">
        <color rgb="FF92D050"/>
      </bottom>
      <diagonal/>
    </border>
    <border>
      <left style="dashed">
        <color rgb="FF92D050"/>
      </left>
      <right style="dashed">
        <color rgb="FF92D050"/>
      </right>
      <top style="double">
        <color rgb="FF92D050"/>
      </top>
      <bottom style="dashed">
        <color rgb="FF92D050"/>
      </bottom>
      <diagonal/>
    </border>
    <border>
      <left style="dashed">
        <color rgb="FF92D050"/>
      </left>
      <right style="double">
        <color rgb="FF92D050"/>
      </right>
      <top style="double">
        <color rgb="FF92D050"/>
      </top>
      <bottom style="dashed">
        <color rgb="FF92D050"/>
      </bottom>
      <diagonal/>
    </border>
    <border>
      <left style="dashed">
        <color rgb="FF92D050"/>
      </left>
      <right style="double">
        <color rgb="FF92D050"/>
      </right>
      <top style="dashed">
        <color rgb="FF92D050"/>
      </top>
      <bottom style="dashed">
        <color rgb="FF92D050"/>
      </bottom>
      <diagonal/>
    </border>
    <border>
      <left style="dashed">
        <color rgb="FF92D050"/>
      </left>
      <right style="double">
        <color rgb="FF92D050"/>
      </right>
      <top style="dashed">
        <color rgb="FF92D050"/>
      </top>
      <bottom style="double">
        <color rgb="FF92D050"/>
      </bottom>
      <diagonal/>
    </border>
    <border>
      <left/>
      <right style="double">
        <color rgb="FF92D050"/>
      </right>
      <top style="double">
        <color rgb="FF92D050"/>
      </top>
      <bottom style="dashed">
        <color rgb="FF92D050"/>
      </bottom>
      <diagonal/>
    </border>
    <border>
      <left/>
      <right style="double">
        <color rgb="FF92D050"/>
      </right>
      <top style="dashed">
        <color rgb="FF92D050"/>
      </top>
      <bottom style="dashed">
        <color rgb="FF92D050"/>
      </bottom>
      <diagonal/>
    </border>
    <border>
      <left style="double">
        <color rgb="FF92D050"/>
      </left>
      <right/>
      <top style="double">
        <color rgb="FF92D050"/>
      </top>
      <bottom style="double">
        <color rgb="FF92D050"/>
      </bottom>
      <diagonal/>
    </border>
    <border>
      <left/>
      <right/>
      <top style="double">
        <color rgb="FF92D050"/>
      </top>
      <bottom style="double">
        <color rgb="FF92D050"/>
      </bottom>
      <diagonal/>
    </border>
    <border>
      <left/>
      <right style="double">
        <color rgb="FF92D050"/>
      </right>
      <top style="double">
        <color rgb="FF92D050"/>
      </top>
      <bottom style="double">
        <color rgb="FF92D050"/>
      </bottom>
      <diagonal/>
    </border>
    <border>
      <left style="double">
        <color rgb="FF92D050"/>
      </left>
      <right/>
      <top/>
      <bottom style="double">
        <color rgb="FF92D050"/>
      </bottom>
      <diagonal/>
    </border>
    <border>
      <left/>
      <right/>
      <top/>
      <bottom style="double">
        <color rgb="FF92D050"/>
      </bottom>
      <diagonal/>
    </border>
    <border>
      <left/>
      <right style="double">
        <color rgb="FF92D050"/>
      </right>
      <top/>
      <bottom style="double">
        <color rgb="FF92D050"/>
      </bottom>
      <diagonal/>
    </border>
    <border>
      <left style="thin">
        <color indexed="64"/>
      </left>
      <right style="thin">
        <color indexed="64"/>
      </right>
      <top/>
      <bottom style="thin">
        <color indexed="64"/>
      </bottom>
      <diagonal/>
    </border>
  </borders>
  <cellStyleXfs count="159">
    <xf numFmtId="0" fontId="0" fillId="0" borderId="0"/>
    <xf numFmtId="0" fontId="6" fillId="0" borderId="0"/>
    <xf numFmtId="0" fontId="7" fillId="0" borderId="0"/>
    <xf numFmtId="0" fontId="6" fillId="0" borderId="0"/>
    <xf numFmtId="0" fontId="7" fillId="0" borderId="0"/>
    <xf numFmtId="0" fontId="8" fillId="0" borderId="0">
      <protection locked="0"/>
    </xf>
    <xf numFmtId="0" fontId="9" fillId="0" borderId="0">
      <protection locked="0"/>
    </xf>
    <xf numFmtId="0" fontId="9"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0" fontId="8" fillId="0" borderId="0">
      <protection locked="0"/>
    </xf>
    <xf numFmtId="43" fontId="5" fillId="0" borderId="0" applyFont="0" applyFill="0" applyBorder="0" applyAlignment="0" applyProtection="0"/>
    <xf numFmtId="0" fontId="5" fillId="0" borderId="0" applyFont="0" applyFill="0" applyBorder="0" applyAlignment="0" applyProtection="0"/>
    <xf numFmtId="0" fontId="8" fillId="0" borderId="0">
      <protection locked="0"/>
    </xf>
    <xf numFmtId="37" fontId="10" fillId="0" borderId="0"/>
    <xf numFmtId="0" fontId="5" fillId="0" borderId="0"/>
    <xf numFmtId="0" fontId="5" fillId="0" borderId="0"/>
    <xf numFmtId="0" fontId="24" fillId="0" borderId="0"/>
    <xf numFmtId="166" fontId="15" fillId="0" borderId="0"/>
    <xf numFmtId="9" fontId="5" fillId="0" borderId="0" applyFont="0" applyFill="0" applyBorder="0" applyAlignment="0" applyProtection="0"/>
    <xf numFmtId="9" fontId="5" fillId="0" borderId="0" applyFont="0" applyFill="0" applyBorder="0" applyAlignment="0" applyProtection="0"/>
    <xf numFmtId="166" fontId="12" fillId="0" borderId="0">
      <alignment horizontal="left"/>
    </xf>
    <xf numFmtId="38" fontId="11" fillId="0" borderId="0"/>
    <xf numFmtId="0" fontId="8" fillId="0" borderId="1">
      <protection locked="0"/>
    </xf>
    <xf numFmtId="0" fontId="4" fillId="0" borderId="0"/>
    <xf numFmtId="41" fontId="64" fillId="0" borderId="0" applyFont="0" applyFill="0" applyBorder="0" applyAlignment="0" applyProtection="0"/>
    <xf numFmtId="42" fontId="68" fillId="0" borderId="0" applyFont="0" applyFill="0" applyBorder="0" applyAlignment="0" applyProtection="0"/>
    <xf numFmtId="0" fontId="74" fillId="0" borderId="0" applyNumberFormat="0" applyFill="0" applyBorder="0" applyAlignment="0" applyProtection="0"/>
    <xf numFmtId="44" fontId="82" fillId="0" borderId="0" applyFont="0" applyFill="0" applyBorder="0" applyAlignment="0" applyProtection="0"/>
    <xf numFmtId="0" fontId="3" fillId="0" borderId="0"/>
    <xf numFmtId="0" fontId="2" fillId="0" borderId="0"/>
    <xf numFmtId="0" fontId="1" fillId="0" borderId="0"/>
    <xf numFmtId="0" fontId="5"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186"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6"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8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3" fontId="1" fillId="0" borderId="0" applyFont="0" applyFill="0" applyBorder="0" applyAlignment="0" applyProtection="0"/>
    <xf numFmtId="166" fontId="5" fillId="0" borderId="0" applyFont="0" applyFill="0" applyBorder="0" applyAlignment="0" applyProtection="0"/>
    <xf numFmtId="184" fontId="101" fillId="0" borderId="0" applyFont="0" applyFill="0" applyBorder="0" applyAlignment="0" applyProtection="0"/>
    <xf numFmtId="43" fontId="101" fillId="0" borderId="0" applyFont="0" applyFill="0" applyBorder="0" applyAlignment="0" applyProtection="0"/>
    <xf numFmtId="0" fontId="5" fillId="0" borderId="0"/>
    <xf numFmtId="0" fontId="10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18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62" fillId="0" borderId="0"/>
    <xf numFmtId="182"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102" fillId="0" borderId="0" applyNumberFormat="0" applyFill="0" applyBorder="0" applyAlignment="0" applyProtection="0">
      <alignment vertical="top"/>
      <protection locked="0"/>
    </xf>
    <xf numFmtId="0" fontId="103" fillId="0" borderId="0" applyNumberFormat="0" applyFill="0" applyBorder="0" applyAlignment="0" applyProtection="0"/>
    <xf numFmtId="9" fontId="1" fillId="0" borderId="0" applyFont="0" applyFill="0" applyBorder="0" applyAlignment="0" applyProtection="0"/>
    <xf numFmtId="0" fontId="62" fillId="0" borderId="0"/>
    <xf numFmtId="41" fontId="1" fillId="0" borderId="0" applyFont="0" applyFill="0" applyBorder="0" applyAlignment="0" applyProtection="0"/>
    <xf numFmtId="183" fontId="1" fillId="0" borderId="0" applyFont="0" applyFill="0" applyBorder="0" applyAlignment="0" applyProtection="0"/>
    <xf numFmtId="0" fontId="1" fillId="0" borderId="0"/>
  </cellStyleXfs>
  <cellXfs count="784">
    <xf numFmtId="0" fontId="0" fillId="0" borderId="0" xfId="0"/>
    <xf numFmtId="0" fontId="37" fillId="2" borderId="0" xfId="0" applyFont="1" applyFill="1" applyAlignment="1" applyProtection="1">
      <alignment vertical="center"/>
      <protection hidden="1"/>
    </xf>
    <xf numFmtId="0" fontId="16" fillId="2" borderId="0" xfId="0" applyFont="1" applyFill="1" applyAlignment="1" applyProtection="1">
      <alignment vertical="center"/>
      <protection hidden="1"/>
    </xf>
    <xf numFmtId="164" fontId="16" fillId="2" borderId="0" xfId="0" applyNumberFormat="1" applyFont="1" applyFill="1" applyAlignment="1" applyProtection="1">
      <alignment vertical="center"/>
      <protection hidden="1"/>
    </xf>
    <xf numFmtId="2" fontId="16" fillId="2" borderId="0" xfId="0" applyNumberFormat="1" applyFont="1" applyFill="1" applyAlignment="1" applyProtection="1">
      <alignment vertical="center"/>
      <protection hidden="1"/>
    </xf>
    <xf numFmtId="0" fontId="16" fillId="0" borderId="0" xfId="0" applyFont="1" applyAlignment="1" applyProtection="1">
      <alignment vertical="center"/>
      <protection hidden="1"/>
    </xf>
    <xf numFmtId="0" fontId="16" fillId="12" borderId="0" xfId="0" applyFont="1" applyFill="1" applyAlignment="1" applyProtection="1">
      <alignment vertical="center"/>
      <protection hidden="1"/>
    </xf>
    <xf numFmtId="0" fontId="17" fillId="2" borderId="0" xfId="0" applyFont="1" applyFill="1" applyAlignment="1" applyProtection="1">
      <alignment vertical="center"/>
      <protection hidden="1"/>
    </xf>
    <xf numFmtId="0" fontId="22" fillId="0" borderId="0" xfId="0" applyFont="1" applyAlignment="1" applyProtection="1">
      <alignment vertical="center"/>
      <protection hidden="1"/>
    </xf>
    <xf numFmtId="0" fontId="17" fillId="0" borderId="0" xfId="0" applyFont="1" applyAlignment="1" applyProtection="1">
      <alignment horizontal="left" vertical="center" wrapText="1"/>
      <protection hidden="1"/>
    </xf>
    <xf numFmtId="43" fontId="17" fillId="2" borderId="0" xfId="17" applyFont="1" applyFill="1" applyBorder="1" applyAlignment="1" applyProtection="1">
      <alignment vertical="center" wrapText="1"/>
      <protection hidden="1"/>
    </xf>
    <xf numFmtId="0" fontId="13"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8"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17" fillId="2" borderId="0" xfId="0" applyFont="1" applyFill="1" applyAlignment="1" applyProtection="1">
      <alignment horizontal="left" vertical="center" wrapText="1"/>
      <protection hidden="1"/>
    </xf>
    <xf numFmtId="4" fontId="36" fillId="2" borderId="0" xfId="0" applyNumberFormat="1" applyFont="1" applyFill="1" applyAlignment="1" applyProtection="1">
      <alignment horizontal="right" vertical="center"/>
      <protection hidden="1"/>
    </xf>
    <xf numFmtId="4" fontId="16" fillId="2" borderId="0" xfId="0" applyNumberFormat="1" applyFont="1" applyFill="1" applyAlignment="1" applyProtection="1">
      <alignment horizontal="right" vertical="center"/>
      <protection hidden="1"/>
    </xf>
    <xf numFmtId="0" fontId="38" fillId="2" borderId="0" xfId="0" applyFont="1" applyFill="1" applyAlignment="1" applyProtection="1">
      <alignment horizontal="centerContinuous" vertical="center"/>
      <protection hidden="1"/>
    </xf>
    <xf numFmtId="0" fontId="35" fillId="2" borderId="0" xfId="0" applyFont="1" applyFill="1" applyAlignment="1" applyProtection="1">
      <alignment horizontal="centerContinuous" vertical="center"/>
      <protection hidden="1"/>
    </xf>
    <xf numFmtId="4" fontId="16" fillId="2" borderId="0" xfId="0" applyNumberFormat="1" applyFont="1" applyFill="1" applyAlignment="1" applyProtection="1">
      <alignment vertical="center"/>
      <protection hidden="1"/>
    </xf>
    <xf numFmtId="0" fontId="35" fillId="2" borderId="0" xfId="0" applyFont="1" applyFill="1" applyAlignment="1" applyProtection="1">
      <alignment horizontal="fill" vertical="center" wrapText="1"/>
      <protection hidden="1"/>
    </xf>
    <xf numFmtId="0" fontId="16" fillId="2" borderId="0" xfId="0" applyFont="1" applyFill="1" applyAlignment="1" applyProtection="1">
      <alignment horizontal="fill" vertical="center" wrapText="1"/>
      <protection hidden="1"/>
    </xf>
    <xf numFmtId="0" fontId="40" fillId="12" borderId="0" xfId="0" applyFont="1" applyFill="1" applyAlignment="1" applyProtection="1">
      <alignment horizontal="left" vertical="center" wrapText="1"/>
      <protection hidden="1"/>
    </xf>
    <xf numFmtId="0" fontId="40" fillId="12" borderId="0" xfId="0" quotePrefix="1" applyFont="1" applyFill="1" applyAlignment="1" applyProtection="1">
      <alignment horizontal="left" vertical="center" wrapText="1"/>
      <protection hidden="1"/>
    </xf>
    <xf numFmtId="0" fontId="40" fillId="12" borderId="0" xfId="0" applyFont="1" applyFill="1" applyAlignment="1" applyProtection="1">
      <alignment vertical="center"/>
      <protection hidden="1"/>
    </xf>
    <xf numFmtId="0" fontId="37" fillId="0" borderId="0" xfId="0" applyFont="1" applyAlignment="1" applyProtection="1">
      <alignment vertical="center"/>
      <protection hidden="1"/>
    </xf>
    <xf numFmtId="0" fontId="37" fillId="12" borderId="0" xfId="0" applyFont="1" applyFill="1" applyAlignment="1" applyProtection="1">
      <alignment vertical="center"/>
      <protection hidden="1"/>
    </xf>
    <xf numFmtId="0" fontId="23" fillId="0" borderId="0" xfId="0" quotePrefix="1" applyFont="1" applyAlignment="1" applyProtection="1">
      <alignment horizontal="left" vertical="center"/>
      <protection hidden="1"/>
    </xf>
    <xf numFmtId="0" fontId="41" fillId="0" borderId="0" xfId="0" applyFont="1" applyAlignment="1" applyProtection="1">
      <alignment vertical="center"/>
      <protection hidden="1"/>
    </xf>
    <xf numFmtId="0" fontId="41" fillId="12" borderId="0" xfId="0" applyFont="1" applyFill="1" applyAlignment="1" applyProtection="1">
      <alignment vertical="center"/>
      <protection hidden="1"/>
    </xf>
    <xf numFmtId="0" fontId="2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16" fillId="12" borderId="0" xfId="0" applyFont="1" applyFill="1" applyAlignment="1" applyProtection="1">
      <alignment horizontal="center" vertical="center"/>
      <protection hidden="1"/>
    </xf>
    <xf numFmtId="0" fontId="36" fillId="5" borderId="31" xfId="0" applyFont="1" applyFill="1" applyBorder="1" applyAlignment="1" applyProtection="1">
      <alignment horizontal="center" vertical="center" wrapText="1"/>
      <protection hidden="1"/>
    </xf>
    <xf numFmtId="0" fontId="17" fillId="0" borderId="32" xfId="0" applyFont="1" applyBorder="1" applyAlignment="1" applyProtection="1">
      <alignment horizontal="left" vertical="center" wrapText="1"/>
      <protection hidden="1"/>
    </xf>
    <xf numFmtId="43" fontId="17" fillId="0" borderId="31" xfId="17" applyFont="1" applyFill="1" applyBorder="1" applyAlignment="1" applyProtection="1">
      <alignment vertical="center" wrapText="1"/>
      <protection hidden="1"/>
    </xf>
    <xf numFmtId="2" fontId="17" fillId="0" borderId="31" xfId="0" quotePrefix="1" applyNumberFormat="1" applyFont="1" applyBorder="1" applyAlignment="1" applyProtection="1">
      <alignment horizontal="right" vertical="center" wrapText="1"/>
      <protection hidden="1"/>
    </xf>
    <xf numFmtId="43" fontId="17" fillId="0" borderId="31" xfId="17" applyFont="1" applyFill="1" applyBorder="1" applyAlignment="1" applyProtection="1">
      <alignment horizontal="right" vertical="center" wrapText="1"/>
      <protection hidden="1"/>
    </xf>
    <xf numFmtId="0" fontId="17" fillId="0" borderId="33" xfId="0" applyFont="1" applyBorder="1" applyAlignment="1" applyProtection="1">
      <alignment horizontal="left" vertical="center" wrapText="1"/>
      <protection hidden="1"/>
    </xf>
    <xf numFmtId="43" fontId="17" fillId="0" borderId="35" xfId="17" applyFont="1" applyFill="1" applyBorder="1" applyAlignment="1" applyProtection="1">
      <alignment vertical="center" wrapText="1"/>
      <protection hidden="1"/>
    </xf>
    <xf numFmtId="0" fontId="17" fillId="0" borderId="36" xfId="0" applyFont="1" applyBorder="1" applyAlignment="1" applyProtection="1">
      <alignment horizontal="left" vertical="center" wrapText="1"/>
      <protection hidden="1"/>
    </xf>
    <xf numFmtId="15" fontId="37" fillId="5" borderId="34" xfId="0" quotePrefix="1" applyNumberFormat="1" applyFont="1" applyFill="1" applyBorder="1" applyAlignment="1" applyProtection="1">
      <alignment horizontal="center" vertical="center" wrapText="1"/>
      <protection hidden="1"/>
    </xf>
    <xf numFmtId="15" fontId="37" fillId="5" borderId="37" xfId="0" quotePrefix="1" applyNumberFormat="1" applyFont="1" applyFill="1" applyBorder="1" applyAlignment="1" applyProtection="1">
      <alignment horizontal="center" vertical="center" wrapText="1"/>
      <protection hidden="1"/>
    </xf>
    <xf numFmtId="43" fontId="17" fillId="0" borderId="35" xfId="17" applyFont="1" applyFill="1" applyBorder="1" applyAlignment="1" applyProtection="1">
      <alignment horizontal="right" vertical="center" wrapText="1"/>
      <protection hidden="1"/>
    </xf>
    <xf numFmtId="43" fontId="17" fillId="0" borderId="34" xfId="17" applyFont="1" applyFill="1" applyBorder="1" applyAlignment="1" applyProtection="1">
      <alignment horizontal="right" vertical="center" wrapText="1"/>
      <protection hidden="1"/>
    </xf>
    <xf numFmtId="43" fontId="17" fillId="0" borderId="37" xfId="17" applyFont="1" applyFill="1" applyBorder="1" applyAlignment="1" applyProtection="1">
      <alignment horizontal="right" vertical="center" wrapText="1"/>
      <protection hidden="1"/>
    </xf>
    <xf numFmtId="0" fontId="42" fillId="5" borderId="39" xfId="0" applyFont="1" applyFill="1" applyBorder="1" applyAlignment="1" applyProtection="1">
      <alignment horizontal="center" vertical="center" wrapText="1"/>
      <protection hidden="1"/>
    </xf>
    <xf numFmtId="9" fontId="37" fillId="5" borderId="39" xfId="0" quotePrefix="1" applyNumberFormat="1" applyFont="1" applyFill="1" applyBorder="1" applyAlignment="1" applyProtection="1">
      <alignment horizontal="center" vertical="center" wrapText="1"/>
      <protection hidden="1"/>
    </xf>
    <xf numFmtId="43" fontId="18" fillId="0" borderId="31" xfId="17" applyFont="1" applyFill="1" applyBorder="1" applyAlignment="1" applyProtection="1">
      <alignment vertical="center" wrapText="1"/>
      <protection hidden="1"/>
    </xf>
    <xf numFmtId="0" fontId="27" fillId="0" borderId="0" xfId="0" applyFont="1" applyAlignment="1" applyProtection="1">
      <alignment vertical="center"/>
      <protection hidden="1"/>
    </xf>
    <xf numFmtId="0" fontId="37" fillId="6" borderId="43" xfId="0" applyFont="1" applyFill="1" applyBorder="1" applyAlignment="1" applyProtection="1">
      <alignment horizontal="center" vertical="center" wrapText="1"/>
      <protection hidden="1"/>
    </xf>
    <xf numFmtId="0" fontId="37" fillId="6" borderId="44" xfId="0" applyFont="1" applyFill="1" applyBorder="1" applyAlignment="1" applyProtection="1">
      <alignment horizontal="center" vertical="center" wrapText="1"/>
      <protection hidden="1"/>
    </xf>
    <xf numFmtId="0" fontId="37" fillId="6" borderId="45" xfId="0" applyFont="1" applyFill="1" applyBorder="1" applyAlignment="1" applyProtection="1">
      <alignment horizontal="center" vertical="center" wrapText="1"/>
      <protection hidden="1"/>
    </xf>
    <xf numFmtId="4" fontId="16" fillId="0" borderId="32" xfId="0" applyNumberFormat="1" applyFont="1" applyBorder="1" applyAlignment="1" applyProtection="1">
      <alignment vertical="center"/>
      <protection hidden="1"/>
    </xf>
    <xf numFmtId="4" fontId="16" fillId="0" borderId="31" xfId="0" applyNumberFormat="1" applyFont="1" applyBorder="1" applyAlignment="1" applyProtection="1">
      <alignment horizontal="center" vertical="center"/>
      <protection hidden="1"/>
    </xf>
    <xf numFmtId="4" fontId="16" fillId="0" borderId="35" xfId="0" applyNumberFormat="1" applyFont="1" applyBorder="1" applyAlignment="1" applyProtection="1">
      <alignment horizontal="center" vertical="center"/>
      <protection hidden="1"/>
    </xf>
    <xf numFmtId="0" fontId="16" fillId="0" borderId="32" xfId="0" applyFont="1" applyBorder="1" applyAlignment="1" applyProtection="1">
      <alignment horizontal="left" vertical="center" wrapText="1"/>
      <protection hidden="1"/>
    </xf>
    <xf numFmtId="4" fontId="36" fillId="16" borderId="32" xfId="0" applyNumberFormat="1" applyFont="1" applyFill="1" applyBorder="1" applyAlignment="1" applyProtection="1">
      <alignment horizontal="left" vertical="center" wrapText="1"/>
      <protection hidden="1"/>
    </xf>
    <xf numFmtId="4" fontId="36" fillId="16" borderId="31" xfId="0" applyNumberFormat="1" applyFont="1" applyFill="1" applyBorder="1" applyAlignment="1" applyProtection="1">
      <alignment horizontal="center" vertical="center" wrapText="1"/>
      <protection hidden="1"/>
    </xf>
    <xf numFmtId="4" fontId="36" fillId="16" borderId="35" xfId="0" applyNumberFormat="1" applyFont="1" applyFill="1" applyBorder="1" applyAlignment="1" applyProtection="1">
      <alignment horizontal="center" vertical="center" wrapText="1"/>
      <protection hidden="1"/>
    </xf>
    <xf numFmtId="4" fontId="17" fillId="0" borderId="31" xfId="0" applyNumberFormat="1" applyFont="1" applyBorder="1" applyAlignment="1" applyProtection="1">
      <alignment horizontal="center" vertical="center"/>
      <protection hidden="1"/>
    </xf>
    <xf numFmtId="4" fontId="17" fillId="0" borderId="35" xfId="0" applyNumberFormat="1" applyFont="1" applyBorder="1" applyAlignment="1" applyProtection="1">
      <alignment horizontal="center" vertical="center"/>
      <protection hidden="1"/>
    </xf>
    <xf numFmtId="4" fontId="16" fillId="0" borderId="33" xfId="0" applyNumberFormat="1" applyFont="1" applyBorder="1" applyAlignment="1" applyProtection="1">
      <alignment vertical="center"/>
      <protection hidden="1"/>
    </xf>
    <xf numFmtId="4" fontId="17" fillId="0" borderId="34" xfId="0" applyNumberFormat="1" applyFont="1" applyBorder="1" applyAlignment="1" applyProtection="1">
      <alignment horizontal="center" vertical="center"/>
      <protection hidden="1"/>
    </xf>
    <xf numFmtId="4" fontId="17" fillId="0" borderId="37" xfId="0" applyNumberFormat="1" applyFont="1" applyBorder="1" applyAlignment="1" applyProtection="1">
      <alignment horizontal="center" vertical="center"/>
      <protection hidden="1"/>
    </xf>
    <xf numFmtId="4" fontId="16" fillId="0" borderId="36" xfId="0" applyNumberFormat="1" applyFont="1" applyBorder="1" applyAlignment="1" applyProtection="1">
      <alignment vertical="center"/>
      <protection hidden="1"/>
    </xf>
    <xf numFmtId="4" fontId="16" fillId="0" borderId="42" xfId="0" applyNumberFormat="1" applyFont="1" applyBorder="1" applyAlignment="1" applyProtection="1">
      <alignment horizontal="center" vertical="center"/>
      <protection hidden="1"/>
    </xf>
    <xf numFmtId="4" fontId="16" fillId="0" borderId="38" xfId="0" applyNumberFormat="1" applyFont="1" applyBorder="1" applyAlignment="1" applyProtection="1">
      <alignment horizontal="center" vertical="center"/>
      <protection hidden="1"/>
    </xf>
    <xf numFmtId="15" fontId="37" fillId="5" borderId="33" xfId="0" quotePrefix="1" applyNumberFormat="1" applyFont="1" applyFill="1" applyBorder="1" applyAlignment="1" applyProtection="1">
      <alignment horizontal="center" vertical="center" wrapText="1"/>
      <protection hidden="1"/>
    </xf>
    <xf numFmtId="0" fontId="16" fillId="0" borderId="32" xfId="0" applyFont="1" applyBorder="1" applyAlignment="1" applyProtection="1">
      <alignment vertical="center"/>
      <protection hidden="1"/>
    </xf>
    <xf numFmtId="0" fontId="37" fillId="6" borderId="43" xfId="0" applyFont="1" applyFill="1" applyBorder="1" applyAlignment="1" applyProtection="1">
      <alignment horizontal="center" vertical="center"/>
      <protection hidden="1"/>
    </xf>
    <xf numFmtId="4" fontId="16" fillId="0" borderId="35" xfId="0" applyNumberFormat="1" applyFont="1" applyBorder="1" applyAlignment="1" applyProtection="1">
      <alignment vertical="center"/>
      <protection hidden="1"/>
    </xf>
    <xf numFmtId="0" fontId="16" fillId="12" borderId="32" xfId="0" quotePrefix="1" applyFont="1" applyFill="1" applyBorder="1" applyAlignment="1" applyProtection="1">
      <alignment horizontal="left" vertical="center"/>
      <protection hidden="1"/>
    </xf>
    <xf numFmtId="167" fontId="16" fillId="12" borderId="0" xfId="17" applyNumberFormat="1" applyFont="1" applyFill="1" applyBorder="1" applyAlignment="1" applyProtection="1">
      <alignment horizontal="center" vertical="center"/>
      <protection hidden="1"/>
    </xf>
    <xf numFmtId="167" fontId="16" fillId="0" borderId="0" xfId="17" applyNumberFormat="1" applyFont="1" applyBorder="1" applyAlignment="1" applyProtection="1">
      <alignment horizontal="center" vertical="center"/>
      <protection hidden="1"/>
    </xf>
    <xf numFmtId="43" fontId="16" fillId="12" borderId="0" xfId="17" applyFont="1" applyFill="1" applyBorder="1" applyAlignment="1" applyProtection="1">
      <alignment horizontal="center" vertical="center"/>
      <protection hidden="1"/>
    </xf>
    <xf numFmtId="43" fontId="16" fillId="0" borderId="0" xfId="17" applyFont="1" applyBorder="1" applyAlignment="1" applyProtection="1">
      <alignment horizontal="center" vertical="center"/>
      <protection hidden="1"/>
    </xf>
    <xf numFmtId="4" fontId="16" fillId="12" borderId="32" xfId="0" applyNumberFormat="1" applyFont="1" applyFill="1" applyBorder="1" applyAlignment="1" applyProtection="1">
      <alignment vertical="center" wrapText="1"/>
      <protection hidden="1"/>
    </xf>
    <xf numFmtId="0" fontId="16" fillId="12" borderId="0" xfId="21" applyFont="1" applyFill="1" applyProtection="1">
      <protection hidden="1"/>
    </xf>
    <xf numFmtId="37" fontId="16" fillId="0" borderId="3" xfId="23" applyNumberFormat="1" applyFont="1" applyBorder="1"/>
    <xf numFmtId="37" fontId="16" fillId="0" borderId="4" xfId="23" applyNumberFormat="1" applyFont="1" applyBorder="1"/>
    <xf numFmtId="37" fontId="16" fillId="7" borderId="4" xfId="23" applyNumberFormat="1" applyFont="1" applyFill="1" applyBorder="1"/>
    <xf numFmtId="0" fontId="14" fillId="0" borderId="5" xfId="23" applyFont="1" applyBorder="1" applyAlignment="1">
      <alignment horizontal="center"/>
    </xf>
    <xf numFmtId="4" fontId="5" fillId="3" borderId="5" xfId="21" applyNumberFormat="1" applyFill="1" applyBorder="1"/>
    <xf numFmtId="4" fontId="5" fillId="0" borderId="6" xfId="21" applyNumberFormat="1" applyBorder="1"/>
    <xf numFmtId="4" fontId="5" fillId="0" borderId="3" xfId="21" applyNumberFormat="1" applyBorder="1"/>
    <xf numFmtId="4" fontId="5" fillId="4" borderId="5" xfId="21" applyNumberFormat="1" applyFill="1" applyBorder="1"/>
    <xf numFmtId="4" fontId="5" fillId="0" borderId="5" xfId="21" applyNumberFormat="1" applyBorder="1"/>
    <xf numFmtId="4" fontId="5" fillId="18" borderId="6" xfId="21" applyNumberFormat="1" applyFill="1" applyBorder="1"/>
    <xf numFmtId="0" fontId="14" fillId="0" borderId="7" xfId="23" applyFont="1" applyBorder="1" applyAlignment="1">
      <alignment horizontal="center"/>
    </xf>
    <xf numFmtId="4" fontId="5" fillId="3" borderId="7" xfId="21" applyNumberFormat="1" applyFill="1" applyBorder="1"/>
    <xf numFmtId="4" fontId="5" fillId="0" borderId="0" xfId="21" applyNumberFormat="1"/>
    <xf numFmtId="4" fontId="5" fillId="0" borderId="4" xfId="21" applyNumberFormat="1" applyBorder="1"/>
    <xf numFmtId="4" fontId="5" fillId="4" borderId="7" xfId="21" applyNumberFormat="1" applyFill="1" applyBorder="1"/>
    <xf numFmtId="4" fontId="5" fillId="0" borderId="7" xfId="21" applyNumberFormat="1" applyBorder="1"/>
    <xf numFmtId="4" fontId="5" fillId="18" borderId="0" xfId="21" applyNumberFormat="1" applyFill="1"/>
    <xf numFmtId="0" fontId="14" fillId="7" borderId="7" xfId="23" applyFont="1" applyFill="1" applyBorder="1" applyAlignment="1">
      <alignment horizontal="center"/>
    </xf>
    <xf numFmtId="4" fontId="5" fillId="7" borderId="7" xfId="21" applyNumberFormat="1" applyFill="1" applyBorder="1"/>
    <xf numFmtId="4" fontId="5" fillId="7" borderId="0" xfId="21" applyNumberFormat="1" applyFill="1"/>
    <xf numFmtId="4" fontId="5" fillId="7" borderId="4" xfId="21" applyNumberFormat="1" applyFill="1" applyBorder="1"/>
    <xf numFmtId="4" fontId="5" fillId="3" borderId="0" xfId="21" applyNumberFormat="1" applyFill="1"/>
    <xf numFmtId="0" fontId="5" fillId="7" borderId="0" xfId="21" applyFill="1"/>
    <xf numFmtId="0" fontId="5" fillId="7" borderId="0" xfId="21" applyFill="1" applyAlignment="1">
      <alignment horizontal="left"/>
    </xf>
    <xf numFmtId="0" fontId="5" fillId="8" borderId="0" xfId="21" applyFill="1"/>
    <xf numFmtId="4" fontId="5" fillId="4" borderId="0" xfId="21" applyNumberFormat="1" applyFill="1"/>
    <xf numFmtId="4" fontId="5" fillId="17" borderId="0" xfId="21" applyNumberFormat="1" applyFill="1"/>
    <xf numFmtId="0" fontId="17" fillId="0" borderId="50" xfId="0" applyFont="1" applyBorder="1" applyAlignment="1" applyProtection="1">
      <alignment horizontal="left" vertical="center" wrapText="1"/>
      <protection hidden="1"/>
    </xf>
    <xf numFmtId="0" fontId="17" fillId="0" borderId="51" xfId="0" applyFont="1" applyBorder="1" applyAlignment="1" applyProtection="1">
      <alignment horizontal="left" vertical="center" wrapText="1"/>
      <protection hidden="1"/>
    </xf>
    <xf numFmtId="15" fontId="45" fillId="5" borderId="41" xfId="0" quotePrefix="1" applyNumberFormat="1" applyFont="1" applyFill="1" applyBorder="1" applyAlignment="1" applyProtection="1">
      <alignment horizontal="center" vertical="center" wrapText="1"/>
      <protection hidden="1"/>
    </xf>
    <xf numFmtId="15" fontId="46" fillId="5" borderId="34" xfId="0" applyNumberFormat="1" applyFont="1" applyFill="1" applyBorder="1" applyAlignment="1" applyProtection="1">
      <alignment horizontal="center" vertical="center" wrapText="1"/>
      <protection hidden="1"/>
    </xf>
    <xf numFmtId="15" fontId="46" fillId="5" borderId="34" xfId="0" quotePrefix="1" applyNumberFormat="1" applyFont="1" applyFill="1" applyBorder="1" applyAlignment="1" applyProtection="1">
      <alignment horizontal="center" vertical="center" wrapText="1"/>
      <protection hidden="1"/>
    </xf>
    <xf numFmtId="15" fontId="46" fillId="5" borderId="52" xfId="0" applyNumberFormat="1" applyFont="1" applyFill="1" applyBorder="1" applyAlignment="1" applyProtection="1">
      <alignment horizontal="center" vertical="center" wrapText="1"/>
      <protection hidden="1"/>
    </xf>
    <xf numFmtId="9" fontId="47" fillId="0" borderId="0" xfId="25" applyFont="1" applyFill="1" applyBorder="1" applyAlignment="1" applyProtection="1">
      <alignment horizontal="center" vertical="center"/>
      <protection hidden="1"/>
    </xf>
    <xf numFmtId="168" fontId="13" fillId="2" borderId="7" xfId="23" applyNumberFormat="1" applyFont="1" applyFill="1" applyBorder="1"/>
    <xf numFmtId="0" fontId="13" fillId="2" borderId="0" xfId="23" applyFont="1" applyFill="1"/>
    <xf numFmtId="0" fontId="5" fillId="2" borderId="0" xfId="21" applyFill="1"/>
    <xf numFmtId="0" fontId="5" fillId="12" borderId="0" xfId="21" applyFill="1"/>
    <xf numFmtId="0" fontId="5" fillId="0" borderId="0" xfId="21"/>
    <xf numFmtId="37" fontId="25" fillId="9" borderId="0" xfId="23" applyNumberFormat="1" applyFont="1" applyFill="1" applyAlignment="1">
      <alignment horizontal="centerContinuous"/>
    </xf>
    <xf numFmtId="0" fontId="5" fillId="2" borderId="0" xfId="21" applyFill="1" applyAlignment="1">
      <alignment horizontal="centerContinuous"/>
    </xf>
    <xf numFmtId="0" fontId="30" fillId="10" borderId="5" xfId="21" applyFont="1" applyFill="1" applyBorder="1"/>
    <xf numFmtId="0" fontId="31" fillId="10" borderId="6" xfId="21" applyFont="1" applyFill="1" applyBorder="1" applyAlignment="1">
      <alignment horizontal="right"/>
    </xf>
    <xf numFmtId="10" fontId="31" fillId="10" borderId="3" xfId="26" applyNumberFormat="1" applyFont="1" applyFill="1" applyBorder="1" applyAlignment="1">
      <alignment horizontal="center"/>
    </xf>
    <xf numFmtId="0" fontId="31" fillId="10" borderId="6" xfId="21" quotePrefix="1" applyFont="1" applyFill="1" applyBorder="1" applyAlignment="1">
      <alignment horizontal="right"/>
    </xf>
    <xf numFmtId="0" fontId="5" fillId="0" borderId="8" xfId="21" applyBorder="1"/>
    <xf numFmtId="0" fontId="5" fillId="0" borderId="9" xfId="21" applyBorder="1"/>
    <xf numFmtId="49" fontId="32" fillId="11" borderId="10" xfId="21" applyNumberFormat="1" applyFont="1" applyFill="1" applyBorder="1" applyAlignment="1">
      <alignment horizontal="center" wrapText="1"/>
    </xf>
    <xf numFmtId="49" fontId="32" fillId="0" borderId="10" xfId="21" applyNumberFormat="1" applyFont="1" applyBorder="1" applyAlignment="1">
      <alignment horizontal="center" wrapText="1"/>
    </xf>
    <xf numFmtId="49" fontId="32" fillId="18" borderId="10" xfId="21" applyNumberFormat="1" applyFont="1" applyFill="1" applyBorder="1" applyAlignment="1">
      <alignment horizontal="center" wrapText="1"/>
    </xf>
    <xf numFmtId="168" fontId="13" fillId="0" borderId="5" xfId="23" applyNumberFormat="1" applyFont="1" applyBorder="1"/>
    <xf numFmtId="37" fontId="16" fillId="0" borderId="3" xfId="23" quotePrefix="1" applyNumberFormat="1" applyFont="1" applyBorder="1" applyAlignment="1">
      <alignment horizontal="left"/>
    </xf>
    <xf numFmtId="37" fontId="16" fillId="0" borderId="4" xfId="23" quotePrefix="1" applyNumberFormat="1" applyFont="1" applyBorder="1" applyAlignment="1">
      <alignment horizontal="left"/>
    </xf>
    <xf numFmtId="0" fontId="14" fillId="0" borderId="11" xfId="23" applyFont="1" applyBorder="1" applyAlignment="1">
      <alignment horizontal="center"/>
    </xf>
    <xf numFmtId="37" fontId="16" fillId="0" borderId="12" xfId="23" applyNumberFormat="1" applyFont="1" applyBorder="1"/>
    <xf numFmtId="4" fontId="5" fillId="3" borderId="11" xfId="21" applyNumberFormat="1" applyFill="1" applyBorder="1"/>
    <xf numFmtId="4" fontId="5" fillId="0" borderId="13" xfId="21" applyNumberFormat="1" applyBorder="1"/>
    <xf numFmtId="4" fontId="5" fillId="0" borderId="12" xfId="21" applyNumberFormat="1" applyBorder="1"/>
    <xf numFmtId="4" fontId="5" fillId="4" borderId="11" xfId="21" applyNumberFormat="1" applyFill="1" applyBorder="1"/>
    <xf numFmtId="4" fontId="5" fillId="18" borderId="13" xfId="21" applyNumberFormat="1" applyFill="1" applyBorder="1"/>
    <xf numFmtId="168" fontId="13" fillId="0" borderId="7" xfId="23" applyNumberFormat="1" applyFont="1" applyBorder="1"/>
    <xf numFmtId="168" fontId="13" fillId="0" borderId="11" xfId="23" applyNumberFormat="1" applyFont="1" applyBorder="1"/>
    <xf numFmtId="4" fontId="5" fillId="0" borderId="11" xfId="21" applyNumberFormat="1" applyBorder="1"/>
    <xf numFmtId="0" fontId="14" fillId="7" borderId="11" xfId="23" applyFont="1" applyFill="1" applyBorder="1" applyAlignment="1">
      <alignment horizontal="center"/>
    </xf>
    <xf numFmtId="37" fontId="16" fillId="7" borderId="12" xfId="23" applyNumberFormat="1" applyFont="1" applyFill="1" applyBorder="1"/>
    <xf numFmtId="4" fontId="5" fillId="7" borderId="11" xfId="21" applyNumberFormat="1" applyFill="1" applyBorder="1"/>
    <xf numFmtId="4" fontId="5" fillId="7" borderId="13" xfId="21" applyNumberFormat="1" applyFill="1" applyBorder="1"/>
    <xf numFmtId="4" fontId="5" fillId="7" borderId="12" xfId="21" applyNumberFormat="1" applyFill="1" applyBorder="1"/>
    <xf numFmtId="4" fontId="5" fillId="4" borderId="6" xfId="21" applyNumberFormat="1" applyFill="1" applyBorder="1"/>
    <xf numFmtId="37" fontId="16" fillId="0" borderId="12" xfId="23" quotePrefix="1" applyNumberFormat="1" applyFont="1" applyBorder="1" applyAlignment="1">
      <alignment horizontal="left"/>
    </xf>
    <xf numFmtId="4" fontId="5" fillId="4" borderId="13" xfId="21" applyNumberFormat="1" applyFill="1" applyBorder="1"/>
    <xf numFmtId="4" fontId="5" fillId="2" borderId="0" xfId="21" applyNumberFormat="1" applyFill="1"/>
    <xf numFmtId="37" fontId="16" fillId="2" borderId="0" xfId="23" applyNumberFormat="1" applyFont="1" applyFill="1"/>
    <xf numFmtId="4" fontId="5" fillId="19" borderId="0" xfId="21" applyNumberFormat="1" applyFill="1"/>
    <xf numFmtId="0" fontId="14" fillId="2" borderId="8" xfId="23" applyFont="1" applyFill="1" applyBorder="1" applyAlignment="1">
      <alignment horizontal="center"/>
    </xf>
    <xf numFmtId="37" fontId="17" fillId="2" borderId="9" xfId="23" applyNumberFormat="1" applyFont="1" applyFill="1" applyBorder="1"/>
    <xf numFmtId="0" fontId="5" fillId="2" borderId="9" xfId="21" applyFill="1" applyBorder="1"/>
    <xf numFmtId="10" fontId="33" fillId="2" borderId="0" xfId="26" applyNumberFormat="1" applyFont="1" applyFill="1" applyAlignment="1">
      <alignment horizontal="center"/>
    </xf>
    <xf numFmtId="0" fontId="33" fillId="2" borderId="0" xfId="21" quotePrefix="1" applyFont="1" applyFill="1" applyAlignment="1">
      <alignment horizontal="right"/>
    </xf>
    <xf numFmtId="0" fontId="33" fillId="2" borderId="0" xfId="21" applyFont="1" applyFill="1" applyAlignment="1">
      <alignment horizontal="left"/>
    </xf>
    <xf numFmtId="10" fontId="5" fillId="0" borderId="0" xfId="21" applyNumberFormat="1"/>
    <xf numFmtId="0" fontId="5" fillId="2" borderId="14" xfId="21" applyFill="1" applyBorder="1"/>
    <xf numFmtId="0" fontId="29" fillId="2" borderId="10" xfId="21" applyFont="1" applyFill="1" applyBorder="1" applyAlignment="1">
      <alignment horizontal="center"/>
    </xf>
    <xf numFmtId="0" fontId="27" fillId="2" borderId="10" xfId="21" applyFont="1" applyFill="1" applyBorder="1"/>
    <xf numFmtId="0" fontId="5" fillId="2" borderId="10" xfId="21" applyFill="1" applyBorder="1"/>
    <xf numFmtId="0" fontId="27" fillId="2" borderId="10" xfId="21" applyFont="1" applyFill="1" applyBorder="1" applyAlignment="1">
      <alignment horizontal="centerContinuous"/>
    </xf>
    <xf numFmtId="0" fontId="5" fillId="2" borderId="10" xfId="21" applyFill="1" applyBorder="1" applyAlignment="1">
      <alignment horizontal="centerContinuous"/>
    </xf>
    <xf numFmtId="0" fontId="27" fillId="2" borderId="10" xfId="21" applyFont="1" applyFill="1" applyBorder="1" applyAlignment="1">
      <alignment horizontal="left"/>
    </xf>
    <xf numFmtId="0" fontId="5" fillId="2" borderId="8" xfId="21" applyFill="1" applyBorder="1" applyAlignment="1">
      <alignment horizontal="centerContinuous"/>
    </xf>
    <xf numFmtId="0" fontId="5" fillId="2" borderId="15" xfId="21" applyFill="1" applyBorder="1" applyAlignment="1">
      <alignment horizontal="centerContinuous"/>
    </xf>
    <xf numFmtId="0" fontId="5" fillId="2" borderId="9" xfId="21" applyFill="1" applyBorder="1" applyAlignment="1">
      <alignment horizontal="centerContinuous"/>
    </xf>
    <xf numFmtId="0" fontId="5" fillId="2" borderId="16" xfId="21" applyFill="1" applyBorder="1"/>
    <xf numFmtId="4" fontId="5" fillId="2" borderId="10" xfId="21" applyNumberFormat="1" applyFill="1" applyBorder="1"/>
    <xf numFmtId="0" fontId="5" fillId="2" borderId="8" xfId="21" applyFill="1" applyBorder="1"/>
    <xf numFmtId="4" fontId="5" fillId="2" borderId="15" xfId="21" applyNumberFormat="1" applyFill="1" applyBorder="1"/>
    <xf numFmtId="4" fontId="5" fillId="2" borderId="15" xfId="21" applyNumberFormat="1" applyFill="1" applyBorder="1" applyAlignment="1">
      <alignment horizontal="centerContinuous"/>
    </xf>
    <xf numFmtId="4" fontId="5" fillId="2" borderId="9" xfId="21" applyNumberFormat="1" applyFill="1" applyBorder="1" applyAlignment="1">
      <alignment horizontal="centerContinuous"/>
    </xf>
    <xf numFmtId="0" fontId="5" fillId="2" borderId="15" xfId="21" applyFill="1" applyBorder="1"/>
    <xf numFmtId="0" fontId="5" fillId="2" borderId="17" xfId="21" applyFill="1" applyBorder="1"/>
    <xf numFmtId="0" fontId="29" fillId="2" borderId="17" xfId="21" applyFont="1" applyFill="1" applyBorder="1" applyAlignment="1">
      <alignment horizontal="center"/>
    </xf>
    <xf numFmtId="0" fontId="27" fillId="2" borderId="17" xfId="21" applyFont="1" applyFill="1" applyBorder="1"/>
    <xf numFmtId="4" fontId="5" fillId="2" borderId="17" xfId="21" applyNumberFormat="1" applyFill="1" applyBorder="1"/>
    <xf numFmtId="0" fontId="5" fillId="2" borderId="18" xfId="21" applyFill="1" applyBorder="1" applyAlignment="1">
      <alignment horizontal="centerContinuous"/>
    </xf>
    <xf numFmtId="0" fontId="5" fillId="2" borderId="19" xfId="21" applyFill="1" applyBorder="1" applyAlignment="1">
      <alignment horizontal="centerContinuous"/>
    </xf>
    <xf numFmtId="0" fontId="27" fillId="2" borderId="17" xfId="21" applyFont="1" applyFill="1" applyBorder="1" applyAlignment="1">
      <alignment horizontal="centerContinuous"/>
    </xf>
    <xf numFmtId="0" fontId="5" fillId="2" borderId="17" xfId="21" applyFill="1" applyBorder="1" applyAlignment="1">
      <alignment horizontal="centerContinuous"/>
    </xf>
    <xf numFmtId="2" fontId="5" fillId="12" borderId="0" xfId="21" applyNumberFormat="1" applyFill="1"/>
    <xf numFmtId="0" fontId="5" fillId="2" borderId="20" xfId="21" applyFill="1" applyBorder="1"/>
    <xf numFmtId="0" fontId="5" fillId="2" borderId="21" xfId="21" applyFill="1" applyBorder="1"/>
    <xf numFmtId="4" fontId="5" fillId="2" borderId="21" xfId="21" applyNumberFormat="1" applyFill="1" applyBorder="1"/>
    <xf numFmtId="0" fontId="5" fillId="2" borderId="22" xfId="21" applyFill="1" applyBorder="1"/>
    <xf numFmtId="0" fontId="5" fillId="2" borderId="23" xfId="21" applyFill="1" applyBorder="1"/>
    <xf numFmtId="0" fontId="27" fillId="2" borderId="21" xfId="21" applyFont="1" applyFill="1" applyBorder="1" applyAlignment="1">
      <alignment horizontal="centerContinuous"/>
    </xf>
    <xf numFmtId="4" fontId="5" fillId="2" borderId="24" xfId="21" applyNumberFormat="1" applyFill="1" applyBorder="1" applyAlignment="1">
      <alignment horizontal="centerContinuous"/>
    </xf>
    <xf numFmtId="4" fontId="5" fillId="2" borderId="25" xfId="21" applyNumberFormat="1" applyFill="1" applyBorder="1" applyAlignment="1">
      <alignment horizontal="centerContinuous"/>
    </xf>
    <xf numFmtId="0" fontId="27" fillId="2" borderId="21" xfId="21" applyFont="1" applyFill="1" applyBorder="1" applyAlignment="1">
      <alignment horizontal="left"/>
    </xf>
    <xf numFmtId="0" fontId="5" fillId="2" borderId="26" xfId="21" applyFill="1" applyBorder="1"/>
    <xf numFmtId="0" fontId="5" fillId="2" borderId="27" xfId="21" applyFill="1" applyBorder="1"/>
    <xf numFmtId="0" fontId="5" fillId="2" borderId="28" xfId="21" applyFill="1" applyBorder="1"/>
    <xf numFmtId="4" fontId="5" fillId="2" borderId="28" xfId="21" applyNumberFormat="1" applyFill="1" applyBorder="1"/>
    <xf numFmtId="4" fontId="5" fillId="2" borderId="29" xfId="21" applyNumberFormat="1" applyFill="1" applyBorder="1"/>
    <xf numFmtId="4" fontId="5" fillId="2" borderId="30" xfId="21" applyNumberFormat="1" applyFill="1" applyBorder="1"/>
    <xf numFmtId="0" fontId="29" fillId="2" borderId="0" xfId="21" quotePrefix="1" applyFont="1" applyFill="1" applyAlignment="1">
      <alignment horizontal="left"/>
    </xf>
    <xf numFmtId="0" fontId="5" fillId="2" borderId="0" xfId="21" quotePrefix="1" applyFill="1" applyAlignment="1">
      <alignment horizontal="left"/>
    </xf>
    <xf numFmtId="2" fontId="5" fillId="0" borderId="0" xfId="21" applyNumberFormat="1"/>
    <xf numFmtId="0" fontId="14" fillId="2" borderId="0" xfId="21" applyFont="1" applyFill="1"/>
    <xf numFmtId="169" fontId="5" fillId="2" borderId="0" xfId="21" applyNumberFormat="1" applyFill="1"/>
    <xf numFmtId="170" fontId="5" fillId="2" borderId="0" xfId="21" applyNumberFormat="1" applyFill="1"/>
    <xf numFmtId="9" fontId="5" fillId="12" borderId="0" xfId="25" applyFont="1" applyFill="1"/>
    <xf numFmtId="0" fontId="34" fillId="0" borderId="0" xfId="21" applyFont="1" applyAlignment="1">
      <alignment wrapText="1"/>
    </xf>
    <xf numFmtId="0" fontId="16" fillId="2" borderId="2" xfId="0" applyFont="1" applyFill="1" applyBorder="1" applyAlignment="1" applyProtection="1">
      <alignment vertical="center"/>
      <protection hidden="1"/>
    </xf>
    <xf numFmtId="4" fontId="16" fillId="2" borderId="2" xfId="0" applyNumberFormat="1" applyFont="1" applyFill="1" applyBorder="1" applyAlignment="1" applyProtection="1">
      <alignment vertical="center"/>
      <protection hidden="1"/>
    </xf>
    <xf numFmtId="0" fontId="16" fillId="18" borderId="2" xfId="0" applyFont="1" applyFill="1" applyBorder="1" applyAlignment="1" applyProtection="1">
      <alignment horizontal="center" vertical="center"/>
      <protection hidden="1"/>
    </xf>
    <xf numFmtId="166" fontId="39" fillId="2" borderId="0" xfId="24" applyFont="1" applyFill="1" applyAlignment="1" applyProtection="1">
      <alignment horizontal="left" vertical="center"/>
      <protection hidden="1"/>
    </xf>
    <xf numFmtId="0" fontId="43"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36" fillId="5" borderId="35" xfId="0" applyFont="1" applyFill="1" applyBorder="1" applyAlignment="1" applyProtection="1">
      <alignment horizontal="center" vertical="center" wrapText="1"/>
      <protection hidden="1"/>
    </xf>
    <xf numFmtId="15" fontId="46" fillId="5" borderId="37" xfId="0" applyNumberFormat="1" applyFont="1" applyFill="1" applyBorder="1" applyAlignment="1" applyProtection="1">
      <alignment horizontal="center" vertical="center" wrapText="1"/>
      <protection hidden="1"/>
    </xf>
    <xf numFmtId="43" fontId="18" fillId="0" borderId="35" xfId="17" applyFont="1" applyFill="1" applyBorder="1" applyAlignment="1" applyProtection="1">
      <alignment vertical="center" wrapText="1"/>
      <protection hidden="1"/>
    </xf>
    <xf numFmtId="0" fontId="5" fillId="12" borderId="0" xfId="0" applyFont="1" applyFill="1" applyAlignment="1" applyProtection="1">
      <alignment vertical="center"/>
      <protection hidden="1"/>
    </xf>
    <xf numFmtId="0" fontId="43" fillId="0" borderId="0" xfId="0" applyFont="1" applyAlignment="1" applyProtection="1">
      <alignment horizontal="justify" vertical="center" wrapText="1"/>
      <protection hidden="1"/>
    </xf>
    <xf numFmtId="0" fontId="16" fillId="2" borderId="0" xfId="0" quotePrefix="1" applyFont="1" applyFill="1" applyAlignment="1" applyProtection="1">
      <alignment horizontal="left" vertical="center" wrapText="1"/>
      <protection hidden="1"/>
    </xf>
    <xf numFmtId="4" fontId="16" fillId="2" borderId="31" xfId="0" applyNumberFormat="1" applyFont="1" applyFill="1" applyBorder="1" applyAlignment="1" applyProtection="1">
      <alignment vertical="center"/>
      <protection hidden="1"/>
    </xf>
    <xf numFmtId="4" fontId="16" fillId="20" borderId="31" xfId="0" applyNumberFormat="1" applyFont="1" applyFill="1" applyBorder="1" applyAlignment="1" applyProtection="1">
      <alignment vertical="center"/>
      <protection hidden="1"/>
    </xf>
    <xf numFmtId="4" fontId="16" fillId="0" borderId="31" xfId="0" applyNumberFormat="1" applyFont="1" applyBorder="1" applyAlignment="1" applyProtection="1">
      <alignment horizontal="right" vertical="center"/>
      <protection hidden="1"/>
    </xf>
    <xf numFmtId="4" fontId="16" fillId="0" borderId="31" xfId="0" applyNumberFormat="1" applyFont="1" applyBorder="1" applyAlignment="1" applyProtection="1">
      <alignment vertical="center"/>
      <protection hidden="1"/>
    </xf>
    <xf numFmtId="4" fontId="39" fillId="5" borderId="31" xfId="0" applyNumberFormat="1" applyFont="1" applyFill="1" applyBorder="1" applyAlignment="1" applyProtection="1">
      <alignment vertical="center"/>
      <protection hidden="1"/>
    </xf>
    <xf numFmtId="17" fontId="37" fillId="6" borderId="44" xfId="0" applyNumberFormat="1" applyFont="1" applyFill="1" applyBorder="1" applyAlignment="1" applyProtection="1">
      <alignment horizontal="center" vertical="center" wrapText="1"/>
      <protection hidden="1"/>
    </xf>
    <xf numFmtId="17" fontId="37" fillId="6" borderId="45" xfId="0" applyNumberFormat="1" applyFont="1" applyFill="1" applyBorder="1" applyAlignment="1" applyProtection="1">
      <alignment horizontal="center" vertical="center" wrapText="1"/>
      <protection hidden="1"/>
    </xf>
    <xf numFmtId="0" fontId="16" fillId="2" borderId="32" xfId="0" quotePrefix="1" applyFont="1" applyFill="1" applyBorder="1" applyAlignment="1" applyProtection="1">
      <alignment horizontal="left" vertical="center"/>
      <protection hidden="1"/>
    </xf>
    <xf numFmtId="4" fontId="16" fillId="20" borderId="35" xfId="0" applyNumberFormat="1" applyFont="1" applyFill="1" applyBorder="1" applyAlignment="1" applyProtection="1">
      <alignment vertical="center"/>
      <protection hidden="1"/>
    </xf>
    <xf numFmtId="4" fontId="16" fillId="2" borderId="35" xfId="0" applyNumberFormat="1" applyFont="1" applyFill="1" applyBorder="1" applyAlignment="1" applyProtection="1">
      <alignment vertical="center"/>
      <protection hidden="1"/>
    </xf>
    <xf numFmtId="0" fontId="16" fillId="2" borderId="32" xfId="0" applyFont="1" applyFill="1" applyBorder="1" applyAlignment="1" applyProtection="1">
      <alignment horizontal="left" vertical="center"/>
      <protection hidden="1"/>
    </xf>
    <xf numFmtId="0" fontId="39" fillId="5" borderId="32" xfId="0" quotePrefix="1" applyFont="1" applyFill="1" applyBorder="1" applyAlignment="1" applyProtection="1">
      <alignment horizontal="left" vertical="center" wrapText="1"/>
      <protection hidden="1"/>
    </xf>
    <xf numFmtId="4" fontId="39" fillId="5" borderId="35" xfId="0" applyNumberFormat="1" applyFont="1" applyFill="1" applyBorder="1" applyAlignment="1" applyProtection="1">
      <alignment vertical="center"/>
      <protection hidden="1"/>
    </xf>
    <xf numFmtId="0" fontId="16" fillId="2" borderId="33" xfId="0" quotePrefix="1" applyFont="1" applyFill="1" applyBorder="1" applyAlignment="1" applyProtection="1">
      <alignment horizontal="left" vertical="center" wrapText="1"/>
      <protection hidden="1"/>
    </xf>
    <xf numFmtId="4" fontId="16" fillId="2" borderId="34" xfId="0" applyNumberFormat="1" applyFont="1" applyFill="1" applyBorder="1" applyAlignment="1" applyProtection="1">
      <alignment horizontal="right" vertical="center"/>
      <protection hidden="1"/>
    </xf>
    <xf numFmtId="4" fontId="16" fillId="2" borderId="37" xfId="0" applyNumberFormat="1" applyFont="1" applyFill="1" applyBorder="1" applyAlignment="1" applyProtection="1">
      <alignment horizontal="right" vertical="center"/>
      <protection hidden="1"/>
    </xf>
    <xf numFmtId="0" fontId="35" fillId="2" borderId="0" xfId="0" applyFont="1" applyFill="1" applyAlignment="1" applyProtection="1">
      <alignment horizontal="justify" vertical="center" wrapText="1"/>
      <protection hidden="1"/>
    </xf>
    <xf numFmtId="0" fontId="39" fillId="5" borderId="32" xfId="0" quotePrefix="1" applyFont="1" applyFill="1" applyBorder="1" applyAlignment="1" applyProtection="1">
      <alignment horizontal="left" vertical="center"/>
      <protection hidden="1"/>
    </xf>
    <xf numFmtId="4" fontId="17" fillId="2" borderId="31" xfId="0" applyNumberFormat="1" applyFont="1" applyFill="1" applyBorder="1" applyAlignment="1" applyProtection="1">
      <alignment vertical="center"/>
      <protection hidden="1"/>
    </xf>
    <xf numFmtId="4" fontId="17" fillId="2" borderId="35" xfId="0" applyNumberFormat="1" applyFont="1" applyFill="1" applyBorder="1" applyAlignment="1" applyProtection="1">
      <alignment vertical="center"/>
      <protection hidden="1"/>
    </xf>
    <xf numFmtId="4" fontId="39" fillId="5" borderId="31" xfId="0" applyNumberFormat="1" applyFont="1" applyFill="1" applyBorder="1" applyAlignment="1" applyProtection="1">
      <alignment horizontal="right" vertical="center"/>
      <protection hidden="1"/>
    </xf>
    <xf numFmtId="4" fontId="39" fillId="5" borderId="35" xfId="0" applyNumberFormat="1" applyFont="1" applyFill="1" applyBorder="1" applyAlignment="1" applyProtection="1">
      <alignment horizontal="right" vertical="center"/>
      <protection hidden="1"/>
    </xf>
    <xf numFmtId="0" fontId="36" fillId="14" borderId="43" xfId="0" applyFont="1" applyFill="1" applyBorder="1" applyAlignment="1" applyProtection="1">
      <alignment horizontal="center" vertical="center" wrapText="1"/>
      <protection hidden="1"/>
    </xf>
    <xf numFmtId="17" fontId="36" fillId="14" borderId="44" xfId="0" applyNumberFormat="1" applyFont="1" applyFill="1" applyBorder="1" applyAlignment="1" applyProtection="1">
      <alignment horizontal="center" vertical="center" wrapText="1"/>
      <protection hidden="1"/>
    </xf>
    <xf numFmtId="43" fontId="16" fillId="2" borderId="31" xfId="17" applyFont="1" applyFill="1" applyBorder="1" applyAlignment="1" applyProtection="1">
      <alignment horizontal="right" vertical="center"/>
      <protection hidden="1"/>
    </xf>
    <xf numFmtId="4" fontId="16" fillId="2" borderId="31" xfId="0" applyNumberFormat="1" applyFont="1" applyFill="1" applyBorder="1" applyAlignment="1" applyProtection="1">
      <alignment horizontal="right" vertical="center"/>
      <protection hidden="1"/>
    </xf>
    <xf numFmtId="0" fontId="17" fillId="2" borderId="32" xfId="0" applyFont="1" applyFill="1" applyBorder="1" applyAlignment="1" applyProtection="1">
      <alignment horizontal="left" vertical="center" wrapText="1"/>
      <protection hidden="1"/>
    </xf>
    <xf numFmtId="4" fontId="16" fillId="12" borderId="31" xfId="0" applyNumberFormat="1" applyFont="1" applyFill="1" applyBorder="1" applyAlignment="1" applyProtection="1">
      <alignment horizontal="right" vertical="center"/>
      <protection hidden="1"/>
    </xf>
    <xf numFmtId="0" fontId="16" fillId="2" borderId="33" xfId="0" quotePrefix="1" applyFont="1" applyFill="1" applyBorder="1" applyAlignment="1" applyProtection="1">
      <alignment horizontal="left" vertical="center"/>
      <protection hidden="1"/>
    </xf>
    <xf numFmtId="0" fontId="5" fillId="12" borderId="0" xfId="0" applyFont="1" applyFill="1" applyAlignment="1" applyProtection="1">
      <alignment vertical="top"/>
      <protection hidden="1"/>
    </xf>
    <xf numFmtId="4" fontId="16" fillId="0" borderId="32" xfId="0" applyNumberFormat="1" applyFont="1" applyBorder="1" applyAlignment="1" applyProtection="1">
      <alignment vertical="center" wrapText="1"/>
      <protection hidden="1"/>
    </xf>
    <xf numFmtId="37" fontId="16" fillId="12" borderId="3" xfId="23" quotePrefix="1" applyNumberFormat="1" applyFont="1" applyFill="1" applyBorder="1" applyAlignment="1">
      <alignment horizontal="left"/>
    </xf>
    <xf numFmtId="37" fontId="16" fillId="12" borderId="4" xfId="23" quotePrefix="1" applyNumberFormat="1" applyFont="1" applyFill="1" applyBorder="1" applyAlignment="1">
      <alignment horizontal="left"/>
    </xf>
    <xf numFmtId="37" fontId="16" fillId="12" borderId="12" xfId="23" applyNumberFormat="1" applyFont="1" applyFill="1" applyBorder="1"/>
    <xf numFmtId="37" fontId="16" fillId="12" borderId="4" xfId="23" applyNumberFormat="1" applyFont="1" applyFill="1" applyBorder="1"/>
    <xf numFmtId="37" fontId="16" fillId="12" borderId="12" xfId="23" applyNumberFormat="1" applyFont="1" applyFill="1" applyBorder="1" applyAlignment="1">
      <alignment horizontal="left" indent="1"/>
    </xf>
    <xf numFmtId="37" fontId="16" fillId="12" borderId="12" xfId="23" quotePrefix="1" applyNumberFormat="1" applyFont="1" applyFill="1" applyBorder="1" applyAlignment="1">
      <alignment horizontal="left"/>
    </xf>
    <xf numFmtId="37" fontId="16" fillId="12" borderId="3" xfId="23" applyNumberFormat="1" applyFont="1" applyFill="1" applyBorder="1"/>
    <xf numFmtId="37" fontId="16" fillId="12" borderId="15" xfId="23" applyNumberFormat="1" applyFont="1" applyFill="1" applyBorder="1"/>
    <xf numFmtId="4" fontId="5" fillId="23" borderId="0" xfId="21" applyNumberFormat="1" applyFill="1"/>
    <xf numFmtId="37" fontId="56" fillId="2" borderId="10" xfId="23" applyNumberFormat="1" applyFont="1" applyFill="1" applyBorder="1" applyAlignment="1">
      <alignment wrapText="1"/>
    </xf>
    <xf numFmtId="0" fontId="29" fillId="2" borderId="71" xfId="21" applyFont="1" applyFill="1" applyBorder="1" applyAlignment="1">
      <alignment horizontal="center"/>
    </xf>
    <xf numFmtId="0" fontId="5" fillId="2" borderId="72" xfId="21" applyFill="1" applyBorder="1"/>
    <xf numFmtId="0" fontId="29" fillId="2" borderId="72" xfId="21" applyFont="1" applyFill="1" applyBorder="1" applyAlignment="1">
      <alignment horizontal="center"/>
    </xf>
    <xf numFmtId="0" fontId="5" fillId="2" borderId="73" xfId="21" quotePrefix="1" applyFill="1" applyBorder="1" applyAlignment="1">
      <alignment horizontal="left"/>
    </xf>
    <xf numFmtId="37" fontId="55" fillId="22" borderId="3" xfId="23" applyNumberFormat="1" applyFont="1" applyFill="1" applyBorder="1" applyAlignment="1">
      <alignment vertical="center" wrapText="1"/>
    </xf>
    <xf numFmtId="37" fontId="55" fillId="22" borderId="4" xfId="23" applyNumberFormat="1" applyFont="1" applyFill="1" applyBorder="1" applyAlignment="1">
      <alignment vertical="center" wrapText="1"/>
    </xf>
    <xf numFmtId="37" fontId="55" fillId="22" borderId="12" xfId="23" applyNumberFormat="1" applyFont="1" applyFill="1" applyBorder="1" applyAlignment="1">
      <alignment vertical="center" wrapText="1"/>
    </xf>
    <xf numFmtId="49" fontId="56" fillId="22" borderId="16" xfId="21" applyNumberFormat="1" applyFont="1" applyFill="1" applyBorder="1" applyAlignment="1">
      <alignment horizontal="center" vertical="center" wrapText="1"/>
    </xf>
    <xf numFmtId="4" fontId="5" fillId="12" borderId="5" xfId="21" applyNumberFormat="1" applyFill="1" applyBorder="1"/>
    <xf numFmtId="4" fontId="5" fillId="12" borderId="6" xfId="21" applyNumberFormat="1" applyFill="1" applyBorder="1"/>
    <xf numFmtId="4" fontId="5" fillId="12" borderId="3" xfId="21" applyNumberFormat="1" applyFill="1" applyBorder="1"/>
    <xf numFmtId="4" fontId="5" fillId="12" borderId="7" xfId="21" applyNumberFormat="1" applyFill="1" applyBorder="1"/>
    <xf numFmtId="4" fontId="5" fillId="12" borderId="0" xfId="21" applyNumberFormat="1" applyFill="1"/>
    <xf numFmtId="4" fontId="5" fillId="12" borderId="4" xfId="21" applyNumberFormat="1" applyFill="1" applyBorder="1"/>
    <xf numFmtId="4" fontId="5" fillId="12" borderId="11" xfId="21" applyNumberFormat="1" applyFill="1" applyBorder="1"/>
    <xf numFmtId="4" fontId="5" fillId="12" borderId="13" xfId="21" applyNumberFormat="1" applyFill="1" applyBorder="1"/>
    <xf numFmtId="4" fontId="5" fillId="12" borderId="12" xfId="21" applyNumberFormat="1" applyFill="1" applyBorder="1"/>
    <xf numFmtId="165" fontId="5" fillId="12" borderId="13" xfId="21" applyNumberFormat="1" applyFill="1" applyBorder="1"/>
    <xf numFmtId="4" fontId="5" fillId="12" borderId="8" xfId="21" applyNumberFormat="1" applyFill="1" applyBorder="1"/>
    <xf numFmtId="4" fontId="5" fillId="12" borderId="9" xfId="21" applyNumberFormat="1" applyFill="1" applyBorder="1"/>
    <xf numFmtId="0" fontId="56" fillId="2" borderId="8" xfId="21" applyFont="1" applyFill="1" applyBorder="1" applyAlignment="1">
      <alignment horizontal="left" vertical="center"/>
    </xf>
    <xf numFmtId="0" fontId="56" fillId="0" borderId="9" xfId="21" applyFont="1" applyBorder="1" applyAlignment="1">
      <alignment vertical="center"/>
    </xf>
    <xf numFmtId="10" fontId="56" fillId="0" borderId="15" xfId="21" applyNumberFormat="1" applyFont="1" applyBorder="1" applyAlignment="1">
      <alignment vertical="center"/>
    </xf>
    <xf numFmtId="4" fontId="5" fillId="2" borderId="2" xfId="21" applyNumberFormat="1" applyFill="1" applyBorder="1"/>
    <xf numFmtId="4" fontId="5" fillId="2" borderId="76" xfId="21" applyNumberFormat="1" applyFill="1" applyBorder="1"/>
    <xf numFmtId="4" fontId="5" fillId="21" borderId="0" xfId="21" applyNumberFormat="1" applyFill="1"/>
    <xf numFmtId="2" fontId="5" fillId="21" borderId="0" xfId="21" applyNumberFormat="1" applyFill="1"/>
    <xf numFmtId="2" fontId="5" fillId="21" borderId="84" xfId="21" applyNumberFormat="1" applyFill="1" applyBorder="1"/>
    <xf numFmtId="4" fontId="16" fillId="0" borderId="35" xfId="0" applyNumberFormat="1" applyFont="1" applyBorder="1" applyAlignment="1" applyProtection="1">
      <alignment horizontal="right" vertical="center"/>
      <protection hidden="1"/>
    </xf>
    <xf numFmtId="43" fontId="0" fillId="0" borderId="0" xfId="0" applyNumberFormat="1"/>
    <xf numFmtId="4" fontId="40" fillId="2" borderId="0" xfId="0" applyNumberFormat="1" applyFont="1" applyFill="1" applyAlignment="1" applyProtection="1">
      <alignment vertical="center"/>
      <protection hidden="1"/>
    </xf>
    <xf numFmtId="4" fontId="37" fillId="0" borderId="0" xfId="0" applyNumberFormat="1" applyFont="1" applyAlignment="1" applyProtection="1">
      <alignment horizontal="right" vertical="center"/>
      <protection hidden="1"/>
    </xf>
    <xf numFmtId="37" fontId="55" fillId="21" borderId="3" xfId="23" applyNumberFormat="1" applyFont="1" applyFill="1" applyBorder="1" applyAlignment="1">
      <alignment vertical="center" wrapText="1"/>
    </xf>
    <xf numFmtId="37" fontId="55" fillId="21" borderId="4" xfId="23" applyNumberFormat="1" applyFont="1" applyFill="1" applyBorder="1" applyAlignment="1">
      <alignment vertical="center" wrapText="1"/>
    </xf>
    <xf numFmtId="37" fontId="55" fillId="21" borderId="12" xfId="23" applyNumberFormat="1" applyFont="1" applyFill="1" applyBorder="1" applyAlignment="1">
      <alignment vertical="center" wrapText="1"/>
    </xf>
    <xf numFmtId="49" fontId="56" fillId="21" borderId="16" xfId="21" applyNumberFormat="1" applyFont="1" applyFill="1" applyBorder="1" applyAlignment="1">
      <alignment horizontal="center" vertical="center" wrapText="1"/>
    </xf>
    <xf numFmtId="43" fontId="17" fillId="0" borderId="31" xfId="17" applyFont="1" applyFill="1" applyBorder="1" applyAlignment="1" applyProtection="1">
      <alignment horizontal="center" vertical="center" wrapText="1"/>
      <protection hidden="1"/>
    </xf>
    <xf numFmtId="4" fontId="16" fillId="24" borderId="31" xfId="0" applyNumberFormat="1" applyFont="1" applyFill="1" applyBorder="1" applyAlignment="1" applyProtection="1">
      <alignment vertical="center"/>
      <protection hidden="1"/>
    </xf>
    <xf numFmtId="0" fontId="61" fillId="2" borderId="0" xfId="0" quotePrefix="1" applyFont="1" applyFill="1" applyAlignment="1" applyProtection="1">
      <alignment horizontal="left" vertical="center"/>
      <protection hidden="1"/>
    </xf>
    <xf numFmtId="172" fontId="16" fillId="0" borderId="0" xfId="0" applyNumberFormat="1" applyFont="1" applyAlignment="1" applyProtection="1">
      <alignment vertical="center"/>
      <protection hidden="1"/>
    </xf>
    <xf numFmtId="4" fontId="16" fillId="2" borderId="31" xfId="0" applyNumberFormat="1" applyFont="1" applyFill="1" applyBorder="1" applyAlignment="1" applyProtection="1">
      <alignment horizontal="center" vertical="center"/>
      <protection hidden="1"/>
    </xf>
    <xf numFmtId="0" fontId="16" fillId="2" borderId="0" xfId="0" applyFont="1" applyFill="1" applyAlignment="1" applyProtection="1">
      <alignment horizontal="center" vertical="center"/>
      <protection hidden="1"/>
    </xf>
    <xf numFmtId="4" fontId="16" fillId="2" borderId="35" xfId="0" applyNumberFormat="1" applyFont="1" applyFill="1" applyBorder="1" applyAlignment="1" applyProtection="1">
      <alignment horizontal="center" vertical="center"/>
      <protection hidden="1"/>
    </xf>
    <xf numFmtId="4" fontId="16" fillId="0" borderId="2" xfId="0" applyNumberFormat="1" applyFont="1" applyBorder="1" applyAlignment="1" applyProtection="1">
      <alignment vertical="center"/>
      <protection hidden="1"/>
    </xf>
    <xf numFmtId="0" fontId="63" fillId="2" borderId="2" xfId="0" applyFont="1" applyFill="1" applyBorder="1" applyAlignment="1" applyProtection="1">
      <alignment vertical="center"/>
      <protection hidden="1"/>
    </xf>
    <xf numFmtId="4" fontId="63" fillId="2" borderId="2" xfId="0" applyNumberFormat="1" applyFont="1" applyFill="1" applyBorder="1" applyAlignment="1" applyProtection="1">
      <alignment vertical="center"/>
      <protection hidden="1"/>
    </xf>
    <xf numFmtId="167" fontId="27" fillId="12" borderId="0" xfId="17" applyNumberFormat="1" applyFont="1" applyFill="1" applyBorder="1" applyAlignment="1" applyProtection="1">
      <alignment horizontal="center" vertical="center"/>
      <protection hidden="1"/>
    </xf>
    <xf numFmtId="4" fontId="16" fillId="0" borderId="0" xfId="0" applyNumberFormat="1" applyFont="1" applyAlignment="1" applyProtection="1">
      <alignment vertical="center"/>
      <protection hidden="1"/>
    </xf>
    <xf numFmtId="10" fontId="16" fillId="13" borderId="0" xfId="25" applyNumberFormat="1" applyFont="1" applyFill="1" applyAlignment="1" applyProtection="1">
      <alignment vertical="center"/>
      <protection hidden="1"/>
    </xf>
    <xf numFmtId="0" fontId="43" fillId="2" borderId="0" xfId="0" applyFont="1" applyFill="1" applyAlignment="1" applyProtection="1">
      <alignment horizontal="center" vertical="center"/>
      <protection hidden="1"/>
    </xf>
    <xf numFmtId="0" fontId="35" fillId="2" borderId="0" xfId="0" quotePrefix="1" applyFont="1" applyFill="1" applyAlignment="1" applyProtection="1">
      <alignment horizontal="center" vertical="center"/>
      <protection hidden="1"/>
    </xf>
    <xf numFmtId="0" fontId="43" fillId="0" borderId="0" xfId="0" applyFont="1" applyAlignment="1" applyProtection="1">
      <alignment horizontal="center" vertical="top"/>
      <protection hidden="1"/>
    </xf>
    <xf numFmtId="0" fontId="43" fillId="0" borderId="0" xfId="0" applyFont="1" applyAlignment="1" applyProtection="1">
      <alignment horizontal="center" vertical="top" wrapText="1"/>
      <protection hidden="1"/>
    </xf>
    <xf numFmtId="0" fontId="35" fillId="0" borderId="0" xfId="0" applyFont="1" applyAlignment="1" applyProtection="1">
      <alignment horizontal="center" vertical="center"/>
      <protection hidden="1"/>
    </xf>
    <xf numFmtId="0" fontId="35" fillId="0" borderId="0" xfId="0" quotePrefix="1" applyFont="1" applyAlignment="1" applyProtection="1">
      <alignment horizontal="center" vertical="center"/>
      <protection hidden="1"/>
    </xf>
    <xf numFmtId="4" fontId="16" fillId="0" borderId="50" xfId="0" applyNumberFormat="1" applyFont="1" applyBorder="1" applyAlignment="1" applyProtection="1">
      <alignment horizontal="right" vertical="center"/>
      <protection hidden="1"/>
    </xf>
    <xf numFmtId="4" fontId="16" fillId="2" borderId="51" xfId="0" applyNumberFormat="1" applyFont="1" applyFill="1" applyBorder="1" applyAlignment="1" applyProtection="1">
      <alignment horizontal="right" vertical="center"/>
      <protection hidden="1"/>
    </xf>
    <xf numFmtId="4" fontId="16" fillId="20" borderId="50" xfId="0" applyNumberFormat="1" applyFont="1" applyFill="1" applyBorder="1" applyAlignment="1" applyProtection="1">
      <alignment vertical="center"/>
      <protection hidden="1"/>
    </xf>
    <xf numFmtId="4" fontId="16" fillId="12" borderId="50" xfId="0" applyNumberFormat="1" applyFont="1" applyFill="1" applyBorder="1" applyAlignment="1" applyProtection="1">
      <alignment vertical="center"/>
      <protection hidden="1"/>
    </xf>
    <xf numFmtId="4" fontId="16" fillId="0" borderId="50" xfId="0" applyNumberFormat="1" applyFont="1" applyBorder="1" applyAlignment="1" applyProtection="1">
      <alignment vertical="center"/>
      <protection hidden="1"/>
    </xf>
    <xf numFmtId="4" fontId="16" fillId="2" borderId="50" xfId="0" applyNumberFormat="1" applyFont="1" applyFill="1" applyBorder="1" applyAlignment="1" applyProtection="1">
      <alignment vertical="center"/>
      <protection hidden="1"/>
    </xf>
    <xf numFmtId="4" fontId="39" fillId="5" borderId="50" xfId="0" applyNumberFormat="1" applyFont="1" applyFill="1" applyBorder="1" applyAlignment="1" applyProtection="1">
      <alignment vertical="center"/>
      <protection hidden="1"/>
    </xf>
    <xf numFmtId="4" fontId="16" fillId="0" borderId="50" xfId="0" applyNumberFormat="1" applyFont="1" applyBorder="1" applyAlignment="1" applyProtection="1">
      <alignment horizontal="center" vertical="center"/>
      <protection hidden="1"/>
    </xf>
    <xf numFmtId="4" fontId="16" fillId="24" borderId="31" xfId="0" applyNumberFormat="1" applyFont="1" applyFill="1" applyBorder="1" applyAlignment="1" applyProtection="1">
      <alignment horizontal="center" vertical="center"/>
      <protection hidden="1"/>
    </xf>
    <xf numFmtId="43" fontId="37" fillId="0" borderId="0" xfId="0" applyNumberFormat="1" applyFont="1" applyAlignment="1" applyProtection="1">
      <alignment vertical="center"/>
      <protection hidden="1"/>
    </xf>
    <xf numFmtId="43" fontId="16" fillId="2" borderId="0" xfId="0" applyNumberFormat="1" applyFont="1" applyFill="1" applyAlignment="1" applyProtection="1">
      <alignment vertical="center"/>
      <protection hidden="1"/>
    </xf>
    <xf numFmtId="9" fontId="16" fillId="0" borderId="0" xfId="25" applyFont="1" applyAlignment="1" applyProtection="1">
      <alignment vertical="center"/>
      <protection hidden="1"/>
    </xf>
    <xf numFmtId="9" fontId="37" fillId="0" borderId="0" xfId="25" applyFont="1" applyAlignment="1" applyProtection="1">
      <alignment vertical="center"/>
      <protection hidden="1"/>
    </xf>
    <xf numFmtId="164" fontId="16" fillId="0" borderId="0" xfId="0" applyNumberFormat="1" applyFont="1" applyAlignment="1" applyProtection="1">
      <alignment vertical="center"/>
      <protection hidden="1"/>
    </xf>
    <xf numFmtId="43" fontId="16" fillId="0" borderId="0" xfId="0" applyNumberFormat="1" applyFont="1" applyAlignment="1" applyProtection="1">
      <alignment vertical="center"/>
      <protection hidden="1"/>
    </xf>
    <xf numFmtId="173" fontId="16" fillId="0" borderId="0" xfId="0" applyNumberFormat="1" applyFont="1" applyAlignment="1" applyProtection="1">
      <alignment vertical="center"/>
      <protection hidden="1"/>
    </xf>
    <xf numFmtId="43" fontId="16" fillId="0" borderId="0" xfId="25" applyNumberFormat="1" applyFont="1" applyFill="1" applyBorder="1" applyAlignment="1" applyProtection="1">
      <alignment vertical="center"/>
      <protection hidden="1"/>
    </xf>
    <xf numFmtId="41" fontId="16" fillId="0" borderId="0" xfId="31" applyFont="1" applyFill="1" applyBorder="1" applyAlignment="1" applyProtection="1">
      <alignment vertical="center"/>
      <protection hidden="1"/>
    </xf>
    <xf numFmtId="174" fontId="16" fillId="0" borderId="0" xfId="0" applyNumberFormat="1" applyFont="1" applyAlignment="1" applyProtection="1">
      <alignment vertical="center"/>
      <protection hidden="1"/>
    </xf>
    <xf numFmtId="0" fontId="69" fillId="0" borderId="0" xfId="0" applyFont="1" applyAlignment="1" applyProtection="1">
      <alignment vertical="center" wrapText="1"/>
      <protection hidden="1"/>
    </xf>
    <xf numFmtId="0" fontId="60" fillId="0" borderId="0" xfId="0" applyFont="1" applyAlignment="1" applyProtection="1">
      <alignment vertical="center"/>
      <protection hidden="1"/>
    </xf>
    <xf numFmtId="4" fontId="40" fillId="2" borderId="2" xfId="0" applyNumberFormat="1" applyFont="1" applyFill="1" applyBorder="1" applyAlignment="1" applyProtection="1">
      <alignment vertical="center"/>
      <protection hidden="1"/>
    </xf>
    <xf numFmtId="43" fontId="16" fillId="2" borderId="0" xfId="17" applyFont="1" applyFill="1" applyAlignment="1" applyProtection="1">
      <alignment vertical="center"/>
      <protection hidden="1"/>
    </xf>
    <xf numFmtId="9" fontId="16" fillId="0" borderId="0" xfId="0" applyNumberFormat="1" applyFont="1" applyAlignment="1" applyProtection="1">
      <alignment vertical="center"/>
      <protection hidden="1"/>
    </xf>
    <xf numFmtId="0" fontId="70" fillId="0" borderId="0" xfId="0" applyFont="1" applyAlignment="1" applyProtection="1">
      <alignment vertical="center"/>
      <protection hidden="1"/>
    </xf>
    <xf numFmtId="0" fontId="18" fillId="2" borderId="0" xfId="0" quotePrefix="1" applyFont="1" applyFill="1" applyAlignment="1" applyProtection="1">
      <alignment horizontal="left" vertical="center" wrapText="1"/>
      <protection hidden="1"/>
    </xf>
    <xf numFmtId="0" fontId="43" fillId="12" borderId="0" xfId="0" applyFont="1" applyFill="1" applyAlignment="1" applyProtection="1">
      <alignment horizontal="left" vertical="top" wrapText="1"/>
      <protection hidden="1"/>
    </xf>
    <xf numFmtId="4" fontId="63" fillId="22" borderId="2" xfId="0" applyNumberFormat="1" applyFont="1" applyFill="1" applyBorder="1" applyAlignment="1" applyProtection="1">
      <alignment vertical="center"/>
      <protection hidden="1"/>
    </xf>
    <xf numFmtId="0" fontId="16" fillId="13" borderId="0" xfId="0" applyFont="1" applyFill="1" applyAlignment="1" applyProtection="1">
      <alignment vertical="center"/>
      <protection hidden="1"/>
    </xf>
    <xf numFmtId="0" fontId="16" fillId="25" borderId="0" xfId="0" applyFont="1" applyFill="1" applyAlignment="1" applyProtection="1">
      <alignment vertical="center"/>
      <protection hidden="1"/>
    </xf>
    <xf numFmtId="167" fontId="16" fillId="12" borderId="0" xfId="17" applyNumberFormat="1" applyFont="1" applyFill="1" applyBorder="1" applyAlignment="1" applyProtection="1">
      <alignment horizontal="left" vertical="center"/>
      <protection hidden="1"/>
    </xf>
    <xf numFmtId="43" fontId="16" fillId="0" borderId="31" xfId="17" applyFont="1" applyFill="1" applyBorder="1" applyAlignment="1" applyProtection="1">
      <alignment horizontal="right" vertical="center"/>
      <protection hidden="1"/>
    </xf>
    <xf numFmtId="0" fontId="74" fillId="0" borderId="0" xfId="33"/>
    <xf numFmtId="0" fontId="5" fillId="0" borderId="0" xfId="0" applyFont="1"/>
    <xf numFmtId="0" fontId="0" fillId="27" borderId="2" xfId="0" applyFill="1" applyBorder="1" applyAlignment="1">
      <alignment horizontal="center"/>
    </xf>
    <xf numFmtId="0" fontId="29" fillId="27" borderId="2" xfId="0" applyFont="1" applyFill="1" applyBorder="1" applyAlignment="1">
      <alignment horizontal="center" vertical="center"/>
    </xf>
    <xf numFmtId="10" fontId="0" fillId="30" borderId="2" xfId="25" applyNumberFormat="1" applyFont="1" applyFill="1" applyBorder="1" applyAlignment="1">
      <alignment horizontal="center" vertical="center"/>
    </xf>
    <xf numFmtId="0" fontId="29" fillId="0" borderId="0" xfId="0" applyFont="1"/>
    <xf numFmtId="0" fontId="29" fillId="0" borderId="93" xfId="0" applyFont="1" applyBorder="1"/>
    <xf numFmtId="0" fontId="0" fillId="0" borderId="93" xfId="0" applyBorder="1"/>
    <xf numFmtId="0" fontId="5" fillId="0" borderId="93" xfId="0" applyFont="1" applyBorder="1"/>
    <xf numFmtId="0" fontId="29" fillId="27" borderId="89" xfId="0" applyFont="1" applyFill="1" applyBorder="1" applyAlignment="1">
      <alignment vertical="center"/>
    </xf>
    <xf numFmtId="0" fontId="5" fillId="0" borderId="94" xfId="0" applyFont="1" applyBorder="1"/>
    <xf numFmtId="0" fontId="29" fillId="27" borderId="89" xfId="0" applyFont="1" applyFill="1" applyBorder="1" applyAlignment="1">
      <alignment horizontal="center"/>
    </xf>
    <xf numFmtId="0" fontId="0" fillId="0" borderId="94" xfId="0" applyBorder="1"/>
    <xf numFmtId="2" fontId="0" fillId="0" borderId="94" xfId="0" applyNumberFormat="1" applyBorder="1" applyAlignment="1">
      <alignment horizontal="center"/>
    </xf>
    <xf numFmtId="0" fontId="29" fillId="27" borderId="89" xfId="0" applyFont="1" applyFill="1" applyBorder="1" applyAlignment="1">
      <alignment horizontal="center" vertical="center"/>
    </xf>
    <xf numFmtId="0" fontId="0" fillId="0" borderId="94" xfId="0" applyBorder="1" applyAlignment="1">
      <alignment horizontal="center"/>
    </xf>
    <xf numFmtId="0" fontId="29" fillId="27" borderId="87" xfId="0" applyFont="1" applyFill="1" applyBorder="1" applyAlignment="1">
      <alignment horizontal="center"/>
    </xf>
    <xf numFmtId="0" fontId="29" fillId="27" borderId="92" xfId="0" applyFont="1" applyFill="1" applyBorder="1" applyAlignment="1">
      <alignment vertical="center"/>
    </xf>
    <xf numFmtId="0" fontId="5" fillId="29" borderId="94" xfId="0" applyFont="1" applyFill="1" applyBorder="1"/>
    <xf numFmtId="0" fontId="29" fillId="27" borderId="77" xfId="0" applyFont="1" applyFill="1" applyBorder="1" applyAlignment="1">
      <alignment horizontal="center"/>
    </xf>
    <xf numFmtId="0" fontId="29" fillId="27" borderId="78" xfId="0" applyFont="1" applyFill="1" applyBorder="1" applyAlignment="1">
      <alignment horizontal="center"/>
    </xf>
    <xf numFmtId="41" fontId="5" fillId="26" borderId="94" xfId="31" applyFont="1" applyFill="1" applyBorder="1"/>
    <xf numFmtId="41" fontId="0" fillId="26" borderId="94" xfId="31" applyFont="1" applyFill="1" applyBorder="1" applyAlignment="1">
      <alignment horizontal="center"/>
    </xf>
    <xf numFmtId="2" fontId="0" fillId="28" borderId="94" xfId="0" applyNumberFormat="1" applyFill="1" applyBorder="1"/>
    <xf numFmtId="1" fontId="0" fillId="28" borderId="94" xfId="0" applyNumberFormat="1" applyFill="1" applyBorder="1"/>
    <xf numFmtId="2" fontId="0" fillId="0" borderId="94" xfId="0" applyNumberFormat="1" applyBorder="1"/>
    <xf numFmtId="0" fontId="29" fillId="27" borderId="87" xfId="0" applyFont="1" applyFill="1" applyBorder="1" applyAlignment="1">
      <alignment horizontal="right" indent="1"/>
    </xf>
    <xf numFmtId="0" fontId="29" fillId="27" borderId="89" xfId="0" applyFont="1" applyFill="1" applyBorder="1" applyAlignment="1">
      <alignment horizontal="right" indent="1"/>
    </xf>
    <xf numFmtId="2" fontId="65" fillId="0" borderId="94" xfId="0" applyNumberFormat="1" applyFont="1" applyBorder="1" applyAlignment="1">
      <alignment horizontal="center"/>
    </xf>
    <xf numFmtId="10" fontId="0" fillId="0" borderId="0" xfId="25" applyNumberFormat="1" applyFont="1"/>
    <xf numFmtId="43" fontId="40" fillId="0" borderId="0" xfId="0" applyNumberFormat="1" applyFont="1" applyAlignment="1" applyProtection="1">
      <alignment vertical="center"/>
      <protection hidden="1"/>
    </xf>
    <xf numFmtId="43" fontId="77" fillId="0" borderId="0" xfId="0" applyNumberFormat="1" applyFont="1" applyAlignment="1" applyProtection="1">
      <alignment vertical="center"/>
      <protection hidden="1"/>
    </xf>
    <xf numFmtId="2" fontId="16" fillId="25" borderId="0" xfId="0" applyNumberFormat="1" applyFont="1" applyFill="1" applyAlignment="1" applyProtection="1">
      <alignment vertical="center"/>
      <protection hidden="1"/>
    </xf>
    <xf numFmtId="0" fontId="65" fillId="0" borderId="0" xfId="0" applyFont="1"/>
    <xf numFmtId="167" fontId="16" fillId="31" borderId="0" xfId="17" applyNumberFormat="1" applyFont="1" applyFill="1" applyBorder="1" applyAlignment="1" applyProtection="1">
      <alignment horizontal="left" vertical="center"/>
      <protection hidden="1"/>
    </xf>
    <xf numFmtId="0" fontId="0" fillId="28" borderId="94" xfId="0" applyFill="1" applyBorder="1" applyAlignment="1">
      <alignment horizontal="center"/>
    </xf>
    <xf numFmtId="2" fontId="0" fillId="28" borderId="94" xfId="0" applyNumberFormat="1" applyFill="1" applyBorder="1" applyAlignment="1">
      <alignment horizontal="center"/>
    </xf>
    <xf numFmtId="1" fontId="0" fillId="28" borderId="94" xfId="0" applyNumberFormat="1" applyFill="1" applyBorder="1" applyAlignment="1">
      <alignment horizontal="center"/>
    </xf>
    <xf numFmtId="2" fontId="0" fillId="0" borderId="0" xfId="0" applyNumberFormat="1"/>
    <xf numFmtId="172" fontId="0" fillId="28" borderId="94" xfId="0" applyNumberFormat="1" applyFill="1" applyBorder="1" applyAlignment="1">
      <alignment horizontal="center"/>
    </xf>
    <xf numFmtId="0" fontId="0" fillId="25" borderId="0" xfId="0" applyFill="1"/>
    <xf numFmtId="0" fontId="5" fillId="25" borderId="0" xfId="0" applyFont="1" applyFill="1"/>
    <xf numFmtId="2" fontId="5" fillId="0" borderId="94" xfId="0" applyNumberFormat="1" applyFont="1" applyBorder="1" applyAlignment="1">
      <alignment horizontal="center"/>
    </xf>
    <xf numFmtId="43" fontId="40" fillId="2" borderId="0" xfId="0" applyNumberFormat="1" applyFont="1" applyFill="1" applyAlignment="1" applyProtection="1">
      <alignment vertical="center"/>
      <protection hidden="1"/>
    </xf>
    <xf numFmtId="0" fontId="43" fillId="12" borderId="0" xfId="0" applyFont="1" applyFill="1" applyAlignment="1" applyProtection="1">
      <alignment horizontal="justify" vertical="top" wrapText="1"/>
      <protection hidden="1"/>
    </xf>
    <xf numFmtId="167" fontId="16" fillId="25" borderId="0" xfId="17" applyNumberFormat="1" applyFont="1" applyFill="1" applyBorder="1" applyAlignment="1" applyProtection="1">
      <alignment horizontal="center" vertical="center"/>
      <protection hidden="1"/>
    </xf>
    <xf numFmtId="166" fontId="78" fillId="2" borderId="0" xfId="24" applyFont="1" applyFill="1" applyAlignment="1" applyProtection="1">
      <alignment horizontal="centerContinuous" vertical="center"/>
      <protection hidden="1"/>
    </xf>
    <xf numFmtId="0" fontId="79" fillId="2" borderId="0" xfId="0" applyFont="1" applyFill="1" applyAlignment="1" applyProtection="1">
      <alignment horizontal="centerContinuous" vertical="center"/>
      <protection hidden="1"/>
    </xf>
    <xf numFmtId="0" fontId="80" fillId="2" borderId="0" xfId="0" applyFont="1" applyFill="1" applyAlignment="1" applyProtection="1">
      <alignment horizontal="centerContinuous" vertical="center"/>
      <protection hidden="1"/>
    </xf>
    <xf numFmtId="0" fontId="13" fillId="2" borderId="0" xfId="0" applyFont="1" applyFill="1" applyAlignment="1" applyProtection="1">
      <alignment horizontal="centerContinuous" vertical="center"/>
      <protection hidden="1"/>
    </xf>
    <xf numFmtId="0" fontId="81" fillId="0" borderId="0" xfId="0" applyFont="1"/>
    <xf numFmtId="0" fontId="29" fillId="12" borderId="0" xfId="0" applyFont="1" applyFill="1" applyAlignment="1" applyProtection="1">
      <alignment horizontal="left" vertical="center" wrapText="1"/>
      <protection hidden="1"/>
    </xf>
    <xf numFmtId="43" fontId="29" fillId="12" borderId="0" xfId="17" applyFont="1" applyFill="1" applyBorder="1" applyAlignment="1" applyProtection="1">
      <alignment horizontal="right" vertical="center" wrapText="1"/>
      <protection hidden="1"/>
    </xf>
    <xf numFmtId="167" fontId="0" fillId="0" borderId="0" xfId="0" applyNumberFormat="1"/>
    <xf numFmtId="0" fontId="40" fillId="0" borderId="0" xfId="0" applyFont="1" applyAlignment="1" applyProtection="1">
      <alignment vertical="center"/>
      <protection hidden="1"/>
    </xf>
    <xf numFmtId="172" fontId="77" fillId="0" borderId="0" xfId="0" applyNumberFormat="1" applyFont="1" applyAlignment="1" applyProtection="1">
      <alignment vertical="center"/>
      <protection hidden="1"/>
    </xf>
    <xf numFmtId="167" fontId="16" fillId="12" borderId="0" xfId="0" applyNumberFormat="1" applyFont="1" applyFill="1" applyAlignment="1" applyProtection="1">
      <alignment vertical="center"/>
      <protection hidden="1"/>
    </xf>
    <xf numFmtId="0" fontId="17" fillId="0" borderId="0" xfId="0" applyFont="1" applyAlignment="1" applyProtection="1">
      <alignment vertical="center"/>
      <protection hidden="1"/>
    </xf>
    <xf numFmtId="44" fontId="16" fillId="0" borderId="0" xfId="34" applyFont="1" applyFill="1" applyBorder="1" applyAlignment="1" applyProtection="1">
      <alignment vertical="center"/>
      <protection hidden="1"/>
    </xf>
    <xf numFmtId="2" fontId="16" fillId="12" borderId="0" xfId="0" applyNumberFormat="1" applyFont="1" applyFill="1" applyAlignment="1" applyProtection="1">
      <alignment vertical="center"/>
      <protection hidden="1"/>
    </xf>
    <xf numFmtId="3" fontId="16" fillId="2" borderId="34" xfId="0" applyNumberFormat="1" applyFont="1" applyFill="1" applyBorder="1" applyAlignment="1" applyProtection="1">
      <alignment horizontal="right" vertical="center"/>
      <protection hidden="1"/>
    </xf>
    <xf numFmtId="3" fontId="16" fillId="0" borderId="34" xfId="0" applyNumberFormat="1" applyFont="1" applyBorder="1" applyAlignment="1" applyProtection="1">
      <alignment horizontal="right" vertical="center"/>
      <protection hidden="1"/>
    </xf>
    <xf numFmtId="177" fontId="16" fillId="0" borderId="0" xfId="34" applyNumberFormat="1" applyFont="1" applyBorder="1" applyAlignment="1" applyProtection="1">
      <alignment vertical="center"/>
      <protection hidden="1"/>
    </xf>
    <xf numFmtId="0" fontId="83" fillId="0" borderId="0" xfId="0" applyFont="1" applyAlignment="1" applyProtection="1">
      <alignment vertical="center"/>
      <protection hidden="1"/>
    </xf>
    <xf numFmtId="43" fontId="83" fillId="0" borderId="0" xfId="0" applyNumberFormat="1" applyFont="1" applyAlignment="1" applyProtection="1">
      <alignment vertical="center"/>
      <protection hidden="1"/>
    </xf>
    <xf numFmtId="43" fontId="65" fillId="0" borderId="0" xfId="0" applyNumberFormat="1" applyFont="1" applyAlignment="1" applyProtection="1">
      <alignment vertical="center"/>
      <protection hidden="1"/>
    </xf>
    <xf numFmtId="43" fontId="73" fillId="25" borderId="0" xfId="17" applyFont="1" applyFill="1" applyBorder="1" applyAlignment="1" applyProtection="1">
      <alignment horizontal="center" vertical="center"/>
      <protection hidden="1"/>
    </xf>
    <xf numFmtId="0" fontId="43" fillId="2" borderId="0" xfId="0" applyFont="1" applyFill="1" applyAlignment="1" applyProtection="1">
      <alignment horizontal="left" vertical="center"/>
      <protection hidden="1"/>
    </xf>
    <xf numFmtId="0" fontId="85" fillId="12" borderId="0" xfId="0" applyFont="1" applyFill="1" applyAlignment="1" applyProtection="1">
      <alignment vertical="center"/>
      <protection hidden="1"/>
    </xf>
    <xf numFmtId="167" fontId="16" fillId="33" borderId="0" xfId="17" applyNumberFormat="1" applyFont="1" applyFill="1" applyBorder="1" applyAlignment="1" applyProtection="1">
      <alignment horizontal="center" vertical="center"/>
      <protection hidden="1"/>
    </xf>
    <xf numFmtId="43" fontId="16" fillId="2" borderId="2" xfId="0" applyNumberFormat="1" applyFont="1" applyFill="1" applyBorder="1" applyAlignment="1" applyProtection="1">
      <alignment vertical="center"/>
      <protection hidden="1"/>
    </xf>
    <xf numFmtId="43" fontId="17" fillId="0" borderId="42" xfId="17" applyFont="1" applyFill="1" applyBorder="1" applyAlignment="1" applyProtection="1">
      <alignment vertical="center" wrapText="1"/>
      <protection hidden="1"/>
    </xf>
    <xf numFmtId="2" fontId="0" fillId="32" borderId="94" xfId="0" applyNumberFormat="1" applyFill="1" applyBorder="1" applyAlignment="1">
      <alignment horizontal="center"/>
    </xf>
    <xf numFmtId="1" fontId="0" fillId="32" borderId="94" xfId="0" applyNumberFormat="1" applyFill="1" applyBorder="1"/>
    <xf numFmtId="1" fontId="0" fillId="32" borderId="94" xfId="0" applyNumberFormat="1" applyFill="1" applyBorder="1" applyAlignment="1">
      <alignment horizontal="center"/>
    </xf>
    <xf numFmtId="176" fontId="16" fillId="12" borderId="0" xfId="0" applyNumberFormat="1" applyFont="1" applyFill="1" applyAlignment="1" applyProtection="1">
      <alignment vertical="center"/>
      <protection hidden="1"/>
    </xf>
    <xf numFmtId="0" fontId="35" fillId="12" borderId="0" xfId="0" applyFont="1" applyFill="1" applyAlignment="1" applyProtection="1">
      <alignment horizontal="centerContinuous" vertical="center"/>
      <protection hidden="1"/>
    </xf>
    <xf numFmtId="0" fontId="0" fillId="12" borderId="0" xfId="0" applyFill="1"/>
    <xf numFmtId="0" fontId="43" fillId="0" borderId="0" xfId="0" applyFont="1" applyAlignment="1" applyProtection="1">
      <alignment horizontal="left" vertical="top" wrapText="1"/>
      <protection hidden="1"/>
    </xf>
    <xf numFmtId="0" fontId="43" fillId="0" borderId="0" xfId="0" applyFont="1" applyAlignment="1" applyProtection="1">
      <alignment horizontal="left" vertical="top"/>
      <protection hidden="1"/>
    </xf>
    <xf numFmtId="175" fontId="60" fillId="0" borderId="0" xfId="32" applyNumberFormat="1" applyFont="1" applyFill="1" applyAlignment="1" applyProtection="1">
      <alignment vertical="center"/>
      <protection hidden="1"/>
    </xf>
    <xf numFmtId="0" fontId="35" fillId="2" borderId="0" xfId="0" quotePrefix="1" applyFont="1" applyFill="1" applyAlignment="1" applyProtection="1">
      <alignment horizontal="left" vertical="center"/>
      <protection hidden="1"/>
    </xf>
    <xf numFmtId="0" fontId="29" fillId="27" borderId="0" xfId="0" applyFont="1" applyFill="1" applyAlignment="1">
      <alignment horizontal="center"/>
    </xf>
    <xf numFmtId="1" fontId="0" fillId="32" borderId="0" xfId="0" applyNumberFormat="1" applyFill="1"/>
    <xf numFmtId="1" fontId="0" fillId="32" borderId="0" xfId="0" applyNumberFormat="1" applyFill="1" applyAlignment="1">
      <alignment horizontal="center"/>
    </xf>
    <xf numFmtId="2" fontId="0" fillId="25" borderId="94" xfId="0" applyNumberFormat="1" applyFill="1" applyBorder="1" applyAlignment="1">
      <alignment horizontal="center"/>
    </xf>
    <xf numFmtId="0" fontId="43" fillId="0" borderId="0" xfId="0" applyFont="1" applyAlignment="1" applyProtection="1">
      <alignment horizontal="left" wrapText="1"/>
      <protection hidden="1"/>
    </xf>
    <xf numFmtId="178" fontId="17" fillId="0" borderId="42" xfId="17" applyNumberFormat="1" applyFont="1" applyFill="1" applyBorder="1" applyAlignment="1" applyProtection="1">
      <alignment vertical="center" wrapText="1"/>
      <protection hidden="1"/>
    </xf>
    <xf numFmtId="0" fontId="92" fillId="0" borderId="2" xfId="0" applyFont="1" applyBorder="1"/>
    <xf numFmtId="0" fontId="92" fillId="0" borderId="89" xfId="0" applyFont="1" applyBorder="1"/>
    <xf numFmtId="179" fontId="92" fillId="0" borderId="89" xfId="0" applyNumberFormat="1" applyFont="1" applyBorder="1"/>
    <xf numFmtId="0" fontId="93" fillId="0" borderId="0" xfId="0" applyFont="1"/>
    <xf numFmtId="1" fontId="93" fillId="0" borderId="0" xfId="0" applyNumberFormat="1" applyFont="1"/>
    <xf numFmtId="0" fontId="94" fillId="0" borderId="95" xfId="0" applyFont="1" applyBorder="1"/>
    <xf numFmtId="4" fontId="94" fillId="0" borderId="0" xfId="0" applyNumberFormat="1" applyFont="1"/>
    <xf numFmtId="0" fontId="94" fillId="0" borderId="0" xfId="0" applyFont="1"/>
    <xf numFmtId="0" fontId="94" fillId="0" borderId="96" xfId="0" applyFont="1" applyBorder="1"/>
    <xf numFmtId="0" fontId="0" fillId="0" borderId="96" xfId="0" applyBorder="1"/>
    <xf numFmtId="0" fontId="0" fillId="0" borderId="95" xfId="0" applyBorder="1"/>
    <xf numFmtId="0" fontId="94" fillId="0" borderId="97" xfId="0" applyFont="1" applyBorder="1"/>
    <xf numFmtId="0" fontId="94" fillId="0" borderId="98" xfId="0" applyFont="1" applyBorder="1"/>
    <xf numFmtId="0" fontId="0" fillId="0" borderId="98" xfId="0" applyBorder="1"/>
    <xf numFmtId="0" fontId="94" fillId="0" borderId="99" xfId="0" applyFont="1" applyBorder="1"/>
    <xf numFmtId="0" fontId="94" fillId="0" borderId="100" xfId="0" applyFont="1" applyBorder="1"/>
    <xf numFmtId="4" fontId="94" fillId="0" borderId="100" xfId="0" applyNumberFormat="1" applyFont="1" applyBorder="1"/>
    <xf numFmtId="0" fontId="0" fillId="0" borderId="100" xfId="0" applyBorder="1"/>
    <xf numFmtId="180" fontId="95" fillId="0" borderId="0" xfId="0" applyNumberFormat="1" applyFont="1" applyAlignment="1" applyProtection="1">
      <alignment horizontal="left" vertical="center"/>
      <protection hidden="1"/>
    </xf>
    <xf numFmtId="179" fontId="94" fillId="0" borderId="0" xfId="0" applyNumberFormat="1" applyFont="1" applyAlignment="1">
      <alignment horizontal="center"/>
    </xf>
    <xf numFmtId="179" fontId="94" fillId="0" borderId="0" xfId="0" applyNumberFormat="1" applyFont="1" applyAlignment="1">
      <alignment horizontal="right"/>
    </xf>
    <xf numFmtId="4" fontId="16" fillId="2" borderId="50" xfId="0" applyNumberFormat="1" applyFont="1" applyFill="1" applyBorder="1" applyAlignment="1" applyProtection="1">
      <alignment horizontal="right" vertical="center"/>
      <protection hidden="1"/>
    </xf>
    <xf numFmtId="181" fontId="16" fillId="2" borderId="0" xfId="0" applyNumberFormat="1" applyFont="1" applyFill="1" applyAlignment="1" applyProtection="1">
      <alignment vertical="center"/>
      <protection hidden="1"/>
    </xf>
    <xf numFmtId="0" fontId="29" fillId="27" borderId="92" xfId="0" applyFont="1" applyFill="1" applyBorder="1" applyAlignment="1">
      <alignment horizontal="center" vertical="center"/>
    </xf>
    <xf numFmtId="17" fontId="16" fillId="0" borderId="0" xfId="0" applyNumberFormat="1" applyFont="1" applyAlignment="1" applyProtection="1">
      <alignment vertical="center"/>
      <protection hidden="1"/>
    </xf>
    <xf numFmtId="43" fontId="16" fillId="0" borderId="35" xfId="17" applyFont="1" applyFill="1" applyBorder="1" applyAlignment="1" applyProtection="1">
      <alignment horizontal="right" vertical="center"/>
      <protection hidden="1"/>
    </xf>
    <xf numFmtId="49" fontId="16" fillId="2" borderId="31" xfId="0" applyNumberFormat="1" applyFont="1" applyFill="1" applyBorder="1" applyAlignment="1" applyProtection="1">
      <alignment horizontal="center" vertical="center"/>
      <protection hidden="1"/>
    </xf>
    <xf numFmtId="0" fontId="92" fillId="0" borderId="2" xfId="0" applyFont="1" applyBorder="1" applyAlignment="1">
      <alignment horizontal="center" vertical="top" wrapText="1"/>
    </xf>
    <xf numFmtId="0" fontId="92" fillId="0" borderId="89" xfId="0" applyFont="1" applyBorder="1" applyAlignment="1">
      <alignment horizontal="center" vertical="top" wrapText="1"/>
    </xf>
    <xf numFmtId="0" fontId="0" fillId="0" borderId="0" xfId="0" applyAlignment="1">
      <alignment horizontal="center" vertical="top" wrapText="1"/>
    </xf>
    <xf numFmtId="179" fontId="92" fillId="0" borderId="89" xfId="0" applyNumberFormat="1" applyFont="1" applyBorder="1" applyAlignment="1">
      <alignment horizontal="center" vertical="top" wrapText="1"/>
    </xf>
    <xf numFmtId="0" fontId="94" fillId="0" borderId="5" xfId="0" applyFont="1" applyBorder="1"/>
    <xf numFmtId="1" fontId="93" fillId="0" borderId="6" xfId="0" applyNumberFormat="1" applyFont="1" applyBorder="1"/>
    <xf numFmtId="0" fontId="94" fillId="0" borderId="6" xfId="0" applyFont="1" applyBorder="1"/>
    <xf numFmtId="4" fontId="94" fillId="0" borderId="3" xfId="0" applyNumberFormat="1" applyFont="1" applyBorder="1"/>
    <xf numFmtId="179" fontId="94" fillId="0" borderId="6" xfId="0" applyNumberFormat="1" applyFont="1" applyBorder="1" applyAlignment="1">
      <alignment horizontal="right"/>
    </xf>
    <xf numFmtId="0" fontId="94" fillId="0" borderId="7" xfId="0" applyFont="1" applyBorder="1"/>
    <xf numFmtId="0" fontId="94" fillId="0" borderId="11" xfId="0" applyFont="1" applyBorder="1"/>
    <xf numFmtId="1" fontId="93" fillId="0" borderId="13" xfId="0" applyNumberFormat="1" applyFont="1" applyBorder="1"/>
    <xf numFmtId="0" fontId="94" fillId="0" borderId="13" xfId="0" applyFont="1" applyBorder="1"/>
    <xf numFmtId="179" fontId="94" fillId="0" borderId="13" xfId="0" applyNumberFormat="1" applyFont="1" applyBorder="1" applyAlignment="1">
      <alignment horizontal="right"/>
    </xf>
    <xf numFmtId="0" fontId="29" fillId="27" borderId="77" xfId="0" applyFont="1" applyFill="1" applyBorder="1" applyAlignment="1">
      <alignment horizontal="center" vertical="center"/>
    </xf>
    <xf numFmtId="2" fontId="0" fillId="0" borderId="102" xfId="0" applyNumberFormat="1" applyBorder="1" applyAlignment="1">
      <alignment horizontal="center"/>
    </xf>
    <xf numFmtId="0" fontId="29" fillId="27" borderId="14" xfId="0" applyFont="1" applyFill="1" applyBorder="1" applyAlignment="1">
      <alignment horizontal="center" vertical="center"/>
    </xf>
    <xf numFmtId="2" fontId="0" fillId="0" borderId="0" xfId="0" applyNumberFormat="1" applyAlignment="1">
      <alignment horizontal="center"/>
    </xf>
    <xf numFmtId="9" fontId="0" fillId="0" borderId="0" xfId="25" applyFont="1"/>
    <xf numFmtId="2" fontId="96" fillId="0" borderId="103" xfId="0" applyNumberFormat="1" applyFont="1" applyBorder="1" applyAlignment="1">
      <alignment horizontal="center"/>
    </xf>
    <xf numFmtId="2" fontId="96" fillId="0" borderId="104" xfId="0" applyNumberFormat="1" applyFont="1" applyBorder="1" applyAlignment="1">
      <alignment horizontal="center"/>
    </xf>
    <xf numFmtId="0" fontId="0" fillId="24" borderId="10" xfId="0" applyFill="1" applyBorder="1" applyAlignment="1">
      <alignment horizontal="center"/>
    </xf>
    <xf numFmtId="2" fontId="0" fillId="0" borderId="2" xfId="0" applyNumberFormat="1" applyBorder="1" applyAlignment="1">
      <alignment horizontal="center"/>
    </xf>
    <xf numFmtId="2" fontId="0" fillId="0" borderId="71" xfId="0" applyNumberFormat="1" applyBorder="1" applyAlignment="1">
      <alignment horizontal="center"/>
    </xf>
    <xf numFmtId="2" fontId="0" fillId="0" borderId="72" xfId="0" applyNumberFormat="1" applyBorder="1" applyAlignment="1">
      <alignment horizontal="center"/>
    </xf>
    <xf numFmtId="2" fontId="0" fillId="0" borderId="73" xfId="0" applyNumberFormat="1" applyBorder="1" applyAlignment="1">
      <alignment horizontal="center"/>
    </xf>
    <xf numFmtId="0" fontId="5" fillId="25" borderId="0" xfId="0" applyFont="1" applyFill="1" applyAlignment="1">
      <alignment horizontal="center"/>
    </xf>
    <xf numFmtId="2" fontId="0" fillId="25" borderId="94" xfId="0" applyNumberFormat="1" applyFill="1" applyBorder="1"/>
    <xf numFmtId="0" fontId="36" fillId="5" borderId="90" xfId="0" applyFont="1" applyFill="1" applyBorder="1" applyAlignment="1" applyProtection="1">
      <alignment horizontal="center" vertical="center" wrapText="1"/>
      <protection hidden="1"/>
    </xf>
    <xf numFmtId="15" fontId="46" fillId="5" borderId="105" xfId="0" applyNumberFormat="1" applyFont="1" applyFill="1" applyBorder="1" applyAlignment="1" applyProtection="1">
      <alignment horizontal="center" vertical="center" wrapText="1"/>
      <protection hidden="1"/>
    </xf>
    <xf numFmtId="43" fontId="17" fillId="0" borderId="35" xfId="17" applyFont="1" applyFill="1" applyBorder="1" applyAlignment="1" applyProtection="1">
      <alignment horizontal="center" vertical="center" wrapText="1"/>
      <protection hidden="1"/>
    </xf>
    <xf numFmtId="43" fontId="91" fillId="0" borderId="35" xfId="17" applyFont="1" applyFill="1" applyBorder="1" applyAlignment="1" applyProtection="1">
      <alignment horizontal="center" vertical="center" wrapText="1"/>
      <protection hidden="1"/>
    </xf>
    <xf numFmtId="15" fontId="46" fillId="5" borderId="37" xfId="0" quotePrefix="1" applyNumberFormat="1" applyFont="1" applyFill="1" applyBorder="1" applyAlignment="1" applyProtection="1">
      <alignment horizontal="center" vertical="center" wrapText="1"/>
      <protection hidden="1"/>
    </xf>
    <xf numFmtId="0" fontId="16" fillId="0" borderId="35" xfId="0" applyFont="1" applyBorder="1" applyAlignment="1" applyProtection="1">
      <alignment vertical="center"/>
      <protection hidden="1"/>
    </xf>
    <xf numFmtId="43" fontId="17" fillId="0" borderId="35" xfId="17" quotePrefix="1" applyFont="1" applyFill="1" applyBorder="1" applyAlignment="1" applyProtection="1">
      <alignment horizontal="center" vertical="center" wrapText="1"/>
      <protection hidden="1"/>
    </xf>
    <xf numFmtId="178" fontId="17" fillId="0" borderId="45" xfId="17" applyNumberFormat="1" applyFont="1" applyFill="1" applyBorder="1" applyAlignment="1" applyProtection="1">
      <alignment vertical="center" wrapText="1"/>
      <protection hidden="1"/>
    </xf>
    <xf numFmtId="2" fontId="17" fillId="0" borderId="35" xfId="0" quotePrefix="1" applyNumberFormat="1" applyFont="1" applyBorder="1" applyAlignment="1" applyProtection="1">
      <alignment horizontal="right" vertical="center" wrapText="1"/>
      <protection hidden="1"/>
    </xf>
    <xf numFmtId="167" fontId="17" fillId="0" borderId="47" xfId="17" applyNumberFormat="1" applyFont="1" applyFill="1" applyBorder="1" applyAlignment="1" applyProtection="1">
      <alignment horizontal="left" vertical="center" wrapText="1"/>
      <protection hidden="1"/>
    </xf>
    <xf numFmtId="43" fontId="17" fillId="0" borderId="47" xfId="17" applyFont="1" applyFill="1" applyBorder="1" applyAlignment="1" applyProtection="1">
      <alignment horizontal="left" vertical="center" wrapText="1"/>
      <protection hidden="1"/>
    </xf>
    <xf numFmtId="0" fontId="17" fillId="0" borderId="40" xfId="0" applyFont="1" applyBorder="1" applyAlignment="1" applyProtection="1">
      <alignment horizontal="left" vertical="center" wrapText="1"/>
      <protection hidden="1"/>
    </xf>
    <xf numFmtId="167" fontId="17" fillId="0" borderId="110" xfId="17" applyNumberFormat="1" applyFont="1" applyFill="1" applyBorder="1" applyAlignment="1" applyProtection="1">
      <alignment horizontal="left" vertical="center" wrapText="1"/>
      <protection hidden="1"/>
    </xf>
    <xf numFmtId="167" fontId="17" fillId="0" borderId="112" xfId="17" applyNumberFormat="1" applyFont="1" applyFill="1" applyBorder="1" applyAlignment="1" applyProtection="1">
      <alignment horizontal="center" vertical="center" wrapText="1"/>
      <protection hidden="1"/>
    </xf>
    <xf numFmtId="0" fontId="36" fillId="15" borderId="113" xfId="0" applyFont="1" applyFill="1" applyBorder="1" applyAlignment="1" applyProtection="1">
      <alignment horizontal="center" vertical="center" wrapText="1"/>
      <protection hidden="1"/>
    </xf>
    <xf numFmtId="9" fontId="37" fillId="15" borderId="113" xfId="0" quotePrefix="1" applyNumberFormat="1" applyFont="1" applyFill="1" applyBorder="1" applyAlignment="1" applyProtection="1">
      <alignment horizontal="center" vertical="center" wrapText="1"/>
      <protection hidden="1"/>
    </xf>
    <xf numFmtId="15" fontId="45" fillId="15" borderId="114" xfId="0" quotePrefix="1" applyNumberFormat="1" applyFont="1" applyFill="1" applyBorder="1" applyAlignment="1" applyProtection="1">
      <alignment horizontal="center" vertical="center" wrapText="1"/>
      <protection hidden="1"/>
    </xf>
    <xf numFmtId="0" fontId="41" fillId="6" borderId="106" xfId="0" applyFont="1" applyFill="1" applyBorder="1" applyAlignment="1" applyProtection="1">
      <alignment horizontal="centerContinuous" vertical="center"/>
      <protection hidden="1"/>
    </xf>
    <xf numFmtId="0" fontId="41" fillId="6" borderId="107" xfId="0" applyFont="1" applyFill="1" applyBorder="1" applyAlignment="1" applyProtection="1">
      <alignment horizontal="centerContinuous" vertical="center"/>
      <protection hidden="1"/>
    </xf>
    <xf numFmtId="0" fontId="41" fillId="6" borderId="108" xfId="0" applyFont="1" applyFill="1" applyBorder="1" applyAlignment="1" applyProtection="1">
      <alignment horizontal="centerContinuous" vertical="center"/>
      <protection hidden="1"/>
    </xf>
    <xf numFmtId="0" fontId="41" fillId="6" borderId="117" xfId="0" applyFont="1" applyFill="1" applyBorder="1" applyAlignment="1" applyProtection="1">
      <alignment horizontal="centerContinuous" vertical="center"/>
      <protection hidden="1"/>
    </xf>
    <xf numFmtId="0" fontId="41" fillId="6" borderId="118" xfId="0" applyFont="1" applyFill="1" applyBorder="1" applyAlignment="1" applyProtection="1">
      <alignment horizontal="centerContinuous" vertical="center"/>
      <protection hidden="1"/>
    </xf>
    <xf numFmtId="0" fontId="41" fillId="6" borderId="119" xfId="0" applyFont="1" applyFill="1" applyBorder="1" applyAlignment="1" applyProtection="1">
      <alignment horizontal="centerContinuous" vertical="center"/>
      <protection hidden="1"/>
    </xf>
    <xf numFmtId="0" fontId="17" fillId="0" borderId="43" xfId="0" applyFont="1" applyBorder="1" applyAlignment="1" applyProtection="1">
      <alignment horizontal="left" vertical="center" wrapText="1"/>
      <protection hidden="1"/>
    </xf>
    <xf numFmtId="171" fontId="66" fillId="0" borderId="44" xfId="17" applyNumberFormat="1" applyFont="1" applyFill="1" applyBorder="1" applyAlignment="1" applyProtection="1">
      <alignment horizontal="center" vertical="center" wrapText="1"/>
      <protection hidden="1"/>
    </xf>
    <xf numFmtId="171" fontId="66" fillId="0" borderId="45" xfId="17" applyNumberFormat="1" applyFont="1" applyFill="1" applyBorder="1" applyAlignment="1" applyProtection="1">
      <alignment horizontal="center" vertical="center" wrapText="1"/>
      <protection hidden="1"/>
    </xf>
    <xf numFmtId="2" fontId="16" fillId="0" borderId="31" xfId="0" applyNumberFormat="1" applyFont="1" applyBorder="1" applyAlignment="1" applyProtection="1">
      <alignment horizontal="center" vertical="center" wrapText="1"/>
      <protection hidden="1"/>
    </xf>
    <xf numFmtId="2" fontId="16" fillId="0" borderId="35" xfId="0" applyNumberFormat="1" applyFont="1" applyBorder="1" applyAlignment="1" applyProtection="1">
      <alignment horizontal="center" vertical="center" wrapText="1"/>
      <protection hidden="1"/>
    </xf>
    <xf numFmtId="2" fontId="21" fillId="0" borderId="31" xfId="0" applyNumberFormat="1" applyFont="1" applyBorder="1" applyAlignment="1" applyProtection="1">
      <alignment horizontal="center" vertical="center" wrapText="1"/>
      <protection hidden="1"/>
    </xf>
    <xf numFmtId="2" fontId="21" fillId="0" borderId="35" xfId="0" applyNumberFormat="1" applyFont="1" applyBorder="1" applyAlignment="1" applyProtection="1">
      <alignment horizontal="center" vertical="center" wrapText="1"/>
      <protection hidden="1"/>
    </xf>
    <xf numFmtId="43" fontId="27" fillId="12" borderId="0" xfId="17" applyFont="1" applyFill="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6" fillId="0" borderId="49" xfId="0" applyFont="1" applyBorder="1" applyAlignment="1" applyProtection="1">
      <alignment vertical="center"/>
      <protection hidden="1"/>
    </xf>
    <xf numFmtId="15" fontId="39" fillId="0" borderId="48" xfId="0" quotePrefix="1" applyNumberFormat="1" applyFont="1" applyBorder="1" applyAlignment="1" applyProtection="1">
      <alignment horizontal="left" vertical="center"/>
      <protection hidden="1"/>
    </xf>
    <xf numFmtId="43" fontId="16" fillId="0" borderId="31" xfId="17" applyFont="1" applyFill="1" applyBorder="1" applyAlignment="1" applyProtection="1">
      <alignment horizontal="center" vertical="center" wrapText="1"/>
      <protection hidden="1"/>
    </xf>
    <xf numFmtId="43" fontId="16" fillId="0" borderId="35" xfId="17" applyFont="1" applyFill="1" applyBorder="1" applyAlignment="1" applyProtection="1">
      <alignment horizontal="center" vertical="center" wrapText="1"/>
      <protection hidden="1"/>
    </xf>
    <xf numFmtId="178" fontId="16" fillId="0" borderId="31" xfId="17" applyNumberFormat="1" applyFont="1" applyFill="1" applyBorder="1" applyAlignment="1" applyProtection="1">
      <alignment horizontal="center" vertical="center" wrapText="1"/>
      <protection hidden="1"/>
    </xf>
    <xf numFmtId="2" fontId="35" fillId="0" borderId="31" xfId="0" applyNumberFormat="1" applyFont="1" applyBorder="1" applyAlignment="1" applyProtection="1">
      <alignment horizontal="right" vertical="center" wrapText="1"/>
      <protection hidden="1"/>
    </xf>
    <xf numFmtId="2" fontId="35" fillId="0" borderId="35" xfId="0" applyNumberFormat="1" applyFont="1" applyBorder="1" applyAlignment="1" applyProtection="1">
      <alignment horizontal="right" vertical="center" wrapText="1"/>
      <protection hidden="1"/>
    </xf>
    <xf numFmtId="43" fontId="16" fillId="0" borderId="31" xfId="17" applyFont="1" applyFill="1" applyBorder="1" applyAlignment="1" applyProtection="1">
      <alignment vertical="center" wrapText="1"/>
      <protection hidden="1"/>
    </xf>
    <xf numFmtId="49" fontId="16" fillId="0" borderId="31" xfId="17" applyNumberFormat="1" applyFont="1" applyFill="1" applyBorder="1" applyAlignment="1" applyProtection="1">
      <alignment horizontal="center" vertical="center" wrapText="1"/>
      <protection hidden="1"/>
    </xf>
    <xf numFmtId="49" fontId="16" fillId="0" borderId="35" xfId="0" applyNumberFormat="1" applyFont="1" applyBorder="1" applyAlignment="1" applyProtection="1">
      <alignment horizontal="center" vertical="center" wrapText="1"/>
      <protection hidden="1"/>
    </xf>
    <xf numFmtId="43" fontId="16" fillId="0" borderId="31" xfId="17" quotePrefix="1" applyFont="1" applyFill="1" applyBorder="1" applyAlignment="1" applyProtection="1">
      <alignment horizontal="center" vertical="center" wrapText="1"/>
      <protection hidden="1"/>
    </xf>
    <xf numFmtId="2" fontId="35" fillId="0" borderId="31" xfId="0" applyNumberFormat="1" applyFont="1" applyBorder="1" applyAlignment="1" applyProtection="1">
      <alignment horizontal="center" vertical="center" wrapText="1"/>
      <protection hidden="1"/>
    </xf>
    <xf numFmtId="2" fontId="35" fillId="0" borderId="35" xfId="0" applyNumberFormat="1" applyFont="1" applyBorder="1" applyAlignment="1" applyProtection="1">
      <alignment horizontal="center" vertical="center" wrapText="1"/>
      <protection hidden="1"/>
    </xf>
    <xf numFmtId="0" fontId="16" fillId="0" borderId="33" xfId="0" applyFont="1" applyBorder="1" applyAlignment="1" applyProtection="1">
      <alignment horizontal="left" vertical="center" wrapText="1"/>
      <protection hidden="1"/>
    </xf>
    <xf numFmtId="2" fontId="35" fillId="0" borderId="34" xfId="0" applyNumberFormat="1" applyFont="1" applyBorder="1" applyAlignment="1" applyProtection="1">
      <alignment horizontal="right" vertical="center" wrapText="1"/>
      <protection hidden="1"/>
    </xf>
    <xf numFmtId="2" fontId="35" fillId="0" borderId="37" xfId="0" applyNumberFormat="1" applyFont="1" applyBorder="1" applyAlignment="1" applyProtection="1">
      <alignment horizontal="right" vertical="center" wrapText="1"/>
      <protection hidden="1"/>
    </xf>
    <xf numFmtId="43" fontId="16" fillId="0" borderId="39" xfId="17" applyFont="1" applyFill="1" applyBorder="1" applyAlignment="1" applyProtection="1">
      <alignment horizontal="center" wrapText="1"/>
      <protection hidden="1"/>
    </xf>
    <xf numFmtId="43" fontId="16" fillId="0" borderId="39" xfId="17" applyFont="1" applyFill="1" applyBorder="1" applyAlignment="1" applyProtection="1">
      <alignment horizontal="center" vertical="center" wrapText="1"/>
      <protection hidden="1"/>
    </xf>
    <xf numFmtId="43" fontId="16" fillId="0" borderId="113" xfId="17" applyFont="1" applyFill="1" applyBorder="1" applyAlignment="1" applyProtection="1">
      <alignment horizontal="center" vertical="center" wrapText="1"/>
      <protection hidden="1"/>
    </xf>
    <xf numFmtId="49" fontId="16" fillId="0" borderId="39" xfId="17" applyNumberFormat="1" applyFont="1" applyFill="1" applyBorder="1" applyAlignment="1" applyProtection="1">
      <alignment horizontal="center" vertical="center" wrapText="1"/>
      <protection hidden="1"/>
    </xf>
    <xf numFmtId="49" fontId="16" fillId="0" borderId="113" xfId="17" applyNumberFormat="1" applyFont="1" applyFill="1" applyBorder="1" applyAlignment="1" applyProtection="1">
      <alignment horizontal="center" vertical="center" wrapText="1"/>
      <protection hidden="1"/>
    </xf>
    <xf numFmtId="167" fontId="16" fillId="0" borderId="39" xfId="17" applyNumberFormat="1" applyFont="1" applyFill="1" applyBorder="1" applyAlignment="1" applyProtection="1">
      <alignment horizontal="center" vertical="center" wrapText="1"/>
      <protection hidden="1"/>
    </xf>
    <xf numFmtId="167" fontId="16" fillId="0" borderId="113" xfId="17" applyNumberFormat="1" applyFont="1" applyFill="1" applyBorder="1" applyAlignment="1" applyProtection="1">
      <alignment horizontal="center" vertical="center" wrapText="1"/>
      <protection hidden="1"/>
    </xf>
    <xf numFmtId="43" fontId="16" fillId="0" borderId="41" xfId="17" applyFont="1" applyFill="1" applyBorder="1" applyAlignment="1" applyProtection="1">
      <alignment horizontal="center" vertical="center" wrapText="1"/>
      <protection hidden="1"/>
    </xf>
    <xf numFmtId="43" fontId="16" fillId="0" borderId="114" xfId="17" applyFont="1" applyFill="1" applyBorder="1" applyAlignment="1" applyProtection="1">
      <alignment horizontal="center" vertical="center" wrapText="1"/>
      <protection hidden="1"/>
    </xf>
    <xf numFmtId="43" fontId="66" fillId="0" borderId="111" xfId="17" applyFont="1" applyFill="1" applyBorder="1" applyAlignment="1" applyProtection="1">
      <alignment horizontal="center" vertical="center" wrapText="1"/>
      <protection hidden="1"/>
    </xf>
    <xf numFmtId="0" fontId="13" fillId="0" borderId="107" xfId="0" applyFont="1" applyBorder="1" applyAlignment="1" applyProtection="1">
      <alignment vertical="center"/>
      <protection hidden="1"/>
    </xf>
    <xf numFmtId="0" fontId="13" fillId="0" borderId="108" xfId="0" applyFont="1" applyBorder="1" applyAlignment="1" applyProtection="1">
      <alignment vertical="center"/>
      <protection hidden="1"/>
    </xf>
    <xf numFmtId="0" fontId="13" fillId="0" borderId="49" xfId="0" applyFont="1" applyBorder="1" applyAlignment="1" applyProtection="1">
      <alignment vertical="center"/>
      <protection hidden="1"/>
    </xf>
    <xf numFmtId="4" fontId="16" fillId="0" borderId="49" xfId="0" applyNumberFormat="1" applyFont="1" applyBorder="1" applyAlignment="1" applyProtection="1">
      <alignment vertical="center"/>
      <protection hidden="1"/>
    </xf>
    <xf numFmtId="180" fontId="39" fillId="0" borderId="48" xfId="0" quotePrefix="1" applyNumberFormat="1" applyFont="1" applyBorder="1" applyAlignment="1" applyProtection="1">
      <alignment horizontal="left" vertical="center"/>
      <protection hidden="1"/>
    </xf>
    <xf numFmtId="9" fontId="47" fillId="0" borderId="0" xfId="0" applyNumberFormat="1" applyFont="1" applyAlignment="1" applyProtection="1">
      <alignment horizontal="center" vertical="center"/>
      <protection hidden="1"/>
    </xf>
    <xf numFmtId="9" fontId="47" fillId="0" borderId="49" xfId="0" applyNumberFormat="1" applyFont="1" applyBorder="1" applyAlignment="1" applyProtection="1">
      <alignment horizontal="center" vertical="center"/>
      <protection hidden="1"/>
    </xf>
    <xf numFmtId="17" fontId="36" fillId="14" borderId="45" xfId="0" applyNumberFormat="1" applyFont="1" applyFill="1" applyBorder="1" applyAlignment="1" applyProtection="1">
      <alignment horizontal="center" vertical="center" wrapText="1"/>
      <protection hidden="1"/>
    </xf>
    <xf numFmtId="0" fontId="16" fillId="0" borderId="48" xfId="0" applyFont="1" applyBorder="1" applyAlignment="1" applyProtection="1">
      <alignment vertical="center"/>
      <protection hidden="1"/>
    </xf>
    <xf numFmtId="3" fontId="16" fillId="0" borderId="37" xfId="0" applyNumberFormat="1" applyFont="1" applyBorder="1" applyAlignment="1" applyProtection="1">
      <alignment horizontal="right" vertical="center"/>
      <protection hidden="1"/>
    </xf>
    <xf numFmtId="4" fontId="66" fillId="0" borderId="31" xfId="0" applyNumberFormat="1" applyFont="1" applyBorder="1" applyAlignment="1" applyProtection="1">
      <alignment horizontal="right" vertical="center"/>
      <protection hidden="1"/>
    </xf>
    <xf numFmtId="4" fontId="16" fillId="2" borderId="35" xfId="0" applyNumberFormat="1" applyFont="1" applyFill="1" applyBorder="1" applyAlignment="1" applyProtection="1">
      <alignment horizontal="right" vertical="center"/>
      <protection hidden="1"/>
    </xf>
    <xf numFmtId="4" fontId="99" fillId="0" borderId="35" xfId="0" applyNumberFormat="1" applyFont="1" applyBorder="1" applyAlignment="1" applyProtection="1">
      <alignment horizontal="right" vertical="center"/>
      <protection hidden="1"/>
    </xf>
    <xf numFmtId="4" fontId="99" fillId="0" borderId="31" xfId="0" applyNumberFormat="1" applyFont="1" applyBorder="1" applyAlignment="1" applyProtection="1">
      <alignment horizontal="right" vertical="center"/>
      <protection hidden="1"/>
    </xf>
    <xf numFmtId="43" fontId="95" fillId="0" borderId="111" xfId="17" applyFont="1" applyFill="1" applyBorder="1" applyAlignment="1" applyProtection="1">
      <alignment horizontal="center" vertical="center" wrapText="1"/>
      <protection hidden="1"/>
    </xf>
    <xf numFmtId="43" fontId="95" fillId="0" borderId="44" xfId="17" applyFont="1" applyFill="1" applyBorder="1" applyAlignment="1" applyProtection="1">
      <alignment horizontal="center" vertical="center" wrapText="1"/>
      <protection hidden="1"/>
    </xf>
    <xf numFmtId="43" fontId="100" fillId="0" borderId="35" xfId="17" applyFont="1" applyFill="1" applyBorder="1" applyAlignment="1" applyProtection="1">
      <alignment horizontal="center" vertical="center" wrapText="1"/>
      <protection hidden="1"/>
    </xf>
    <xf numFmtId="0" fontId="40" fillId="2" borderId="0" xfId="0" quotePrefix="1" applyFont="1" applyFill="1" applyAlignment="1" applyProtection="1">
      <alignment horizontal="left" vertical="center"/>
      <protection hidden="1"/>
    </xf>
    <xf numFmtId="4" fontId="17" fillId="0" borderId="31" xfId="0" applyNumberFormat="1" applyFont="1" applyBorder="1" applyAlignment="1" applyProtection="1">
      <alignment horizontal="right" vertical="center"/>
      <protection hidden="1"/>
    </xf>
    <xf numFmtId="179" fontId="97" fillId="0" borderId="6" xfId="0" applyNumberFormat="1" applyFont="1" applyBorder="1" applyAlignment="1">
      <alignment horizontal="right"/>
    </xf>
    <xf numFmtId="0" fontId="94" fillId="0" borderId="2" xfId="0" applyFont="1" applyBorder="1"/>
    <xf numFmtId="4" fontId="94" fillId="0" borderId="2" xfId="0" applyNumberFormat="1" applyFont="1" applyBorder="1"/>
    <xf numFmtId="179" fontId="94" fillId="0" borderId="2" xfId="0" applyNumberFormat="1" applyFont="1" applyBorder="1" applyAlignment="1">
      <alignment horizontal="right"/>
    </xf>
    <xf numFmtId="0" fontId="16" fillId="0" borderId="2" xfId="0" applyFont="1" applyBorder="1" applyAlignment="1" applyProtection="1">
      <alignment vertical="center"/>
      <protection hidden="1"/>
    </xf>
    <xf numFmtId="0" fontId="94" fillId="0" borderId="2" xfId="0" applyFont="1" applyBorder="1" applyAlignment="1">
      <alignment horizontal="center"/>
    </xf>
    <xf numFmtId="14" fontId="16" fillId="0" borderId="0" xfId="0" applyNumberFormat="1" applyFont="1" applyAlignment="1" applyProtection="1">
      <alignment vertical="center"/>
      <protection hidden="1"/>
    </xf>
    <xf numFmtId="0" fontId="17" fillId="13" borderId="0" xfId="0" applyFont="1" applyFill="1" applyAlignment="1" applyProtection="1">
      <alignment horizontal="center" vertical="center"/>
      <protection hidden="1"/>
    </xf>
    <xf numFmtId="0" fontId="16" fillId="0" borderId="0" xfId="0" applyFont="1" applyAlignment="1" applyProtection="1">
      <alignment horizontal="right" vertical="center"/>
      <protection hidden="1"/>
    </xf>
    <xf numFmtId="0" fontId="94" fillId="0" borderId="2" xfId="67" applyFont="1" applyBorder="1" applyAlignment="1">
      <alignment horizontal="center"/>
    </xf>
    <xf numFmtId="0" fontId="1" fillId="0" borderId="2" xfId="67" applyBorder="1"/>
    <xf numFmtId="4" fontId="94" fillId="0" borderId="2" xfId="67" applyNumberFormat="1" applyFont="1" applyBorder="1"/>
    <xf numFmtId="0" fontId="94" fillId="0" borderId="2" xfId="67" applyFont="1" applyBorder="1"/>
    <xf numFmtId="9" fontId="47" fillId="0" borderId="122" xfId="0" applyNumberFormat="1" applyFont="1" applyBorder="1" applyAlignment="1" applyProtection="1">
      <alignment horizontal="center" vertical="center"/>
      <protection hidden="1"/>
    </xf>
    <xf numFmtId="0" fontId="16" fillId="0" borderId="0" xfId="0" applyFont="1" applyAlignment="1" applyProtection="1">
      <alignment horizontal="centerContinuous" vertical="center"/>
      <protection hidden="1"/>
    </xf>
    <xf numFmtId="0" fontId="92" fillId="0" borderId="89" xfId="67" applyFont="1" applyBorder="1" applyAlignment="1">
      <alignment horizontal="center"/>
    </xf>
    <xf numFmtId="179" fontId="92" fillId="0" borderId="89" xfId="67" applyNumberFormat="1" applyFont="1" applyBorder="1"/>
    <xf numFmtId="0" fontId="92" fillId="0" borderId="89" xfId="67" applyFont="1" applyBorder="1"/>
    <xf numFmtId="0" fontId="1" fillId="0" borderId="0" xfId="67"/>
    <xf numFmtId="166" fontId="49" fillId="2" borderId="0" xfId="24" applyFont="1" applyFill="1" applyAlignment="1" applyProtection="1">
      <alignment horizontal="centerContinuous" vertical="center" wrapText="1"/>
      <protection hidden="1"/>
    </xf>
    <xf numFmtId="179" fontId="94" fillId="13" borderId="2" xfId="0" applyNumberFormat="1" applyFont="1" applyFill="1" applyBorder="1" applyAlignment="1">
      <alignment horizontal="right"/>
    </xf>
    <xf numFmtId="0" fontId="94" fillId="13" borderId="2" xfId="0" applyFont="1" applyFill="1" applyBorder="1" applyAlignment="1">
      <alignment horizontal="center"/>
    </xf>
    <xf numFmtId="4" fontId="94" fillId="13" borderId="2" xfId="0" applyNumberFormat="1" applyFont="1" applyFill="1" applyBorder="1"/>
    <xf numFmtId="0" fontId="94" fillId="13" borderId="2" xfId="0" applyFont="1" applyFill="1" applyBorder="1"/>
    <xf numFmtId="9" fontId="47" fillId="0" borderId="121" xfId="0" applyNumberFormat="1" applyFont="1" applyBorder="1" applyAlignment="1" applyProtection="1">
      <alignment horizontal="center" vertical="center"/>
      <protection hidden="1"/>
    </xf>
    <xf numFmtId="9" fontId="47" fillId="0" borderId="121" xfId="25" applyFont="1" applyFill="1" applyBorder="1" applyAlignment="1" applyProtection="1">
      <alignment horizontal="center" vertical="center"/>
      <protection hidden="1"/>
    </xf>
    <xf numFmtId="180" fontId="39" fillId="0" borderId="120" xfId="0" quotePrefix="1" applyNumberFormat="1" applyFont="1" applyBorder="1" applyAlignment="1" applyProtection="1">
      <alignment horizontal="left" vertical="center"/>
      <protection hidden="1"/>
    </xf>
    <xf numFmtId="0" fontId="17" fillId="0" borderId="0" xfId="0" applyFont="1" applyAlignment="1" applyProtection="1">
      <alignment horizontal="centerContinuous" vertical="center"/>
      <protection hidden="1"/>
    </xf>
    <xf numFmtId="187" fontId="87" fillId="0" borderId="0" xfId="67" applyNumberFormat="1" applyFont="1" applyAlignment="1">
      <alignment horizontal="centerContinuous"/>
    </xf>
    <xf numFmtId="0" fontId="17" fillId="0" borderId="0" xfId="0" applyFont="1" applyAlignment="1" applyProtection="1">
      <alignment horizontal="right" vertical="center"/>
      <protection hidden="1"/>
    </xf>
    <xf numFmtId="187" fontId="1" fillId="0" borderId="0" xfId="67" applyNumberFormat="1"/>
    <xf numFmtId="0" fontId="94" fillId="0" borderId="2" xfId="158" applyFont="1" applyBorder="1"/>
    <xf numFmtId="4" fontId="94" fillId="0" borderId="2" xfId="158" applyNumberFormat="1" applyFont="1" applyBorder="1"/>
    <xf numFmtId="0" fontId="1" fillId="0" borderId="2" xfId="158" applyBorder="1"/>
    <xf numFmtId="0" fontId="94" fillId="0" borderId="2" xfId="158" applyFont="1" applyBorder="1" applyAlignment="1">
      <alignment horizontal="center"/>
    </xf>
    <xf numFmtId="0" fontId="13" fillId="0" borderId="0" xfId="0" applyFont="1" applyAlignment="1" applyProtection="1">
      <alignment horizontal="right" vertical="center"/>
      <protection hidden="1"/>
    </xf>
    <xf numFmtId="14" fontId="40" fillId="0" borderId="0" xfId="0" applyNumberFormat="1" applyFont="1" applyAlignment="1" applyProtection="1">
      <alignment vertical="center"/>
      <protection hidden="1"/>
    </xf>
    <xf numFmtId="179" fontId="104" fillId="0" borderId="2" xfId="0" applyNumberFormat="1" applyFont="1" applyBorder="1" applyAlignment="1">
      <alignment horizontal="right"/>
    </xf>
    <xf numFmtId="179" fontId="94" fillId="0" borderId="2" xfId="0" applyNumberFormat="1" applyFont="1" applyBorder="1" applyAlignment="1">
      <alignment horizontal="left"/>
    </xf>
    <xf numFmtId="179" fontId="105" fillId="13" borderId="0" xfId="0" applyNumberFormat="1" applyFont="1" applyFill="1" applyAlignment="1">
      <alignment horizontal="right"/>
    </xf>
    <xf numFmtId="179" fontId="105" fillId="13" borderId="0" xfId="0" applyNumberFormat="1" applyFont="1" applyFill="1"/>
    <xf numFmtId="4" fontId="94" fillId="0" borderId="6" xfId="0" applyNumberFormat="1" applyFont="1" applyBorder="1"/>
    <xf numFmtId="179" fontId="94" fillId="0" borderId="3" xfId="0" applyNumberFormat="1" applyFont="1" applyBorder="1" applyAlignment="1">
      <alignment horizontal="right"/>
    </xf>
    <xf numFmtId="179" fontId="94" fillId="0" borderId="4" xfId="0" applyNumberFormat="1" applyFont="1" applyBorder="1" applyAlignment="1">
      <alignment horizontal="right"/>
    </xf>
    <xf numFmtId="4" fontId="94" fillId="0" borderId="13" xfId="0" applyNumberFormat="1" applyFont="1" applyBorder="1"/>
    <xf numFmtId="179" fontId="94" fillId="0" borderId="12" xfId="0" applyNumberFormat="1" applyFont="1" applyBorder="1" applyAlignment="1">
      <alignment horizontal="right"/>
    </xf>
    <xf numFmtId="179" fontId="94" fillId="0" borderId="0" xfId="0" applyNumberFormat="1" applyFont="1"/>
    <xf numFmtId="0" fontId="94" fillId="0" borderId="101" xfId="0" applyFont="1" applyBorder="1"/>
    <xf numFmtId="0" fontId="0" fillId="0" borderId="0" xfId="0" applyAlignment="1">
      <alignment vertical="center"/>
    </xf>
    <xf numFmtId="0" fontId="98" fillId="0" borderId="0" xfId="0" applyFont="1"/>
    <xf numFmtId="0" fontId="98" fillId="0" borderId="82" xfId="0" applyFont="1" applyBorder="1"/>
    <xf numFmtId="0" fontId="98" fillId="0" borderId="100" xfId="0" applyFont="1" applyBorder="1"/>
    <xf numFmtId="0" fontId="92" fillId="0" borderId="0" xfId="0" applyFont="1"/>
    <xf numFmtId="43" fontId="94" fillId="0" borderId="0" xfId="17" applyFont="1" applyFill="1"/>
    <xf numFmtId="0" fontId="92" fillId="0" borderId="0" xfId="0" applyFont="1" applyAlignment="1">
      <alignment horizontal="center"/>
    </xf>
    <xf numFmtId="0" fontId="62" fillId="0" borderId="0" xfId="0" applyFont="1"/>
    <xf numFmtId="179" fontId="92" fillId="0" borderId="0" xfId="0" applyNumberFormat="1" applyFont="1" applyAlignment="1">
      <alignment horizontal="right"/>
    </xf>
    <xf numFmtId="0" fontId="92" fillId="0" borderId="100" xfId="0" applyFont="1" applyBorder="1"/>
    <xf numFmtId="43" fontId="92" fillId="0" borderId="0" xfId="17" applyFont="1" applyFill="1" applyBorder="1"/>
    <xf numFmtId="43" fontId="62" fillId="0" borderId="0" xfId="17" applyFont="1" applyFill="1"/>
    <xf numFmtId="0" fontId="92" fillId="0" borderId="101" xfId="0" applyFont="1" applyBorder="1"/>
    <xf numFmtId="43" fontId="94" fillId="0" borderId="95" xfId="17" applyFont="1" applyFill="1" applyBorder="1"/>
    <xf numFmtId="0" fontId="92" fillId="0" borderId="95" xfId="0" applyFont="1" applyBorder="1"/>
    <xf numFmtId="179" fontId="106" fillId="0" borderId="2" xfId="0" applyNumberFormat="1" applyFont="1" applyBorder="1" applyAlignment="1">
      <alignment horizontal="right"/>
    </xf>
    <xf numFmtId="3" fontId="94" fillId="0" borderId="0" xfId="0" applyNumberFormat="1" applyFont="1"/>
    <xf numFmtId="4" fontId="40" fillId="0" borderId="31" xfId="0" applyNumberFormat="1" applyFont="1" applyBorder="1" applyAlignment="1" applyProtection="1">
      <alignment horizontal="right" vertical="center"/>
      <protection hidden="1"/>
    </xf>
    <xf numFmtId="0" fontId="99" fillId="0" borderId="0" xfId="0" applyFont="1" applyAlignment="1" applyProtection="1">
      <alignment vertical="center"/>
      <protection hidden="1"/>
    </xf>
    <xf numFmtId="0" fontId="108" fillId="0" borderId="0" xfId="0" applyFont="1" applyAlignment="1" applyProtection="1">
      <alignment vertical="center"/>
      <protection hidden="1"/>
    </xf>
    <xf numFmtId="0" fontId="66" fillId="0" borderId="0" xfId="0" applyFont="1" applyAlignment="1" applyProtection="1">
      <alignment horizontal="center" vertical="center"/>
      <protection hidden="1"/>
    </xf>
    <xf numFmtId="9" fontId="99" fillId="0" borderId="0" xfId="25" applyFont="1" applyAlignment="1" applyProtection="1">
      <alignment vertical="center"/>
      <protection hidden="1"/>
    </xf>
    <xf numFmtId="22" fontId="62" fillId="0" borderId="2" xfId="0" applyNumberFormat="1" applyFont="1" applyBorder="1"/>
    <xf numFmtId="43" fontId="99" fillId="0" borderId="2" xfId="17" applyFont="1" applyBorder="1" applyAlignment="1" applyProtection="1">
      <alignment vertical="center"/>
      <protection hidden="1"/>
    </xf>
    <xf numFmtId="0" fontId="99" fillId="0" borderId="2" xfId="0" applyFont="1" applyBorder="1" applyAlignment="1" applyProtection="1">
      <alignment vertical="center"/>
      <protection hidden="1"/>
    </xf>
    <xf numFmtId="43" fontId="99" fillId="0" borderId="0" xfId="0" applyNumberFormat="1" applyFont="1" applyAlignment="1" applyProtection="1">
      <alignment vertical="center"/>
      <protection hidden="1"/>
    </xf>
    <xf numFmtId="43" fontId="99" fillId="0" borderId="2" xfId="0" applyNumberFormat="1" applyFont="1" applyBorder="1" applyAlignment="1" applyProtection="1">
      <alignment vertical="center"/>
      <protection hidden="1"/>
    </xf>
    <xf numFmtId="0" fontId="109" fillId="24" borderId="2" xfId="0" applyFont="1" applyFill="1" applyBorder="1" applyAlignment="1" applyProtection="1">
      <alignment horizontal="center" vertical="center"/>
      <protection hidden="1"/>
    </xf>
    <xf numFmtId="0" fontId="66" fillId="24" borderId="2" xfId="0" applyFont="1" applyFill="1" applyBorder="1" applyAlignment="1" applyProtection="1">
      <alignment horizontal="center" vertical="center"/>
      <protection hidden="1"/>
    </xf>
    <xf numFmtId="0" fontId="107" fillId="24" borderId="2" xfId="0" applyFont="1" applyFill="1" applyBorder="1" applyAlignment="1">
      <alignment vertical="center"/>
    </xf>
    <xf numFmtId="188" fontId="0" fillId="24" borderId="2" xfId="0" applyNumberFormat="1" applyFill="1" applyBorder="1" applyAlignment="1">
      <alignment vertical="center"/>
    </xf>
    <xf numFmtId="14" fontId="99" fillId="0" borderId="0" xfId="0" applyNumberFormat="1" applyFont="1" applyAlignment="1" applyProtection="1">
      <alignment vertical="center"/>
      <protection hidden="1"/>
    </xf>
    <xf numFmtId="0" fontId="99" fillId="0" borderId="0" xfId="0" applyFont="1" applyAlignment="1" applyProtection="1">
      <alignment horizontal="right" vertical="center"/>
      <protection hidden="1"/>
    </xf>
    <xf numFmtId="188" fontId="0" fillId="24" borderId="89" xfId="0" applyNumberFormat="1" applyFill="1" applyBorder="1" applyAlignment="1">
      <alignment vertical="center"/>
    </xf>
    <xf numFmtId="0" fontId="99" fillId="0" borderId="123" xfId="0" applyFont="1" applyBorder="1" applyAlignment="1" applyProtection="1">
      <alignment vertical="center"/>
      <protection hidden="1"/>
    </xf>
    <xf numFmtId="14" fontId="99" fillId="0" borderId="2" xfId="0" applyNumberFormat="1" applyFont="1" applyBorder="1" applyAlignment="1" applyProtection="1">
      <alignment vertical="center"/>
      <protection hidden="1"/>
    </xf>
    <xf numFmtId="0" fontId="99" fillId="24" borderId="2" xfId="0" applyFont="1" applyFill="1" applyBorder="1" applyAlignment="1" applyProtection="1">
      <alignment vertical="center"/>
      <protection hidden="1"/>
    </xf>
    <xf numFmtId="43" fontId="99" fillId="24" borderId="2" xfId="0" applyNumberFormat="1" applyFont="1" applyFill="1" applyBorder="1" applyAlignment="1" applyProtection="1">
      <alignment vertical="center"/>
      <protection hidden="1"/>
    </xf>
    <xf numFmtId="0" fontId="29" fillId="27" borderId="0" xfId="0" applyFont="1" applyFill="1" applyAlignment="1">
      <alignment horizontal="center"/>
    </xf>
    <xf numFmtId="0" fontId="29" fillId="27" borderId="91" xfId="0" applyFont="1" applyFill="1" applyBorder="1" applyAlignment="1">
      <alignment horizontal="center"/>
    </xf>
    <xf numFmtId="0" fontId="29" fillId="27" borderId="2" xfId="0" applyFont="1" applyFill="1" applyBorder="1" applyAlignment="1">
      <alignment horizontal="center"/>
    </xf>
    <xf numFmtId="0" fontId="29" fillId="0" borderId="0" xfId="0" applyFont="1" applyAlignment="1">
      <alignment horizontal="center"/>
    </xf>
    <xf numFmtId="0" fontId="29" fillId="27" borderId="88" xfId="0" applyFont="1" applyFill="1" applyBorder="1" applyAlignment="1">
      <alignment horizontal="center"/>
    </xf>
    <xf numFmtId="0" fontId="5" fillId="0" borderId="77" xfId="21" applyBorder="1" applyAlignment="1">
      <alignment horizontal="center"/>
    </xf>
    <xf numFmtId="0" fontId="5" fillId="0" borderId="78" xfId="21" applyBorder="1" applyAlignment="1">
      <alignment horizontal="center"/>
    </xf>
    <xf numFmtId="0" fontId="5" fillId="0" borderId="79" xfId="21" applyBorder="1" applyAlignment="1">
      <alignment horizontal="center"/>
    </xf>
    <xf numFmtId="0" fontId="5" fillId="0" borderId="80" xfId="21" applyBorder="1" applyAlignment="1">
      <alignment horizontal="center"/>
    </xf>
    <xf numFmtId="0" fontId="5" fillId="0" borderId="0" xfId="21" applyAlignment="1">
      <alignment horizontal="center"/>
    </xf>
    <xf numFmtId="0" fontId="5" fillId="0" borderId="4" xfId="21" applyBorder="1" applyAlignment="1">
      <alignment horizontal="center"/>
    </xf>
    <xf numFmtId="0" fontId="5" fillId="0" borderId="81" xfId="21" applyBorder="1" applyAlignment="1">
      <alignment horizontal="center"/>
    </xf>
    <xf numFmtId="0" fontId="5" fillId="0" borderId="82" xfId="21" applyBorder="1" applyAlignment="1">
      <alignment horizontal="center"/>
    </xf>
    <xf numFmtId="0" fontId="5" fillId="0" borderId="83" xfId="21" applyBorder="1" applyAlignment="1">
      <alignment horizontal="center"/>
    </xf>
    <xf numFmtId="0" fontId="27" fillId="2" borderId="2" xfId="21" applyFont="1" applyFill="1" applyBorder="1" applyAlignment="1">
      <alignment horizontal="center"/>
    </xf>
    <xf numFmtId="0" fontId="27" fillId="2" borderId="76" xfId="21" applyFont="1" applyFill="1" applyBorder="1" applyAlignment="1">
      <alignment horizontal="center"/>
    </xf>
    <xf numFmtId="0" fontId="5" fillId="0" borderId="85" xfId="21" applyBorder="1" applyAlignment="1">
      <alignment horizontal="center"/>
    </xf>
    <xf numFmtId="0" fontId="5" fillId="0" borderId="86" xfId="21" applyBorder="1" applyAlignment="1">
      <alignment horizontal="center"/>
    </xf>
    <xf numFmtId="0" fontId="29" fillId="21" borderId="8" xfId="21" applyFont="1" applyFill="1" applyBorder="1" applyAlignment="1">
      <alignment horizontal="center"/>
    </xf>
    <xf numFmtId="0" fontId="29" fillId="21" borderId="9" xfId="21" applyFont="1" applyFill="1" applyBorder="1" applyAlignment="1">
      <alignment horizontal="center"/>
    </xf>
    <xf numFmtId="0" fontId="29" fillId="21" borderId="15" xfId="21" applyFont="1" applyFill="1" applyBorder="1" applyAlignment="1">
      <alignment horizontal="center"/>
    </xf>
    <xf numFmtId="0" fontId="29" fillId="21" borderId="5" xfId="21" applyFont="1" applyFill="1" applyBorder="1" applyAlignment="1">
      <alignment horizontal="center" vertical="center" wrapText="1"/>
    </xf>
    <xf numFmtId="0" fontId="29" fillId="21" borderId="6" xfId="21" applyFont="1" applyFill="1" applyBorder="1" applyAlignment="1">
      <alignment horizontal="center" vertical="center" wrapText="1"/>
    </xf>
    <xf numFmtId="0" fontId="29" fillId="21" borderId="11" xfId="21" applyFont="1" applyFill="1" applyBorder="1" applyAlignment="1">
      <alignment horizontal="center" vertical="center" wrapText="1"/>
    </xf>
    <xf numFmtId="0" fontId="29" fillId="21" borderId="13" xfId="21" applyFont="1" applyFill="1" applyBorder="1" applyAlignment="1">
      <alignment horizontal="center" vertical="center" wrapText="1"/>
    </xf>
    <xf numFmtId="10" fontId="29" fillId="21" borderId="3" xfId="26" applyNumberFormat="1" applyFont="1" applyFill="1" applyBorder="1" applyAlignment="1">
      <alignment horizontal="center" vertical="center"/>
    </xf>
    <xf numFmtId="10" fontId="29" fillId="21" borderId="12" xfId="26" applyNumberFormat="1" applyFont="1" applyFill="1" applyBorder="1" applyAlignment="1">
      <alignment horizontal="center" vertical="center"/>
    </xf>
    <xf numFmtId="0" fontId="27" fillId="2" borderId="74" xfId="21" applyFont="1" applyFill="1" applyBorder="1" applyAlignment="1">
      <alignment horizontal="center"/>
    </xf>
    <xf numFmtId="0" fontId="27" fillId="2" borderId="75" xfId="21" applyFont="1" applyFill="1" applyBorder="1" applyAlignment="1">
      <alignment horizontal="center"/>
    </xf>
    <xf numFmtId="49" fontId="28" fillId="10" borderId="11" xfId="23" quotePrefix="1" applyNumberFormat="1" applyFont="1" applyFill="1" applyBorder="1" applyAlignment="1">
      <alignment horizontal="center" vertical="center" wrapText="1"/>
    </xf>
    <xf numFmtId="49" fontId="28" fillId="10" borderId="13" xfId="23" quotePrefix="1" applyNumberFormat="1" applyFont="1" applyFill="1" applyBorder="1" applyAlignment="1">
      <alignment horizontal="center" vertical="center" wrapText="1"/>
    </xf>
    <xf numFmtId="49" fontId="28" fillId="10" borderId="12" xfId="23" quotePrefix="1" applyNumberFormat="1" applyFont="1" applyFill="1" applyBorder="1" applyAlignment="1">
      <alignment horizontal="center" vertical="center" wrapText="1"/>
    </xf>
    <xf numFmtId="37" fontId="25" fillId="9" borderId="5" xfId="23" applyNumberFormat="1" applyFont="1" applyFill="1" applyBorder="1" applyAlignment="1">
      <alignment horizontal="center" vertical="center" wrapText="1"/>
    </xf>
    <xf numFmtId="37" fontId="25" fillId="9" borderId="3" xfId="23" applyNumberFormat="1" applyFont="1" applyFill="1" applyBorder="1" applyAlignment="1">
      <alignment horizontal="center" vertical="center" wrapText="1"/>
    </xf>
    <xf numFmtId="37" fontId="25" fillId="9" borderId="11" xfId="23" applyNumberFormat="1" applyFont="1" applyFill="1" applyBorder="1" applyAlignment="1">
      <alignment horizontal="center" vertical="center" wrapText="1"/>
    </xf>
    <xf numFmtId="37" fontId="25" fillId="9" borderId="12" xfId="23" applyNumberFormat="1" applyFont="1" applyFill="1" applyBorder="1" applyAlignment="1">
      <alignment horizontal="center" vertical="center" wrapText="1"/>
    </xf>
    <xf numFmtId="0" fontId="50" fillId="0" borderId="0" xfId="21" applyFont="1" applyAlignment="1">
      <alignment horizontal="justify" wrapText="1"/>
    </xf>
    <xf numFmtId="0" fontId="29" fillId="12" borderId="13" xfId="21" applyFont="1" applyFill="1" applyBorder="1" applyAlignment="1">
      <alignment horizontal="center"/>
    </xf>
    <xf numFmtId="0" fontId="51" fillId="0" borderId="0" xfId="21" applyFont="1" applyAlignment="1">
      <alignment horizontal="left" wrapText="1"/>
    </xf>
    <xf numFmtId="0" fontId="29" fillId="12" borderId="0" xfId="21" applyFont="1" applyFill="1" applyAlignment="1">
      <alignment horizontal="center"/>
    </xf>
    <xf numFmtId="0" fontId="29" fillId="22" borderId="5" xfId="21" applyFont="1" applyFill="1" applyBorder="1" applyAlignment="1">
      <alignment horizontal="center" vertical="center" wrapText="1"/>
    </xf>
    <xf numFmtId="0" fontId="29" fillId="22" borderId="6" xfId="21" applyFont="1" applyFill="1" applyBorder="1" applyAlignment="1">
      <alignment horizontal="center" vertical="center" wrapText="1"/>
    </xf>
    <xf numFmtId="0" fontId="29" fillId="22" borderId="11" xfId="21" applyFont="1" applyFill="1" applyBorder="1" applyAlignment="1">
      <alignment horizontal="center" vertical="center" wrapText="1"/>
    </xf>
    <xf numFmtId="0" fontId="29" fillId="22" borderId="13" xfId="21" applyFont="1" applyFill="1" applyBorder="1" applyAlignment="1">
      <alignment horizontal="center" vertical="center" wrapText="1"/>
    </xf>
    <xf numFmtId="10" fontId="29" fillId="22" borderId="3" xfId="26" applyNumberFormat="1" applyFont="1" applyFill="1" applyBorder="1" applyAlignment="1">
      <alignment horizontal="center" vertical="center"/>
    </xf>
    <xf numFmtId="10" fontId="29" fillId="22" borderId="12" xfId="26" applyNumberFormat="1" applyFont="1" applyFill="1" applyBorder="1" applyAlignment="1">
      <alignment horizontal="center" vertical="center"/>
    </xf>
    <xf numFmtId="0" fontId="43" fillId="0" borderId="0" xfId="0" applyFont="1" applyAlignment="1" applyProtection="1">
      <alignment horizontal="left" vertical="center" wrapText="1"/>
      <protection hidden="1"/>
    </xf>
    <xf numFmtId="0" fontId="18" fillId="2" borderId="0" xfId="0" applyFont="1" applyFill="1" applyAlignment="1" applyProtection="1">
      <alignment horizontal="center" vertical="center" wrapText="1"/>
      <protection hidden="1"/>
    </xf>
    <xf numFmtId="0" fontId="18" fillId="2" borderId="0" xfId="0" applyFont="1" applyFill="1" applyAlignment="1" applyProtection="1">
      <alignment vertical="center" wrapText="1"/>
      <protection hidden="1"/>
    </xf>
    <xf numFmtId="0" fontId="43" fillId="0" borderId="0" xfId="0" applyFont="1" applyAlignment="1" applyProtection="1">
      <alignment horizontal="left" vertical="top" wrapText="1"/>
      <protection hidden="1"/>
    </xf>
    <xf numFmtId="0" fontId="89" fillId="0" borderId="0" xfId="21" applyFont="1" applyAlignment="1" applyProtection="1">
      <alignment horizontal="center" vertical="center" wrapText="1"/>
      <protection hidden="1"/>
    </xf>
    <xf numFmtId="0" fontId="18" fillId="2" borderId="0" xfId="0" applyFont="1" applyFill="1" applyAlignment="1" applyProtection="1">
      <alignment horizontal="left" vertical="center" wrapText="1"/>
      <protection hidden="1"/>
    </xf>
    <xf numFmtId="0" fontId="18" fillId="2" borderId="0" xfId="0" quotePrefix="1" applyFont="1" applyFill="1" applyAlignment="1" applyProtection="1">
      <alignment horizontal="left" vertical="center" wrapText="1"/>
      <protection hidden="1"/>
    </xf>
    <xf numFmtId="0" fontId="43" fillId="0" borderId="0" xfId="0" applyFont="1" applyAlignment="1" applyProtection="1">
      <alignment vertical="top" wrapText="1"/>
      <protection hidden="1"/>
    </xf>
    <xf numFmtId="0" fontId="36" fillId="5" borderId="56" xfId="0" applyFont="1" applyFill="1" applyBorder="1" applyAlignment="1" applyProtection="1">
      <alignment horizontal="center" vertical="center" wrapText="1"/>
      <protection hidden="1"/>
    </xf>
    <xf numFmtId="0" fontId="36" fillId="5" borderId="57" xfId="0" applyFont="1" applyFill="1" applyBorder="1" applyAlignment="1" applyProtection="1">
      <alignment horizontal="center" vertical="center" wrapText="1"/>
      <protection hidden="1"/>
    </xf>
    <xf numFmtId="0" fontId="36" fillId="5" borderId="53" xfId="0" quotePrefix="1" applyFont="1" applyFill="1" applyBorder="1" applyAlignment="1" applyProtection="1">
      <alignment horizontal="center" vertical="center" wrapText="1"/>
      <protection hidden="1"/>
    </xf>
    <xf numFmtId="0" fontId="36" fillId="5" borderId="42" xfId="0" quotePrefix="1" applyFont="1" applyFill="1" applyBorder="1" applyAlignment="1" applyProtection="1">
      <alignment horizontal="center" vertical="center" wrapText="1"/>
      <protection hidden="1"/>
    </xf>
    <xf numFmtId="0" fontId="36" fillId="5" borderId="54" xfId="0" applyFont="1" applyFill="1" applyBorder="1" applyAlignment="1" applyProtection="1">
      <alignment horizontal="center" vertical="center" wrapText="1"/>
      <protection hidden="1"/>
    </xf>
    <xf numFmtId="0" fontId="36" fillId="5" borderId="55" xfId="0" applyFont="1" applyFill="1" applyBorder="1" applyAlignment="1" applyProtection="1">
      <alignment horizontal="center" vertical="center" wrapText="1"/>
      <protection hidden="1"/>
    </xf>
    <xf numFmtId="0" fontId="36" fillId="5" borderId="62" xfId="0" applyFont="1" applyFill="1" applyBorder="1" applyAlignment="1" applyProtection="1">
      <alignment horizontal="center" vertical="center" wrapText="1"/>
      <protection hidden="1"/>
    </xf>
    <xf numFmtId="0" fontId="36" fillId="5" borderId="61" xfId="0" applyFont="1" applyFill="1" applyBorder="1" applyAlignment="1" applyProtection="1">
      <alignment horizontal="center" vertical="center" wrapText="1"/>
      <protection hidden="1"/>
    </xf>
    <xf numFmtId="0" fontId="43" fillId="12" borderId="0" xfId="0" applyFont="1" applyFill="1" applyAlignment="1" applyProtection="1">
      <alignment horizontal="left" vertical="center" wrapText="1"/>
      <protection hidden="1"/>
    </xf>
    <xf numFmtId="0" fontId="43" fillId="12" borderId="0" xfId="0" applyFont="1" applyFill="1" applyAlignment="1" applyProtection="1">
      <alignment horizontal="left" vertical="top" wrapText="1"/>
      <protection hidden="1"/>
    </xf>
    <xf numFmtId="0" fontId="43" fillId="12" borderId="0" xfId="0" applyFont="1" applyFill="1" applyAlignment="1" applyProtection="1">
      <alignment horizontal="justify" vertical="center" wrapText="1"/>
      <protection hidden="1"/>
    </xf>
    <xf numFmtId="0" fontId="54" fillId="14" borderId="106" xfId="0" applyFont="1" applyFill="1" applyBorder="1" applyAlignment="1" applyProtection="1">
      <alignment horizontal="center" vertical="center" wrapText="1"/>
      <protection hidden="1"/>
    </xf>
    <xf numFmtId="0" fontId="54" fillId="14" borderId="107" xfId="0" applyFont="1" applyFill="1" applyBorder="1" applyAlignment="1" applyProtection="1">
      <alignment horizontal="center" vertical="center" wrapText="1"/>
      <protection hidden="1"/>
    </xf>
    <xf numFmtId="0" fontId="54" fillId="14" borderId="108" xfId="0" applyFont="1" applyFill="1" applyBorder="1" applyAlignment="1" applyProtection="1">
      <alignment horizontal="center" vertical="center" wrapText="1"/>
      <protection hidden="1"/>
    </xf>
    <xf numFmtId="0" fontId="41" fillId="6" borderId="60" xfId="0" applyFont="1" applyFill="1" applyBorder="1" applyAlignment="1" applyProtection="1">
      <alignment horizontal="center" vertical="center"/>
      <protection hidden="1"/>
    </xf>
    <xf numFmtId="0" fontId="41" fillId="6" borderId="61" xfId="0" applyFont="1" applyFill="1" applyBorder="1" applyAlignment="1" applyProtection="1">
      <alignment horizontal="center" vertical="center"/>
      <protection hidden="1"/>
    </xf>
    <xf numFmtId="0" fontId="41" fillId="6" borderId="62" xfId="0" applyFont="1" applyFill="1" applyBorder="1" applyAlignment="1" applyProtection="1">
      <alignment horizontal="center" vertical="center"/>
      <protection hidden="1"/>
    </xf>
    <xf numFmtId="0" fontId="36" fillId="5" borderId="58" xfId="0" quotePrefix="1" applyFont="1" applyFill="1" applyBorder="1" applyAlignment="1" applyProtection="1">
      <alignment horizontal="center" vertical="center" wrapText="1"/>
      <protection hidden="1"/>
    </xf>
    <xf numFmtId="0" fontId="36" fillId="5" borderId="59" xfId="0" applyFont="1" applyFill="1" applyBorder="1" applyAlignment="1" applyProtection="1">
      <alignment horizontal="center" vertical="center" wrapText="1"/>
      <protection hidden="1"/>
    </xf>
    <xf numFmtId="0" fontId="36" fillId="5" borderId="109" xfId="0" quotePrefix="1" applyFont="1" applyFill="1" applyBorder="1" applyAlignment="1" applyProtection="1">
      <alignment horizontal="center" vertical="center" wrapText="1"/>
      <protection hidden="1"/>
    </xf>
    <xf numFmtId="0" fontId="36" fillId="5" borderId="38" xfId="0" quotePrefix="1" applyFont="1" applyFill="1" applyBorder="1" applyAlignment="1" applyProtection="1">
      <alignment horizontal="center" vertical="center" wrapText="1"/>
      <protection hidden="1"/>
    </xf>
    <xf numFmtId="0" fontId="48" fillId="14" borderId="106" xfId="0" quotePrefix="1" applyFont="1" applyFill="1" applyBorder="1" applyAlignment="1" applyProtection="1">
      <alignment horizontal="center" vertical="center" wrapText="1"/>
      <protection hidden="1"/>
    </xf>
    <xf numFmtId="0" fontId="48" fillId="14" borderId="107" xfId="0" quotePrefix="1" applyFont="1" applyFill="1" applyBorder="1" applyAlignment="1" applyProtection="1">
      <alignment horizontal="center" vertical="center" wrapText="1"/>
      <protection hidden="1"/>
    </xf>
    <xf numFmtId="0" fontId="48" fillId="14" borderId="108" xfId="0" quotePrefix="1" applyFont="1" applyFill="1" applyBorder="1" applyAlignment="1" applyProtection="1">
      <alignment horizontal="center" vertical="center" wrapText="1"/>
      <protection hidden="1"/>
    </xf>
    <xf numFmtId="0" fontId="48" fillId="14" borderId="60" xfId="0" applyFont="1" applyFill="1" applyBorder="1" applyAlignment="1" applyProtection="1">
      <alignment horizontal="center" vertical="center" wrapText="1"/>
      <protection hidden="1"/>
    </xf>
    <xf numFmtId="0" fontId="48" fillId="14" borderId="61" xfId="0" applyFont="1" applyFill="1" applyBorder="1" applyAlignment="1" applyProtection="1">
      <alignment horizontal="center" vertical="center" wrapText="1"/>
      <protection hidden="1"/>
    </xf>
    <xf numFmtId="0" fontId="48" fillId="14" borderId="62" xfId="0" applyFont="1" applyFill="1" applyBorder="1" applyAlignment="1" applyProtection="1">
      <alignment horizontal="center" vertical="center" wrapText="1"/>
      <protection hidden="1"/>
    </xf>
    <xf numFmtId="0" fontId="87" fillId="0" borderId="0" xfId="21" applyFont="1" applyAlignment="1" applyProtection="1">
      <alignment horizontal="center" vertical="center" wrapText="1"/>
      <protection hidden="1"/>
    </xf>
    <xf numFmtId="0" fontId="43" fillId="12" borderId="0" xfId="0" applyFont="1" applyFill="1" applyAlignment="1" applyProtection="1">
      <alignment horizontal="center" vertical="top" wrapText="1"/>
      <protection hidden="1"/>
    </xf>
    <xf numFmtId="0" fontId="43" fillId="0" borderId="0" xfId="0" applyFont="1" applyAlignment="1" applyProtection="1">
      <alignment horizontal="left" vertical="top"/>
      <protection hidden="1"/>
    </xf>
    <xf numFmtId="0" fontId="43" fillId="0" borderId="0" xfId="0" quotePrefix="1" applyFont="1" applyAlignment="1" applyProtection="1">
      <alignment horizontal="left" vertical="top" wrapText="1"/>
      <protection hidden="1"/>
    </xf>
    <xf numFmtId="0" fontId="43" fillId="0" borderId="0" xfId="0" applyFont="1" applyAlignment="1" applyProtection="1">
      <alignment horizontal="justify" vertical="top" wrapText="1"/>
      <protection hidden="1"/>
    </xf>
    <xf numFmtId="0" fontId="41" fillId="6" borderId="63" xfId="0" applyFont="1" applyFill="1" applyBorder="1" applyAlignment="1" applyProtection="1">
      <alignment horizontal="center" vertical="center" wrapText="1"/>
      <protection hidden="1"/>
    </xf>
    <xf numFmtId="0" fontId="41" fillId="6" borderId="64" xfId="0" applyFont="1" applyFill="1" applyBorder="1" applyAlignment="1" applyProtection="1">
      <alignment horizontal="center" vertical="center" wrapText="1"/>
      <protection hidden="1"/>
    </xf>
    <xf numFmtId="0" fontId="41" fillId="6" borderId="115" xfId="0" applyFont="1" applyFill="1" applyBorder="1" applyAlignment="1" applyProtection="1">
      <alignment horizontal="center" vertical="center" wrapText="1"/>
      <protection hidden="1"/>
    </xf>
    <xf numFmtId="0" fontId="48" fillId="6" borderId="68" xfId="0" applyFont="1" applyFill="1" applyBorder="1" applyAlignment="1" applyProtection="1">
      <alignment horizontal="center" vertical="center" wrapText="1"/>
      <protection hidden="1"/>
    </xf>
    <xf numFmtId="0" fontId="48" fillId="6" borderId="69" xfId="0" applyFont="1" applyFill="1" applyBorder="1" applyAlignment="1" applyProtection="1">
      <alignment horizontal="center" vertical="center" wrapText="1"/>
      <protection hidden="1"/>
    </xf>
    <xf numFmtId="0" fontId="48" fillId="6" borderId="116" xfId="0" applyFont="1" applyFill="1" applyBorder="1" applyAlignment="1" applyProtection="1">
      <alignment horizontal="center" vertical="center" wrapText="1"/>
      <protection hidden="1"/>
    </xf>
    <xf numFmtId="0" fontId="36" fillId="5" borderId="65" xfId="0" applyFont="1" applyFill="1" applyBorder="1" applyAlignment="1" applyProtection="1">
      <alignment horizontal="center" vertical="center" wrapText="1"/>
      <protection hidden="1"/>
    </xf>
    <xf numFmtId="0" fontId="36" fillId="5" borderId="66" xfId="0" applyFont="1" applyFill="1" applyBorder="1" applyAlignment="1" applyProtection="1">
      <alignment horizontal="center" vertical="center" wrapText="1"/>
      <protection hidden="1"/>
    </xf>
    <xf numFmtId="0" fontId="36" fillId="5" borderId="67" xfId="0" applyFont="1" applyFill="1" applyBorder="1" applyAlignment="1" applyProtection="1">
      <alignment horizontal="center" vertical="center" wrapText="1"/>
      <protection hidden="1"/>
    </xf>
    <xf numFmtId="0" fontId="36" fillId="5" borderId="70" xfId="0" applyFont="1" applyFill="1" applyBorder="1" applyAlignment="1" applyProtection="1">
      <alignment horizontal="center" vertical="center" wrapText="1"/>
      <protection hidden="1"/>
    </xf>
    <xf numFmtId="0" fontId="36" fillId="5" borderId="46" xfId="0" applyFont="1" applyFill="1" applyBorder="1" applyAlignment="1" applyProtection="1">
      <alignment horizontal="center" vertical="center" wrapText="1"/>
      <protection hidden="1"/>
    </xf>
    <xf numFmtId="0" fontId="43" fillId="0" borderId="0" xfId="0" applyFont="1" applyAlignment="1" applyProtection="1">
      <alignment horizontal="justify" vertical="center"/>
      <protection hidden="1"/>
    </xf>
    <xf numFmtId="0" fontId="41" fillId="6" borderId="48" xfId="0" applyFont="1" applyFill="1" applyBorder="1" applyAlignment="1" applyProtection="1">
      <alignment horizontal="center" vertical="center" wrapText="1"/>
      <protection hidden="1"/>
    </xf>
    <xf numFmtId="0" fontId="41" fillId="6" borderId="0" xfId="0" applyFont="1" applyFill="1" applyAlignment="1" applyProtection="1">
      <alignment horizontal="center" vertical="center" wrapText="1"/>
      <protection hidden="1"/>
    </xf>
    <xf numFmtId="0" fontId="41" fillId="6" borderId="49" xfId="0" applyFont="1" applyFill="1" applyBorder="1" applyAlignment="1" applyProtection="1">
      <alignment horizontal="center" vertical="center" wrapText="1"/>
      <protection hidden="1"/>
    </xf>
    <xf numFmtId="0" fontId="59" fillId="0" borderId="0" xfId="0" applyFont="1" applyAlignment="1" applyProtection="1">
      <alignment horizontal="center" vertical="center" wrapText="1"/>
      <protection hidden="1"/>
    </xf>
    <xf numFmtId="0" fontId="43" fillId="0" borderId="0" xfId="0" applyFont="1" applyAlignment="1" applyProtection="1">
      <alignment horizontal="justify" vertical="center" wrapText="1"/>
      <protection hidden="1"/>
    </xf>
    <xf numFmtId="0" fontId="41" fillId="6" borderId="106" xfId="0" applyFont="1" applyFill="1" applyBorder="1" applyAlignment="1" applyProtection="1">
      <alignment horizontal="center" vertical="center" wrapText="1"/>
      <protection hidden="1"/>
    </xf>
    <xf numFmtId="0" fontId="41" fillId="6" borderId="107" xfId="0" applyFont="1" applyFill="1" applyBorder="1" applyAlignment="1" applyProtection="1">
      <alignment horizontal="center" vertical="center" wrapText="1"/>
      <protection hidden="1"/>
    </xf>
    <xf numFmtId="0" fontId="41" fillId="6" borderId="108" xfId="0" applyFont="1" applyFill="1" applyBorder="1" applyAlignment="1" applyProtection="1">
      <alignment horizontal="center" vertical="center" wrapText="1"/>
      <protection hidden="1"/>
    </xf>
    <xf numFmtId="0" fontId="84" fillId="0" borderId="0" xfId="21" applyFont="1" applyAlignment="1" applyProtection="1">
      <alignment horizontal="center" vertical="center" wrapText="1"/>
      <protection hidden="1"/>
    </xf>
    <xf numFmtId="0" fontId="87" fillId="0" borderId="0" xfId="21" applyFont="1" applyAlignment="1" applyProtection="1">
      <alignment horizontal="left" vertical="center" wrapText="1"/>
      <protection hidden="1"/>
    </xf>
    <xf numFmtId="0" fontId="35" fillId="12" borderId="0" xfId="0" applyFont="1" applyFill="1" applyAlignment="1" applyProtection="1">
      <alignment horizontal="fill" vertical="center" wrapText="1"/>
      <protection hidden="1"/>
    </xf>
    <xf numFmtId="0" fontId="16" fillId="12" borderId="0" xfId="0" applyFont="1" applyFill="1" applyAlignment="1" applyProtection="1">
      <alignment vertical="center" wrapText="1"/>
      <protection hidden="1"/>
    </xf>
    <xf numFmtId="0" fontId="35" fillId="2" borderId="0" xfId="0" applyFont="1" applyFill="1" applyAlignment="1" applyProtection="1">
      <alignment horizontal="left" vertical="center" wrapText="1"/>
      <protection hidden="1"/>
    </xf>
    <xf numFmtId="0" fontId="43" fillId="12" borderId="0" xfId="0" applyFont="1" applyFill="1" applyAlignment="1" applyProtection="1">
      <alignment horizontal="justify" vertical="top" wrapText="1"/>
      <protection hidden="1"/>
    </xf>
    <xf numFmtId="166" fontId="78" fillId="2" borderId="0" xfId="24" applyFont="1" applyFill="1" applyAlignment="1" applyProtection="1">
      <alignment horizontal="center" vertical="center"/>
      <protection hidden="1"/>
    </xf>
    <xf numFmtId="0" fontId="43" fillId="2" borderId="0" xfId="0" applyFont="1" applyFill="1" applyAlignment="1" applyProtection="1">
      <alignment horizontal="justify" vertical="center" wrapText="1"/>
      <protection hidden="1"/>
    </xf>
    <xf numFmtId="0" fontId="45" fillId="0" borderId="0" xfId="0" applyFont="1" applyAlignment="1" applyProtection="1">
      <alignment horizontal="center" vertical="center" wrapText="1"/>
      <protection hidden="1"/>
    </xf>
    <xf numFmtId="0" fontId="43" fillId="2" borderId="0" xfId="0" quotePrefix="1" applyFont="1" applyFill="1" applyAlignment="1" applyProtection="1">
      <alignment horizontal="left" vertical="center" wrapText="1"/>
      <protection hidden="1"/>
    </xf>
    <xf numFmtId="0" fontId="35" fillId="0" borderId="0" xfId="0" applyFont="1" applyAlignment="1" applyProtection="1">
      <alignment horizontal="left" wrapText="1"/>
      <protection hidden="1"/>
    </xf>
    <xf numFmtId="0" fontId="88" fillId="0" borderId="0" xfId="21" applyFont="1" applyAlignment="1" applyProtection="1">
      <alignment horizontal="left" vertical="center" wrapText="1"/>
      <protection hidden="1"/>
    </xf>
    <xf numFmtId="166" fontId="49" fillId="2" borderId="106" xfId="24" applyFont="1" applyFill="1" applyBorder="1" applyAlignment="1" applyProtection="1">
      <alignment horizontal="center" vertical="center"/>
      <protection hidden="1"/>
    </xf>
    <xf numFmtId="166" fontId="49" fillId="2" borderId="107" xfId="24" applyFont="1" applyFill="1" applyBorder="1" applyAlignment="1" applyProtection="1">
      <alignment horizontal="center" vertical="center"/>
      <protection hidden="1"/>
    </xf>
    <xf numFmtId="166" fontId="49" fillId="2" borderId="48" xfId="24" applyFont="1" applyFill="1" applyBorder="1" applyAlignment="1" applyProtection="1">
      <alignment horizontal="center" vertical="center" wrapText="1"/>
      <protection hidden="1"/>
    </xf>
    <xf numFmtId="166" fontId="49" fillId="2" borderId="0" xfId="24" applyFont="1" applyFill="1" applyAlignment="1" applyProtection="1">
      <alignment horizontal="center" vertical="center" wrapText="1"/>
      <protection hidden="1"/>
    </xf>
    <xf numFmtId="0" fontId="35" fillId="0" borderId="0" xfId="0" applyFont="1" applyAlignment="1" applyProtection="1">
      <alignment horizontal="left" vertical="center" wrapText="1"/>
      <protection hidden="1"/>
    </xf>
    <xf numFmtId="0" fontId="35" fillId="0" borderId="0" xfId="0" applyFont="1" applyAlignment="1" applyProtection="1">
      <alignment horizontal="justify" vertical="center" wrapText="1"/>
      <protection hidden="1"/>
    </xf>
    <xf numFmtId="0" fontId="17" fillId="0" borderId="0" xfId="0" applyFont="1" applyAlignment="1" applyProtection="1">
      <alignment horizontal="center" vertical="center"/>
      <protection hidden="1"/>
    </xf>
    <xf numFmtId="0" fontId="88" fillId="0" borderId="0" xfId="21" applyFont="1" applyAlignment="1" applyProtection="1">
      <alignment horizontal="center" vertical="center" wrapText="1"/>
      <protection hidden="1"/>
    </xf>
    <xf numFmtId="0" fontId="66" fillId="0" borderId="0" xfId="0" applyFont="1" applyAlignment="1" applyProtection="1">
      <alignment horizontal="center" vertical="center"/>
      <protection hidden="1"/>
    </xf>
  </cellXfs>
  <cellStyles count="159">
    <cellStyle name="Cancel" xfId="38" xr:uid="{9FE4D06F-771C-4A6D-BA09-983FB5DCDCA2}"/>
    <cellStyle name="Cancel 2" xfId="39" xr:uid="{C5B51E1A-A52C-4D76-8CFC-DD4AD1D23967}"/>
    <cellStyle name="Cancel 2 2" xfId="73" xr:uid="{34150908-61AB-4CE1-BA6A-561109CBC722}"/>
    <cellStyle name="Comma0 - Modelo1" xfId="1" xr:uid="{00000000-0005-0000-0000-000000000000}"/>
    <cellStyle name="Comma0 - Style1" xfId="2" xr:uid="{00000000-0005-0000-0000-000001000000}"/>
    <cellStyle name="Comma1 - Modelo2" xfId="3" xr:uid="{00000000-0005-0000-0000-000002000000}"/>
    <cellStyle name="Comma1 - Style2" xfId="4" xr:uid="{00000000-0005-0000-0000-000003000000}"/>
    <cellStyle name="Dia" xfId="5" xr:uid="{00000000-0005-0000-0000-000004000000}"/>
    <cellStyle name="Encabez1" xfId="6" xr:uid="{00000000-0005-0000-0000-000005000000}"/>
    <cellStyle name="Encabez2" xfId="7" xr:uid="{00000000-0005-0000-0000-000006000000}"/>
    <cellStyle name="F2" xfId="8" xr:uid="{00000000-0005-0000-0000-000007000000}"/>
    <cellStyle name="F3" xfId="9" xr:uid="{00000000-0005-0000-0000-000008000000}"/>
    <cellStyle name="F4" xfId="10" xr:uid="{00000000-0005-0000-0000-000009000000}"/>
    <cellStyle name="F5" xfId="11" xr:uid="{00000000-0005-0000-0000-00000A000000}"/>
    <cellStyle name="F6" xfId="12" xr:uid="{00000000-0005-0000-0000-00000B000000}"/>
    <cellStyle name="F7" xfId="13" xr:uid="{00000000-0005-0000-0000-00000C000000}"/>
    <cellStyle name="F8" xfId="14" xr:uid="{00000000-0005-0000-0000-00000D000000}"/>
    <cellStyle name="Fijo" xfId="15" xr:uid="{00000000-0005-0000-0000-00000E000000}"/>
    <cellStyle name="Financiero" xfId="16" xr:uid="{00000000-0005-0000-0000-00000F000000}"/>
    <cellStyle name="Hipervínculo" xfId="33" builtinId="8"/>
    <cellStyle name="Hipervínculo 2" xfId="152" xr:uid="{D8D06A95-147C-45B0-8123-7817C63709C3}"/>
    <cellStyle name="Hipervínculo 3" xfId="153" xr:uid="{DF0E600D-F29A-4749-A7FB-7D81C6FBC9D1}"/>
    <cellStyle name="Millares" xfId="17" builtinId="3"/>
    <cellStyle name="Millares [0]" xfId="31" builtinId="6"/>
    <cellStyle name="Millares [0] 2" xfId="156" xr:uid="{3DD6D353-00F3-4F23-8BDE-9197D5682A32}"/>
    <cellStyle name="Millares 10" xfId="42" xr:uid="{6BD0ADC1-6F61-4A34-BCE3-D4E8853EC1CF}"/>
    <cellStyle name="Millares 11" xfId="81" xr:uid="{4F21A6E4-52BD-4FB3-8364-E074A8A24322}"/>
    <cellStyle name="Millares 12" xfId="138" xr:uid="{4629F5D2-63D6-4B6C-8319-AC5C6E0CAC0C}"/>
    <cellStyle name="Millares 13" xfId="41" xr:uid="{05D953BA-D60D-4C69-BB0A-9821249E588D}"/>
    <cellStyle name="Millares 14" xfId="40" xr:uid="{FDB8B0EB-2BE5-470A-BB42-79AD1C655E6C}"/>
    <cellStyle name="Millares 2" xfId="18" xr:uid="{00000000-0005-0000-0000-000013000000}"/>
    <cellStyle name="Millares 2 2" xfId="44" xr:uid="{AD5DE8D2-AD7F-45C4-AA18-91E8D210F205}"/>
    <cellStyle name="Millares 2 2 2" xfId="45" xr:uid="{31B483CD-2C72-4B7E-A86A-22501A4F8576}"/>
    <cellStyle name="Millares 2 3" xfId="46" xr:uid="{ABD927DD-4BA8-4140-9799-43CC94C43BDD}"/>
    <cellStyle name="Millares 2 3 2" xfId="47" xr:uid="{EF9B988C-DCAC-488D-9588-BDC31FE71C87}"/>
    <cellStyle name="Millares 2 4" xfId="43" xr:uid="{18D55971-355C-4D6D-B271-03863CA43D2C}"/>
    <cellStyle name="Millares 23" xfId="48" xr:uid="{537D7334-87C2-4FB1-94D3-001433A78BA9}"/>
    <cellStyle name="Millares 3" xfId="49" xr:uid="{8D266BD4-82AD-4898-B374-C93CFAE84A85}"/>
    <cellStyle name="Millares 3 2" xfId="50" xr:uid="{95419E56-1023-4FAC-9B52-F5A5A67EF04B}"/>
    <cellStyle name="Millares 37" xfId="84" xr:uid="{D83AF6F2-9CCD-4780-A933-C0AA4786A223}"/>
    <cellStyle name="Millares 4" xfId="51" xr:uid="{5B775BD1-F4B6-419E-922F-EAEDC3FFE12C}"/>
    <cellStyle name="Millares 4 2" xfId="52" xr:uid="{3D39039A-E57C-49E9-8605-0FD7FFFC6C52}"/>
    <cellStyle name="Millares 4 2 2" xfId="151" xr:uid="{3B866575-4765-4B71-A65F-69C5A73BA8BF}"/>
    <cellStyle name="Millares 4 3" xfId="144" xr:uid="{14791CD4-B62C-4150-B55B-C3DC6A7A456A}"/>
    <cellStyle name="Millares 5" xfId="53" xr:uid="{EBC7F871-A630-4BD1-A43A-06D181FE1813}"/>
    <cellStyle name="Millares 6" xfId="54" xr:uid="{A1421FD9-1C78-4EFD-83E5-0407F992C8FC}"/>
    <cellStyle name="Millares 7" xfId="55" xr:uid="{0EE82F56-F779-42EC-A5EB-A99799D92793}"/>
    <cellStyle name="Millares 8" xfId="56" xr:uid="{F91DB5C3-9DED-4FE8-9653-F73AF12379CB}"/>
    <cellStyle name="Millares 9" xfId="57" xr:uid="{E22E97C2-0D42-4593-9CCF-8B2099A5F122}"/>
    <cellStyle name="Moneda" xfId="34" builtinId="4"/>
    <cellStyle name="Moneda [0]" xfId="32" builtinId="7"/>
    <cellStyle name="Moneda [0] 2" xfId="148" xr:uid="{83CF1FA0-FF13-4822-968C-7B00454F7ED2}"/>
    <cellStyle name="Moneda 2" xfId="59" xr:uid="{5C027A8C-C157-4437-97D6-F4019BA97691}"/>
    <cellStyle name="Moneda 2 2" xfId="60" xr:uid="{BC6C4352-9A40-40D8-9429-67C0259FF6DF}"/>
    <cellStyle name="Moneda 3" xfId="61" xr:uid="{084013E2-B13B-4BD0-BDDA-CD88851F152F}"/>
    <cellStyle name="Moneda 4" xfId="58" xr:uid="{E18F58F8-E705-4A8C-B8E6-7989194A766E}"/>
    <cellStyle name="Moneda 5" xfId="157" xr:uid="{134D4608-13C7-4165-8327-37330CB63697}"/>
    <cellStyle name="Monetario" xfId="19" xr:uid="{00000000-0005-0000-0000-000015000000}"/>
    <cellStyle name="no dec" xfId="20" xr:uid="{00000000-0005-0000-0000-000016000000}"/>
    <cellStyle name="Normal" xfId="0" builtinId="0"/>
    <cellStyle name="Normal 10" xfId="62" xr:uid="{F96AFEC7-FB34-479E-8F4C-9E1EAA722890}"/>
    <cellStyle name="Normal 11" xfId="75" xr:uid="{43FA0ADF-4F74-412A-9EA0-82D28C9801DE}"/>
    <cellStyle name="Normal 12" xfId="76" xr:uid="{A265B9B4-ECDF-4975-A5E4-FCC9361FAA30}"/>
    <cellStyle name="Normal 13" xfId="78" xr:uid="{D7070986-24EB-4279-9AAA-F80DB2F31479}"/>
    <cellStyle name="Normal 14" xfId="79" xr:uid="{0C5530ED-9EC0-45A2-AF2D-3A0407A7BFE8}"/>
    <cellStyle name="Normal 15" xfId="80" xr:uid="{7C891751-06F5-409C-AFE7-2548E4A09F92}"/>
    <cellStyle name="Normal 16" xfId="82" xr:uid="{3BE6BAC4-6C94-4FAC-B6B4-F64BCB7BB19E}"/>
    <cellStyle name="Normal 17" xfId="83" xr:uid="{919EB667-526B-4911-A217-BAF248D20FFA}"/>
    <cellStyle name="Normal 18" xfId="85" xr:uid="{804CD539-602C-4C16-A59B-925694168FEE}"/>
    <cellStyle name="Normal 19" xfId="86" xr:uid="{9F40723B-0F72-47AC-8B73-0796548EEDC0}"/>
    <cellStyle name="Normal 2" xfId="21" xr:uid="{00000000-0005-0000-0000-000018000000}"/>
    <cellStyle name="Normal 2 2" xfId="63" xr:uid="{62E1A5FA-0957-4910-A2D8-1262777E345B}"/>
    <cellStyle name="Normal 2 2 2" xfId="77" xr:uid="{CDD24A30-ED60-4732-9CB1-8EB8257697BD}"/>
    <cellStyle name="Normal 2 3" xfId="64" xr:uid="{320CAE28-C17D-4943-80FE-0D19C5578485}"/>
    <cellStyle name="Normal 20" xfId="87" xr:uid="{9F1F71FA-16B0-451D-AE26-BA75D94269BB}"/>
    <cellStyle name="Normal 21" xfId="88" xr:uid="{AB243E25-E13E-4964-B563-BC696077DA65}"/>
    <cellStyle name="Normal 22" xfId="89" xr:uid="{06701B14-F232-4B02-956E-CE9DD2B2A1C9}"/>
    <cellStyle name="Normal 23" xfId="90" xr:uid="{8C144E00-3345-4F59-AF4C-C04AFD72445E}"/>
    <cellStyle name="Normal 24" xfId="91" xr:uid="{4C111803-B6D4-4B6D-9F73-7D77FEBF4EE5}"/>
    <cellStyle name="Normal 25" xfId="92" xr:uid="{3AA55AF2-910A-462E-B70C-EAA75E6491B6}"/>
    <cellStyle name="Normal 26" xfId="93" xr:uid="{DD8A5028-2D6B-494B-8D56-3E937C05E67E}"/>
    <cellStyle name="Normal 27" xfId="94" xr:uid="{9ECEF448-269F-408A-8C43-5AABB73C6F64}"/>
    <cellStyle name="Normal 28" xfId="95" xr:uid="{6BAA23F5-7692-4A92-AA3B-1FD2C68D87DE}"/>
    <cellStyle name="Normal 29" xfId="96" xr:uid="{FD933A08-54D6-42D3-A9DB-EF53899D8AAC}"/>
    <cellStyle name="Normal 3" xfId="30" xr:uid="{00000000-0005-0000-0000-000019000000}"/>
    <cellStyle name="Normal 3 2" xfId="66" xr:uid="{2772B010-5E03-488A-8169-25CC68FDB53D}"/>
    <cellStyle name="Normal 3 3" xfId="65" xr:uid="{A8654C7C-E169-470F-BB29-5FF86582243A}"/>
    <cellStyle name="Normal 30" xfId="97" xr:uid="{60708348-897D-43CD-96A7-0D7D4176F656}"/>
    <cellStyle name="Normal 31" xfId="98" xr:uid="{7944E07E-120C-46B6-A226-1A64F7AFF538}"/>
    <cellStyle name="Normal 32" xfId="99" xr:uid="{B373FDD7-865B-47AC-BC59-44EC64366E9A}"/>
    <cellStyle name="Normal 33" xfId="100" xr:uid="{7E419483-2E9C-4DCA-9CD2-82708FF8FE4B}"/>
    <cellStyle name="Normal 34" xfId="101" xr:uid="{095437C8-BD88-4342-A859-B37D148EC60F}"/>
    <cellStyle name="Normal 35" xfId="102" xr:uid="{8F49F300-FFC9-4C7E-BA18-2CEE175B425A}"/>
    <cellStyle name="Normal 36" xfId="103" xr:uid="{8E458C3B-D97B-4564-AA3B-2D9827A5F347}"/>
    <cellStyle name="Normal 37" xfId="104" xr:uid="{C3F2D943-5CD8-46FF-AD03-D644FC37E031}"/>
    <cellStyle name="Normal 38" xfId="105" xr:uid="{6B38B339-4849-4E71-A224-B329293B6EB7}"/>
    <cellStyle name="Normal 39" xfId="106" xr:uid="{16869594-5920-4924-915A-F894E5FBB53E}"/>
    <cellStyle name="Normal 4" xfId="22" xr:uid="{00000000-0005-0000-0000-00001A000000}"/>
    <cellStyle name="Normal 4 2" xfId="74" xr:uid="{D9C402B7-53AA-4074-ABA6-6E56C7415CE9}"/>
    <cellStyle name="Normal 40" xfId="107" xr:uid="{7B567B8A-5D11-400C-BFC6-D8DC2A876C11}"/>
    <cellStyle name="Normal 41" xfId="108" xr:uid="{B3147480-5BE8-4B52-90FE-C687D0F5BE0A}"/>
    <cellStyle name="Normal 42" xfId="109" xr:uid="{6E267E72-C4C8-4266-97D3-05D53D959B72}"/>
    <cellStyle name="Normal 43" xfId="110" xr:uid="{7E9DE98F-A215-434C-B6CF-7507B16F23F3}"/>
    <cellStyle name="Normal 44" xfId="111" xr:uid="{7ECCE698-5BB9-4A5B-8AB2-F030D2C04736}"/>
    <cellStyle name="Normal 45" xfId="112" xr:uid="{31F03CE6-8AFB-49A4-9FFF-2C4D53BFB9E8}"/>
    <cellStyle name="Normal 46" xfId="113" xr:uid="{06CBA087-1FAA-4928-A5BC-12DB64C84B36}"/>
    <cellStyle name="Normal 47" xfId="114" xr:uid="{7E12D7E1-85C8-4D3D-B8A4-7117994DD1CB}"/>
    <cellStyle name="Normal 48" xfId="115" xr:uid="{F08FEA36-FBCC-408F-B9AE-FD6D450317B2}"/>
    <cellStyle name="Normal 49" xfId="116" xr:uid="{B5622ED4-47F5-41C7-BD9B-1DC697F81C11}"/>
    <cellStyle name="Normal 5" xfId="35" xr:uid="{06B229CC-3531-47EC-BB10-0D272D7EDB3A}"/>
    <cellStyle name="Normal 5 2" xfId="36" xr:uid="{949ACF17-1E84-45D2-95DB-CF1634F314EF}"/>
    <cellStyle name="Normal 5 2 2" xfId="158" xr:uid="{CD744049-5236-4610-A88D-AD7F3D1D279F}"/>
    <cellStyle name="Normal 5 3" xfId="67" xr:uid="{A1D4C569-D875-4073-86A8-6187C563250D}"/>
    <cellStyle name="Normal 50" xfId="117" xr:uid="{EA76DFD0-D3B5-48D6-BFE0-50DB02465ED6}"/>
    <cellStyle name="Normal 51" xfId="118" xr:uid="{C59ABC30-C045-4127-8EC2-9DA4391F4355}"/>
    <cellStyle name="Normal 52" xfId="119" xr:uid="{B0647917-562D-4868-941E-D98FEB0DA220}"/>
    <cellStyle name="Normal 53" xfId="120" xr:uid="{CA30ACD8-AA3B-44EF-BD18-A1FE61CEB715}"/>
    <cellStyle name="Normal 54" xfId="121" xr:uid="{82ADDF5A-6F74-40DA-9E60-4A39F11B77EB}"/>
    <cellStyle name="Normal 55" xfId="122" xr:uid="{BE5F9779-B063-459C-8690-69C8552B7247}"/>
    <cellStyle name="Normal 56" xfId="123" xr:uid="{BD80B55D-7037-4ED7-A176-7927343AC90E}"/>
    <cellStyle name="Normal 57" xfId="124" xr:uid="{078DA022-FF91-4D56-8776-758A49519989}"/>
    <cellStyle name="Normal 58" xfId="125" xr:uid="{B9C4C7E1-998C-4EBA-8FC2-D797CC567E4D}"/>
    <cellStyle name="Normal 59" xfId="126" xr:uid="{0C90C3B1-2E09-4B0C-8620-3D3D86676E6B}"/>
    <cellStyle name="Normal 6" xfId="68" xr:uid="{C42D2C04-963E-4719-B0BD-89A09F5F1118}"/>
    <cellStyle name="Normal 60" xfId="127" xr:uid="{694BAAB7-A576-4635-B7F1-DB08E2CB35BB}"/>
    <cellStyle name="Normal 61" xfId="128" xr:uid="{F1C31D23-25A2-4009-B114-A81D25874225}"/>
    <cellStyle name="Normal 62" xfId="129" xr:uid="{AEE2A9BA-A564-4478-AC26-961412ECDADE}"/>
    <cellStyle name="Normal 63" xfId="130" xr:uid="{2C936B3D-A7BC-4721-BD19-3FDE086BCD96}"/>
    <cellStyle name="Normal 64" xfId="131" xr:uid="{4215F3F2-F8C3-4AC6-BCB4-6816CC27AB8D}"/>
    <cellStyle name="Normal 65" xfId="132" xr:uid="{FE7091B2-F550-4267-8F26-8C4B2583F88B}"/>
    <cellStyle name="Normal 66" xfId="133" xr:uid="{378F76CC-0321-4F1D-B19E-1954DD5CFAB1}"/>
    <cellStyle name="Normal 67" xfId="134" xr:uid="{52BA3662-6E06-4C10-9834-99F640E92AB5}"/>
    <cellStyle name="Normal 68" xfId="135" xr:uid="{89B9FE6C-3C53-4720-8F3A-A136FB3DC499}"/>
    <cellStyle name="Normal 69" xfId="136" xr:uid="{A41F38AE-D7C6-4CDE-BD52-9BE4295A789A}"/>
    <cellStyle name="Normal 7" xfId="69" xr:uid="{B22622E2-9569-4DA9-AE96-89156F6A1A1D}"/>
    <cellStyle name="Normal 70" xfId="137" xr:uid="{BE49FF52-0EEA-453A-A953-ECE9C56D4A11}"/>
    <cellStyle name="Normal 71" xfId="139" xr:uid="{C69E8853-920F-4C9B-9785-B4AABE40E13C}"/>
    <cellStyle name="Normal 72" xfId="140" xr:uid="{88D6CD06-1907-4CE7-A4B8-B20D518EE28E}"/>
    <cellStyle name="Normal 73" xfId="141" xr:uid="{E46FED09-82F9-49C1-9C9A-F3A94E4C8BDF}"/>
    <cellStyle name="Normal 74" xfId="142" xr:uid="{8E906539-908C-4AA5-AC39-51F1F33E2018}"/>
    <cellStyle name="Normal 75" xfId="143" xr:uid="{6B325425-3DE2-4262-A6DC-D71D4BDDA985}"/>
    <cellStyle name="Normal 76" xfId="145" xr:uid="{710FDED5-ECBD-4FA9-ABB7-BB46B23D8230}"/>
    <cellStyle name="Normal 77" xfId="146" xr:uid="{BE436C6F-9364-4448-ADEE-6F88E31BCF25}"/>
    <cellStyle name="Normal 78" xfId="147" xr:uid="{58DFEB54-E946-40EA-BA90-70AB50CB93C1}"/>
    <cellStyle name="Normal 79" xfId="149" xr:uid="{AD790815-520D-4A22-96A9-FC0D75369346}"/>
    <cellStyle name="Normal 8" xfId="70" xr:uid="{9BB65542-5514-43E7-A1BA-1DF7747D3487}"/>
    <cellStyle name="Normal 80" xfId="150" xr:uid="{923F52DC-734C-45B2-8266-E0B520760AF8}"/>
    <cellStyle name="Normal 81" xfId="155" xr:uid="{434FA2B2-AAC5-4BF8-AC99-ADC2D933C00A}"/>
    <cellStyle name="Normal 82" xfId="37" xr:uid="{59B5D37B-2B1C-4597-9379-C675B6E580CD}"/>
    <cellStyle name="Normal 9" xfId="71" xr:uid="{DE9E4B8C-C0FB-4590-B30B-ADFEFD048E66}"/>
    <cellStyle name="Normal_DdasEG-0204" xfId="23" xr:uid="{00000000-0005-0000-0000-00001B000000}"/>
    <cellStyle name="Normal_SUPER Jul 13 96" xfId="24" xr:uid="{00000000-0005-0000-0000-00001C000000}"/>
    <cellStyle name="Porcentaje" xfId="25" xr:uid="{00000000-0005-0000-0000-00001D000000}"/>
    <cellStyle name="Porcentaje 2" xfId="154" xr:uid="{24D990EE-88AF-4A15-BDB8-02B76908430D}"/>
    <cellStyle name="Porcentual 2" xfId="72" xr:uid="{6A26F742-7B05-4559-B89E-46F4AED50DD4}"/>
    <cellStyle name="Porcentual 2 2" xfId="26" xr:uid="{00000000-0005-0000-0000-00001E000000}"/>
    <cellStyle name="Priceheader" xfId="27" xr:uid="{00000000-0005-0000-0000-00001F000000}"/>
    <cellStyle name="RM" xfId="28" xr:uid="{00000000-0005-0000-0000-000020000000}"/>
    <cellStyle name="Total" xfId="29" builtinId="25" customBuiltin="1"/>
  </cellStyles>
  <dxfs count="86">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FFFF00"/>
      </font>
      <fill>
        <patternFill>
          <bgColor rgb="FFFF0000"/>
        </patternFill>
      </fill>
    </dxf>
    <dxf>
      <fill>
        <patternFill>
          <bgColor rgb="FF00B050"/>
        </patternFill>
      </fill>
    </dxf>
    <dxf>
      <fill>
        <patternFill>
          <bgColor rgb="FFFFFF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FFFF00"/>
      </font>
      <fill>
        <patternFill>
          <bgColor rgb="FFFF0000"/>
        </patternFill>
      </fill>
    </dxf>
    <dxf>
      <fill>
        <patternFill>
          <bgColor rgb="FF00B050"/>
        </patternFill>
      </fill>
    </dxf>
    <dxf>
      <fill>
        <patternFill>
          <bgColor rgb="FFFFFF00"/>
        </patternFill>
      </fill>
    </dxf>
    <dxf>
      <font>
        <color rgb="FFFFFF00"/>
      </font>
      <fill>
        <patternFill>
          <bgColor rgb="FFFF0000"/>
        </patternFill>
      </fill>
    </dxf>
    <dxf>
      <fill>
        <patternFill>
          <bgColor rgb="FF00B050"/>
        </patternFill>
      </fill>
    </dxf>
    <dxf>
      <fill>
        <patternFill>
          <bgColor rgb="FFFFFF00"/>
        </patternFill>
      </fill>
    </dxf>
    <dxf>
      <font>
        <color rgb="FFFFFF00"/>
      </font>
      <fill>
        <patternFill>
          <bgColor rgb="FFFF0000"/>
        </patternFill>
      </fill>
    </dxf>
    <dxf>
      <fill>
        <patternFill>
          <bgColor rgb="FF00B050"/>
        </patternFill>
      </fill>
    </dxf>
    <dxf>
      <fill>
        <patternFill>
          <bgColor rgb="FFFFFF00"/>
        </patternFill>
      </fill>
    </dxf>
    <dxf>
      <font>
        <color rgb="FFFFFF00"/>
      </font>
      <fill>
        <patternFill>
          <bgColor rgb="FFFF0000"/>
        </patternFill>
      </fill>
    </dxf>
    <dxf>
      <fill>
        <patternFill>
          <bgColor rgb="FF00B050"/>
        </patternFill>
      </fill>
    </dxf>
    <dxf>
      <fill>
        <patternFill>
          <bgColor rgb="FFFFFF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9" defaultPivotStyle="PivotStyleLight16"/>
  <colors>
    <mruColors>
      <color rgb="FF00FF00"/>
      <color rgb="FFFFCC99"/>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3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6.emf"/><Relationship Id="rId1" Type="http://schemas.openxmlformats.org/officeDocument/2006/relationships/image" Target="../media/image35.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6.emf"/><Relationship Id="rId1" Type="http://schemas.openxmlformats.org/officeDocument/2006/relationships/image" Target="../media/image35.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7.emf"/></Relationships>
</file>

<file path=xl/drawings/_rels/drawing15.x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39.emf"/></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drawing7.x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drawing8.x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drawing9.x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drawing1.xml><?xml version="1.0" encoding="utf-8"?>
<xdr:wsDr xmlns:xdr="http://schemas.openxmlformats.org/drawingml/2006/spreadsheetDrawing" xmlns:a="http://schemas.openxmlformats.org/drawingml/2006/main">
  <xdr:twoCellAnchor editAs="oneCell">
    <xdr:from>
      <xdr:col>0</xdr:col>
      <xdr:colOff>622108</xdr:colOff>
      <xdr:row>0</xdr:row>
      <xdr:rowOff>0</xdr:rowOff>
    </xdr:from>
    <xdr:to>
      <xdr:col>9</xdr:col>
      <xdr:colOff>485775</xdr:colOff>
      <xdr:row>39</xdr:row>
      <xdr:rowOff>124658</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622108" y="0"/>
          <a:ext cx="6721667" cy="6612130"/>
        </a:xfrm>
        <a:prstGeom prst="rect">
          <a:avLst/>
        </a:prstGeom>
      </xdr:spPr>
    </xdr:pic>
    <xdr:clientData/>
  </xdr:twoCellAnchor>
  <xdr:twoCellAnchor editAs="oneCell">
    <xdr:from>
      <xdr:col>0</xdr:col>
      <xdr:colOff>619125</xdr:colOff>
      <xdr:row>17</xdr:row>
      <xdr:rowOff>0</xdr:rowOff>
    </xdr:from>
    <xdr:to>
      <xdr:col>9</xdr:col>
      <xdr:colOff>334292</xdr:colOff>
      <xdr:row>37</xdr:row>
      <xdr:rowOff>157868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619125" y="3562350"/>
          <a:ext cx="6573167" cy="3572374"/>
        </a:xfrm>
        <a:prstGeom prst="rect">
          <a:avLst/>
        </a:prstGeom>
      </xdr:spPr>
    </xdr:pic>
    <xdr:clientData/>
  </xdr:twoCellAnchor>
  <xdr:twoCellAnchor editAs="oneCell">
    <xdr:from>
      <xdr:col>0</xdr:col>
      <xdr:colOff>609600</xdr:colOff>
      <xdr:row>66</xdr:row>
      <xdr:rowOff>123825</xdr:rowOff>
    </xdr:from>
    <xdr:to>
      <xdr:col>9</xdr:col>
      <xdr:colOff>496241</xdr:colOff>
      <xdr:row>113</xdr:row>
      <xdr:rowOff>145184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609600" y="7086600"/>
          <a:ext cx="6744641" cy="7640116"/>
        </a:xfrm>
        <a:prstGeom prst="rect">
          <a:avLst/>
        </a:prstGeom>
      </xdr:spPr>
    </xdr:pic>
    <xdr:clientData/>
  </xdr:twoCellAnchor>
  <xdr:twoCellAnchor editAs="oneCell">
    <xdr:from>
      <xdr:col>0</xdr:col>
      <xdr:colOff>685800</xdr:colOff>
      <xdr:row>152</xdr:row>
      <xdr:rowOff>76200</xdr:rowOff>
    </xdr:from>
    <xdr:to>
      <xdr:col>9</xdr:col>
      <xdr:colOff>458125</xdr:colOff>
      <xdr:row>187</xdr:row>
      <xdr:rowOff>57938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685800" y="14811375"/>
          <a:ext cx="6630325" cy="5649113"/>
        </a:xfrm>
        <a:prstGeom prst="rect">
          <a:avLst/>
        </a:prstGeom>
      </xdr:spPr>
    </xdr:pic>
    <xdr:clientData/>
  </xdr:twoCellAnchor>
  <xdr:twoCellAnchor editAs="oneCell">
    <xdr:from>
      <xdr:col>11</xdr:col>
      <xdr:colOff>24937</xdr:colOff>
      <xdr:row>129</xdr:row>
      <xdr:rowOff>107005</xdr:rowOff>
    </xdr:from>
    <xdr:to>
      <xdr:col>15</xdr:col>
      <xdr:colOff>111713</xdr:colOff>
      <xdr:row>141</xdr:row>
      <xdr:rowOff>108036</xdr:rowOff>
    </xdr:to>
    <xdr:pic>
      <xdr:nvPicPr>
        <xdr:cNvPr id="17" name="Imagen 16">
          <a:extLst>
            <a:ext uri="{FF2B5EF4-FFF2-40B4-BE49-F238E27FC236}">
              <a16:creationId xmlns:a16="http://schemas.microsoft.com/office/drawing/2014/main" id="{59392446-8744-449B-AC71-33D725A84BC4}"/>
            </a:ext>
          </a:extLst>
        </xdr:cNvPr>
        <xdr:cNvPicPr>
          <a:picLocks noChangeAspect="1"/>
        </xdr:cNvPicPr>
      </xdr:nvPicPr>
      <xdr:blipFill>
        <a:blip xmlns:r="http://schemas.openxmlformats.org/officeDocument/2006/relationships" r:embed="rId5"/>
        <a:stretch>
          <a:fillRect/>
        </a:stretch>
      </xdr:blipFill>
      <xdr:spPr>
        <a:xfrm>
          <a:off x="8071657" y="13324241"/>
          <a:ext cx="4592274" cy="1896334"/>
        </a:xfrm>
        <a:prstGeom prst="rect">
          <a:avLst/>
        </a:prstGeom>
      </xdr:spPr>
    </xdr:pic>
    <xdr:clientData/>
  </xdr:twoCellAnchor>
  <xdr:twoCellAnchor editAs="oneCell">
    <xdr:from>
      <xdr:col>16</xdr:col>
      <xdr:colOff>758577</xdr:colOff>
      <xdr:row>128</xdr:row>
      <xdr:rowOff>97883</xdr:rowOff>
    </xdr:from>
    <xdr:to>
      <xdr:col>21</xdr:col>
      <xdr:colOff>188259</xdr:colOff>
      <xdr:row>143</xdr:row>
      <xdr:rowOff>8847</xdr:rowOff>
    </xdr:to>
    <xdr:pic>
      <xdr:nvPicPr>
        <xdr:cNvPr id="7" name="Imagen 6">
          <a:extLst>
            <a:ext uri="{FF2B5EF4-FFF2-40B4-BE49-F238E27FC236}">
              <a16:creationId xmlns:a16="http://schemas.microsoft.com/office/drawing/2014/main" id="{D526163E-58CA-4E16-B3E6-A9AC6E796E97}"/>
            </a:ext>
          </a:extLst>
        </xdr:cNvPr>
        <xdr:cNvPicPr>
          <a:picLocks noChangeAspect="1"/>
        </xdr:cNvPicPr>
      </xdr:nvPicPr>
      <xdr:blipFill>
        <a:blip xmlns:r="http://schemas.openxmlformats.org/officeDocument/2006/relationships" r:embed="rId6"/>
        <a:stretch>
          <a:fillRect/>
        </a:stretch>
      </xdr:blipFill>
      <xdr:spPr>
        <a:xfrm>
          <a:off x="14967636" y="13984212"/>
          <a:ext cx="3535517" cy="2465907"/>
        </a:xfrm>
        <a:prstGeom prst="rect">
          <a:avLst/>
        </a:prstGeom>
      </xdr:spPr>
    </xdr:pic>
    <xdr:clientData/>
  </xdr:twoCellAnchor>
  <xdr:twoCellAnchor editAs="oneCell">
    <xdr:from>
      <xdr:col>30</xdr:col>
      <xdr:colOff>205811</xdr:colOff>
      <xdr:row>12</xdr:row>
      <xdr:rowOff>13062</xdr:rowOff>
    </xdr:from>
    <xdr:to>
      <xdr:col>38</xdr:col>
      <xdr:colOff>122374</xdr:colOff>
      <xdr:row>48</xdr:row>
      <xdr:rowOff>149138</xdr:rowOff>
    </xdr:to>
    <xdr:pic>
      <xdr:nvPicPr>
        <xdr:cNvPr id="8" name="Imagen 7">
          <a:extLst>
            <a:ext uri="{FF2B5EF4-FFF2-40B4-BE49-F238E27FC236}">
              <a16:creationId xmlns:a16="http://schemas.microsoft.com/office/drawing/2014/main" id="{34F100FB-A625-4AAF-B951-B11598F6B675}"/>
            </a:ext>
          </a:extLst>
        </xdr:cNvPr>
        <xdr:cNvPicPr>
          <a:picLocks noChangeAspect="1"/>
        </xdr:cNvPicPr>
      </xdr:nvPicPr>
      <xdr:blipFill>
        <a:blip xmlns:r="http://schemas.openxmlformats.org/officeDocument/2006/relationships" r:embed="rId7"/>
        <a:stretch>
          <a:fillRect/>
        </a:stretch>
      </xdr:blipFill>
      <xdr:spPr>
        <a:xfrm>
          <a:off x="18199897" y="2788919"/>
          <a:ext cx="6273820" cy="6137365"/>
        </a:xfrm>
        <a:prstGeom prst="rect">
          <a:avLst/>
        </a:prstGeom>
      </xdr:spPr>
    </xdr:pic>
    <xdr:clientData/>
  </xdr:twoCellAnchor>
  <xdr:twoCellAnchor editAs="oneCell">
    <xdr:from>
      <xdr:col>30</xdr:col>
      <xdr:colOff>250372</xdr:colOff>
      <xdr:row>80</xdr:row>
      <xdr:rowOff>0</xdr:rowOff>
    </xdr:from>
    <xdr:to>
      <xdr:col>37</xdr:col>
      <xdr:colOff>489857</xdr:colOff>
      <xdr:row>120</xdr:row>
      <xdr:rowOff>79359</xdr:rowOff>
    </xdr:to>
    <xdr:pic>
      <xdr:nvPicPr>
        <xdr:cNvPr id="18" name="Imagen 17">
          <a:extLst>
            <a:ext uri="{FF2B5EF4-FFF2-40B4-BE49-F238E27FC236}">
              <a16:creationId xmlns:a16="http://schemas.microsoft.com/office/drawing/2014/main" id="{6E85F0AF-5C28-4254-AB3B-2305149859AC}"/>
            </a:ext>
          </a:extLst>
        </xdr:cNvPr>
        <xdr:cNvPicPr>
          <a:picLocks noChangeAspect="1"/>
        </xdr:cNvPicPr>
      </xdr:nvPicPr>
      <xdr:blipFill>
        <a:blip xmlns:r="http://schemas.openxmlformats.org/officeDocument/2006/relationships" r:embed="rId8"/>
        <a:stretch>
          <a:fillRect/>
        </a:stretch>
      </xdr:blipFill>
      <xdr:spPr>
        <a:xfrm>
          <a:off x="18244458" y="9181170"/>
          <a:ext cx="5802085" cy="6616705"/>
        </a:xfrm>
        <a:prstGeom prst="rect">
          <a:avLst/>
        </a:prstGeom>
      </xdr:spPr>
    </xdr:pic>
    <xdr:clientData/>
  </xdr:twoCellAnchor>
  <xdr:twoCellAnchor editAs="oneCell">
    <xdr:from>
      <xdr:col>11</xdr:col>
      <xdr:colOff>646042</xdr:colOff>
      <xdr:row>3</xdr:row>
      <xdr:rowOff>0</xdr:rowOff>
    </xdr:from>
    <xdr:to>
      <xdr:col>18</xdr:col>
      <xdr:colOff>720585</xdr:colOff>
      <xdr:row>24</xdr:row>
      <xdr:rowOff>41589</xdr:rowOff>
    </xdr:to>
    <xdr:pic>
      <xdr:nvPicPr>
        <xdr:cNvPr id="6" name="Imagen 5">
          <a:extLst>
            <a:ext uri="{FF2B5EF4-FFF2-40B4-BE49-F238E27FC236}">
              <a16:creationId xmlns:a16="http://schemas.microsoft.com/office/drawing/2014/main" id="{943A8C67-9F70-4506-0E92-FEE0D09EEABE}"/>
            </a:ext>
          </a:extLst>
        </xdr:cNvPr>
        <xdr:cNvPicPr>
          <a:picLocks noChangeAspect="1"/>
        </xdr:cNvPicPr>
      </xdr:nvPicPr>
      <xdr:blipFill>
        <a:blip xmlns:r="http://schemas.openxmlformats.org/officeDocument/2006/relationships" r:embed="rId9"/>
        <a:stretch>
          <a:fillRect/>
        </a:stretch>
      </xdr:blipFill>
      <xdr:spPr>
        <a:xfrm>
          <a:off x="9028042" y="1300194"/>
          <a:ext cx="6957391" cy="3520284"/>
        </a:xfrm>
        <a:prstGeom prst="rect">
          <a:avLst/>
        </a:prstGeom>
      </xdr:spPr>
    </xdr:pic>
    <xdr:clientData/>
  </xdr:twoCellAnchor>
  <xdr:twoCellAnchor editAs="oneCell">
    <xdr:from>
      <xdr:col>23</xdr:col>
      <xdr:colOff>447260</xdr:colOff>
      <xdr:row>18</xdr:row>
      <xdr:rowOff>84023</xdr:rowOff>
    </xdr:from>
    <xdr:to>
      <xdr:col>29</xdr:col>
      <xdr:colOff>538370</xdr:colOff>
      <xdr:row>46</xdr:row>
      <xdr:rowOff>74542</xdr:rowOff>
    </xdr:to>
    <xdr:pic>
      <xdr:nvPicPr>
        <xdr:cNvPr id="19" name="Imagen 18">
          <a:extLst>
            <a:ext uri="{FF2B5EF4-FFF2-40B4-BE49-F238E27FC236}">
              <a16:creationId xmlns:a16="http://schemas.microsoft.com/office/drawing/2014/main" id="{6CB1C1CA-75DE-7493-80B7-4F1BDDF2964F}"/>
            </a:ext>
          </a:extLst>
        </xdr:cNvPr>
        <xdr:cNvPicPr>
          <a:picLocks noChangeAspect="1"/>
        </xdr:cNvPicPr>
      </xdr:nvPicPr>
      <xdr:blipFill>
        <a:blip xmlns:r="http://schemas.openxmlformats.org/officeDocument/2006/relationships" r:embed="rId10"/>
        <a:stretch>
          <a:fillRect/>
        </a:stretch>
      </xdr:blipFill>
      <xdr:spPr>
        <a:xfrm>
          <a:off x="19853412" y="3065762"/>
          <a:ext cx="5160066" cy="4802715"/>
        </a:xfrm>
        <a:prstGeom prst="rect">
          <a:avLst/>
        </a:prstGeom>
      </xdr:spPr>
    </xdr:pic>
    <xdr:clientData/>
  </xdr:twoCellAnchor>
  <xdr:twoCellAnchor editAs="oneCell">
    <xdr:from>
      <xdr:col>11</xdr:col>
      <xdr:colOff>124239</xdr:colOff>
      <xdr:row>38</xdr:row>
      <xdr:rowOff>132522</xdr:rowOff>
    </xdr:from>
    <xdr:to>
      <xdr:col>14</xdr:col>
      <xdr:colOff>704022</xdr:colOff>
      <xdr:row>45</xdr:row>
      <xdr:rowOff>125337</xdr:rowOff>
    </xdr:to>
    <xdr:pic>
      <xdr:nvPicPr>
        <xdr:cNvPr id="21" name="Imagen 20">
          <a:extLst>
            <a:ext uri="{FF2B5EF4-FFF2-40B4-BE49-F238E27FC236}">
              <a16:creationId xmlns:a16="http://schemas.microsoft.com/office/drawing/2014/main" id="{1FF1731F-A13B-DBF8-2714-34B20A4184C7}"/>
            </a:ext>
          </a:extLst>
        </xdr:cNvPr>
        <xdr:cNvPicPr>
          <a:picLocks noChangeAspect="1"/>
        </xdr:cNvPicPr>
      </xdr:nvPicPr>
      <xdr:blipFill>
        <a:blip xmlns:r="http://schemas.openxmlformats.org/officeDocument/2006/relationships" r:embed="rId11"/>
        <a:stretch>
          <a:fillRect/>
        </a:stretch>
      </xdr:blipFill>
      <xdr:spPr>
        <a:xfrm>
          <a:off x="8506239" y="7421218"/>
          <a:ext cx="4414631" cy="1152381"/>
        </a:xfrm>
        <a:prstGeom prst="rect">
          <a:avLst/>
        </a:prstGeom>
      </xdr:spPr>
    </xdr:pic>
    <xdr:clientData/>
  </xdr:twoCellAnchor>
  <xdr:twoCellAnchor editAs="oneCell">
    <xdr:from>
      <xdr:col>15</xdr:col>
      <xdr:colOff>546653</xdr:colOff>
      <xdr:row>39</xdr:row>
      <xdr:rowOff>75646</xdr:rowOff>
    </xdr:from>
    <xdr:to>
      <xdr:col>20</xdr:col>
      <xdr:colOff>339587</xdr:colOff>
      <xdr:row>47</xdr:row>
      <xdr:rowOff>132520</xdr:rowOff>
    </xdr:to>
    <xdr:pic>
      <xdr:nvPicPr>
        <xdr:cNvPr id="22" name="Imagen 21">
          <a:extLst>
            <a:ext uri="{FF2B5EF4-FFF2-40B4-BE49-F238E27FC236}">
              <a16:creationId xmlns:a16="http://schemas.microsoft.com/office/drawing/2014/main" id="{75DAE573-14F9-96E7-6D9F-692FB570AC68}"/>
            </a:ext>
          </a:extLst>
        </xdr:cNvPr>
        <xdr:cNvPicPr>
          <a:picLocks noChangeAspect="1"/>
        </xdr:cNvPicPr>
      </xdr:nvPicPr>
      <xdr:blipFill>
        <a:blip xmlns:r="http://schemas.openxmlformats.org/officeDocument/2006/relationships" r:embed="rId12"/>
        <a:stretch>
          <a:fillRect/>
        </a:stretch>
      </xdr:blipFill>
      <xdr:spPr>
        <a:xfrm>
          <a:off x="14420023" y="6710016"/>
          <a:ext cx="3685760" cy="1382091"/>
        </a:xfrm>
        <a:prstGeom prst="rect">
          <a:avLst/>
        </a:prstGeom>
      </xdr:spPr>
    </xdr:pic>
    <xdr:clientData/>
  </xdr:twoCellAnchor>
  <xdr:twoCellAnchor editAs="oneCell">
    <xdr:from>
      <xdr:col>11</xdr:col>
      <xdr:colOff>190499</xdr:colOff>
      <xdr:row>48</xdr:row>
      <xdr:rowOff>149087</xdr:rowOff>
    </xdr:from>
    <xdr:to>
      <xdr:col>15</xdr:col>
      <xdr:colOff>486240</xdr:colOff>
      <xdr:row>54</xdr:row>
      <xdr:rowOff>145650</xdr:rowOff>
    </xdr:to>
    <xdr:pic>
      <xdr:nvPicPr>
        <xdr:cNvPr id="23" name="Imagen 22">
          <a:extLst>
            <a:ext uri="{FF2B5EF4-FFF2-40B4-BE49-F238E27FC236}">
              <a16:creationId xmlns:a16="http://schemas.microsoft.com/office/drawing/2014/main" id="{0AA2D5C3-0B2F-5D13-4FF4-27D04C6196BD}"/>
            </a:ext>
          </a:extLst>
        </xdr:cNvPr>
        <xdr:cNvPicPr>
          <a:picLocks noChangeAspect="1"/>
        </xdr:cNvPicPr>
      </xdr:nvPicPr>
      <xdr:blipFill>
        <a:blip xmlns:r="http://schemas.openxmlformats.org/officeDocument/2006/relationships" r:embed="rId13"/>
        <a:stretch>
          <a:fillRect/>
        </a:stretch>
      </xdr:blipFill>
      <xdr:spPr>
        <a:xfrm>
          <a:off x="8572499" y="9094304"/>
          <a:ext cx="4892589" cy="990476"/>
        </a:xfrm>
        <a:prstGeom prst="rect">
          <a:avLst/>
        </a:prstGeom>
      </xdr:spPr>
    </xdr:pic>
    <xdr:clientData/>
  </xdr:twoCellAnchor>
  <xdr:twoCellAnchor editAs="oneCell">
    <xdr:from>
      <xdr:col>11</xdr:col>
      <xdr:colOff>24848</xdr:colOff>
      <xdr:row>69</xdr:row>
      <xdr:rowOff>33131</xdr:rowOff>
    </xdr:from>
    <xdr:to>
      <xdr:col>17</xdr:col>
      <xdr:colOff>227809</xdr:colOff>
      <xdr:row>77</xdr:row>
      <xdr:rowOff>107913</xdr:rowOff>
    </xdr:to>
    <xdr:pic>
      <xdr:nvPicPr>
        <xdr:cNvPr id="24" name="Imagen 23">
          <a:extLst>
            <a:ext uri="{FF2B5EF4-FFF2-40B4-BE49-F238E27FC236}">
              <a16:creationId xmlns:a16="http://schemas.microsoft.com/office/drawing/2014/main" id="{4FA81475-DF79-F2AC-0BC2-77B64EEB0258}"/>
            </a:ext>
          </a:extLst>
        </xdr:cNvPr>
        <xdr:cNvPicPr>
          <a:picLocks noChangeAspect="1"/>
        </xdr:cNvPicPr>
      </xdr:nvPicPr>
      <xdr:blipFill>
        <a:blip xmlns:r="http://schemas.openxmlformats.org/officeDocument/2006/relationships" r:embed="rId14"/>
        <a:stretch>
          <a:fillRect/>
        </a:stretch>
      </xdr:blipFill>
      <xdr:spPr>
        <a:xfrm>
          <a:off x="8406848" y="12457044"/>
          <a:ext cx="6323809" cy="1400000"/>
        </a:xfrm>
        <a:prstGeom prst="rect">
          <a:avLst/>
        </a:prstGeom>
      </xdr:spPr>
    </xdr:pic>
    <xdr:clientData/>
  </xdr:twoCellAnchor>
  <xdr:twoCellAnchor editAs="oneCell">
    <xdr:from>
      <xdr:col>17</xdr:col>
      <xdr:colOff>455543</xdr:colOff>
      <xdr:row>95</xdr:row>
      <xdr:rowOff>124240</xdr:rowOff>
    </xdr:from>
    <xdr:to>
      <xdr:col>25</xdr:col>
      <xdr:colOff>757777</xdr:colOff>
      <xdr:row>115</xdr:row>
      <xdr:rowOff>144530</xdr:rowOff>
    </xdr:to>
    <xdr:pic>
      <xdr:nvPicPr>
        <xdr:cNvPr id="27" name="Imagen 26">
          <a:extLst>
            <a:ext uri="{FF2B5EF4-FFF2-40B4-BE49-F238E27FC236}">
              <a16:creationId xmlns:a16="http://schemas.microsoft.com/office/drawing/2014/main" id="{E998C820-1AC1-EFEE-EFE4-449FE7554020}"/>
            </a:ext>
          </a:extLst>
        </xdr:cNvPr>
        <xdr:cNvPicPr>
          <a:picLocks noChangeAspect="1"/>
        </xdr:cNvPicPr>
      </xdr:nvPicPr>
      <xdr:blipFill>
        <a:blip xmlns:r="http://schemas.openxmlformats.org/officeDocument/2006/relationships" r:embed="rId15"/>
        <a:stretch>
          <a:fillRect/>
        </a:stretch>
      </xdr:blipFill>
      <xdr:spPr>
        <a:xfrm>
          <a:off x="14958391" y="16068262"/>
          <a:ext cx="7276190" cy="3333333"/>
        </a:xfrm>
        <a:prstGeom prst="rect">
          <a:avLst/>
        </a:prstGeom>
      </xdr:spPr>
    </xdr:pic>
    <xdr:clientData/>
  </xdr:twoCellAnchor>
  <xdr:twoCellAnchor editAs="oneCell">
    <xdr:from>
      <xdr:col>10</xdr:col>
      <xdr:colOff>637761</xdr:colOff>
      <xdr:row>95</xdr:row>
      <xdr:rowOff>91109</xdr:rowOff>
    </xdr:from>
    <xdr:to>
      <xdr:col>15</xdr:col>
      <xdr:colOff>679629</xdr:colOff>
      <xdr:row>118</xdr:row>
      <xdr:rowOff>90633</xdr:rowOff>
    </xdr:to>
    <xdr:pic>
      <xdr:nvPicPr>
        <xdr:cNvPr id="28" name="Imagen 27">
          <a:extLst>
            <a:ext uri="{FF2B5EF4-FFF2-40B4-BE49-F238E27FC236}">
              <a16:creationId xmlns:a16="http://schemas.microsoft.com/office/drawing/2014/main" id="{C9F257D8-D822-F687-9A5E-C3730C1DB4E0}"/>
            </a:ext>
          </a:extLst>
        </xdr:cNvPr>
        <xdr:cNvPicPr>
          <a:picLocks noChangeAspect="1"/>
        </xdr:cNvPicPr>
      </xdr:nvPicPr>
      <xdr:blipFill>
        <a:blip xmlns:r="http://schemas.openxmlformats.org/officeDocument/2006/relationships" r:embed="rId16"/>
        <a:stretch>
          <a:fillRect/>
        </a:stretch>
      </xdr:blipFill>
      <xdr:spPr>
        <a:xfrm>
          <a:off x="8257761" y="16035131"/>
          <a:ext cx="6295238" cy="3809524"/>
        </a:xfrm>
        <a:prstGeom prst="rect">
          <a:avLst/>
        </a:prstGeom>
      </xdr:spPr>
    </xdr:pic>
    <xdr:clientData/>
  </xdr:twoCellAnchor>
  <xdr:twoCellAnchor editAs="oneCell">
    <xdr:from>
      <xdr:col>14</xdr:col>
      <xdr:colOff>513522</xdr:colOff>
      <xdr:row>172</xdr:row>
      <xdr:rowOff>149087</xdr:rowOff>
    </xdr:from>
    <xdr:to>
      <xdr:col>22</xdr:col>
      <xdr:colOff>270574</xdr:colOff>
      <xdr:row>188</xdr:row>
      <xdr:rowOff>140934</xdr:rowOff>
    </xdr:to>
    <xdr:pic>
      <xdr:nvPicPr>
        <xdr:cNvPr id="29" name="Imagen 28">
          <a:extLst>
            <a:ext uri="{FF2B5EF4-FFF2-40B4-BE49-F238E27FC236}">
              <a16:creationId xmlns:a16="http://schemas.microsoft.com/office/drawing/2014/main" id="{7B1BFB02-F3CF-413E-8C4C-550380576229}"/>
            </a:ext>
          </a:extLst>
        </xdr:cNvPr>
        <xdr:cNvPicPr>
          <a:picLocks noChangeAspect="1"/>
        </xdr:cNvPicPr>
      </xdr:nvPicPr>
      <xdr:blipFill>
        <a:blip xmlns:r="http://schemas.openxmlformats.org/officeDocument/2006/relationships" r:embed="rId17"/>
        <a:stretch>
          <a:fillRect/>
        </a:stretch>
      </xdr:blipFill>
      <xdr:spPr>
        <a:xfrm>
          <a:off x="13624892" y="28840044"/>
          <a:ext cx="6482530" cy="2642281"/>
        </a:xfrm>
        <a:prstGeom prst="rect">
          <a:avLst/>
        </a:prstGeom>
      </xdr:spPr>
    </xdr:pic>
    <xdr:clientData/>
  </xdr:twoCellAnchor>
  <xdr:twoCellAnchor editAs="oneCell">
    <xdr:from>
      <xdr:col>15</xdr:col>
      <xdr:colOff>340262</xdr:colOff>
      <xdr:row>189</xdr:row>
      <xdr:rowOff>80597</xdr:rowOff>
    </xdr:from>
    <xdr:to>
      <xdr:col>22</xdr:col>
      <xdr:colOff>546054</xdr:colOff>
      <xdr:row>217</xdr:row>
      <xdr:rowOff>65085</xdr:rowOff>
    </xdr:to>
    <xdr:pic>
      <xdr:nvPicPr>
        <xdr:cNvPr id="30" name="Imagen 29">
          <a:extLst>
            <a:ext uri="{FF2B5EF4-FFF2-40B4-BE49-F238E27FC236}">
              <a16:creationId xmlns:a16="http://schemas.microsoft.com/office/drawing/2014/main" id="{C088BFA0-EA4B-4B14-AC73-7E9A31C3D594}"/>
            </a:ext>
          </a:extLst>
        </xdr:cNvPr>
        <xdr:cNvPicPr>
          <a:picLocks noChangeAspect="1"/>
        </xdr:cNvPicPr>
      </xdr:nvPicPr>
      <xdr:blipFill>
        <a:blip xmlns:r="http://schemas.openxmlformats.org/officeDocument/2006/relationships" r:embed="rId18"/>
        <a:stretch>
          <a:fillRect/>
        </a:stretch>
      </xdr:blipFill>
      <xdr:spPr>
        <a:xfrm>
          <a:off x="14213632" y="31587640"/>
          <a:ext cx="6169270" cy="46227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22412</xdr:colOff>
      <xdr:row>4</xdr:row>
      <xdr:rowOff>33618</xdr:rowOff>
    </xdr:from>
    <xdr:to>
      <xdr:col>16</xdr:col>
      <xdr:colOff>47812</xdr:colOff>
      <xdr:row>6</xdr:row>
      <xdr:rowOff>904501</xdr:rowOff>
    </xdr:to>
    <xdr:pic>
      <xdr:nvPicPr>
        <xdr:cNvPr id="4" name="Imagen 3">
          <a:extLst>
            <a:ext uri="{FF2B5EF4-FFF2-40B4-BE49-F238E27FC236}">
              <a16:creationId xmlns:a16="http://schemas.microsoft.com/office/drawing/2014/main" id="{406641F9-F010-CD56-07AB-6958F2095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1912" y="1299883"/>
          <a:ext cx="3793751" cy="128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515471</xdr:colOff>
      <xdr:row>8</xdr:row>
      <xdr:rowOff>126439</xdr:rowOff>
    </xdr:from>
    <xdr:to>
      <xdr:col>16</xdr:col>
      <xdr:colOff>49950</xdr:colOff>
      <xdr:row>14</xdr:row>
      <xdr:rowOff>164913</xdr:rowOff>
    </xdr:to>
    <xdr:pic>
      <xdr:nvPicPr>
        <xdr:cNvPr id="5" name="Imagen 4">
          <a:extLst>
            <a:ext uri="{FF2B5EF4-FFF2-40B4-BE49-F238E27FC236}">
              <a16:creationId xmlns:a16="http://schemas.microsoft.com/office/drawing/2014/main" id="{4A6D812A-CEB9-9811-B944-F1AF60E09D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7089" y="3017557"/>
          <a:ext cx="3840712" cy="2271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56030</xdr:colOff>
      <xdr:row>3</xdr:row>
      <xdr:rowOff>100853</xdr:rowOff>
    </xdr:from>
    <xdr:to>
      <xdr:col>14</xdr:col>
      <xdr:colOff>87779</xdr:colOff>
      <xdr:row>6</xdr:row>
      <xdr:rowOff>657972</xdr:rowOff>
    </xdr:to>
    <xdr:pic>
      <xdr:nvPicPr>
        <xdr:cNvPr id="4" name="Imagen 3">
          <a:extLst>
            <a:ext uri="{FF2B5EF4-FFF2-40B4-BE49-F238E27FC236}">
              <a16:creationId xmlns:a16="http://schemas.microsoft.com/office/drawing/2014/main" id="{60C833BF-9A6D-D617-DE25-9EFEAAF81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9765" y="1367118"/>
          <a:ext cx="3793751" cy="128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78442</xdr:colOff>
      <xdr:row>7</xdr:row>
      <xdr:rowOff>126441</xdr:rowOff>
    </xdr:from>
    <xdr:to>
      <xdr:col>14</xdr:col>
      <xdr:colOff>149769</xdr:colOff>
      <xdr:row>13</xdr:row>
      <xdr:rowOff>112059</xdr:rowOff>
    </xdr:to>
    <xdr:pic>
      <xdr:nvPicPr>
        <xdr:cNvPr id="5" name="Imagen 4">
          <a:extLst>
            <a:ext uri="{FF2B5EF4-FFF2-40B4-BE49-F238E27FC236}">
              <a16:creationId xmlns:a16="http://schemas.microsoft.com/office/drawing/2014/main" id="{67EE8818-B36B-886A-BE6E-C760EF6FED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42177" y="3039970"/>
          <a:ext cx="3836504" cy="227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78442</xdr:colOff>
      <xdr:row>3</xdr:row>
      <xdr:rowOff>224118</xdr:rowOff>
    </xdr:from>
    <xdr:to>
      <xdr:col>16</xdr:col>
      <xdr:colOff>107017</xdr:colOff>
      <xdr:row>6</xdr:row>
      <xdr:rowOff>790762</xdr:rowOff>
    </xdr:to>
    <xdr:pic>
      <xdr:nvPicPr>
        <xdr:cNvPr id="5" name="Imagen 4">
          <a:extLst>
            <a:ext uri="{FF2B5EF4-FFF2-40B4-BE49-F238E27FC236}">
              <a16:creationId xmlns:a16="http://schemas.microsoft.com/office/drawing/2014/main" id="{3BBE9F5C-C3CE-7C12-DE68-EA28EEB4F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17942" y="1490383"/>
          <a:ext cx="3793751" cy="128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56030</xdr:colOff>
      <xdr:row>7</xdr:row>
      <xdr:rowOff>312351</xdr:rowOff>
    </xdr:from>
    <xdr:to>
      <xdr:col>16</xdr:col>
      <xdr:colOff>112060</xdr:colOff>
      <xdr:row>12</xdr:row>
      <xdr:rowOff>293406</xdr:rowOff>
    </xdr:to>
    <xdr:pic>
      <xdr:nvPicPr>
        <xdr:cNvPr id="6" name="Imagen 5">
          <a:extLst>
            <a:ext uri="{FF2B5EF4-FFF2-40B4-BE49-F238E27FC236}">
              <a16:creationId xmlns:a16="http://schemas.microsoft.com/office/drawing/2014/main" id="{E3DACCC9-3E5F-1AE2-4F87-CE90947A0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5530" y="3225880"/>
          <a:ext cx="3821206" cy="1919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78442</xdr:colOff>
      <xdr:row>3</xdr:row>
      <xdr:rowOff>224118</xdr:rowOff>
    </xdr:from>
    <xdr:to>
      <xdr:col>16</xdr:col>
      <xdr:colOff>107017</xdr:colOff>
      <xdr:row>6</xdr:row>
      <xdr:rowOff>790762</xdr:rowOff>
    </xdr:to>
    <xdr:pic>
      <xdr:nvPicPr>
        <xdr:cNvPr id="2" name="Imagen 1">
          <a:extLst>
            <a:ext uri="{FF2B5EF4-FFF2-40B4-BE49-F238E27FC236}">
              <a16:creationId xmlns:a16="http://schemas.microsoft.com/office/drawing/2014/main" id="{037246FE-BE8C-4B28-AF63-E8BAF117F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2642" y="1481418"/>
          <a:ext cx="3695700" cy="1319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56030</xdr:colOff>
      <xdr:row>7</xdr:row>
      <xdr:rowOff>312351</xdr:rowOff>
    </xdr:from>
    <xdr:to>
      <xdr:col>16</xdr:col>
      <xdr:colOff>112060</xdr:colOff>
      <xdr:row>12</xdr:row>
      <xdr:rowOff>293406</xdr:rowOff>
    </xdr:to>
    <xdr:pic>
      <xdr:nvPicPr>
        <xdr:cNvPr id="3" name="Imagen 2">
          <a:extLst>
            <a:ext uri="{FF2B5EF4-FFF2-40B4-BE49-F238E27FC236}">
              <a16:creationId xmlns:a16="http://schemas.microsoft.com/office/drawing/2014/main" id="{EDF23C9F-EFC3-4DEC-96C8-31A26D4E2B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00230" y="3246051"/>
          <a:ext cx="3723155" cy="1905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481853</xdr:colOff>
      <xdr:row>3</xdr:row>
      <xdr:rowOff>22411</xdr:rowOff>
    </xdr:from>
    <xdr:to>
      <xdr:col>15</xdr:col>
      <xdr:colOff>526303</xdr:colOff>
      <xdr:row>6</xdr:row>
      <xdr:rowOff>582705</xdr:rowOff>
    </xdr:to>
    <xdr:pic>
      <xdr:nvPicPr>
        <xdr:cNvPr id="4" name="Imagen 3">
          <a:extLst>
            <a:ext uri="{FF2B5EF4-FFF2-40B4-BE49-F238E27FC236}">
              <a16:creationId xmlns:a16="http://schemas.microsoft.com/office/drawing/2014/main" id="{ED3A0388-F847-685C-5967-AF830B074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3471" y="1288676"/>
          <a:ext cx="3803276" cy="1288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403411</xdr:colOff>
      <xdr:row>7</xdr:row>
      <xdr:rowOff>190500</xdr:rowOff>
    </xdr:from>
    <xdr:to>
      <xdr:col>16</xdr:col>
      <xdr:colOff>113180</xdr:colOff>
      <xdr:row>12</xdr:row>
      <xdr:rowOff>267820</xdr:rowOff>
    </xdr:to>
    <xdr:pic>
      <xdr:nvPicPr>
        <xdr:cNvPr id="5" name="Imagen 4">
          <a:extLst>
            <a:ext uri="{FF2B5EF4-FFF2-40B4-BE49-F238E27FC236}">
              <a16:creationId xmlns:a16="http://schemas.microsoft.com/office/drawing/2014/main" id="{271891DA-207F-02A4-60C5-74AA3BE58F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05029" y="3104029"/>
          <a:ext cx="4012827" cy="201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425823</xdr:colOff>
      <xdr:row>7</xdr:row>
      <xdr:rowOff>336177</xdr:rowOff>
    </xdr:from>
    <xdr:to>
      <xdr:col>16</xdr:col>
      <xdr:colOff>135592</xdr:colOff>
      <xdr:row>13</xdr:row>
      <xdr:rowOff>74519</xdr:rowOff>
    </xdr:to>
    <xdr:pic>
      <xdr:nvPicPr>
        <xdr:cNvPr id="4" name="Imagen 3">
          <a:extLst>
            <a:ext uri="{FF2B5EF4-FFF2-40B4-BE49-F238E27FC236}">
              <a16:creationId xmlns:a16="http://schemas.microsoft.com/office/drawing/2014/main" id="{33703818-76D9-857A-DBA1-D03CBB7D8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441" y="3249706"/>
          <a:ext cx="4012827" cy="2024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380999</xdr:colOff>
      <xdr:row>3</xdr:row>
      <xdr:rowOff>190500</xdr:rowOff>
    </xdr:from>
    <xdr:to>
      <xdr:col>16</xdr:col>
      <xdr:colOff>104027</xdr:colOff>
      <xdr:row>6</xdr:row>
      <xdr:rowOff>827402</xdr:rowOff>
    </xdr:to>
    <xdr:pic>
      <xdr:nvPicPr>
        <xdr:cNvPr id="6" name="Imagen 5">
          <a:extLst>
            <a:ext uri="{FF2B5EF4-FFF2-40B4-BE49-F238E27FC236}">
              <a16:creationId xmlns:a16="http://schemas.microsoft.com/office/drawing/2014/main" id="{4994991D-71CC-3F2E-1234-1292ACEFFD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2617" y="1456765"/>
          <a:ext cx="4022911" cy="1362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224117</xdr:colOff>
      <xdr:row>0</xdr:row>
      <xdr:rowOff>171266</xdr:rowOff>
    </xdr:from>
    <xdr:to>
      <xdr:col>17</xdr:col>
      <xdr:colOff>493059</xdr:colOff>
      <xdr:row>21</xdr:row>
      <xdr:rowOff>179295</xdr:rowOff>
    </xdr:to>
    <xdr:pic>
      <xdr:nvPicPr>
        <xdr:cNvPr id="3" name="Imagen 2">
          <a:extLst>
            <a:ext uri="{FF2B5EF4-FFF2-40B4-BE49-F238E27FC236}">
              <a16:creationId xmlns:a16="http://schemas.microsoft.com/office/drawing/2014/main" id="{8217E609-8F5A-7608-AD49-7716A9534B5F}"/>
            </a:ext>
          </a:extLst>
        </xdr:cNvPr>
        <xdr:cNvPicPr>
          <a:picLocks noChangeAspect="1"/>
        </xdr:cNvPicPr>
      </xdr:nvPicPr>
      <xdr:blipFill>
        <a:blip xmlns:r="http://schemas.openxmlformats.org/officeDocument/2006/relationships" r:embed="rId1"/>
        <a:stretch>
          <a:fillRect/>
        </a:stretch>
      </xdr:blipFill>
      <xdr:spPr>
        <a:xfrm>
          <a:off x="17727705" y="171266"/>
          <a:ext cx="7227795" cy="6238500"/>
        </a:xfrm>
        <a:prstGeom prst="rect">
          <a:avLst/>
        </a:prstGeom>
      </xdr:spPr>
    </xdr:pic>
    <xdr:clientData/>
  </xdr:twoCellAnchor>
  <xdr:twoCellAnchor editAs="oneCell">
    <xdr:from>
      <xdr:col>17</xdr:col>
      <xdr:colOff>661147</xdr:colOff>
      <xdr:row>2</xdr:row>
      <xdr:rowOff>179294</xdr:rowOff>
    </xdr:from>
    <xdr:to>
      <xdr:col>26</xdr:col>
      <xdr:colOff>534325</xdr:colOff>
      <xdr:row>34</xdr:row>
      <xdr:rowOff>38199</xdr:rowOff>
    </xdr:to>
    <xdr:pic>
      <xdr:nvPicPr>
        <xdr:cNvPr id="2" name="Imagen 1">
          <a:extLst>
            <a:ext uri="{FF2B5EF4-FFF2-40B4-BE49-F238E27FC236}">
              <a16:creationId xmlns:a16="http://schemas.microsoft.com/office/drawing/2014/main" id="{F500D013-3547-627E-582C-39F5B40D80C9}"/>
            </a:ext>
          </a:extLst>
        </xdr:cNvPr>
        <xdr:cNvPicPr>
          <a:picLocks noChangeAspect="1"/>
        </xdr:cNvPicPr>
      </xdr:nvPicPr>
      <xdr:blipFill>
        <a:blip xmlns:r="http://schemas.openxmlformats.org/officeDocument/2006/relationships" r:embed="rId2"/>
        <a:stretch>
          <a:fillRect/>
        </a:stretch>
      </xdr:blipFill>
      <xdr:spPr>
        <a:xfrm>
          <a:off x="25123588" y="649941"/>
          <a:ext cx="6630325" cy="8745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299355</xdr:colOff>
      <xdr:row>1</xdr:row>
      <xdr:rowOff>205513</xdr:rowOff>
    </xdr:from>
    <xdr:to>
      <xdr:col>17</xdr:col>
      <xdr:colOff>585106</xdr:colOff>
      <xdr:row>19</xdr:row>
      <xdr:rowOff>231321</xdr:rowOff>
    </xdr:to>
    <xdr:pic>
      <xdr:nvPicPr>
        <xdr:cNvPr id="2" name="Imagen 1">
          <a:extLst>
            <a:ext uri="{FF2B5EF4-FFF2-40B4-BE49-F238E27FC236}">
              <a16:creationId xmlns:a16="http://schemas.microsoft.com/office/drawing/2014/main" id="{43D0E37C-24E1-A9A4-DBF4-EE2E19E6A844}"/>
            </a:ext>
          </a:extLst>
        </xdr:cNvPr>
        <xdr:cNvPicPr>
          <a:picLocks noChangeAspect="1"/>
        </xdr:cNvPicPr>
      </xdr:nvPicPr>
      <xdr:blipFill>
        <a:blip xmlns:r="http://schemas.openxmlformats.org/officeDocument/2006/relationships" r:embed="rId1"/>
        <a:stretch>
          <a:fillRect/>
        </a:stretch>
      </xdr:blipFill>
      <xdr:spPr>
        <a:xfrm>
          <a:off x="7592784" y="396013"/>
          <a:ext cx="9429751" cy="6543629"/>
        </a:xfrm>
        <a:prstGeom prst="rect">
          <a:avLst/>
        </a:prstGeom>
      </xdr:spPr>
    </xdr:pic>
    <xdr:clientData/>
  </xdr:twoCellAnchor>
  <xdr:twoCellAnchor editAs="oneCell">
    <xdr:from>
      <xdr:col>19</xdr:col>
      <xdr:colOff>0</xdr:colOff>
      <xdr:row>1</xdr:row>
      <xdr:rowOff>0</xdr:rowOff>
    </xdr:from>
    <xdr:to>
      <xdr:col>33</xdr:col>
      <xdr:colOff>429961</xdr:colOff>
      <xdr:row>26</xdr:row>
      <xdr:rowOff>101972</xdr:rowOff>
    </xdr:to>
    <xdr:pic>
      <xdr:nvPicPr>
        <xdr:cNvPr id="3" name="Imagen 2">
          <a:extLst>
            <a:ext uri="{FF2B5EF4-FFF2-40B4-BE49-F238E27FC236}">
              <a16:creationId xmlns:a16="http://schemas.microsoft.com/office/drawing/2014/main" id="{8745B6C8-5979-3CEA-388B-8FA4F87808E0}"/>
            </a:ext>
          </a:extLst>
        </xdr:cNvPr>
        <xdr:cNvPicPr>
          <a:picLocks noChangeAspect="1"/>
        </xdr:cNvPicPr>
      </xdr:nvPicPr>
      <xdr:blipFill>
        <a:blip xmlns:r="http://schemas.openxmlformats.org/officeDocument/2006/relationships" r:embed="rId2"/>
        <a:stretch>
          <a:fillRect/>
        </a:stretch>
      </xdr:blipFill>
      <xdr:spPr>
        <a:xfrm>
          <a:off x="17743714" y="190500"/>
          <a:ext cx="9573961" cy="9164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721178</xdr:colOff>
      <xdr:row>0</xdr:row>
      <xdr:rowOff>0</xdr:rowOff>
    </xdr:from>
    <xdr:to>
      <xdr:col>17</xdr:col>
      <xdr:colOff>130603</xdr:colOff>
      <xdr:row>26</xdr:row>
      <xdr:rowOff>61150</xdr:rowOff>
    </xdr:to>
    <xdr:pic>
      <xdr:nvPicPr>
        <xdr:cNvPr id="3" name="Imagen 2">
          <a:extLst>
            <a:ext uri="{FF2B5EF4-FFF2-40B4-BE49-F238E27FC236}">
              <a16:creationId xmlns:a16="http://schemas.microsoft.com/office/drawing/2014/main" id="{7DA64159-36B7-4CB3-9860-060EF65833ED}"/>
            </a:ext>
          </a:extLst>
        </xdr:cNvPr>
        <xdr:cNvPicPr>
          <a:picLocks noChangeAspect="1"/>
        </xdr:cNvPicPr>
      </xdr:nvPicPr>
      <xdr:blipFill>
        <a:blip xmlns:r="http://schemas.openxmlformats.org/officeDocument/2006/relationships" r:embed="rId1"/>
        <a:stretch>
          <a:fillRect/>
        </a:stretch>
      </xdr:blipFill>
      <xdr:spPr>
        <a:xfrm>
          <a:off x="9388928" y="0"/>
          <a:ext cx="9573961" cy="9164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15</xdr:row>
      <xdr:rowOff>304800</xdr:rowOff>
    </xdr:to>
    <xdr:sp macro="" textlink="">
      <xdr:nvSpPr>
        <xdr:cNvPr id="41985" name="AutoShape 1" descr="data:image/jpeg;base64,/9j/4AAQSkZJRgABAQEAYABgAAD/2wBDAAgGBgcGBQgHBwcJCQgKDBQNDAsLDBkSEw8UHRofHh0aHBwgJC4nICIsIxwcKDcpLDAxNDQ0Hyc5PTgyPC4zNDL/2wBDAQkJCQwLDBgNDRgyIRwhMjIyMjIyMjIyMjIyMjIyMjIyMjIyMjIyMjIyMjIyMjIyMjIyMjIyMjIyMjIyMjIyMjL/wAARCAG/Ay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2ma/nWeRV8kKrbRlSTx+NM/tC5/6Y/wDfB/xqheSbbyYf7Z/nXJfEO9ntvAOrTW1xJBMsa7ZY3Ksvzr0I5FbWSjcyUm5WO8/tC6P/ADx/74P+NJ/aNz6wf98H/GvE9R1u+1EWeoPdzQ22pTJZafE1w8IW2T5prl9rA5OOCTwPrUjfE3WIo9XlmitLY2Uf7qzaEuSWIWI+cH2sCTk8DocUe6F5HtH9o3PrB/3wf8aX+0Ln/ph/3wf8a8mufiFew3l7bCazZoYoLaF4ovME16w3OB84GwDPUjHHNYlx4v1DxPoOm2uq+VDHPqEk0zwqU3WluNzEjccZYY4J6UPl/r+vn6AnI90/tC5/6Y/98H/Gk/tG59YP++D/AI14vp3ivXja6dBpd5pv9p6kWu7i3u98gto3bKsXaT5Rt24QA5zwBU6fEy+k8SW8du9tcaK6yyPMbfyz5cSZdwfMJ+8DjKjt1o90LyPYf7RufWD/AL4P+NL9vusZ/c4/65n/ABrhvDOuard+HE1vXGtIYJLc3CxQxspROSCxJP8ADivPLS78QSWEfi2Z9UtIoppdRmmnvD5EsJ/1cMcQY5zwMkDrQ0k9UCbfU97/ALRufWD/AL4P+NH9o3PrB/3wf8a8gvvHXimzFhY/ZrCTVLuyW9cLHtWBPTDyKGJPoRj3qzpvjbX9akks45NH0q7s4YzdveEuJJXGQsahh8uMc5PWiyvYV5bnq/8AaFz/ANMf++D/AI0n9o3PrB/3wf8AGvGNL8cX9xeTtBPZWkmotNdrdX0jtDFbRHYpVC2NzENwuB35rorfxjer8MX8SanAlvd/ZndUUEK7ElYyAeRu4OKPdtcd5Xsejfb7odfJ/wC/Z/xpP7RufWD/AL4P+NeDwS+J/DVnaayTqMU/kLamDUrszC9u5W4IjDEKijnqDxW/rPjnXLCXWLSO50eO40mJJJmljf8AfyOPlijTdkn1b1PSiy6heT2PWf7RufWD/vg/40f2hc/9MP8Avg/414trvjzXNS0m/g0/7FYyK0WnNBJl7iW4lADhORtC5PJBziprTxjd6XYS6RpTWb/Zr+HSdPVwWdyo/fSuN2SOuOnWi0f6/r0C8rHsf9o3PrB/3wf8aX+0Ln/pj/3wf8a8jl8e6xeeHrzxDZXujWtjEJfJtJkaS4dVyoY4YYJbHy479ao6V4m1zRdMh0iXWNNe6SwOpzX16WcIrciIfP8AvGzxkEADtR7oXke0/wBo3PrB/wB8H/Gj+0Ln/ph/3wf8a5bw3qt5qvhzT7+/txb3dxCHkiXOAT04PIyMHHvXNHVbLU9W1bXdbuRFo2iTm1tY2JC+aB88pH8TZO1R2+tNxSYlJs9P+33XpD/37P8AjR9vuh18n/v2f8a8LMktrpmoeLI9R1C3gSLZp2myak88jyP8qSSgscZJyF9uaguY/Eug6S92JdXtpbm0j06K3vL0yy3N3IRukRdxCADOOc1OnYd33Pe/t90Ovk/9+z/jR9vuv+mP/fs/418/wazeW+h6xf6dqd/Ct00Wj21rfXjSSpckjzJWyT5Z+9jBroNR01tL+HGsnUJxc3VxGsEDQ6jNdLJJkBCu/oxf+6O1Oyte39f1+YXd9z1/+0bn1g/74P8AjS/b7o9PJ/79n/GuP0S9vp7p4ZL2wntbWCOB1hYtMtwAN/mHoPp1rh7a8ufEPiHWNcuNQQaJbTtGkS6nLBIsUI+Z1jThsnu1DUUxKTaPZ/7RufWD/vg/40v9oXP/AEx/74P+NeN2/wAQvEQW3nuxpqQy6XPqTosL7oEGRFu+bncdvHfNM8N694ks49L05tUsLmW8tpdUup7hXk+yxHkAkPzz2GMAYosu39f0mO8j2b+0bn1g/wC+D/jS/wBoXP8A0w/74P8AjXi6fFPUU1aWUxw3OjJaS3YZYPKkKL8qEHe3V8D5gOuar3nii+uPENnea1fWJttMtRerFZIzqlxMNsMbfN85HXt3pe6F5Ht/9o3PrB/3wf8AGj+0bn1g/wC+D/jXnXgXxVq+vHVjq0dukVlMIlliTZlsZcEB2HHHINZQ8f6tJow1HzbKL7fcyxaXbi3LySorY3MS6qBgNzkdRTaihXkesLq0sjOqS2rsh2uFGSp9Dzwaf/aFz/0x/wC+D/jXimg+Nr5NK0i2todI02S9e5uZp5YyIxBHn94w35LM2f4j0qGX4i6i9tpd/qNsoe0tpL6eOFpIlk3P5cAI3cBiQSGzxzR7o7yPcf7Quf8Aph/3wf8AGk/tG59YP++D/jXiFz4lv/8AhKnvdW1Cxmk0u3WKzWziYxG8nHCcvhyqg5OQPpXX+A/E2q+ItOvrjU4oU8i6aCJ4k2b9o+bI3MOD3BNCSYnJo9A/tG59YP8Avg/40f2jc+sH/fB/xrK873o873quRC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Uajc56wf98H/ABrJ873pRNz1o5EHOxmpNjUJh/tmqFxFBd2729zDHNC4w8cihlb6g9a6G4JFxJj++f51QudUtbOeOCebbNIpZI1RmYgdTgA8U4u6tYmSSd2zIlsbCfy/Os7aTykMce+JTsQjBUegI4xUUej6RFZSWUel2KWsjbngW3QIx9SuMGugtL2C+t1uLWYSxMSAwHcHBHNI94FleJIp53RdziGPfsHbP19OtNyS3QKN9mc+2i6O0HkNpVgYfM83yzbpt39N2MdfenDSdKEYjGm2YQRmIL5C4CE5K4x0J7VuW+oRXUhSLf8Ad3hiuFYZxkGoG1y0W5ntyZfMhOGAj4J9j3qXUiouT2Q1BuSit2Y39h6Kblbk6Rp5uFIZZfsybgR0OcZ4xQmh6LF5nl6TYJ5ilH226Dcp6g8cg10Vtex3W7y94K4yHXHXp/I1OGJbAPNKFWE480NUOVOUHyy0ZhvFBJbG2eGNrcpsMRUFSvTGOmPamSWtpNZizltoHtQAogZAUwOg29OKv2Wu2d/cGCF3WTbvAkXbuGccetaILE4zWjdnqiEk1dM5u903TdS8v7fp9pdeX9zz4Vfb9Mjikl0zTJ7xbybTrOS6VdqzNCpcDGMA4z0rQ/4SGzJIHnkjk4QcD1xnNaMNzHcJvhlWRQcEqc8+lZxqwlsaSozgveTRzcuj6RNHbxy6XYyJb8QK9uhEXf5Rjj8KtXENveQ+TcwRTRZB2SIGXI6cH0qzqHiTS9LuhbXt2IZiFO1lPQ5wc+nH8q0Le5S6toriFi0UqB0JGMg+xpqrFuyCVGcYqTTszGnht7kxG4hilMT+ZGZFDbG/vDPQ+9Qyafp01+l/LYWsl4n3Lh4VMi/RsZrYuNTjtoriaWOfyLc4lmEeUTgE857AirKTLKgeORXU9GUgg0+dEcrOcOlaU179tOm2Zuy4k88wLv3Dod2M596VNL0uK7+1x6dZpchy/nLAofcep3Yzk+tdDJMI4pJWPyxqWbA7DrUP24/aEtza3Qmdd6xlF3FfUDPSqWuyJdluzBXR9IU3BXS7EG5GJyLdP3ozn5uOeeeaDoujt9n3aVYH7MMQZt0/dc5+XjjnniuijuVkt/PG5UwSdwwRjOcj8DUaahG8gTbMhJxl48Ade/4Gs5VoQajLRs1jSnNOUdUUfM5zmsa18OaXbR30Lwi5try6N29vcqsiJIepUEfzzXXh9wBVgQehByDUNzexWgTzWbLnChRkn/PFE6sILmnohRpyk+WJzsOhaJbAiDSNPiDMrkJbIuWXoeB1Hark0NvcSRSTwxSvC2+JnUEo3qM9D71tJcK8PnKx2YJzj061Db6jDdSmOMvuAzhlx6f4il7emmlda7a7+g/YzabttuYE2iaNceZ5+lWMvmP5j77dDub+8eOT71Avh7Tlv7S5CbYrLJtbRAqQQuerhAB83uc4zxXXJJvXcpOD0OOvuPalDkjIOQavmXYizMKCC2tVkW3gihEjmSQRoF3serHHUn1qlHoOhwtI0Wj6ejSKUcrbICynqDxyD6V0T6hCkhQueDgkLkD8asbj1BrOniKVRtQabWjs9i5UpxSck1c502GnnzM2VsfMiEMn7pfmjHRDxyo9OlNttM02z3fZdPtINyeWfKhVcp128Dp7V0m4+tG4+ta8y7EcpzEOjaPbpKkGlWMSSp5cipboA69cHA5HtSLomipbyW66TYLDJt3xi3QK23pkY5x2rqNx9aNx9aXMuwcvmc/b2dlaWzW1taW8EDklooowqtnrkDjmopdK0ue3ht5tOs5IIP8AVRPApWP/AHQRgfhXS7j60bj60+Zdg5Tiv+ET0NtVe/msoZyYUgigliRooFU5GxccHNacthp85mM1jayGdVSbfEp8xR0DccgdhXRbj60bj60uZdgt5nL/ANi6N9na3/sqw8hnDmL7Om0sBgHGMZx3q3bQW1lAILSCK3hBJEcSBVBPXgVu7j60bj60+Zd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ofnrWvuPrShjnrRzByj7n/j4k/wB8/wA65LWLPVZdTeVYYZ4SuxA9t5qhc5HQghuTnOQe1dbdZFzINr/fPRDUOf8AZf8A74P+FQnoW97mP4fg1CCKYXgVY3YuiCMJhiecLkkLjHBOfpTr+JTcSxPdRxiQecgafyCHwE+9ghh8o44I/GtbP+y//fB/woyf7r/98H/CoqwjVjyy2Ejm/CjSgTWs8DwzWgKHPKyKzbgwbvmql5azy6nfAW77VmZ9xjbDg4wMjGRx711+T/df/vg/4Ubj/df/AL4P+FVG8IuMHYGoyacloZGgwPCs2/ccqgyykcjdxz9RWunErHtkfyoyf7r/APfB/wAKM/7L/wDfB/wqKUHCPK3ff8XcupLmldK234Kx55c2V/p0gkltpoGRgyToMqGAUKdy5wBljg4rtNEvpL6wEsxQtHIYi8ZJD7QPm59a0NxH8Mn/AHwf8KTJ/uv/AN8H/CumdTmWqOeFLkejOWW2lt5JFvLeRwyRhYwCcBVkGQwOPvFTg+vStzSsfZ5SqMqmX5QyleAijv7g1d3H+6//AHwf8KMn+6//AHwf8K5YUoxldHbUxEpxs/8AgfcedaxE8urzlUt2xeYPmRMzAZPU5+79Mdq6zwrn+xv4eJmA2ggY46ZJra3H0k/74P8AhSZP91/++D/hWNLC+zqOpe97/iZyqOUVGy08jA1W/CW1xpsXlNcXdyysJWAVI9iZJJ4Gex+tXNBsoLKwdYH8wvK2+UHKyEHGR7cVqbj/AHZP++D/AIUmT/df/vg/4V2J2VkZWu7sr3SlrC8VQSzJIAAOvBqJtRT/AIS6xvVZjYx2bRSMYTlXPTHy7scc49qu5/2X/wC+D/hS7j/dk/74P+FUpJbkyg29H/SK1moksQrghXL5BBBwWbt9DWWqRwXCNIXtmUE4lG8MdxHHI4xz+Nbmf9l/++D/AIUZP91/++D/AIVx4rDqur7SWztex04es6Om67FK0cRaVIYQpWISGPC4DYyRx9a52DXLjWbNr5lW1jhKoYcHeCVOWJ/uk4AH0zzXX5P91/8Avg/4Uu4+kn/fB/wrWMPcUZ+938yJSu246X/AjSNY7YRY2KEweenHNctr6z6NYre2EjBncRndEp3rtJGeOBwMD/Gusz/sv/3wf8KXcR/DJ/3wf8Kirh4VEujWz7GtDESpSu9U913Mrw1fXWo6JBdXv+vZmDfLt6Hj2/EVfM0dvaedMwSONdzMewqXJ/uv/wB8H/CjJ/uv/wB8H/CtoJxik3cyqSU5uSVr9Oxwr6s6BmTBWT5oww6DJyCR1PT8c+ldnYusmn28ibtrRqRuHPTvVjcfST/vhv8ACkyf7r/98H/CuenhaVKrKpTSV7bLsJ1Kslacri0Umf8AZf8A74P+FGf9l/8Avg/4V0ki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KOtNz/ALL/APfB/wAKUHn7r/8AfB/woA2JP9YaZT5P9YaZWZoFKQQMkHmkriLbT9VjeD7LBf2l15fl6jck589zKnzITkMQu85xwDj2o62A7el5rz6XU9dlutRt7SXUri4hBV1hK7IX8whCuFJI2AZHqecc1fkXxH9kaab7dKz5LwIqfIFaMjYMcEjzOuentQncGrOx2NBIVdzEBR1JOBXDRz+KQ1sLaPU5HNvI0jXgAXeVcquNowVbYMk8+mKW9h1eb5YItWmtXiUqbiFTI04JKiQEf6vPX8OaAsdxRWLpCast9Kb+a4eKVJGIfbtjYSkKEwOPkwec9qxrtvF32dTG8qFZjCSse5iEGFkwAcq55I44A6UAdpzSVyF3aa5KjGa41Ix+b5zLBtDIFn4EYAzzHzjnOBVeW48Tm4uvIh1RbcTJ5SSDLuMuCN+35QRsPQgdCRzRcDt6KKKYhRyaz01C4lBaKwd03FQ3mgZwcelaA6iuF1PSdQuriaW3huXgKxhoo3QLcbZGOOWGMZ59elIDrPtd7/0DX/7/AA/wpkmo3EKh5bB1QkAt5oOMnHpXE/2BrSW8Yh00GdTFKk0twNymOM4UkN97ccZ6EAZNbltHdJPfF9HktUuphM8zyoR0TAwrE/e3egqrAdWeDikpT94/WkpAFFFFABS4I6g8Uh6HHpXnlppPiHTLezmZL2XyrFoY0hlPmR7njY7+Dlgd3QE4X3pDseh0uD71y+iDxA1xaT6lJdYbCTROqhAPJB3YAznzOM5/CqF1Za1a6jPcwW17NC97dT7YpcMv7oqhXOcBuMcHkdOaAsdvzSVxUTeIprHZeLqPmm3cQCOMbXfe/wDruMj5dmM4796khXxLcAo82owjkysVQMJAkhKxnH+r3eXg/r1oCx2OcdTj8aK46L+37vXYRc2t2LSOWCRvMwVDgjLLwMDluAT0rsafQQUUUUAFFFFABRRRQAUUUUAFFFFABRRRQAUUUUAFFFFABRRRQAUUUUAFFFFABRRRQAUUUUAFFFFABRRRQAUUUUAFFFFABRRRQAUUUUAFFFFABRRRQAUUUUAFFFFABRRRQAUUUUAFFFFABRRRQAUUUUAFFFFABRRRQAUUUUAFFFFABRRRQAUUUUAFKPvCkpR94UAOk/1hplPk/wBYaZSGIwBUhiQO5BxVVpbNYvNNz8nlmXcJicoP4hg8j3FW8gcnGPeuMuvDWof2deQQC0lfeILQu+DHbgsw56BgzY78KO9DBHTC4sWgmmFz+7gJ81vMb5MevpVk26jqZR/20b/GuGl8K6vIZ/ONvdJNyI3uioV8D96eOSOePeug0bTbuy1i7ubl08uTcCwlLGclyysVP3dq/LigDWkWGKSKOSR1eUkRgyN8xAycc+gJp3kJ6yf9/G/xrmNE0DUrHUEnvLoTbZzI7GUEPlHXeABwTuXOT29q6vcv94fnQBH5Cesn/fxv8aPIT1k/7+N/jUm5f7w/Ojcv94fnQBH5Cesn/fxv8aPIT1k/7+N/jUm5f7w/Ojcv94fnQBH5Cesn/fxv8aPIT1k/7+N/jUm5f7w/Ojcv94fnQAwQJkfNJ/38b/GsaJppGVEe2jaRn8uJnfcwB5ON3NboZcj5h+dYH2e5kubCWJrUQQvL5u9yH+bI+UAY/M01uJksP2i4DGG4tJQrFGKO7YYdQcN1prNIomL3NjtgwZdzviPuN3zcfjTLGxvLCBhHPZmQtEnzFivlIME9vnI/DPrRcWt/JLqxRrDZdwiOHdI2RgFcvx6E9M9KdkFy/wCZqRXd5lnjGc7Wxj86rJqcskUcqX2mNHI/lxurZDN/dB3cn2p6C+WGGMtYbVtikikscy4AXB/udc5Gayo9FvXtwLiawWeRnEzRM2NrbMsvAww2YAwBjvRZXFfQ0zqcwWdjfaYFtziY7v8AVn/a+bj8au2VxPM86T+UTGVw0YOCCM96w/7N1B7q4uZW0zzPNV4AjMFKqzEK4xwPmySMkmtbSLcWsbwB9/lpGm71wuKXQZo0UUUAFFFFABRRRQAUUUUAFFFFABRRRQAUUUUAFFFFABRRRQAUUUUAFFFFABRRRQAUUUUAFFFFABRRRQAUUUUAFFFFABRRRQAUUUUAFFFFABRRRQAUUUUAFFFFABRRRQAUUUUAFFFFABRRRQAUUUUAFFFFABRRRQAUUUUAFFFFABRRRQAUUUUAFFFFABRRRQAUUUUAFFFFABSj7wpKUfeFADpP9YaZSTTRLKytKgI6gsAaZ58P/PaP/vsUWAeQGGGAIPYim+TF/wA8o/8AvkUnnw/89o/++xR58P8Az2j/AO+xRYLi+TF/zyj/AO+RR5MX/PKP/vkUnnw/89o/++xR58P/AD2j/wC+xRYLi+TF/wA8o/8AvkUeTF/zyj/75FJ58P8Az2j/AO+xR58P/PaP/vsUWC4vkxf88o/++RR5MX/PKP8A75FJ58P/AD2j/wC+xR58P/PaP/vsUWC4vkxf88o/++RR5MX/ADyj/wC+RSefD/z2j/77FHnw/wDPaP8A77FFguL5MX/PKP8A75FHkxf88o/++RSefD/z2j/77FHnw/8APaP/AL7FFguL5MX/ADyj/wC+RR5EP/PGP/vgUnnw/wDPaP8A77FHnw/89o/++xRYLh5EP/PGP/vgUeRD/wA8Y/8AvgUefD/z2j/77FHnw/8APaP/AL7FFguHkQ/88Y/++BR5EP8Azxj/AO+BR58P/PaP/vsUefD/AM9o/wDvsUWC4eRD/wA8Y/8AvgU9UVBhFVc+gxTP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cro4JR1bHXac4oAdRRRQAUo+8KSlH3hQBkXuz+0bjeM8rjn/ZFZ2oXkNhZNOIPNfcqIm8jczMFAz2GSOav6jFNJfzmKNn+YA7R/sis6506W6tnguLWRonHzAgj8c9jnvWq2M3uUR4itbeWe3v7R47i3Leb5DGRAoVW3ZODyHUYxnNTtrNv/Zc98lnMotpvKmimO1kwQGPBI4Bz+FRHw2vkTRi0nLzI6vLIWdm34ySSck/Kv5Ulj4bks7do5Eu7l3EglklLfvN5G7Iz7DnrQAP4l0yC4WK4XYZZmjiIfO5QwTeeRwW44yeM01fEtpM9stvpt7IZpAuCoUhSrMHALcg7T71Kvh6MJaCOznUWqiOIozD5Qc7Sc/MMjPNL/wAI8u1AtncJs2BWR2VhtBA5B9GI980W8wv5DIvE2lS3KWwjmEzTGEqSvykAE5IbHccAk9eOKjj8QobeaV7IfIIXULIRuWWQov0OAD+NRnwdbi2aCK0uo1JyP3jMAQMA4JwcYGB7Vck0ASSxSNZz5iVFCqzBWCHK7gOGweRmheoXM8+K4sWJOmyxfaCcpI3zYyQCuCQecdcf1rS/te3l0V9QgtZAclI45uCz7to6E8E9welVpfCdvMMSWVywGduZX+QE5wvPAz2FSR+HWh+zCOK8225XaruzghclRyex5z14xQvNg32KUXi2B75LQ6exlNxNFIFl+6iBirjOB8xUjGRj1qeLxXp0nmy/ZZxaRQ+a9wSu1TuZSpw3quARkc/jU8vhqGeExSaa5Us7HqCS27PPX+NvpmmL4XiSLyhZ3OwoyMpkY7wTuO7nk5JIPY9KLPuDfkNXxPpsyI1vbzyg43EYwuWK4zuxnKnvjjrVjS9ZtNWnk+zx/uUjDAlvm3bmUjgkcbeoNRSeGYprZ7eayuJI3UK292JYAkjJznqxqax0L+zg32aznUsMMzEsTyTyT7k016iuaX7n+5+po/c/3P1NQ/Zrv/n3l/75pBb3ZGRBIR7CjQNSf9z/AHP1NH7n+5+pqAW92RkQSEewpfs13/z7y/8AfNGgak37n+5+po/c/wBz9TUP2a7/AOfeX/vmj7Nd/wDPvL/3zRoGpN+5/ufqaP3P9z9TUP2a7/595f8Avmj7Nd/8+8v/AHzRoGpN+5/ufqaP3P8Ac/U1D9mu/wDn3l/75o+zXf8Az7y/980aBqTfuf7n6mj9z/c/U1D9mu/+feX/AL5o+zXf/PvL/wB80aBqTfuf7n6mj9z/AHP1NQ/Zrv8A595f++aPs13/AM+8v/fNGgak37n+5+po/c/3P1NQfZ7s9IJOPag292BkwSD6ijQNSf8Ac/3P1NH7n+5+pqH7Nd/8+8v/AHzR9mu/+feX/vmjQNSb9z/c/U0fuf7n6mofs13/AM+8v/fNH2a7/wCfeX/vmjQNSb9z/c/U0fuf7n6mofs13/z7y/8AfNH2a7/595f++aNA1Jv3P9z9TR+5/ufqah+zXf8Az7y/980fZrv/AJ95f++aNA1Jv3P9z9TR+5/ufqah+zXf/PvL/wB80n2e7zjyJOenFGgak/7n+5+po/c/3P1NQ/Zrv/n3l/75o+zXf/PvL/3zRoGpN+5/ufqaP3P9z9TUH2e7HJt5f++aX7Nd/wDPvL/3zRoGpN+5/ufqaP3P9z9TUP2a7/595f8Avmj7Nd/8+8v/AHzRoGpN+5/ufqaP3P8Ac/U1B9nu/wDnhJx14pfs13/z7y/980aBqTfuf7n6mj9z/c/U1B9nu848iTPpil+zXf8Az7y/980aBqTfuf7n6mj9z/c/U1ALe7IyIJCPYUfZ7sdYJOenFGgak/7n+5+po/c/3P1NQ/Zrv/n3l/75o+zXf/PvL/3zRoGpN+5/ufqaP3P9z9TUP2a7/wCfeX/vmj7Nd/8APvL/AN80aBqTfuf7n6mj9z/c/U1D9mu/+feX/vmk+z3YGTbyf980aBqT/uf7n6mj9z/c/U1D9mu/+feX/vmj7Nd/8+8v/fNGgak37n+5+po/c/3P1NQ/Zrv/AJ95f++aPs13/wA+8v8A3zRoGpN+5/ufqaP3P9z9TUP2a7/595f++aPs13/z7y/980aBqTfuf7n6mj9z/c/U1B9nuz0gkP4UG3uwMmCQfUUaBqT/ALn+5+po/c/3P1NQ/Zrv/n3l/wC+aT7Pd5x5EmfTFGgak/7n+5+po/c/3P1NQ/Zrv/n3l/75pPs92RkW8n/fNGgak/7n+5+po/c/3P1NQfZ7vOPIkyfal+zXf/PvL/3zRoGpN+5/ufqaP3P9z9TUAt7s9IJD+FL9mu/+feX/AL5o0DUm/c/3P1NH7n+5+pqA292Bk28gH0pfs13/AM+8v/fNGgak37n+5+po/c/3P1NQ/Zrv/n3l/wC+aPs13/z7y/8AfNGgak37n+5+po/c/wBz9TUP2a7/AOfeX/vmj7Nd/wDPvL/3zRoGpN+5/ufqaP3P9z9TUP2a7/595f8Avmk+z3Z6QSH8KNA1J/3P9z9TR+5/ufqagNvdjrBIPwpfs13/AM+8v/fNAXZN+5/ufqaP3P8Ac/U1D9mu/wDn3l/75o+zXf8Az7y/980Bdk37n+5+po/c/wBz9TUP2a7/AOfeX/vmj7Nd/wDPvL/3zQF2Tfuf7n6mj9z/AHP1NQ/Zrv8A595f++aPs13/AM+8v/fNAXZN+5/ufqaP3P8Ac/U1D9mu/wDn3l/75o+zXf8Az7y/980Bdk37n+5+po/c/wBz9TUP2a7/AOfeX/vmj7NeZx9nl/75oC7Jv3P9z9TV7TMbrnHTeMfrWZ9jvv8An1m/74NaemKym4DqVbcMg/jUy2Kje5fooorMsKUfeFJSj7woAzrp9t3OM/8ALT/2VarSykxMMnkU++eX+0Z0jiV+QSWk24+VaqzNcCFy1vGFAySJgSB9MUDKk2uzLqEsPlLtXUUtN2T0aMPn684rV80+pqCTRbWW9N69kjXBGN5f2x06ZwcZxmmx6DZwtG0djGpjKFCG+6UUqv5AkfjRYG0YmteKJ9GuDClskqm0kljJYjM28hEOP4Tg80p8XSvLFbW9j510xh3Ktwu3D4B5zwQSODW4ulpIGeW2R3dGiZieqFidv05qAeGdNHmY02MeaAHw5GcEEY545A6YosF0Z8fi+Ca6ktoLW4lkWUQrhgAzbip5PAwQevUciorfxd9suba2ij2SyPHuO8MCjHB4ByrdODW2mh2scxmSzUSFg+d5PzDoQM4B+lRQeG9OtZvNg02KOTIYFW6Ec5Azgc0JdwbRd80+po80+pp/2Z/+ef8A48KPsz/88/8Ax4UWC4zzT6mjzT6mn/Zn/wCef/jwo+zP/wA8/wDx4UWC4zzT6mjzT6mn/Zn/AOef/jwo+zP/AM8//HhRYLjRMcjk1j3Gr3NnqFlBsSOzkwGnkR2BcvjYCvCHpgtwc4ra+zPn/V/+PCqQ0WCeWC5ntUkni+45c4GCSOM4OPcUWC6Mu+1y9sLiRYYoHtra3SeYOWDsGkZcKegIxnkc9KRPGME8ssdraXM7rL5aYZVD/eyck4XGw8HnpWn/AGFa3M0N3cWcctxGMLIXPZiRxnBwTnkVIuh2qStKtmgdn3k7z97nkDOB1PT1pWYXRkyeL4Ej81bW5eEr8jhl+Z9gfZjPB2sOTxUVz4y+y487TrmNvMaPbvRixU4YDB45xyeua2P+EdsPM8z+zotxjEed38IwAMdOgAz14p02g2dwQZrCKQh2cbj/ABMck/iadtQujLk8WwW8kKXUEkJd3RwZVZo2TOeAckfL1FR3Xie5jVYksZYrma3M8KMysdgBJY/NjhQTt61rv4fsZLoXL6fE0wJbeW7kkkkdDyT19TUX/CL6Z5QiOmxlB0BkJwPQHOQOTx0pWYXRFYeIE1C68mOCZYyGMczEYk24DcA5H3h1rU80+pqOPS4opBJHaojjdgqQMbsFvzwPyqf7M/8Azz/8eFOwXGeafU0eafU0/wCzP/zz/wDHhR9mf/nn/wCPCiwXGeafU0eafU0/7M//ADz/APHhR9mf/nn/AOPCiwXMXV9WutORJIY08lpHM88iO6RAAEbgnIB/vdBjmtSSbMJIOQcHr7ioJ9Fgv+Ly1WYJISoLkYzjIODyOOh4pW0eCFjNDaRxy7mO8N3Ygt+eB+VFguY58U3MF1eQz2LT+TOyK1uwXCAooLbjyxLjpTh4whUyGeyuYYomaOSQsrBZFVmK4ByeFPPStVPD9lHJO6WEYedt8pLk7jkHPJ9QD+FRx+GrGO9uLsWStLPnfufKjIwcDpzk5PXk0rOwXVzMufFk8cE6w6XM13ApMsTzIAmCo5bPOd46VbtvEkVxrLaUYJo7hAfMO4MEcKGKnHsRz0NXI/D9lDA0EdhGI2Ro2G7OVJyQSTnsPyFPh0W3t5xNDahJAmwN5pPHTueT7nn3p2C6J/NPqaPNPqaf9mf/AJ5/+PCj7M//ADz/APHhRYLjPNPqaPNPqaf9mf8A55/+PCj7M/8Azz/8eFFguM80+pqrqN61pZTXSjc0MUkgUngkITirv2Z/+ef/AI8KiktHZ4wY1KncGUkHIxRZgmjDm8USW9y8TWUkpEMcoETgEAxs7E7j2C8etbqXAkjV1J2soYfQ1Vh8PWNvGUisI1U5zlyeq7TyTnGOMVYg01LbzPIt1j8xt74bqcAZ/ID8qLBcc8p8t+T90/yrHufE8VjPJFNbTiKIFPODLtZxGH2gZz079M1tSW0nlPhMfKf4qop4dtDcz3UloJZrhdshd8jG0KQB0GQPrRYLohsteN5ftZfY54pow3n7nUiIg4xwfmzx0rT80+pqG10a3sgPs1okeF25DZOM55J5PPPNWfsz/wDPP/x4UWC5nz6g8Go2kCqGF1MUY5OQBEWyP++a5pPHV0ygGzi8x2t/Kw7YKvt8wn3UMMetdVcaTHfCSK6t1lj3hgN5BU47EYI/ClGiWoieIWMQjcoWUEYJXG38to/KhILoq63qcumWE93CoeSNVChgzDmRV6LyevQVJo2pS6hpkF3KFVpMkbM7WAYgMAeRkDODyOhqzPp/2mTy5oVkjKglGbuGBB/MCof+EfsvMd/sEW523Md3U7t+f++ufrRYLoyZvEF1b+ILTS4oo2jkWMncrbjuL5w33RgJnB5POK3JpZML5eC+TtDHjO04qL+x4LiMPPaRyOwTcxPJ2klfyJP50RaRDZvGbW1SL7qHa3VVB2j8MmiwXRgz+LpF0yS7WNEVIU3sXGUlOSyhSRu2henXmmjxfcSC6ghgMtxDL97hVSLzAu45PJ5HArdl8OWE8LRSadEY3ladl3YzIwwW4PUg4NI3hnTXcO2mQ7g+/IbHOc5PPPIHX0oSC6I7LXor2SYCKWJEj85HYgiSPcy7hjpyp4PNZTeNBbrLNdWkqRuUNtEGBdkMe8scHrjovXtXQW+j29o8z29okbTHdIQ33uv5Dk8Djmq6+GdOSFoU05FjZg5CyEHIGOucjjjHTHFKzC6Lqz70VgWwwBGeKSSU+VJyfun+VSfZnAwI/wDx4U2W2k8l8Jj5Tzu9qdguZ0Wuxya2+lFCJUi8wOJAwIGMggcqfmHWtHzT6mq8Wi28V416lmi3Ugw8ofk8DPHTnA/IVb+zP/zz/wDHhRYLoZ5p9TR5p9TT/sz/APPP/wAeFH2Z/wDnn/48KLBcZ5p9TR5p9TT/ALM//PP/AMeFH2Z/+ef/AI8KLBcy7nULmDUbGCIRmK5uJElLA7gAhb5cHHbvV+SUlMZPVf5iq0+iW9+Q15aJMY3fZlyNu4YPQ9xxT/7JigDPBbJG7MCWDdfuj+SgfhRZhdFbTdSvL9pLkiBbIySRxgbvMyjFck9OcHjtx1qPWtVn02BZbdVeSWaKEbo3fG4tztT5m+gq23h+xNw85sI/Ndw7HeeWBBBxnGcgHPfFNfQbWWE2klmhtlKusYcja2Scgg5zkk9aLMLoltrmWWySSY/vGTLYjZB/3y3I+hqhcahqUWr2FpA1p9nuI2YmRHLrsC56NjnPHHFWxoNpHho7NA6bWVjIWIKg7TkntuP51YGnhzBLJArSxoVRy3IDAZx9cCiwXRV1bUHsNOuLyNQ7wQSSKrZwSBnHFGl31zdWnm3OA5bgLBJDxj+6/P49Kf8A2LbrCtotpGLV4zG0W7hlxjH5UxfDdgsXl/YFZCrJh5Wb5WxkZJPBwPyoswuiGfUbz+0IrCxWDzXSSd3n3bdocDAC9yT17e9O03XU1KV0WGWL5BLGzMCJIyxUMMdOVPB5qeXRoL5E+12qSmN2KHeQVyeRkY49R0NEfh+yiYtHYRKTKJSQ38YyQfbGTwOOTRYLosSynyZOT9w/yrn5fFMlreaj9oQC1tJRCgWJ9zsQmMyH5By/TrW1Ho8FnFJ9ltEhJiEeVb+EZwPoMn86e2kwyQzRPaoUnbfKN2N7YAz9eByPSiwXRix+KJJ2jWK3w1wImt1kJUlSSJN3+7tPt09aoXHjaaS4to7GFAJJWhk3q0+CACCvlnLDB7V040W2DQN9jQtAjRxMzZKq33hk+vvUNv4b0+0aJoNOiRom3RncSVOMcEn0AH4UW1C6MZfGYiN39ptztt51hJVghbOckKxyeh44IrR07W5dQ1KaNYWjtBCHidiMyfOylsDoPl6Gn/8ACJ6e09xNNaCd55fNO98bTjGBjHHXrnPerdtottZzzTW1mkUk3+sZX+9yT+HJJ49aLBdE/mn1NY2qavfWdwI7NLdgIZ7mTziwyIyvAI6E7jyc1ufZn/55/wDjwqhPoVrqDBr2zSdo3bZuc8AkZHB5HA4PHFFmF0WILoXMFvMu4LL5bgN1AJBrarFTTI4Z/Ojt0jkeUO7A9SSuf0UflW1QIKKKKACiiigAooooAKKKKACsTxeX/wCEUvljkMbuEQMpIIy6jqOe/atuqOsad/a2lzWO9kEuAWVtrLg5BBwecgdqTvbQZwlx4RnW1uGGpYZEnIIEnVVDD+P3NdX4QkaXQbaR2LO9vCzMxySSnJNVG8J6k8bRtrmoFXDK372Lndwf+WXoMVraLYjTLY2QOVgSNF5zwFwOfXFRRlWdKKrtOVtbK2v3IXJGL9006KKK0AKUfeFJSj7woAxr5iNWuMeg/kKrXDn7NL/umrV4u7Vrg79uAP4c54FV7mM/ZZf3xPynjywM/rQBnJPcNJqBE2sCPz1DK0cmY4gSGaM7epPQLn5QKt2D6mdat/tTzhDbLvj2Nszt5Ofu53f8C/CtYXUOJP8ATrf90P3nzL+7/wB7nj8akD5l8oXEfmbd2zjdt9cZ6e9UhMw72XUBqu2xa6OLeXKbD5W7BKkH7uc8f3s+1Rxy6hutdj3xhMp8gyK25xvH+tyMgbN33sdu+K3Y35EX2iMSYLbON2M9cZ6e9KJkZY2W7hIlOIyCCH/3eefwoQHOmXU/sspke/C7x5pRW3rJh8hMDOzd5fTjBPPWpXl1bzrjJuRKIv3iqp2KvyYMfGN/+s6ZPA9q3TMgV3N3CFRtrsSMKfQnPB9qUvh2Q3EYZF3MpxlR6kZ4HvQFzCjk1LzrTa12cj9yHVsOm58mXI+9s2Y3YOc981B5uqfYgQ9/jedrFW3mXYMKeM+Xv3D+7jviukEqsYwt1ETKMxgYO8eo55/CmNdwIoZ7+2VWYoCzqAWHUDnr7U7hcz9PuNRfxHqcV3DNHbrHGYDkGI8sDtP948EjtxWzUQYs7Is8ZdMblABK56ZGeKdtk/56D/vn/wCvSEPopm2T/noP++f/AK9G2T/noP8Avn/69AD+9Mh/1S/570bZP+eg/wC+f/r0yFZPLXEg/wC+aAOSN9cDV7uNNQu/MW6dHtwx8uO28kEuOPlIbow5JOKzNJ1S8ns7nzdaljnECmKW4upMrmFCWMWzBG4t82cj04rvY5wpjgN3EsrAlYiRuIyeQM5p73SxxebJfQpHuxvZgFz6ZJxmlYdziIdVuJNTt43u7qK38k7PN1BwJX81huVgn70EYwGxxWodUmvfAEk1nfSHUUtEWSWMfvI5SBk4x97rXR/aAJWiN5EJAu9k3Ddt9SM5x70j3KrIqSXsKyMMqrMASPUDNPoF9bnGy3fiaWTUbQC4S9mkhEEaMoEKqrFyrH5fmKgnJ/jqGbVtSluL69e4vbSyeGQREO2Fk+zqwQLj5SG3ENk5IIrut54X7RHy20Djk+nXr7UGUoxDXKKwXcc4BC+vXp70rAmcHBqmvpbRmCa7ufOe4aF2Tcfki4U8c84YZ6nNdJoFyZrq+WC8uLzT0WIwz3BJbeQd6gkDIHyn2JIrWNwvmmM3kPmbd5Qkbtv97Gc496jF/bSo8i6naOsYBdhKpCjtk54p9QLdFV/Pj81YvtkHmuu5UyNzD1Azkj3pZpkt1DT3UMKk4DSEKCfTk0CJ6KrfaYfOaH7db+coy0e5dwHqRnIp8UgnjEkNzFLGejx4YH8QaAHx9X/3zRL/AKo/UfzpqK/z/vB94/w0kqv5Z/eDqP4fegCbvRTNsn/PQf8AfP8A9ejbJ/z0H/fP/wBegB9FM2yf89B/3z/9ejbJ/wA9B/3z/wDXoAybq41FfFenwrDN/Z7RSbpEIKFsZ+fuMcAeuTS3Wo7xpdxHHfxrLc4eP7O+dmGB8xQDgZ29frWmXxIIjcRiRhkIQNxHrjOcU2SdIWRZbuGNpDhFchSx9snmgDBvotUs7fUGs57yUNLEgMzs5RTzI6BRnjIGF9K0oNQieKa1YXQmtrZJJjtZmXcDgAjkvwTjr0q19pixIfttviI4kO5fkP8Atc8fjUpDKCxkUDqSVx/WjoM5+C5v5o9JcG9BaKMMHjddzhsSeaCOPlyRnHPStXVzMLVfJMy/OPMaHPmBP4iuOc49OfSrCyrJsKXUL+YMptIO8eo55/CiUmMq8kyKq5JZgAAMdSc0MRz4lu0vI2jl1ho8K0QkjJVosHeXyPvjsG5+7xya0PD00k9hK8jXpHmnYL1GEirgcEsAT37YGcDpWgs6OyKl3CzOCyBSCWA6kc8inRv5yb4riORM43Jhh+YNCAe/+rb/AHTSr9xfoKjdZPLb94Oh/hpVWTYv7wdB/DQBJWfrcrw6LdPEbgShD5Zt1Zn3dsBQT1q7tk/56D/vn/69NdjGpeSdEUdWYAAfjmgEcx4g1Oe3uo5Ve7S1a38yKOJ2haabK/ITtJB28hSOTnPSq9zrTvou3+1DHdwXk3nxGRopHQPJtQOFO04C445xjvXVtOtuzGW7ihDMFBchdxx0GT19qke4EMRlkvYo4lOC7sAo7YyTikxoyr2WVrSxlP2+GBow0/kgmdfl4B2gnrjOB+ma1rcEW8QLSN8o5l++f973qKSRYm82S5iSPb998BeTxyTUy72AKyqQehC5B/WmIIf9Sn0qG/cJaSOTIMKxzECX+6egHOfpT4lfyl/eDp/dpJdybWaVVUHJJGAOD70AjFguL6Z9JcG8G6KLcGjZQzZxL5gI4OMEZxz0zVnUNRzaQTRR38ZW8VCq277mVXwxIAPyEZ56GtLzBuRftMeZBlBxl/pzz+FKzFNu+dF3HC7gBk+g560wM6K/MWoauWS+kihVJETyHIOF+YR5GGOccA1Wvrq5bWYktDqCyeQWCmJvIYlGKqeNobOMknjAHetpWLMyrOjMhwwABKn354o34lEJuIxKRuEfG4j1xnOKQ7nMyXV0lvap5usAtcZjkELsdo27vMG3J5LAA4GOegFaemveNcXwuDOVAO4SA7Vfc3CZ427dvTjPvmtAXEZVGF5Btkbah3DDH0HPJ9qUtvWVVnjYoCHCgEqcdDzwaAMC6vb82WqLZC7LpdIA0sUg2REKGKfLlgDu+7k+la0N2FtxBNFeK6Wold9jN7YDdS/fHWrIkHls/wBpi2x/fbjCY65OeKcGJjEgnQxkbg4Axj1znpQBziX1xJHoY3asszKnmsYJAh5AYSDb1PvgAZaret37NprGFNUhkE7RKYIXB3AH5jgElO4I+9wK1vOXMY+1RZl/1YyPn/3eefwp0knkrvluY41yBufCjJ6DJNAXMCa5vIpLx5TqTRiM7lgjbOMr5ZjGCAxy27GSO/QUWMuoNPp26S8cFV/1kbqrLlt/mZA5A2YLYJ6gcmt5pVUuGuolMa7nBwNg9TzwPc0CVWKAXURMg3IBj5x6jnkfSgLlaaKOe7hSVQ8eZCVbpnjFI1vDb3sXkRqgZG3BRjPzLinzNCi4uGVsudoMW4n14FMie2JKwFVc4OPIKEjI9aAC2s7WZHkmhjdzK+WYZP3jUCxhrGOI8oZlUjsV3tx9KmkksjK+7Y7AkMRbFue/IFP8yDyC5kjNuVUAeVkHk8Y+tIBs9pbQNA8EUcbeaoyowcc0JbQXF1OZ40k2rGF3DOPlpI3s/MAj2LIeFJtyvP1IpZXtQyrMUaQKM/uC5Axx0pgOtI0hu5441Cxh/lUdB8oq9VO3aJyv2dlCgkECLbg4HUVZ2yf89B/3z/8AXoEEf3T/ALx/nT6hjV9p/eD7x/h96ftk/wCeg/75/wDr0ALJ/qn/AN00o6D6VHIsnlP+8H3T/DTgsmB+8H/fP/16AH0UzbJ/z0H/AHz/APXo2yf89B/3z/8AXoAfRTNsn/PQf98//Xo2yf8APQf98/8A16AH1jSveDXolQz+UWGFUHyyvzeYWPTI+XGefTvWttk/56D/AL5/+vUaNh/LM8YdmYqhAy2OpAzQBK/Qf7w/mKsVUYP8uXBG4cbfcVbpMaCiiikMKKKKACiiigAooooAKVfvj60lKoywHvSGZ1pYazFrc13catFNZSDC2ggI8sDpg56+vrVqP/j8uv8AgH8qqWuvWd3rU2kx216t1DzLvhIVR2O7pg9vWrcf/H3df8A/lTEyaiiigApR94UlKPvCgDGvsnVpwPQfyFVbgMLaUnONpq3eiM6tcb1zwMckdh6VWuFh+zS4QZ2nHzN/jQBWTSL3zbyV7DTwzzrKoWQ4mVScIw2fKMHJPzZYmprHRZ7TVoLhyjrHAsZk3nJIXbjbj8c56cY71P8A2vZgXm6C9X7GAZS0TDIORleeRxn6c1Y+22f9q/2bmT7QE399vrjOeuOapbCZnXuj3F9qHnIIIo/Jlj84Md5LAjBXHY989OMUi6LdF4ZDHbx5kLMiuSLcb1b938vJ+XH8PWrr6jZW1z9lnMqP5by7iG2bV5PPrihdVsW8kFbhWlbaVZSDEcgfPz8vJA/EULyDUzv7Bu1gYeXbOykKsbOdsoAcb2+XhvnzjB+6OfR76Dcl5gHiYbPllZjulPyfIwxwvydcn73T1uHV7DynkC3DbWChVRizg5O5RnlcKxz7GnNqmnq8i7pSI03bwCVfp8qnPLfMvHuKeoalNNEuvOgY+SgzucqxzB87ttTjkHfjt93pRDoDNp7wXEFruaSMAAbgqKFDMCRwzBefr1NXV1OxZ4U/fKZRzuBAjOSMPz8pypGPUGo/7Z0/yBLi4wWxt2NuAxneRn7uCDn0NAaj7HTprbU7i4cRiNt+1lPzSbn3fMMcbfujk8eladUobu1nv57JBKJoFDNuDAEHuD3q15Seh/76NIQ+imeUnof++jR5Seh/76NAD+9Mh/1S/wCe9HlJ6H/vo0yGNDGvB/76NAHNtp2rQavLdWdtDJ5k5mE7mPlfKKiM7huUhgCCvGGOap/8IzqNlYfZI41u3jlM9vKgjRVkdCH3xyZDKW5JHPzEiuj/ALRsIbv7FNKyTLbtctndtEYPJJ6Z749Oarpr1nLLFFHYaq8kqmREFswJQY+fk9PmFLQq7Mi98PajcRT24s7fzmmluPtyyKNwaJlEQH3hyQvPGAKNT0W/1qbTVm0jyY4YVimeSaMkASRNxtJPRGx+FbNnr+k309rBbyytJdNMsalWHMRw+fT29e1a3lJ6H/vo00K7ON/4R3W3CSO9us1pdS3cJ4bzpGk4OcjYSgwTz98irniTw1da1fzzwssaPpzWpDc+YGLFoz6A/Lz7V03lJ6H/AL6NHlJ6H/vo0WC+tzl7bQr1Lu2SSzizHeLdPfb1LbAm0xY+9/s/3cflUg0GW2Pnx6dbzKmpy3Jtl2L5sbAhevGQTnBrpPKT0P8A30aPKT0P/fRoC5xmn+FtRtdStr2WKJo4njb7OrL8o3SnCtjPyb14zhgCPStjxRotzrUVnFbOieU8jM7qrDBiZQMEHqSBxyM5FbflJ6H/AL6NHlJ6H/vo0W0sF9bnFReH9TNvqEJsDEs8nmJG0kLRlRsPllwPM5Clc5xz6V0OlLf2llIJ7H5nuJHSNDEpSM42htuFJ69PxrU8pPQ/99Gjyk9D/wB9GgQR9X/3zRL/AKo/UfzpiRp8/B+8f4jRLGgjPB6j+I+tAE3eimeUnof++jR5Seh/76NAD6KZ5Seh/wC+jR5Seh/76NAGdc6fNNr9neLHAIoAS0m47zlSNu3HPXg54545pZbCXULa1N9b2guElVpCg3hVDbsKSM84XPTvViS5tYr+CyYv586M6AZIwvXJ7e3rzUd7ewWDxCWC7cSHG+JGZUyQBuOeOSKAMpdCu4muikVuY2uBOlu8pZZWy2SSV+UHcOPm5FXlj1FbS4sBa280cNrHHBJcOdtxJg7gwwcKMD65pz6paIbhfs98XgIyiwvucEkblHdflPPtVozQfYPtiLNLEYxIoiDMzAjIwvUn2o6D1uZVnpt/btphNnZr5EsrzFZzkb8j5RsA75xwO3vWjqlq93bxxxhGZZBIEk+6+3naevB+hqCLV7GUwDZcoZiRiRCvl4bb8/PGW4HqatXksNnGssgkIBwFTLMxPAAHck0CMg6LdG7EwstOj3lZDtY5jZQfkX5eVbPJ46twavaFZ3NnaSrdW9tBNJLvK2z5ToBx8q46Yxjt1zSLq9i1wsLRXkbnht8TgITnCsexODgd/wARVmyube/jd4454zG+x0mVkZTgHkH2IP40LyAtP/q2/wB00q/cX6Co3iTy24PQ/wARpViTYvB6D+I0ASVR1i3nu9Iura3iikllQoqyvtXnuTg9PpVvyk9D/wB9GobuSGytJbmVZTHEu5tmWOPpmgFuYOtadqd1drdWttDJN9m8kKzI4gkJVt2JBhlIGDgbuBioJdL1F9KFmdLlMtvdzTwSpNAVYszkEq+QRhuQRnnjkVuXN/bWd4ts0VzNPKN6x26M7BBgFjg8DJFNk1awjtYp1W4mE0zQRRxIzO7qW3ALnttY/QUhrYZdWV1LDYkw2s1xbx5eBztidtu044OMHkcVqQR+VBHHsRNqgbYxhR7D2qnc3UFr5TtFcOZVwkUalpCevTPYdatRCOWJJFWQBwCA+VI+o7UxDof9Sn0qK9WRrZlijSSRgQqO21WJU8E4OB+Bp0UaGJeD0/vGmzhIk8wq7BckhSSTgHpzQCMmDSbzOmtNHbo0EUUchWQsY/LJPyfKM7hwemPerF9DqdzZxD7LZvOl2sgHnMqiNXypyVJ3EDkY4z1qYahZF7VR5x+0orocHChvu7ueMnge9T3MsFqsbSLIRJIsQK5OCxwM88DPenqBUSHUYr7VLiK2tB5yobctMfnZVwN4C8A+oJqtfabfXuqRyG3s0hEJU3CyESq5RlJ+7yBu4G4dST2rUikhmuLiBVkEkBUPuyAdwyCDnkVDcX1pa3aW8yzpuBIlKt5YwC2C3rgE/hSHqZMmjX5hhjFjp7IZvMlQykeWBsACHZ327jjB7e9X9P06azmu5JfL2spVWQ5MnzM25uOD82O/TrSnV7JYEmaK8CM+xv3TZiPHL8/KDuX8xU8N1a3bXEUXmbogclsgMORleeRkEZ9RTDoZd1pOo3drqMQSGATXUc8flT8yqoUFWOz5SdvXDda1I0v4o/KMVtJGlsAPnKlpe4IxgLjHPX2qD+1rENPHsuTJAyoYwjbnLZxtGeeh9OlXkMMlus8e542Teu0klhjPFIDDTS9RMWjwy2OnlbVUErCY7lKsMbTs6YGccc8dKs6ta6nf6e8As9PlYzMAJJCMRYIBBKHDnoeOMnBq5HeWsosyqzYvFLREggcLuw3PBxTr65g0+3M8sdw6DqIVZyBjJJx0AHehgZcmk3yPcyQW9lIzI3lrMxKuWKfK/wAp4Tacdc57UWei3MM1izRQRrEFL7ZCxjKlzhflGQ27npjHQ1e/tKz8yVES4kaNdw8tGbzOmQnqRkZHbNJDqlhcPbpH5+ZxwSrAIckBW54JKsAPY0w1J5PkuopSrFVaQEqpOM49PpSOwmu45EV9qIQSyFerL6/SiRzHIsccJkeRmwDIVAAx3/Gk8xzKIZrfy2YblIlLdCM+nrSAdbSrbo0ciyhhI54jY9WJ7CoFjZbVMo/yyrIRtOQN7HpUqyzSljDabkDFQWnIJwcdMU0XCmATiFizFUCeYfvbiOvpxQA+4kW4MKoshKyhjmNgMDPqKI3EFxMzrJh1QqVQnOFx2pGllRkE1rsV22BlnLYJ9sUeY/mGKG38zy1XcTMV6jPvQA63+a7mkCsFdsruUjOFA71cqnC/nTFHiMbxkhh5hYdAetWfKT0P/fRoEEf3T/vH+dPqGONNp4P3j/EfWn+Unof++jQAsn+qf/dNOHQfSopIk8p+D90/xGnCJMDg9P7xoAfRTPKT0P8A30aPKT0P/fRoAfRTPKT0P/fRo8pPQ/8AfRoAfWRJp00utJdr5flh1YuT86bd3ygY6Nu55HTvWp5Seh/76NU/tdrHeizbzPNduoztUnOATngnBx9KALr9B/vD+YqxVRo1G0jP3h/EfUVbpMaCiiikMKKKKACiiigAooooAKNwT5icBeSaKiuf+PWb/cP8qBkn2yIfNyM9Tsb/AAqGFg9zcMpyDsIP4U6YHy+hqCw/j/3Iv/QaLCuXKKKKAClH3hSUo+8KAMTUGUavPuYLkDr9BVW4eP7NJiRSdvTPWr13IY9WuMEjIHT6Cq9zOxtZQWYgoR1oAjOjhra+h/tm523hLN8sRKZOTj5eeMDnOABVuOyhTUVvWu2eQIFYEKAxxjdkDPT+HOM84zVY6pqCQ6nKbe0aO0/1RWRv3mPvA8dQMcjjPHap5NVeLxDHpskBWOVf3cmxiWIUsTnG0AYxjOc9sVQmRzabbXlz5891IU2PGIcqFG7IJzjd07ZxnnFA0m23Ru97I7h90zHaPP8AmDYbA45APy46U271ebT7kI1ur2xikcOGO7eoLbfTkduvekGtXKyLFJbxb4323JVmxjeqDZ68sOvvTXkGov8AY1qI2VL2VWyPLcbcxoAw2DjBGHYZOTz14FObR7ItJi4dYyuEjBGI2+X5gcZJ+ReuRx71CNduXj+S2h8yTEkIZ22+WVdvm4+9iNunHIpTr8mXdbZfKZcRZY7i/wAmd3YL+8HTng0ahqSrpNoHiZrp328yg7cTNlmDNxxgsx4wOaZ/Ylp5Hlm9lLZ2l/lyY9oXy+mMbQBnr3zmhdbmEiK9vHtQ7LgqxzuLug2eoyh69iKi/t+5FvuNtD5oUzMN7bfKCB+OPvYOPTNGoWZfgs4YNRnvTdvI8q7ArbQEXOccAE+2ScDgVd82P/nov51nWGtRX+s39hFsxaKnIf5iSSGyvYAj8a1KQhnmx/8APRfzo82P/nov50+igBnmx/8APRfzpkMsYjXLr+dTd6ZD/ql/z3oAwJ/Dtjezy3U1zJ50zMGIcgeUUKGPGcdCTuxnNRz+H5Lq5s7i61O0uZLRDHGJrEMu07TnG8fN8vX36CpP7dvI7qWP7Lbm2W6NnG/mNv8AM8vzAWGMbTyOOR1qlYeLdRvYJ5FsIHkhiD/Z4hMzOTGr8Nt2/wAXTOeOlLQqzL2n+G7DTr21vIrgmeHfvY9JNwYdM/Ljd264Fb3mx/8APRfzrmY/FNzLew20YsXLReY7qs5Gd7LtxtypG3nfjk1o3GtTReEP7bjtleY2qzrAXwCxAwufx60xWbZq+bH/AM9F/OjzY/8Anov51yk3jlEtNQuI7aIx28kMcBkm2CUsCXzxxt2uPcipJPFs7ale21pb28scEDzIWZwxURLIGPGNpLBcAkjINFwszp/Nj/56L+dHmx/89F/OuUj8ayJCWurFFdWlG2OQkOqR7sjI/vDafTg1u6df3U17dWN9DDHc26xyEwOWRlfOOozkFSPyNArF7zY/+ei/nR5sf/PRfzp9FADPNj/56L+dHmx/89F/On0UAQpLHl/nX7x70SyxmM4deo7+9Pj6v/vmiX/VH6j+dAB5sf8Az0X86PNj/wCei/nT+9FADPNj/wCei/nR5sf/AD0X86fRQBmTaZZy65bat5zpcQqylVk+WQEYG4e2TjHrUqW0YtreGa9luDDIJfMlYbnIJI3YAHGR09BUM2tRxeI7XRx5ZkljaRyz4YYGVAHfODn0o1PU5rKazMMSSW0rETznLCJcgA/L6k9egoAqvom+K6Q65dn7RIHclYs4BPyn5eV5AwewHvm/aRS29zI8motND5UccUZAG0qDuc4H3mJHtx0qn/bVybe7lW3i/doJYlLHlN5Q7vRsqTxx0rUvrn7JaXEqgO8SFghbBPpRsh63M+TRtPm+wCV1dLI7owyqSWznO7GRzzxjNW72OG7RIzMUIbesiEZRh0Izx+dZqeIJjLYWz2wjuJ9zTZV9saq209vlJJH3q0tRuZLWOJokVpXkEUYckLubgZI7UCKZ0qNpRI+qXLMQDJymHdc7XPy8EZ6DjgccVY0u0TTbUwG+kucuW3yhQ3PX7oGfXJ55qr/a19HdmKa3tNkciRSlJjne+du0EdOOc+/pV3S7u4vLeR7iOJWWQqrQsSjjA5GQDjkj3xkcULyAsPLH5bfOvQ96VZY9i/OvQd6c/wDq2/3TSr9xfoKAG+bH/wA9F/Oq2oQx39hNafa2gEq7TJGFLAd8bgR+lXKrajcS2mnXFzCiO8SFwrkgHH0oBbmPqmhJqpOdQ2MYRbzO0YbzFyGBABG1gRkEdM9KZLoMkuny2D6laSWrSvKiy2QcpuZm67+oLcEY6VY1XWpNOvmhRYFVYvtE8twX2omQoACgnOT16DHNNuNfuU0aO/itE+a5khdn3skSozje2wFsHaOg43elJ2sNXLctnG8VrEl9LHLbRhY7kFWfptOdwIOR6ir6SRoiqZt2ABuY8n3NUbi9mzZC0W3kmuk+Rnc+XjG4nI5PHSr8LO0MbSBA5ALBG3Ln2PcU+ohkUsYiUF16etMuis0JiS48pnyvmLglcg84PH51ND/qU+lMuWdY90YUuuSobOCQp64oBGdDpUEX2PdfSS/ZkRDuCDzQhym7A4wT2xnvT7iwM9qsJ1a4BW48/wAwiNm4bcE5XG0cY74HWmjV5i9l+4QLNFC83zHKmU4UL64I5z2q5eXTwRxPCI5A06RPlugZgpxjuM09QK32L9/fyjVZ1N2gUbQg8nAwCh29R75pk2mR3F+txLqU7RiLyjAdm1gVIY5xkE5ycEdBVyG5ka8vYZVRI4NhVwTyGXPOemKrX2pz2d4qrDFLbeU0j7XPmABSc4xjHAHJySeOlIetyu2jIwh26vcqY5fNchYz5rcAEgrjgKAMfXrVq2s7eza4kScvvUqisRiNcltox1GSTzk1WOr3wiTFtbNMJxFJGJG+YEKw2cdcNyTgDBqez1KS8e4R4lRNhkiKkkldzJ83vlT07U9Q6EJ0mFpZpzqE3nyMrJJ8mYtucY+XDfeIy2TjjtVqO1SEbYL6WONbcQRx5UqmP4xkct9eOOlQz398lpfPFFah7STGZWYKU2Bs8DO7nGKvwyySW0ZYItw0Qcx7shSR+eM0hGbDpYhXTlGqzMtjnblI/wB4CMYb5fTjjFLeab9stWgOsXSAzGUn923B6JgrgqO305zU0GoTzJpbtDGFvEJkAJyh2buPUcd6fqd7NaWRmtFglkVsbZHIyf7o2gksemPzoYyrNpMMhnKalPC0qkBkKZQtjew46ttGc++MUsGlW8Mls5vXk8kLkEIBIVzsJAAxt3HAGPfNB1e4M06LDAiqriNpZCAGTbu3kDp8wxj0ptvrNzJLapLapGH2LMNxyGcsF2jHT5MnPPIphqXHP75JYzGxRnG1nx1x/hSMzSTpLJ5SBF2gK+7OSPb2p0rTGeOGKXy97OWbaCeMev1ppNxFcpFJP5qupblAMEMvp9aQCxPJAGRVhdd7MCZcdTnpioxHiBUDxl1dZMbuD8xOM/jUkQurgNILsxjzGUKI1OACR3qIXE7WqsHAld1jL7R/fIzj8KAJZHeYxhxEio4ckSZPH4Uis0UrvH5TiRV6ybSMDHpRL9qt2iLXRlV5AhUxqODn0oX7RNPIkdwYkjVMAIDnIz3oAdCdtw8kjRqZGzhWzjAA61Z82P8A56L+dV7d5TcSRSyeYY2wG2gEgqD2q3QIhjlj2n51+8e/vT/Nj/56L+dEf3T/ALx/nT6AIpJY/Kf51+6e9OEseB+8X86WT/VP/umnDoPpQAzzY/8Anov50ebH/wA9F/On0UAM82P/AJ6L+dHmx/8APRfzp9FADPNj/wCei/nVA2dvLqAuzOylXBMYI2uVztJ4zxuPQ9+a0qzG1KSLVBaiJTD5io7kndufdtwOmPlOaALzSIdoDqTuHGfcVbqu/Qf7w/mKsUmNBRRRSGFFFFABRRRQAUUUUAFG0P8AIwyrcEUUq/fX60hkY0ey6eWf++jUcKhLq5RRhV2AD8K0xWan/H7dfVP5GhBImooopiClH3hSUo+8KAMa9Vjq8+1CwwM4IHYetVrlHFrKfKI+U8714/WrN8xGrXGPQfyFVrhz9ml/3TQBP/Yeksk6nSLci45mGxf3nOeeeeSTVqK1t4JhLFZqkgQRhgBkKOg69K5xtT2JqrtqGrYWVUjRYDuj+YjKny8AE/XCgHvWlp1+0mqW8ElzNKz2COwaBkQvnk8qMEjsT+FUhMupZ2rXH2trGNrgqYzKVXcVyeM0qafZxrbqmnxqtsd0ICr+7PqOay726vo9V8uyknfFvKTD5R2BsEq2cYPPH3s54xio47u+LWmye6eJpSIHeM5nG8D958vA27jzjpQgNdtOsmilibTojHLJ5ki7Vwzep5609rS2aWWVrFDJMnlyMVXLr6H2rBN7qH2WZpJ7tFDgTOsZ3RSYfKJ8v3dwjHQ/ePPpK93qgmuAWmWVYsyRqnyxL8mGTjluZO56DiiwWNlLK1RrdksUVrdSsJCr+7B7DmmDTrEQiEadF5Qk84JtXAf+99ayo7vUDPZhZLh9w/chk4mTc4LSccEKEPOOvSq/23UvsIYT3ZG87X8s7jLsBEZG37m/I6YwOvenYLHRrDEt1JdLagXEihHkGNzKOgJz0FS72/55t+Y/xrJ0+8vpvEmp21zDNHDHHGYQQPLxlgSrDqTwSD04rZpCGb2/55t+Y/xo3t/zzb8x/jT6KAGb2/55t+Y/xpkLN5a/u2/Mf41N3pkP+qX/AD3oAzE0awa4e7Nm5nl3Fm81sZI2lgN2FbaMZABpkHh3TLaNo4LW5jjZQpRbuQKcAKON/XAAz14FYp1S4XV7qJNUl3rdPE1rldsVuIQxk6ZXDfxE4OcVm6Trd/dWlyz66FmWBTFJcXiBQTCjEmMJkjcW+bOB6cUkyrM69dB05JVlS1uEkAwXS5cF+Sx3kN8/JP3s0+HR7GDT5LBLWU2sgCmJ52cADoBuY4HsK5WHW7iXUreE6hcRwiEkebfxr5jiRgSrbP3owBjGOK1W1iW78ASXdnqCtqC2ib5YyrNHKQMkjoDyeCKa2FZ3sbYsbVb77atmBcf3wQOxHTOOhP51Vbw/pbWxt/7PKxkk4WQqeU2HkNnBXjFc9LqniOR9RtVSeO+kkhFtCipmJQrFyC2AQxTPJ6PxUM2vX81zfXf224tLFoJPKYsuxX+zq4QArlXDEnJJBwRikNJnUpoemIkSDTVZYvM2b23Y3rtfqecjg5qxY2FtpyyC1tnXzCC7NIXZsDAyzEnAHAHauMh17W0tozFPLdea1w0DmMNkJFkKcDnnDD15FdJoN21xd30UWoSahYxrEYrmTBO9gd65AAOMKfbdin1EzZ3t/wA82/Mf40b2/wCebfmP8afRQIZvb/nm35j/ABo3t/zzb8x/jT6KAIkdvn/dt949x/jSSu3ln923Udx6/Wnx9X/3zRL/AKo/UfzoAN7f882/Mf40b2/55t+Y/wAaf3ooAZvb/nm35j/Gje3/ADzb8x/jT6KAK7wxS3ENw9qGmhz5UhxlM8HHPGag/sywEVvENMhEdu26FQi4jOc5A7c81Vur29j8WafaCKYWUkUm51AKM2M/Meq44x65pbrVoj/ZU8T3Ucc9ztKGBxuXDA7xtyozjrigCzNpen3Ec8c2mxSJO4eZWVcSMOhPPNLHp1rFcXEy2nz3EaQyZIIKICFXGenJ/Osi/bVLC21B7e5u5x5sUYec/wCqB5d12oTgAgcA9K04dSgaGa3aSdZ7e2SWclSWQMDjkDluCcAZ9qOgyVdPs1W3VdPjAtjmAbV/dn25qS4RLhRFNb+ZG4IZGwQRisSDULyePSHSW5JkijyDEV8192JA+V4wuT259a1NXeWO0VonkQbwJJIhl0T+JlGDyB7GhiAaXp4MZGlwAxxmJDsX5UPVfpyfzNSWVla6bCYbGxS3iJ3FIgACcYz19APyrEF5cpexmO91KSPCtEJLf5ZIsHezfL94dhweBwc1oeHbpruwlkM9zMvmnYbmMrIFwOD8q57ngcZxnihAaTu3lt+7boe4/wAaVXbYv7tug7j/ABpz/wCrb/dNKv3F+goAbvb/AJ5t+Y/xqG6t4L62a2u7QTwP96OQAqfqM1ZrP1y4a10W7mSSWORUOxolLNu7YAB7+1ALciuNHsL3ak9kSsI2IFcphCBlTgjKnA4ORxTToGnYkAtrlVkdnZUu5FXLZLYAfAzk5A45rL1/WJLW5jkW4nitGt/OjELCJriTKjZllPIU5CYBP4VBc6876Lxq8Md1DdzLcRi4SKUorSBVBIIU8LjI5Ax3pMaTsdJNZ2s8K2k1kj2yxhViZRtAHTAq0p2KqrCVVRgAYAA/Osi+unNpYzGW8t7eSMNPKkeZlG3IBABxk4BwK17fP2eLLu52j5pBhj7kdjTENidvKX923T1H+NMuUS5i8ma38yJ8q6NjDDB461ND/qU+lQ38ixWkkjO6BVY7kBLD5TyAAefwoBEcWn2UH2fydPjT7MCINqj93nrt54qOTSdOmgEEmlwtCJTMEKLjzCclsZ6k85rOgv7ud9JZJbgiWKLIMRUSNnEu/K8EDkZxz61a1HVY1s4LiOS6iAvFiYCB8sA+HyNpO3Geeh7Gn1AsnS7AvdOdNiLXa7LglVPmr6NzyKP7MsDepenTYvtUahUl2ruAAIAz7AkfjVeLU449Q1cSSXMkdsqSBBC52jb8wT5fm57DNVr7UJv7aihs57sSmAuIGgPlNlGKjO372cZJYYxjvSHYuvoulyLCr6TAywEmIFF+Qk5OOe5A/KrKwQwfaJIbURvNlpGUAFzjqa56TUpkt7Vft2oKz3GIpPs7Heo27vM+TOASwA4z68ZrT02e7luL5Z2lYKDuV1wI33N8q8cjbtPfr1oAsw6dZQee0Wnxobk5nIUfvD6tzzUslpbzSySyWSNJLF5MjkDcyZztJ9Mk8Vh3WqXQstUWykmkkiukQM8br5UZChmU7OQDu6Bq1or6MW4hmN0ki2omd2jYkA8fexgtx06+1AajU0fTY/s2zS4V+ykm3wo/dZ5O3niln0fTLmIxT6VBJGZWmKsi4Mjfeb6nuayE1V5Y9DAvL5Z5VTzM27bH5Abf8mdx5GOAOvSrWt6qi6YzwzX1vIJ2hVords71B6/Kfk75A+boOtAal+XTLCdZRNpsTiZVSQMineq/dB+mB+VOh0+yt2gaHT44zApWIqoGwHqBz3rImv7mKW9aee9EaRncIISSi5Xy2QbT8zZbPXGOcYosby+kn04NcXEgdV6xFVkXLby+VHKgJg8Z645oC2htGN5X3qJEdGbBXaeuM9fpSNDIrCWQyuw4XcFGMkZ6fSo5oUnu4Y5BujzISueCeMUhtora9iEKbFdDuAJ5wy4oAmEEyZ8t5kUsW27UOMnNNFv8vkhZAVIYN8uc5Jz6dajtrG3uFeSaLe5lfLEnpuOKhVN1lHESSpmVCM9V3tx+VAFtoJThpHmcIdwBCAZH0oEMhPmRtKm9V3ABSDge9RT2cFs0EkMexvNAJBPQ5yKEtYrm6mMyb9qxhck8fLQBNHG0U2WEju5JYttGeAO1T72/55t+Y/xqpaxrDdzRINsav8q56ZUVeoERRu20/u2+8e49frTt7f8APNvzH+NEf3T/ALx/nT6AIpHbyn/dt909x/jTg7YH7tvzH+NLJ/qn/wB00o6D6UAN3t/zzb8x/jRvb/nm35j/ABp9FADN7f8APNvzH+NG9v8Anm35j/Gn0UAM3t/zzb8x/jVcQQvcrctahp4yypIQNyg9QDVusaWe6XX4okeURlhtjC/I6/NvLHHUfLjkde9AGqzMdoKMPmHOR6irVV36D/eH8xVikxoKKKKQwooooAKKKKACiiigApV++v1pKVfvr9aQy2KzU/4/br6p/I1pCs1P+P26+qfyNERyJqKKKZIUo+8KSlH3hQBj3iltWuCHC4A6rnsPcVWuYz9ll/er90nHl4/rVi+z/a0+PQfyFVbjcLaQnP3TQBriU4P+kRfIPm5+79eeKdufdt81M4zjHOPXrXNrpFyyarv0azDXTcFJ1HmKCcfwEA87stnJJq1p+k3Vtf2skqQkRRKGmVueI9nlgEZ25+bOce2apEmvEX2hPMTPJ24569etO3sQpE0ZD/dP976c81h3uk3N5qfnwxRRDyJY/tHmfM24EAbcZ4PfOMds0xNGut9s/wBmgiAkLCNXGLQb1b5OOcgEcY+9Qhm/vYAkzRgKcE+h9OtG5wSvmx5UZIx0Hr1rnP7DvBbyKba3kwwBiMg2zkBx5rccNlwcHJ+Tr0qR9EvDLP8A6tyY8ecW+af7n7tuMgDYeuR831phob+5jjE0Z38jj73055o3tjd50eM7c+/p16+1YMejXYmtm8uKMDncrjNqNztsTjkEMF4x92of7BvPsYj+z24O4r5XmDap2BfOzj72QWx1565oDQ6X9508xOO2P/r0Yk/vL/3z/wDXrJ0/T7628Rand3DwyW9xHGI5ACH+Ut8pGTwAevGa2aQhmJP7y/8AfP8A9ejEn95f++f/AK9PooAZiT+8v/fP/wBemQiTylwy/wDfP/16m70yH/VL/nvQBFE/ybfOi3KMsO4Ge/PSlEqswUXFuWxkAEZx+dcsdHuX1W5mXS+TdvP9ryn72EwhPK65OW7NgDGazdL8OXcNncwXelXCCWBUCwR22RiFFIEm7cDlTx90/jSuOyO785MLm5t8N93kc/Tmn/OBu8yMDrnbx/OuKh0XURqcM8+mqIhCY08q1tuP3jEF1LYQ4IJKZrSNheXvgKTR5bCWK4FoluUldMSYABwQx44PXFMLanR5cdZI+OvHT9aQyYZlM8IZRkg9QPU81xsnhXVJn1C0lmidL6SFpbplJUrGrBRtDA5H7v8AEE1HLoGqzXF7qF1YJPLcwyRmFPL372t1TcWJ+ZSwYbSeMg0rgkdurM2NssZz0wM5/WhWZ13JLGy56qMj+dcJF4Y1dbdEt4VthK1w7oZAPKZotiEYPf7px0wDXSaHZPb3l9cLp/8AZ1rMsSx2uV4ZQQz4UkDOQPU7cmmI2MSf3l/75/8Ar0Yk/vL/AN8//Xp9FADMSf3l/wC+f/r0Yk/vL/3z/wDXp9FAESCT5/mX7x/h/wDr0kok8s/MvUfw+/1p8fV/980S/wCqP1H86ADEn95f++f/AK9GJP7y/wDfP/16f3ooAZiT+8v/AHz/APXoxJ/eX/vn/wCvT6KAGfvBx5ic9sdf1pGdkxumjXccDPGf1rKudPvpPFVhqCNC9nDFIjqwIePI/h55ycZ44xUWoaff6j/Zty9rAl5byEnEwZIskc/Mnz8Dtgg96ANrewz++jG04PsfTrQFdSWBQE8k7MZ+vNc7No98tlqEcdpBM8wCqGlC+ad5bzGJHBAIHOTxWpcm9v01Cza0EUZgURytJ992B3KMDoOBn1PSjoOxe8xtoYzx7X4B7N9Oeaa+9XRjIgAyckYA4+tc9Fod9HLpTARiG2LloGZGEZLAhvu4JxkfLtwTxxWxq1s93bJGiJJiQOYpDhZQOSp9jQIth2YgCaMluQB39xzShncbllRh6gZ/rXO/2LcfbFnj0uxiztkBWXBhwDmIYXo2eSMDk8dK0NAs57OylW4soLSSSUuYoJAyDgDjAAA4/HqeTQgNBxJ5bfMvQ/w//XpVEmxfmXoP4f8A69Of/Vt/umlX7i/QUANxJ/eX/vn/AOvQS6DcZEUepGP60+qGtQTXWjXVvb28c8ssZRUkcKuT3JIPTrQCLG4o7l5Y1ywALcZOPrTmYqpd5YlUdWYYH55rm9dsNRu7tLmGwjnkFt5aRuI5VglJU7iHwCCBgsORjgc1Xn069l0f7E+l3Rmt7uaaNgIJIn3NIVyrthlwwzkAjqOlA7HVFmSXe0sajb948Dr9akHmHo6f98//AF6ybyyuJ7aw32dtcSQRgyWjMBEx244JBHB6ZFatvGIreKMRpGFUDYn3V9h7UCGxCTyl+Zen93/69D71KEugw3XGMcH3p8P+pT6VDfKz2rqkKzOysBGzABiVPBJ6UATbnyAZUy3Tj73680bpFIzKgzwMjr+tYUGl3pbS3lt4o2giiRyJQxh2HnbxzvGBxj3qzfx6jc2cP/Evt3njvFkC/aAAEV8hslfvEDp2z1pgagaQ8CVDt6gDp+tG592zzU3EZ245P4ZrNjjv4b/Vp4rCD96qGAmcDzXVcfNhcrn15qtfafe3mrxyixt40EJX7Wsw8xHKMOmMlQTwARnqelIdja8xsAiePDHAPqfTrzSOXaOQCRDtBBAHTj61zcmj3pgt4hpNmyef5jL56qYANn3Dt/iKliRzzjuTWlp2nz2k95JKqKrqRvU5Mx3M29vQ4IXnPSgRpeaVQM1xEqrxknAB/OnZkxnzEx1zjj+dYn9mTXMGqxXGm2oWeXzbfe6yKW2BdxGODxnv1rRVJ7dDaxWkUlpFbBY8yYLsONhBGAMY5z+FAFre5x++Q7hkcdf1oLOgy0qKOmSMf1rDtbPUIo9CV9OhVrRSkzC4U+WNu35fl59ccU/WLbUNQ05oDpdnOxmZQrzjiPBw43LgOfTtnPNDA2N7gkGaMFRk+w9TzxRuckDzozuGRx94eo55rBl0q9WS7kjsbW4Z0IVZpeJtxTCPx0TacZ657ZNFlo11DNYM1vFEsQXcfNDGHaXJVcAcNuHTAGMdhTGak5gVf9KaLBc7dyE898YpkLWrFhbNFv4zhCDjI9akkYR3cMr5CKZASATjOPT6UjyJPeRPGSQiEE7SMZZfX6UgI5HsPNfzGhL5+bEbHn8Kk3W/kFi8P2bauPkOOp7fWltp4rdGjkZlYSuSNh7sT6VAqFbSMkNhZVc8HIG9jnFADonsTIBE0PmHO392w59s0szWYZRcND5mwdYyTjt0qS4mjuDCsZZisoY/KRwM+1JHKkFzMZCV3qhX5Sc4XHagB1uYm2/ZXi25OdqEc4HWrOJP7y/98/8A16rW5D3c0q52u3BIIzhQKuUCIoxJtPzL94/w+/1p2JP7y/8AfP8A9eiP7p/3j/On0ARSCTyn+Zfun+H/AOvTgJMD5l/75/8Ar0sn+qf/AHTSjoPpQA3En95f++f/AK9GJP7y/wDfP/16fRQAzEn95f8Avn/69GJP7y/98/8A16fRQAzEn95f++f/AK9MQuCy+YgJYkLjk/rU1Y8mnzy65HdqkZjVwfNLfNGF3ZUD0bcM/TmgDUYP8uWUjcOi+496tVXfoP8AeH8xVikxoKKKKQwooooAKKKKACiiigApV++v1pKVfvr9aQy2KzU/4/br6p/I1pCs1P8Aj9uvqn8jREciaiiimSFKPvCkpR94UAY96EOrXG8HgDGGI7D0qtcrF9llwGztOP3jH+tTagyjVpwzKuQOpx2FVbh4/s0mJUJ29A3WgC0NXsAt6Xe5jWyTfM0kbqAOeVyPm6HpVqK4t5bgQI0u8wiYZ3AFDwDn+lZcmhLc219BcatK6XbF1KhUaJux3LgtgYAB4wKtWtgba8gm/tIyRxWq23lMi/MB/EW65zzVLzEx5v7OCf7NNLIkmxpMkMFwMk/N0zjnFC6nYt5PzzgyttCsrgoc4+cfw8kDnuRUE+lw3115892fLEbxiIKoxuyD833sd9vTPNA0eLdG735eTfunbao875g2Mfw8qOnpQgJTq1gIpJPMnIRtuFRyW68qP4lwCcjjg+lPbUrBZJUM0n7tN5YbirdOFPRjyOBzyPWqn9iQiJlS/ZXBAifap8tAGGzHfh25PPPtTjolqWk23RWMriOP5T5bfL82e/3F4PHHvQGhZXUrF3hQSzAzDI3Bhs5Iw/8AdOQRg9wajbWNOW1+0NJcCMPsJ2PkZ5BI7Lgg56YqNdHtw8TPeFwPmmGFHnNuZgf9nlmOB61G+hRPYtanUmw7KXby0OVUAKuD0IAGGHOeaA0NOKSGaeeFGl3wMFcHcOoyMeox6VN5a+r/APfRqnbWxt7+8uXv/NW4KkRFFHl4GByOTx61d8yP++v50CE8tfV/++jR5a+r/wDfRpfMj/vr+dHmR/31/OgBPLX1f/vs0yGMGNeX/wC+jUnmR/31/OmQyIIl+dfzoAyX1/S7Z54ZprhXt92/EbkEjBKqQMM2GXgetObxBpSRCRprgD5i6+VJuiCttYyDGUAPBJqnN4Ys7yLUmluMy3rkqWYlYlIQEBc4yQnJGDzSf8I48EU0NnqcUUU0L2rB4t7CFmLAA7uXG5huOcgjIyKNR6GjHrWmSy3Mazyg2yu7syuFIQ4YqejYOM49RTf7f0jYjfa3xJai7Xh+YicZ+ue3WqcfhexitbmFbp83Eh3OZGysRcMY15+XOACRjPWq8/hGGWGeJdSKqyhIGYbmiHmFyCSctncw59aA0NmDVLC4vjZxzTGXLqpKuEkKfeCseGI74q/5a+r/APfRrGtdHMF7bs99G9paSSy20QTDhpM53NnkDc2MAdeelbXmR/31/OgQnlr6v/30aPLX1f8A76NL5kf99fzo8yP++v50AJ5a+r/99Gjy19X/AO+jS+ZH/fX86PMj/vr+dACeWvq//fRo8tfV/wDvo0vmR/31/OjzI/76/nQAxIxl+X+8f4jSSxjyzy3UfxH1pUkT5/nX7x70SyJ5Z+deo7+9ADvLX1f/AL7NHlr6v/30aXzI/wC+v50eZH/fX86AE8tfV/8Avo0eWvq//fRpfMj/AL6/nR5kf99fzoAg82EXgtS0vmmMyD72CoIB56ZyRxTbm6trN4kmeUGQ4G3ccDgZOOgyQMnjkVG9uW1eK+F+BHHE0f2fYpDZIJO7r1AqCTTBPFbrPqTyyRgrJIypmZCwbaQMAcheR6UASNqliqzHzJ28pguFVyXJyPkH8QyDyPQ+lWmlt1tftRlPkbN+/ecbeuazv7GiG9o79kkDAwNtU+SAWOMfxcu3X19qkXT8pcWsl4DYNbxwQQjGY9oOWJ7knHtxQPS5ImpWTvAge4DTZwGRxswcfP8A3OeOe9TXcsNpGs0rSbQcYXczEngAAckk9hWe+hWk8lo9zcLO9vKZ2YooLyFg2cj7oyOgq/fRR3aRp5/lsr70kUglGHIODwfpQIrpq+nvOsO+5V2674pFCHnAYkcE4OAeuKsWV1b38TSQGcbG2MsisjKcA8g89CD+NU20ovMJH1aVidrSDYgDyLna/TjHHHQ4FWNLtDp1q0Ut/wDa3Zy5ldFQknGc46nvk+tCAtvGPLbl+h/iNKsY2Ly/QfxGh5E8tvnXoe9KskexfnXoO9AB5a+r/wDfRqG6lhs7WS4mMvlxjcxXcxA+gqfzI/76/nVXUYBf6fNaJdi3Mq7TIqqxAPXg8UAiG41Cys7toJ5pBMwVkRdzMwJCjAHU57U+yv7TUGcWxuHRc4lKOsb4ODtY8Nz6VnXeh/a9Yt9UGoKl7aRCOKQoME5BYkA4wwypHbOQafo+jf2VeNIb9JYVgFvEgBUhA2QW+YgsBxkAcUAaF3cQWTo0pmbeNqpEGd2PsBz05qxF5c0SSoZNrgEbiwOPoelVb23F1LE8V39nniBMcqhWxngjB4PFW0dFRVMwcgAFmIyfegBsUY8peW6f3jTZ9kSCRvMKrknaSTgA9BT4pE8pfnXp61HdYmhMcdwsTvlRIAG25B5weDQBXXUrNrq1t0a4aS6i86ParkBPVj/D+NWLiWG2EZlaUCSRY1K7j8zHAzjoM96zk0WLdprTX4laxCgMYYwz7enzYyvvg81Lc2M1xapD/bDhluPP8xoo2OA25UxwMDgZ68UAWorq2nupbaN5TJF97O4A4ODg9Dg8HHSmTX1pb3a200kyOwJDkPsHBOC3QHAJxntUP9nKst1LFqDRPKjrEyqpMBc5Zhn7xyAeelMuNMN1fJPNqjtAsRiNuUTBypDEN1BOecenpQPQedXsFhjlZrkI77DmKT5Dxy3Hyjkcn1FTxXVtdG4jheQtECDncAeoyCfvDIIyO4NUH0Z2WELrLqVl82X9zGRKw2hcg8DAUAfn1q1a2MNk9xItx5m9SsanA8tcltue/LE5NAD3v7OG0u7iWWVIrPImLBuMAHgd+COlWvkMPmgyFSu4YJJIxnpWPcaIl5aahBc6nIy3biRDGBG0DBdoIKn5uAOvpV6O2eFQqam+1bZYUVlVgGH/AC09ST6E4oAdHeWsotCjzEXaloSQwBGN3PocdjTr25t9Pg86cz7M8+WruRxknA7ADJNUoNLkhTTE/tYstjkcwoPNBGMH0444pb3Tpry0a3/tqRA0zSE+XG2UPSMjuo/M45zQwJzqVkHlUPO5iXcdiu27pwuPvHkZA6ZFJDqdjO8CRyzEzjK5VxjkjDf3TkEYPPBqvLpO5p2h1SSCSRSEdFTMbNt3sPXdtHHbnFLb6RFDJau19v8AJC7lCKokKk7Dx93G48Dr3phoW3kMLiOOOSSR2bAEm3gYzz+NJ5ztIIZYZImYblzLuBwRn+dK5PnpLHsfYzgqXA64/wAKRmaSdJXVECKV/wBYGzkj/CkAonlkLeTayugYqG8/GSDg8U0XK+T54SUliqBN/O7JGM/UU6J5LcMixxuN7MG84DOSTUYiIgVMxl1dZNu8Y+8TjP40APM8qlVmtpY1dtgbzt3J6cUec4cxQwSy7FXcfO2jkZpZXecxhkjRUcOT5oPT2oRnild0VHEip/y1C4wMUALDJ58pV0kjeMlWUyZ7AjmrPlr6v/30arQ8XDySFFMjZ2hwcYAHWrXmR/31/OgQyOMbTy/3j/EfWneWvq//AH0abHIm0/Ov3j396f5kf99fzoAZJGPKfl/un+I04Rrgcv0/vGmySJ5T/Ov3T3pwkjwPnX86ADy19X/76NHlr6v/AN9Gl8yP++v50eZH/fX86AE8tfV/++jR5a+r/wDfRpfMj/vr+dHmR/31/OgBPLX1f/vo1U+1W0d4LRnk852OMbto64BPQE4OAeuDVzzI/wC+v51nNYwy6iLw3O0K4ZouMOy52nPUY3H60AX2QDact94dWPqKtVVZ0IUB1J3DofcVapMaCiiikMKKKKACiiigAooooAKVfvr9aSlX76/WkMtis1P+P26+qfyNaQrNT/j9uvqn8jREciaiiimSFKPvCkpR94UAZF2+zVrjHcD+QqvczE2soJPKGpr4MdXnwjMMDO3HHA9TVa5VxaykROPlPJK8frQA2412WyttSuLu1t0htSEhcT8SueiklQFPTPXGcdqmttXkn1SK3a1VLaaBZIp8sRIxXcVU7dvA/wBrPtUkej6ZGtyF04AXSlZxyQ4JJPfjJJPGOtSxafYwXMdxFYhJo4xEjgcqoGAOvpxnriqQmVbrVn0+5EclrutzFJIJQ3JZcnb0x+ue+MUg1mVZFiktYxIj7bnbISF+cINnHzcsOuOM1aWxs3uDdvZBrgqyGQjJKnIx1x04oTTrGNbdVscC3YtF/sn168/jmhAUhrsrx/JZx+Y+HhUyEAxkO2WOODiNuBntzSnXxl2W1BiK4iJbDM/ycEY4H7xecnvxVttM09opYjYDy5X8xx6t69ePoOKe1jZvLLK1kC8yeXIcfeX068fhQGhTXW28yNXtVCqdlwQ5OxizINvHzDKHk44xUX9vyCDcbOPzADKy+YcCIIHznb97aRx0z3rRSwso3t3Wyw1uu2I4+6Pz5/HNM/svT/JEP9njyxJ5oXH8Xr1/TpTAZZaxBf6vfWMIjItFXLBwWJJIIK9Rgjv1rSwPQVWS2t47yW8S1K3MqhJJAOWUdAee2TU+8/8APN/yH+NIQ7A9BRgegpu8/wDPN/yH+NG8/wDPN/yH+NAD8DPQUyEDyl4H+TRvP/PN/wAh/jTIXPlr+7f8hQBiDXbiO5li+wxG3S5NokvnHcZfL3jcu3hT0yCT7VRs/GM93DPINPtzJDCJDbxzO0r5jV/l+TGPm9c8HitdNFsWuJLsw3BlkZnP75tqsV2F1XOFbaMZHNNtvD1jZxNFbf2lFGyhSi3kgBwoUH73UADn2palaFBfFbPeW9sqacTJF5hdbiQqfnK7VxH1453Y61pT60YvCZ1tLTe32ZZ1t9+MkgYXdj364pI9BsYphNEt9HJgh3S5cGXJLHf83zck9akh0ezh0x9OEd3JaOoXy5Z2fao6BSTkDjtTFpcyJvG1ulrqFxHbI0ds8McReYIJi4Jbkj5du1h7lafL4sP9pXtra2kE628DTKfOIYqIlkDMNuAp3Bcgk5xxWwNLsBe/axZYlPoBt6EZ25xnDHt3qsfDulm2MC2k6JzykrKwBQIRuznBUAY9hS1BWMyPxoghLXNh5bK0gKpJu3Kke7K5A6sCvt1rb0+/nnu7myvbWOC6t1RyIpN6Mr5xgkA5BUg8VAvh/SlSFDYu4i8zb5jFj+8Xa+STzketWrGwttOEhginLykb5JZDI7YGACzEnAHQUwLuB6CjA9BTd5/55v8AkP8AGjef+eb/AJD/ABoEOwPQUYHoKbvP/PN/yH+NG8/883/If40AEYGX4H3zRKB5Z4HUfzpqOfn/AHb/AHj2FJK58s/u36jsPWgCbAz0FJgegpu8/wDPN/yH+NG8/wDPN/yH+NADsD0FGB6Cm7z/AM83/If40bz/AM83/If40AZ82rwx+ILbSAIzLLG0jkyAMuBlQF6nOD9MVauZ2gmtFWJXSebymOeVypORxz932pJLa3lu4LuS0LXEAYRSEcpuGDjnvVc6Rpphtof7OxHatvgRSQI2znIwaAKlxrlxZJd/a7KEPG8ccKwyNJvdydqnCZzgA8A9a14pGls0lVYzI0YYAE7SceuM4/Cop7W2uYpoprTekzBpARjcRjB4PXgflUS6bZpPcyi2kJuYkgkGeBGoICjB4HJoGQDWHK2TfZVAmiilm+f/AFYkbau3j5vm9ccVb1C4a1jiaOJZJXkEcasdoLNwMnBwPwqOHTNPt0tlisNq2ufIHJ2Z9Mn+fSp7lI7lBDPAzxtkMrDrx9aGIof2reJdeVNYQhUdIpWSfJDvnbtG0ZHTOcYz7GremXc15BI89vHEySFAY33o4GOVJAz6dOoNRDSNMDRsNNXdHGY1OOQpzx156nk88mpbGxtNMgMFjZmCInJVeecAdyewH5UIC24HltwPumhQNi8DoKY7ny2/dv0PYUqudi/u36DsP8aAH4HoKr6hO9np9xcxxLI0SF9jHAOOvODU28/883/If41Bd29vf2r213bNLA/3kPAP5GgEZ2qa1/Zt60CxwYEYnmluJTGkaZCjopJJJ+nHJplz4haHSI75LRAHuZIGaVyI4grMNzsqkgHb6dSKsXOjWF7tSa3mAiTyl8uVlJjIGUYg/MpwODmm/wBhWYSREOopHI7OUS7dVBYktgBuAcnijUasT3F5KrWa20MMs9yvyBpMR4A3E7gDnjpgc1ehLNEjSxqkhALKp3AH0z3qnLY2c8EdnJZ7rZIwqR4xtA4GMHI44q2hEaKiQsqqAFAAwBQIWIDyU4HSmXBZI90aKzrkqpOASAaInPlL+7fp6CmXKR3MXkzQu0cmVZemRg8cGgCmNWYvZj7MoWaOJ5Tu5TzDhQOOeQc5xxVy8ne2SF0iWQPMkTZOMBmAyOOcZ6VDDptjb/ZvKsdv2UYg6nYPbJ/n07UyTSNNltxbvp+YRMZwgJA8wnJbg9c80wLMM7yXt3A8SqsBTa4OdwYZ544/Wq17qMtleKhtkkt/LaRnWT51CqSTtxjbxjJPUilbStPZ7t2sNzXibLncSfNX0Izig6VpxvkvTp4+0ooRZPRQCAMZxwCR070h6Fc6tdiFCLGFpROIpIxMc8hSNny/McNk5wBg81Paaj9te4jMKooQvEwbJZNzLk8cHKnjnimPoekyLCr6YCICTHyflJIJ/i5zgdfSrSW8FsbiSG1MbzZaRgPvH8/5UAUrvWTY2l1LLbAvFcJbwom5vMZgpXouf4ugB6VpQyNNaRyqsZkdAwCk7c49cZx+FU10nTglwv2Di6IafkneR0PXg/TFS/YbPez/AGLDtALdmAwTGOi5B6c0AVv7TuDDpkq2cZW7Cl183503YztGPmA6knHHvVnU7qaysmnt4IpmU8q8mzPsMAksegGO9V00LSUa2ZdMANqMQHJ+QZ3YHzdM8806fRtLuYTFNpoaMzNORyP3jfebg9Tk0BoM/tWZpp40tYhtV/LMsu35k279/HygbhyM9DTbfWZZZbVZLMRiQIJcucqzlgu0Y5B2k5ODgjip5tK064WZZtPDrMqpID/EFxgdfYdPQU6HTrG3aBorHa0AKxHrtB5PU89T19aAHStL58cMLrHvZyWKbumP8aQmeO4SGWVJVdS2RGFIIZf8aeUeRw6eYjozYIUHg4z39qQxyBxLK0jlRtX5AuMkZ7+1ACRfargM63CRr5jKF8kHABI61GLiY2yuCgld1jLbeB8xGcfhUywzJuEUkiqWLAGJTjJz1zTRB8nkjzAylXDbRnOSelACSfaoGjLzpIruEK+UF655zQpuJZpI4pkiWNU6xhs5Gae0UzbTK8jqh3AeWo5H40CKXcZImkTeq7h5YboMetACW7Sm4eOZlcxtgMF25BUHpVvA9BVaNGim3MJHdySxKgdgOman3n/nm/5D/GgQRgbTwPvH+dOwPQVHG52n92/3j2HrTt5/55v+Q/xoAJAPKfgfdNOAGBwOlRyOfKf92/3T2FODnA/dv+Q/xoAdgegowPQU3ef+eb/kP8aN5/55v+Q/xoAdgegowPQU3ef+eb/kP8aN5/55v+Q/xoAdgegrNbUTFqYtRCpj8xVeQtyGfdtwMcj5TnkdutaG8/8APN/yH+NVhb273S3T2pa4jLBJMcgH8aALLgYHA+8P5irNVWcnaNjj5hyQPUVapMaCiiikMKKKKACiiigAooooAKVfvr9aSlX76/WkMtis1P8Aj9uvqn8jWkKzU/4/br6p/I0RHImooopkhSj7wpKUfeFAGNesV1W4x6D+QqtcOfs0o9VNWr1S2rXBDKMAfeUnsKrXMbfZZfnj+6eiEf1oAy5NauUtNdltLy4upIARHF5C7oACQzgYGQD0BJJC571q2T3c9/Yz/a7gwzWgmkgeNAq5VQO2dxJJ6/hWvumwvzpwOOvFJ+9P8SfkapCZgXuoXkGreTaStIRbysbfy+AQCVbO3kZ77uvGO9Mj1K7LWgS5kkieUrBIYxm6G8DDfLxhSx4x0roIjL5YAZMZJxg+tPzN/eTn680IDmDql99lmZ7qVFEgEsoiGYHw/wC7A29MhByD97r6SPqWoia5BZ1kWLdJCIxiFfkw445PL9Sfu9K6PM3XcnHHejM3TcnHsaAuc7HqV8Z7NVmeTeP3KlB/pK7nBduOCFCNxj71MjuNRvNNaSLULlZFmREZIk+d227lOV+6h3dPTk10uZv7yc/XmkzMerJ6d6YGTp+o3Vx4l1SynjljigjjaFWQbSCWG4MDk54OD0rZpn73GMpgdsGj976p+RpCH0Uz976p+Ro/e+qfkaAH96ZD/ql/z3o/e56p+RpkPmeWuCn5GgDmX15rTXJEurmRIo5jGtsmwDyxEX8xgRuYE7hlTgbQKpHX9VXSv9NuHtLiKYyTI3lRTPCyFkEYbKtg5GOrBfWuyjjZkVisRIBAJXJxnpTmjL43rA2DxuXODSsO6OPvdfvYknngvz9pEssYsGjXKRLEzLKRjcDwGyTt5xinavr1y1xpi6VrEHmXEC7kQxyKzmWJTngno7dD/KuvKOWLlYixGC23kj0z6UxYAhykVupH92PFNBc5D/hKL9/LljSUxwXkz3irEp8uBZNgVskEY+Y5GT8nvWjrGpTw+KLeyF81vbNbLIdk8EWSXIJ/eAlhgdFrodr88Rc9fl6014fMwZI4Hx03JnFAXONXWNTu9B1e4OpSQXNkAYDFEgE0fO2YhlPD+g4G2ppNZv8AS/EF3Hc3k0tjbFkUzCPbKwhVwg2qCJCxz6EAjGa67a/pF0x93tQUc9REec8r3osFzK8N3t7dafJFqQkF/byFJhIioxBG5ThSQODj8K2aZiTOf3eT7Gj976p+RoEPopn731T8jR+99U/I0AEfV/8AfNEv+qP1H86anmfPyn3j2NJL5nlnJTqOx9aAJu9FM/e56p+Ro/e+qfkaAH0Uz976p+Ro/e+qfkaAMia7uY/FcFv57NbSRACBRjacMS5+TkcAcOMHtT7meS/gsbrT764ijkmCBViADjd8xYOuQAFb06/StT99jGUx9DRmXPLJz7GgDm21O82XJkuZIo1kUTyCMZteX+Vfl54Cdc/erROqO+nzxx/8hSC0jmliCH5C449s8Mce1amZuDuTjp14pgRldnVYgz43MF5OOmaB31MCLUrwy2QW5kkjd8QsYx/pS+Zglvl4wnzcY/pWpq8ssNorxSNF84Dyqu4xp/EwGD0HsavZm5+ZOfrzTG80SRnKZyccH0oEc4NTnS9jCancSxkK0Qa1GJoiCXkJCj7uO2Og4O6tHw7fHULCWb7W90glIR5IwrhcA4YAAZ5zx0yAeQa1czf3k5570EzNyWQ/XNCAH/1bf7ppV+4v0FRv5vltynQ9jSr5uxeU6DsaAJKz9cujZaJd3InMDohKOFyd3YYwc5PtV3976p+RoBmByGQH6GgEcxrutvaXSPHdvDaG2+0IYdga4bKjaDIMcKc7Ryc8VFca/M+iCRNTt0uI7uZbhFmiSXy1dwAu/KhuF6jkA966jazu+8RNhgfmXODjr9aDbqSSYbcknJJjHP1oGjLvr4izsbj7VNa20sYaa58sb0G3IyCCBk4B49q17fP2eItI0hKjLsu0t7kdvpSZlE+dyA7evPrTv3ueqfkaBBD/AKlPpVXVZZYdPklg/wBYvIIGcepx7DJ/Cp4vM8pcFOnoaV/M3R8p970PoaAMW21U/bNLhkvWYXBmVdyD98gP7tzheCcew9qm1HWbeOzguY7tok+2rAxMRG7D4cYIzjGeR+BrX3TcjcvPXrzQGmByGUfnTAyotXgj1DV0lumeK0VJCojJMY2/NjAy3P1NVr7VnXW4be0u3MrQGQWrQ/I+UYrzjO4kDuAAOeSK3t03HzJx068UZmxjcmPTmkM5WTWZI7e1B1SZWkuNsMjQAiZRt3b/AJegJZQAATx6E1qabd3NxcXyTOzBAdyMoAhfcw2DjkbQp5z161rbp/768/WmSeaYmyUwFPY0COcfU7oXF+v26QWsckYaYQ824O7cOV65C9d3BznnA14dRQ2yx3TtBdLaLcTfIcIDwTnGM5zx19qvAzYXDJwOOvFGZf7yevQ0dBmDaa0sqaAzXxLXalZFKY8xtvf5eDu+lP1vWoItMaSC+mtnE7QBlg6yKDkHcp+X1IHPQda3N0/Pzrz1680BphyGUdu9DA5yfVpoZL1ri8liijjJcxQAmIZXYygjq+W65Ax0GDRY6neTT6cpujKJVXgRgCZcsHYnaOVAXpgcnggiujzMP4k4+tGZj1ZOfrzQFynNEJ7qGJ9xjLSEgMRkjGOlNNulteRrFuVXQ7gXJBIZcdafOYVXNy8KjedpYkc+2DTImtmLfZpIWcYzgknGR6mgBbeziuFeSYOzmVxnzGHAYgdDUKhmso4yzcyqh+Y5K72GM9elPlexWVxJLbh8/MNzDn8DUn7jyCS0H2fapB529T3z60ANntI7ZoXhDqxlCn52OQc5HJpUtkubmbzQ7BFjCgOQB8vPQ0yJrJpAIpYGk52jcxOfbJpZmtFZftEkCyFB1LA47dDQBJap5V1NEpbYr/KCxOMqPWrtU7cxnabZoSuTkrk88deas/vfVPyNAgj+6f8AeP8AOn1DH5m08p949j60/wDe+qfkaAFk/wBU/wDumlHQfSo5PM8p+U+6expw83A5T8jQA+imfvfVPyNH731T8jQA+imfvfVPyNH731T8jQA+saW7uU1+K3V2EbMNsQUYkU7t7E4/hwvcde9a3731T8jTY/NwwBTBc8YNAD36D/eH8xViqreZ8uSmNw6A+oq1SY0FFFFIYUUUUAFFFFABRRRQAUq/fX60lKv31+tIZbFZqf8AH7dfVP5GtIVmp/x+3X1T+RoiORNRRRTJClH3hSUo+8KAMa+z/a0+PQfyFVbjcLaTOfumrd4qnVrgsWGAMbWI7Cq9ykf2WXmT7pxmQmgDLk0Oa4i1QPowjNxMjgxTxfvQrZHDAjP8R3jnOO1aljb3sOqwPNZIFFisMlxG6BS4OcBeuO3SpDrWmp54a5uM27Ksg8qTOWO0YG35skEcZq4k0Mlx9nWWXzfLEu1gw+UnGeR69utUvITMe90y7utV+0W8Ii/0eWP7T5o+bcCAMY3Ag++3HPWmJpF2GtWW0SJFlLRxB1/0Mbw2Rjg5UEfL/e+tan26zhn+zS3LpKFZ8HcBgZJ+bGM45xnNC6lYuICLmX9+21AVYEHOPmBHy84HzY6ihAYx0W9+zSq1okgLjfEZFxcMA48054zllPPPyfSpX0e/M1wdquzRYafeMzj5P3Z7gDa3Xj5/rWmdU08RSS/apCsb7DhXJJ9hjLDg8jI4PpTm1CxWSWM3Tbok3sfmxjjocYJ5HAyeR60BdmXHpF4JrRhCkWwfIwcf6Iu5yUGOuVZV+Xj5fTFQf2JffYhGLVB85xD5i4V9gXz89M7gW9efWttdQsneBFuZN04ygIYev3uPlPBGDjkGoZNa02OETNcz+WWK5WKRsYwcnC8DBByeDnrTuGo2xsZ4fEF9dtbiKKWMJu8wN5rA/ewBkcdd3ToOK16qQ3NtPcS28U8jSxffHIH4HocHg46VY8v/AG5P++qQh9FM8v8A25P++qPL/wBuT/vqgB/emQ/6pf8APejy+fvyf99UyGPMa/O//fVAHM3mna1Nq82oWmxFaF7KIFiGVSpIk64x5mD0zxVF9Izf6dLD4emt4IoWSdXs4590mU+bBceh+fqa6mK/tDeCxE8rXI4ZUViqk5IDMBtUkc4JqP8AtvS/sq3KXryRvK8K+UruxdM7gFAJ4wcnGKQ7mBoegapZappdxcZ+zwtckR7uYjJknd2OTtxjOMnpXaVlya1pcVw8El6yugYsSG2gqu4jdjG4LztznHai81nTNPkhS7vXiMyCRCVcqVJCg5AwOWUc+opg9dTUorPbUtPSSKNr0h5rhrWMbj80q5yv4YPtSXmqadp8ssd3emF4rZrpwxPyxKcFunQH8aBWNGiswavprXS2y3khlboArYJ27tobGN23nbnPtUMfiDSpY3dLm6wknlEG3lBL/wB0Arlm9hnFAGzRWTFrmlTXEEEV87vOFMZAfad2doLYwCdrcEg8GrGoX9npccb3c8yLISq7VdycAseFBOAATn2oCxeorJGuaWRMwu5fLgBMk3lv5YwAfv42k8jgHvV21mivIfNhefbkriRWjYEeqsAf0oAmj6v/AL5ol/1R+o/nTUj+/wDO/wB4/wAVJLHiM/O/Ufxe9AE3eimeXz9+T/vqjy/9uT/vqgB9FM8v/bk/76o8v/bk/wC+qAMm5stQfxXp96giexiikR8kh4yR6Z+bJx24xUd/aX+opZyvaJFMuQU84N9nbcCJAeMkAEcc/NWk91bR3sdm88gnkGVX5sHvjOMZwDxnPFFxcW9rJDHNNIrzHCAbj+JwOB05OBzQMx7vTry7tdUhGn+UJbtZoQXjdZBhRllJxjjJB9u9Wgl9LYXOlyRM7xWkafa2baJ5Cp3ADHGMDnpzVh9UsI0mc3MxELBX2o7HJ9ABlhweRkcH0q5H5csKSxzM0bqHVg/BBGQaA6nOJod6P7J8pTAbZiWLeW/lpvDbRj7rEcfIMY44rZ1e2e7tViSNZfnDNCxwJVHJQk8c+/HrRb39ldLatBcu63QYwsN2H29eccdO9SXUsNpGs00sixqTkgkn2AA5JPoKBGGNHuFvEni0mGH7roVuBmAAHdEMf3s9Rxz7CtDw9aTWdjKs9itkzyl/JSRWRcgfd29Bx9ScnvUiaxpskyQi7kEjjIDK6468HI+U8Hg4JxVizurbUImltppWVW2tuDKQevIYA9CD+NCAsv8A6tv900q/cX6Co3j/AHbfO/Q/xUqx/Ivzv0H8VAElUNbgludFu4ILYXEskZVYy6rknvk8cdaueX/tyf8AfVRXMkNpbSXE8sixRjLMMnA+g5oBbnOa/Z391dR3Eem/aSLfbHC6rKsM5KnLDcBgjI3g8fjVe5s7ufRfsUmmXzTQXk0y7oElhl3O5XKlxuXDD0IOD2rorm/s7G4EVxPKJJeURFZ2IAGThQSAMjk8US6nYQ2q3LXUjRvI0SeWrOzOpIICqCTja3QdqTGmVr2znuLSwElhFcGKMGay3gIx24wC3B2npn+da1vGIreKNYxGFUAIpyF9s96q3F3bWqxzSzShJFGzarMzZ54UAnpz04qzDsmiSWOSQo4DKckZFMQ6H/Up9Khv1Z7R1WHz2ZWAiyBvyp4yePzp8UeYl+d+n96mz7YkEjvJtXJOCScAHsKAW5jQades+kvLaiNoIokYmVWMBQ/NjHXeMDj8as6gL+5tID/ZYeaO8VwguE4RXyHycckDp2zVv7dZl7ZBcuWuVDxfe5B6Z44z2zjNSzyQ2wjMssiiSRY1PJ+YnAHHT8aeoFGJb2DUNWnj00YkVGgJnRRMyrjB6lc+pFVr6xvLvWYpk09YtsBUXqzruVijDBHXaCegHJ57VrxyQyzzQpLIZISBIDkYyMjr149KilvbOC8W1luXSZl3DO7b0J+9jAOATjOeDSGYMmk3n2e2iXRo2QXHmbVuEBtgNn3e2WIY5GSMnua09Nsbi1uL2SZFQOCC4YHzm3Md5x04IXnnj0qU6tpwiilN1KEkfYpKPwePvcfKORycDketTx3Nvcm4jhndnhyHHI9emRyMgjIyODQBjXWn6lc2eqQQ2n2cT3SSriSNvPjwocAHIBO3+IY55rWiF1Fbi2awjaJLUY2SKAz9DGFxgDHfpTvtlqsM8hnlC27bJOGyGwDgDGT1GMZzmp1KNAJg02wru5DA4+mM59sZoA55NPvmj0OOXR1DWqoJJftCbodpHC89CBk45I4q1rUN9qGmtD/Y8c7GdlVTcL8qAHEgzgbj2B+715xV06lYj7KTcyYugDCdrYIPTJx8uSQOcc1Le3Vtp8PnXM0qJnGQGb36KCcY5z2oAxptNvVkvJV06O6MkZGySYATglNqMfRMN14OeOposdJu4Z9OZrYRiFVG5pVYwgFtyDHZtw4HAxjsK1W1GxRplNzITCu99oZuOOmB8x5HAyeR60RajYzvAkd07NOu6PhvcYPHynIIwcHg+lMNRZWWO7hlkO1FMgJI4ycUjyxz3sTxMHCIQxA6ZZf8Ke8phcIqzSO7NhUcDgYz1+tJ57O4ikiniYjcu5wQcEZ6H3pAJbXEECPHLIFYSuSCPViagVQtnGTwqzK5OO29jmrAuZHLeVb3Mihiu4SKMkHB6mmi5XyvPAmO4qgTd827JGPTrQAtxPDcGFYnDsJQ2AOwzRHLFBczGVwm9YyuR1wtKbhwVWWC4jVztDGQEZPToaPPdX8qKK4lKKu4rIABkZ7mgAtir3k0iHKO/BA64UCrtVIZPPlwwmjdCQys2SOAeoqx5f8Atyf99UCCP7p/3j/On1FHH8p+d/vH+L3p3l/7cn/fVACyf6p/900o6D6VHJH+6f53+6f4qcI+B88n/fVAD6KZ5f8Atyf99UeX/tyf99UAPopnl/7cn/fVHl/7cn/fVAD6xpbG4k16K6WNTGrgibcMxgbtygdfmyOnpzWt5f8Atyf99VV+026XYtHncTOxKrzj8TjAJwcZ64OKALb9B/vD+YqxVVkxtO5z8w6t7irVJjQUUUUhhRRRQAUUUUAFFFFABSr99frSUq/fX60hlsVmp/x+3X1T+RrSFZqf8ft19U/kaIjkTUUUUyQpR94UlKPvCgDFvyBq84LKvA6nHYVVuCgtpPnQ/L0DCrt4wXVrjIB4HUZ7Cq9zIDayjaPuH+EUARNos0sV7HPqUE63MgkCy2iOFIPAYFvmAGAOmMZqzaadJa3sEo1BXgitRbCJoxuOOdxfPr2xVabXTaRX0l1YLHFbSJFG6yb/ADXY4C4C8HoSBu6+vFWoNQkkvraBrKMRzw+YJUlDbTjJyuAdvbJxz2ql5CdyK50lL+6E812BGIpIhGqKGG7IPz9cd8Y696QaMC8ckl8GkL7rgiMAS/MHAAz8vKj1p1zqq2FyIZrMmExSSiYHqVySMYx+ufbHNNGs4dI5LJVkV9twBICIvmCAg4+blh6d6F5BqM/sMLGQl+FkXCxOYwdkYDDaRn5jh2547ccU46FDucLd7Ytv7pNoJjf5fmJz833F4470g10NGSliDI2GhQyAB4yGO4nHynCNxz255pTrsOXZbXMW39024Au/y/KRj5R8685PfinqGoq6LH5kbPeBhndOAgHmsGZgRz8oy7cc9qkg0lIrR4JLzzN8kZZgoXKJgKuM+ijJ71GutJvjV7QKAds5Dg+WxZlAHHzDKNzx2qP+3gIN5sB5gBkZPMHEQQPuzjrtI+X14z3o1CzLtrYJbX01x9pDq24RpgDZubc3Oect9MVe3p/fX86pQXvm6rcWL2nl+VGsiSE53qTjpj+RPvjpV7Yv91fypCE3p/fX86N6f31/Ol2L/dX8qNi/3V/KgA3pn76/nUcLr5S/Mv5+9SbFz91fypkKr5S/KPy96AOfk0S7a9e4tNSjgjeVp8HduDmPyyDg4ZeFbkZBHFQv4VaG0a1s76MxlleN7l3MsD7NhZHUg5wBx045q7N4hsrLUnsJox+6tXuHkDLxty2zb1ztBOelQTeI57W6s7e6020tnu0MkZmvgo2jbxnYfm+bp7dTS0HqMuvDlxc28lk2owmzaWS5DMh80ysjDk5xtyxbjntRc6FfahLYm8u9O8u2QRusSP8AOA8bdz38vH40/TPFdtqd/Z2aWLJLcNOHywPleX0J453jkemK6PYv91fyp+YNs5RfCTCNlbVn3RySS2zKdu1mkDguM/NgKg/A+tXNa8OQa3ePcTXITNr5KBT0bLHn1X5untW/sX+6v5UbF/ur+VFgu9zn4NCmhlt4TewNYxXS3m0KfNMgXGM5xtzz69qlOkSxMJ7a7g+0x30t3H5qkoRICpVsHPQ9RW3sX+6v5UbF/ur+VArnL2fhT7HfxX4v43uUdXYMDsY7pC/y5x/y0O09Vx7mtHXdGi11LaN7kxJC7vlGIbJRlGCD2Jzg8HpWvsX+6v5UbF/ur+VHkO+tzk4vC9yPtgku7INcSCYSReYNjgqR+7LbNuUHbOK19Ptb6xtHRrq2llkneVt7OyoGxhVyScDnr68Vq7F/ur+VGxf7q/lQK4xHX5/mX7570krr5Z+Zeo7+9Kirl/lX757USqvln5R1Hb3oAfvTP31/Ok3p/fX86XYufur+VGxf7q/lQAm9P76/nRvT++v50uxf7q/lRsX+6v5UAUJ7Hz9Wtr1rtQluDtiCLnJBB+frg9x6gVWu9GXUbW0hv71Z2hcs8vlhGk5yANpAA4HY5xViXVLePXLfSgiNLLGzsdwGzAyBjqc8/lT9RunsfJKWYmV5AjfOFYZIA2jHzHnOOOAeaBlGTRZfJmS31UQGTCKfKDbYtzMUPzDOSx5yOOKspZzutxbXV5G1k9vHDGkIEbAgEO2R0zxgDgYqr/bU7R3xTTIxJaOcxyymMmMbv3nKdDt4xuznrWlLO0WlNeCzZ5Fh83yF5YnGdowOvbpS6BrczrLRZrGLTYl1bzUsmkZjJEC0u/PGd3y4Bx3rQvoFu440WYRur+YjjB2sOQSO49qr2mp/alsT9lRftJkVsMf3TKCcEMoPbuBirF/OLSON0gEsjuI40yFDMeBk44HvTfmIptpc7zeY+rZLbXlAhUBpFB2sOeAOPl5zgc9asaVaSWFs8dxfLdyu5dpfLCEkgZzycnjrn26Cq41SdbnyptLCKrrHKyzK212+6AMDIPHPGMjjrVrTbpr6CR5bVYHjkMZCuJFbGOQ2Bnrj6g0IC27r5bfMvQ96FdNi/OvQd6HVfLb5V6HtQqrsX5V6DtQAu9P76/nVXUrdr7Tp7WK6SBpV2eYUD4B68ZH86t7F/ur+VVr+f7FYT3SwLKYkL7M7cgdecGgFuZGqaNdX8xlg1CKKZoBbyyYZeMhg6bWyrAjpkg55qKTQ719PaxM+mvGtxJNDI3mrIhdmbOVYYYbu3Xn1q5qWsJp14YBBCx2CaWSaYQpGmQo5IPJJ4Ht1qO68QxW+lRXwtExJcvb/AL2QRom1mG53wdoO3jjqQKGNXLctnI6WgS/23dtHhbl0D7jjaxZcjOevXrWgjAKoaUOwABYkDJ9ao3N28TWqwWqTT3C/JH5gVRgZJ3YPb0HNXYgWiRpIVjcjLJwdp9M96BCROvkp8y9PWo7sGWAxxTJG7AhXI3Bcg84yM/nUsSr5KfKOnpTLj93HvSNWZckKeM4B4zQCM6HSCn2Lzb9ZPs6RpJiIL5ojJKdztwTz1z7VJc2N3cWiRf2qgkW5E3mNbqflDblTAI6cDPU0g1ZS9mPsg2zxxPIdw/d+YcKMY+bnOelW7yb7IkLC3Vw8yRHnG0McZ6c9elPUCt9juRc6hMmpohukCxYgGYSBgHlsN9CBUdzpk13fJLNqatbLEYzb+SOpUqzBs8E59DjGB1q9BN5t7dW7QKvkFMMDneGGemOKrXuoGxvEjezDQNGzmVXG4bVLH5MdOMZyOSKQ9blV9HuWSJV1dFxL5swNuCspAULxu4wFHqCecVatNPjsnuJPtAkDIUjXAGxMlsZz8xyx54qA6vKIEf8As1S/niGVBMMrkKRt4+ckMDjjoeantdQS9e4j+zhAqF42znemWXJGODlTxzTDoU7nQje295FdX8UiXE6XCL5AAQqAAGG75xgDI4rQjt54Rtj1AeWtuIkRo1IVx/HnOT6benFVbrWYrG0upp7cAwTrbooOfNZgpXouRnd0APTvWlE3m2aTCKMs6BgoOVzjpnH64/CkGpkx6RdJHp0TawjQ2YG6P7MMSkHg/e4OOO/r1qa+sLy8s3txrCx75mck26sDGekZAIyB65570v8AajmHTZlsAY7zbu/eDchbsBj5sdSeOB+FWNTuXsLJriO0SfbyVMgTj2ODknoBjkmgNSnJpMu6Z7fVPIkdW8t1iBMbNt3nrznaMDjGaLfRhDJas96jiLaXVYgokZSxQjk7cbjnrn1qT+1GaeaKOxUlVfy98gTcybd4bj5QNw556HimW+sieS1VrHyxKE3ksPkZywXAx8wO0nPHBHFPUNS4+ROkqAPsZwRvAPOPX6UjFpLhJXQRhFK8uDnJX0+lErSCZIYfLUuzks6bsYx249aTM0dwsMxhcOu4FY9uMEe59aQDoXkt1ZBCHG9mDCRRnJJ7moliYW6p8pdXWTbvH94nGfxp8f2q43OkkEa72UKYcng465qMXEhtlkCxCV3WPO3gfMRnH4UASytJOYwYggRw5YyKen0NCM8M0jrGJFkVORIoxgY7mmyfaYGj8x4JEdwhCxbTz3zmlHnyzPHE0Maxqn3o9xORn1FADoMi5klcKnmNkLuBxhQO1Wt6f31/OqtuztcPHMI2aNsblTAOVB6Vb2L/AHV/KgQyN12n5l+8e/vTt6f31/Omxqu0/Kv3j296fsX+6v5UAMkdfKf5l+6e9ODpgfOvT1psir5T/Kv3T2pwVcD5V6elABvT++v50b0/vr+dLsX+6v5UbF/ur+VACb0/vr+dG9P76/nS7F/ur+VGxf7q/lQAm9P76/nWc2npLqQu/tAVQ4Z4sA7mXO05zxjceMc1pbF/ur+VZragsWpC0+zhkLhXkz91nztAGOfunJyMe9AGgzKQAGB+Yd/cVZqs6qACFA+YdvcVZpMaCiiikMKKKKACiiigAooooAKVfvr9aSlX76/WkMtis1P+P26+qfyNaQrNT/j9uvqn8jREciaiiimSFKPvCkpR94UAY18CdXnwjtwPujOOBVa5VhaykRSj5TyV4FWr1iuq3GO4H8hVW4c/ZpR6qaAJk0XTUWcLaS/vzmT94553bsr83yndzlcVJDpWn298L2K1lScKF3B3xgDaPlzjp7Vhya9cRxatJb6hHdmGVY0jKohtwW2s7HHCjp82fuk9KuWermbXLWzGpLIzW4aW3eNVbOzIIIAJJ68ALj3qkJ3ND7BZS3BupLVnmKshJyRg5H3c4zjjOM4pV02xQQBbWT9w26MlmJznPJJ+bnn5s9BWde6pdW2q+RbTJLi3lc22zLBgCVbpnB9c47YzzUaavdlrULdrLG8pWOUIv+ljeBgYGBhSx+X+79aEBqHStPMUkRtH2SPvbDMDn2OcgcngYHJ45p7afZNJLIbRt0qeW/XGPYZwDwORg8D0rEOs3n2WV2u1jAcCSXy1/wBHbDnyumOqoOefn+lSvrF+JrgFgjrFuaDYP3A+T94e5zufrx8v1oCxqrp9kjwOtq+6AYjJLH8+fmPJOTk8mmf2Vp/kCH7G/lh/MA3NnP1znGONvTHGMVnR6teGa0UTLJvH7tdg/wBLXc4LjHTCqrfLgfN6UyO91K701pYNRIdZkRWSBG3s4XKHI4CEkHvxyaYWNqGztbe7muorZ1mm++3J754BOBzzxirPmf7D/wDfNZmn308+r3cEkgZY92YwoHk4fCjPU7l+bn8K1qQhnmf7D/8AfNHmf7D/APfNPooAZ5n+w/8A3zTIZP3S/I//AHzU3emQ/wCqX/PegDMOj6dPukmtGeR5TKzkck7du3PXbt429KjTQLaOWGWO61ZJIVMaOLk5CHHyc9vlFUDr722syJc3Jjt4pzCLdET7oiMm9yTuwecFeBt5qkviLVW0ovcSG1uIZme4BijjmEJQumxJDhsdD3O3jrS0Kszo7bR9PtJLeWC1dZLfdsfHzHdnO4/xfeOM9M1oeZ/sP/3zXH3viO+ihmuob2IsJpYVsmiXcqLEzLKf4s8BjnjBxUms67fRz6aum6jbbrmBS0e1HDOZIl69Rw56e1MVmdZ5n+w//fNHmf7D/wDfNcd/wlt2/kyxoxijvJjdhYd3lwK+wBj/AAkHJ3f7B9ateJta1bTdQnh09VdBpzSL+73eXKWbbI3+wApyOnNFw5Xex0/mf7D/APfNHmf7D/8AfNctb63fTXVuxvYw0t4tobIRruCGPPm565/i/u44xSQ3+po3lXGsEJJqUtn9okgiURKgJHYDc2AOcj2oCx1Xmf7D/wDfNHmf7D/981xeneJNVutZs4pJ0FqzJG8nlIIpMtKM5+8GcIpXHy/mK1vFmpX2m21obBpA8skgfyo0dsLGzdG4wCATjnGcUX0uFtbG95n+w/8A3zR5n+w//fNcWniLUmi1K4+2xssEnloyCEwKDsBfGfNIG4tzxgeldFo2oLc2Uplu2kaK4khMk3lqWK46bDtI56j8aBWNBH+/8j/eP8NJK/7s/I/Ufw+9Pj6v/vmiX/VH6j+dAB5n+w//AHzR5n+w/wD3zT+9FADPM/2H/wC+aPM/2H/75p9FAFOSztJr+C+ktC11bhhFLt5UMMH68etVm0PS2jtUNnKFtd3khZZBtycno3OT65pt1fzReJLKzjuUMcqt5lvtG4cEhumcZHUHA6EHNV9T1qUQ6fdaU4uIZ5CoRCoaXBAwA/OBznaM8DtQM0E06xT7RttH/wBI/wBbksdwznHJ4GSTgYHNBsLdru8uJI5na7jSKRWztCLnAA7dSaxF1i8U38c1+gWO4Cm5RVKW8ZLYBBUYbhQQ2eua1Tq8A06Yz3KW11DaJcXAKFvIDDgkfUHj2o6XDW49dJ09HtnW2mDWzFoiJZOCepPzfMT3LZqxcxxXSLDNC7RtnIwR+RHIPuKxrHW/MbSBLqcMhupJkIwgMgGdvTgMDgHbxmtTV55La0WSOTyvnCvNtDeUp6vg8cD14oYiP+x9N3o/2J9yJsBLOcjnrzyeTyckZPNTWFlaaXb+RZwSxxZztZmfsB1Yk9AOKxRrEyXiKNWjmj+UoptwPPjIJaXI7Ljtxx7itDw9qB1Kwkm+2peIJSqShVU7cAjcF4B56ehGec0IDSeT923yP0P8NKsnyL8j9B/DTn/1bf7ppV+4v0FADfM/2H/75qC8t4L+0ktbmGV4ZBhlBZcj6qQatVn63efYNFu7oXC27RxkrIwBG7sOeOelALcr3ei2N+QsqXS+Wnk5jkYF4yBlGPVgcDrz70g0K2WKWKO51WOKR2cxpcEKNxJYAY6EseKoa3rr2d2phu/Ktfs32rfEkbtPyo2rvOMAHJA5ORimz65dvoazw3kCzLdTJOEaISCNGcDarnbu+Vcg9RnHNJ26jVzaksLOWCKza2cQRRhY1UspQDgYIII4461cjKxoqJE6qoAAC9BWRe6gVtLG4W9+y288YaS7eMfKNuRkNwuTxz06Vr25Jt4i0nmkqCX27d3vjt9KYhsT/ul+R+n92mXKpcReTJHKY3yrAEqSMHuDkfhU0P8AqU+lQ38qwWkkzTCEIrN5hxhflPPPFALcgh0yxg+y+XayD7KNsOWZto7Zyecds5x2psmkafJbC3a1mEQmNwFWR1/eE5LZDZ6846VQg1ma4fSWjuY3W4iiYqqg+ezHEmD22Yzx681Z1DW7WKzguYb+KOP7YsDswADYfa6/N6c8j0p9QJ20uxd7x2tpmN6my4zI5DrjGMbsD8MUHStPa+W8NpKZ1QRg73xtAIAK52ngnqO9QxaxbpqGrxz30TRWapIyjGYl25bOOTzVe+1kx61FbWl9G8jQGT7G0Y+f5GZcH7xYkDgcAA57Uh6ll9D0txAGs5v3BLRkSyAgnGckNz0HXPAx0q1HbW9sbiSG3dHmyXPJ9emTwOScDA5rAk1547e1B1eJZJLjbE7RLtnX5N2T2Clivy8kge9aem31xd3F9HK4cIDlNoHktuYbDjr8oDc88+lAdCUaTp+y4Btpj9pYSS5lc5YdCPm+Uj/Zx0qX7BZh2dbaRWaAW5KlgfLHIAweOvUc+9Y91r0sVlqhtbmK4lt7pIgQyjyEYLlmOMYBLckH8cVrQ6jbm3Ecl3suFtRcOXUAqh43njb1B/woDUhTQtLja1ZbScG1G2H99J8ozux97kZ7HNOn0XTbmExS2kpQztcfLI6nzG6tkMDznp0rLTxAJY9DKatB510qGSPYu2XkBjnsc8AL39hVvWtct7fTWmt9TS3dZ2gDNGCDIoOUO7gAdz6DjmgNS3NpGnXCzLLZyMsyhJAGcZAwex46DJHJwM5p0Om2MDwPHbS7oARGWZmxkk85PzHk8nJGeKy5takhkvDPfpBFHGSxWIN5IyoRwDyd+44zxx9aLHV7uefTla6ilEqrkIq4mBLBmyP7m1c7eMk9sUwtobLIzyCRC6OjNjMe4YOPf2pCknmCWVmYqNqgRbepHv7U2ZDLdRRFnCFpCwRiucYx0+tIYfs95GqPKUdCWDuW5DLjr9aQEixzR7hFIwUsWAMOcZOfWmCDEflAvuUq4bZ3yT09OaS3tVuFeSV5ixlccSsBgMQOAahUyNZopkfLSqhO47iu9h169KALLxzOVMrsyo2/AhxyPfNCpIGMkTMu9V3Axbugx60ya2Fs0LxPNkyhTulZgQc54JoSAXFzMJHl2oqBQshUDK5PSgCSNWjmLvvd3JJITHYDpmrHmf7D/wDfNVbZTHdTRbnZEb5d7FiMqD1NXaBEUcnyn5H+8f4feneZ/sP/AN80R/dP+8f50+gCKST90/yP90/w04ScD5H/AO+aWT/VP/umlHQfSgBvmf7D/wDfNHmf7D/980+igBnmf7D/APfNHmf7D/8AfNPooAZ5n+w//fNVfs1vJdrdvbuZ4yQrc/qM4J68npnirtY0t9cR69FarIBGzDEW0ZkB3bmz1+XC9PXmgDVZ87RscfMOo96tVXfoP94fzFWKTGgooopDCiiigAooooAKKKKAClX76/WkpV++v1pDLYrNT/j9uvqn8jWkKzU/4/br6p/I0RHImooopkhSj7wpKUfeFAGPeozatcEFBgDO7PoPSq1zG/2WX5ovunoDmrF8T/a1xj0H8hVW4LfZpMk/dNAG1+/wvC8jjrR++7hOPrXJvpl+0WrG10+W0muZVJfzEcSxBuQo3feIyfmwOQO1XrSy1OLxBYSvDELGOyaIhHx5TfLwV6EkjqOlUhM24vO8rgJjJ9fWn4m54Tjr1rn72wvbjVfOtYnjIt5Y/P8ANG05BwMZ3Ag9sY75zTI9MvA1oUtXijSUtDGZF/0UbwcnnnKhhxn71CA6PE2Rwvt1o/fY6J7da5g6VffZZle1eRTIDJEJVzO+HBkHzdMlDzg/L0qR9M1EzXBKs8jRYeYSDEy/JiMc5BGH6gD5utAWR0f77nhOOvWjE2eidPeuej02+E9mywtHsH7pi4/0VdzkoeecqUXjP3ar/wBk3/2EILVwN5xF5q5WTYB52d2MbwW6556Z4pgdT++wOEx260n730T8zWXY2lxH4hvrloHjhljC7mkBEjA/eABz09cY6DitekIZ+99E/M0fvfRPzNPooAZ+99E/M0yHzPLXGz9am70yH/VL/nvQBAtusgWV7e3dwCodky2PTOOntUklmJyDNaW8pUgjfHuxjoeRXM3lrrkmrzX1mm2MwvZRDewIypIkx93Akxz1/CqD6ahv9OeHRbyK3SFluFns5J8y5j5wHHOA3z8g89aQ7Ham3BlaVre3MpXYzlPmK+hOM49qijsLeIhorGyjI6FIQCPpgVy2h6PrFrqmlzXRl+yxNcnYXJKGTJO8emQu3rjPau0pgyHyvvfuoPn+98v3vr607YxySkRyNpyOo9Pp7VJRQIgEAE3nCC3EoXYJAnzbfTOM49qV4RJG0ckNu8bnLIy5VvqMc1NRQBD5XGPJgxxxt9Onbt29KcQ5IJWIkdCc8VJRQBVWygjkMiWdmshG0usQBI9M46UotIljWMWtqI1+6gjG1c9cDHFWaKAIk8z5/ufePrSS+Z5Zzs6j19afH1f/AHzRL/qj9R/OgA/e+ifmaP3von5mn96KAGfvfRPzNH730T8zT6KAG/vcdEx+NH7454Q+vWsi6ttRbxXp9yiI+nxxSK5DkGMkdSv8WTjHpg1HqkN9qNpYuNOliuVmD7fPQ+Thv4jnoR3XJHTuaANzE/HC89OtRrEySvIscSySY3sActjgZ+lc/f6HNHBqP9mQiEXEse5EIZpYxy/3jjcSx6ntWlBNL5U9i+nSbbe2j5UgLIzA5RM46YGTnHNAzR/fc8Jx160w+b5seAmcnGM+lYEFjfvHpBe0ljeCKNDvkU+Qyt85OGOdy/Lxn3xWprEElzaLGkZlG8F4g20yIPvLn3FDEX/3/ovH1pD52eQn45rmhplwl7HNDpcsQAVoj9qH7lADvixu6t7ZHPUbRWh4dt5bawlWayksi0pYQNIHCggfdIY8fU8nJ4zQgNJ/M8tuE6HuaVfN2LwnQdzTn/1bf7ppV+4v0FADf3von5mlHm54CZ/GnVn65FLPot3FDbvcSvGVSNGCknsckgDHXrQCLBg+0Owlggl2MGG9N2046jI4PvTDp1u7sTYWTM53MTACWPqeOTXPeIIb24uo7hNOluVFv+6gZS6xz5U5cKwx8uQGyQOaguYbmfRPsctlqJngvJpdj2jSxTAvIVBwwLLgggg8HFIaR1w83z8AJnZ7+tP/AHueifrWNfW01xaWPm2BmWOMGeySUcnbgAEkA7T6n3rXt0EVvFGE8sKoGzdu2+2e/wBaYhsXmeUuNnT3pW83dHwn3uOvoadD/qU+lQ34LWkiiFpiVYCNSAW+U8ckD9aAJ/33PCe/Wj99/sfmawILK+d9JeS1ljaGKJCXkU+QVP7zOGOdy4HGffFWdRa8uLSBxpcxmjvFYRpKhIRX+/ksByO3XnmmBrfvuOE9utH77GcJj8ayojdQahq80emzMGVHhzKgE7KuCB83y59SBVa+try51qKWGwliYQEC8Ey4VijDaRuzgEjOFOTg9qQ7G/ifnhffrTJPN8pshMbT61zEmn3Yt7WJdInKC48xdk6BrYDbnHz4yxDHPOATxk4rT020ube4vnmQoHB3OWBEz7mO8c8DaVHOOnSgRqjzsLwnTjrS/vumE/WuburTUp7LVIba0mt/NukkBJjbzo8KHCjdgE4PDYHNa0JnithbPp5MaWoOY3XDN0MYXPHHfpzQMvfvueE469aB5xPAQ/nXMpa3rx6GkmkXKvbKgkm89Mw4IBGN/IIGSRkkcd6t62t3faY0X9jyyt57IqrOmQoBxKPmA57Ang8npQBt/vuMBPbrR++54Tjr1rnZrK9WW9l/s+S63xkFDOo88ErsTO4fdw2emc8ZzRY6deRz6czW8yCJVG6SRT5KgtvUgMfvArjGcAYJ4pga83lBd1w8SAOdrNIV/Wmxm3YloJYZHGAcSlyBkeppZTGl5C8pVUBkGW6ZOKR3ilvYmhZGCowbb2yy0gGyNZpIweeBGzll89lwfpmpNsIhOTCIAqkNvOOp5z9aS1ltokdJZI1cSuSGIB+8arqFFlGTjYJlYk9Mb2OfpQBLGbR3AjnhkkHKjz2bn6Zp0ptlZTNLDHIVHWYqSO3Q0XEtvK0CxPGzCZThSM45ojeGK6nMzou5Y8bz1+WgB8GzKtbtE6knLBy2Tgd6s/vfRPzNVbUo15O8ZBRn4K9D8oq7QIij8zaeE+8fX1p3730T8zRH90/7x/nT6AIpPM8p+E+6fWnDzcDhPzNLJ/qn/wB00o6D6UAN/e+ifmaP3von5mn0UAM/e+ifmaP3von5mn0UAM/e+ifmabH5u18BMbznrUtY0tpcvr8VwsbGNWGJdwxGo3b1xnPzZXoD07UAareZ8udmNw6Z9RVqq79B/vD+YqxSY0FFFFIYUUUUAFFFFABRRRQAUq/fX60lKv31+tIZbFZqf8ft19U/ka0hWan/AB+3X1T+RoiORNRRRTJClH3hSUo+8KAMe8VTq1wWZxgDG1sdhVe5RPssvzyn5T1f/wCtU1//AMhecZA4HU+wqrc4FtIdyn5T0NAFyPVNPlNwqXxLWo/fDBGzkj055BHGamS6tpJoYVum82aIzRoeGZBgFsEZHUdayp9BubyC8iur+GRZ5VmTELKQVbKq5D/MoAC4G3ue9TwaI0GtW2oi/kYR25hkibBVzgAEdxjHTmqXmJlsXlpHP9me82TBWcoTj5Rkk5xjpzjrSJqNi625W9JFwxWLqNx/Lj8cVVutIOoXYmluUWERSRBFj+cbsg/NnGO+MZyOuKBo0hdJJLuMyO+65KxkB/nDgKN3y8qOueM0INCydTsFiklN98kT+W554b06c/UccH0p7X1msssbXuHhTzJBnovrnGD9BzyKoDQpFjOy9jEiYSFjFkLGA64YbuTiRueO3FKdBXLqt0BEFzCpTLK/yck55H7teMDvzTDQvJf2bvAi3pLXC7oh/eH5cfjioJNb0uKFZX1EiNnKBtrHkdei9ORz0qJdEPmRs92pVjvuAExvYMzgrz8oy54OeMU+DSDHZyQS3SuZHj3FU2gpHgKuMnkhRk/pQGhdiuLee4lt4rpmlh/1ig/d/Tn8Km2H/no/51StNP8As1/LcGdXQ7xEgXBXe29snPPPTgcetX8j1H50hDdh/wCej/nRsP8Az0f86dkeo/OjI9R+dADfLP8Az0f86ZCh8tf3j/nUuRnqPzpkJHlLyPz96AKcd/Zi8Sw+2H7Wf+WQycZyRk4wDgZwTTH1nS0tRdHUgYGkaIOpLZdchhgAnjBz6YrOfR9SF7JPZX8UMMszXBy7htxj2bWUfKy5CsCeRjioP+EWuLW1NvY3iuAweGaeZ0lgfZsZlaMDOcDg8HnNLUdkbL6vpkdy9u+pKsqKXZSegC7jzjGQOcZzjtRdavpljLFHdaiIWlQPHvJwykgA5xjqwH4ism78N3t1bS2JvLY2rTSXQlKnzTK6MuCOm3LE5HOOMUXehalqUth9sfTlht4xHIsbu28B427qOojI/GmGhttf2SyRxtfAPLO1tGC33pVySg46jB/KkutRsLKSSO6v1heKBrlw7Y2xKcFzx0BrAXwldbCH1X54ZZJrZk4+dpA4MmQc4CqOMd/Wrmu+Gl1y8kuHuBFm08hVXucsSG9UORkdeKQWVzQGracbsWo1AGcruCAnnjdjOMZxzjrjtUEfiHR5YpJY9SYpG/lsdjjDf3QCuSfYZNVbfQbqGW3ga5tjZRXa3pYbvNMgXG30255znOOMd6mOkXUTrc29xA1xFqEt3GspYIVkBUqSOQQD1ANMCyms6XLcw28epq8s6q0SqSQwbOOcYycHjOeDU1/f2elxpJfXjQo7FVJBOSASegPYE/hWDZeFJ7O/ivftsUkqSJI0Z3CJjukZ/l6ZHmfKeox71p6/o39tpaxi6a3ELuxaNiG+aNlHTtk8g8EZFHQNLkg1vSjJMg1L/UgtI2DsUAZOWxt6Ed+9W7S4gvoPPtriSSMkjOCvI68EA1zcXhrUBFeRST2iCeQTJ5c8pjRgUIHkn5NuU69cGtmwg1O0tpBNNBPNJO8p3zuwjU4wisRkgc9cdaBF9EPz/vH+8e9JKh8s/vH6jv709CMvyPvnvSSkeWeR1Hf3oAXyz/z0f86Nh/56P+dOyM9R+dGR6j86AG7D/wA9H/OjYf8Ano/507I9R+dGR6j86AKzXVsl4lm10wuJBlY88kflj8PalnuLe2khjmuWR5m2xr1LH8Bx9TxUE9g8+r2t4biMRW+SqeX8+SCCN2eh4OMZ461WvdGk1K1tYr28R5ImJlljRoy4znACtgDgZB3A46UAWf7UsPKnl+2t5cD+XI21sBs4wPl+bkHpmrLvHHbmd7hhCq7y+4Y2+tZK6FJHNcTw3cEcjzCWMLCQgb5sll3fMxDkZG3oKsx2l/DFPbQXcMUCW8cVmxj3srgEM7cjPbA9qOg9Lk8N/Z3PkeTeF/P3eV1G7b94cjgj0PNPupYrVBPPOyRJksxPT8hVC30u9hawLX1qwtpJHlxA2ZS+QeS5wcHqc5P5Vdv7f7UkSpKI5EkEkbkbgGXkZHcUCIY9X02WaOJNRBkkBZVJI4GeuRx0PBweDU9ndW2oQma0umljDbSRxg+mCM1RfSrySfzX1GI7ykkoFv1kQHaR83C9Mg5Jx15NWtKtLiyt5Fu7qK5mkk3tKkZTccAc5Y88flgY4oQFp0Plt+8foe9KqHYv7x+g70rkeW3I+6e9KpGxeR0HegBNh/56P+dRXEsVpbvPcXDxxIMs55AH4Cp8j1H51V1O3lvdNuLWCeOGSVCm903gA9eAR/OgERXV/Z6fKFu7wxNKfkXklsAZOADwMjnpSzanYW9oLqW+xAXMYcZbLAkEAAZJGD+RrN1PSNQvLjz7S+ihuWtxbSyBnj28ht6FSSDkfdJwR1NQtompGwNmDYER3Es1vOJ5Y5ELs5zlRwRuxwSDzQM2bi7tbVUuJ7pkidRtbk7s9MADP6VZiKTRJLFM7xuAysDwR+VUZrO4ZbMx3ifbLaPieSPcrkjaxKgjr14NaKZCKHcMwAy2MZPrigRHEh8pf3j9PWmz7YkEkkrhFyWPXAAPtUkRHkpyOnrUd2HkgKQyIkjAhWcbgCQeSARn86AI/ttpvt0+2HdcruhGfvjGQenH41JNLFb+X51w6eY4jTPdj0HTvWdDo8qfYvNvIn8hI0l2RFfM8skpj5jt5PPXPtUt1Z6hcWiRDULfzVuRNva3ONgbcqYDDkcAnPPpTAuRyxSzTRR3DtJCQJF7qSMjt6VHJe2kV4tnJebbhl3BCe3J64x0B/I1CLS+W61GZL63Q3KKIf3BJiZRgE5bDfTAqK70y6vL1Gmv4TZiIo0Pk/NuKlWYNuwCc9wcDjvSHoTf2tpwjhkOoYSZykZORlh+HHUcnA5HrUyXEFx9ojhuWd4crIoPQ/lz+FZr6RflI1XUrcAy+bcK1uSsuAoUY38ABRwcgnn2q3aad9ie4kM4kUoUiULgqm5mwTnk5Y88cdqAJvtdqIZpDdMEt22Snn5WwDjGOTyOnrUysjQCcTSeWV3g4xx9MZrHudDnvre8iubyBlnuEuIwsTKFKgAK/wA+WBCjOMVoxwXcQ2pexsi24jRXiyRIP4yc5I6fL+tADTqViDag33/H2AYOfvg9O3Gc98VJeXVtp8Imu7pooydoY88/gKzo9J1BYtNhbUrZobQL5ifZjiUqeD9/ggeuRnmpr6x1K7s3gTU4ELysSWtyQYj0jOGB+pzzQGhYfULKNple+wYEDyc52g9O3PUcDJ5HrRFqFlM8CRXu9rhd0QB+8Py46Hg4PBqo+k3SvNJa6hHDIwbyW8nPls5Xefvcj5eBxjPei20V4ZLVnuoiI9pkVIiu9kLFSMscffOc5J9RQGhdeUQsExPI7u2FTGeMZPP1pBPvfymS4iYjcA+3kAjPT60rhhcRzKhcIzghSM849fpSOWluElMTRqilTuI5yV9D7UAH2kszeXDdyKGK7l24JBweppPtKeV54MxDbVCjG4nJGPzp0LvbqyGB2/eM2VZcHJJ9aiWFxbqu3LLIshXIzjcT9M80AP8AtJ3KskV1HvO0M23GfwNKbja3lJHcysiru2bcDI460szPOYx5DoFkDksy4wM+hoQvDNI4iZ1kVMFSvYY7mgBYZBPJj98jISGV8ZHAParGw/8APR/zqvAG+0ySsuzzGyASM8KB2q1keo/OgRHGh2n94/3j396dsP8Az0f86IyNp5H3j396dkeo/OgCORD5T/vH+6e9OCHA/eP09aJCPKfkfdPenAjA5HT1oAbsP/PR/wA6Nh/56P8AnTsj1H50ZHqPzoAbsP8Az0f86Nh/56P+dOyPUfnRkeo/OgBuw/8APR/zqsLi3S6W1a5KzyFiiZ5I/LFW8j1H51mtp3m6mLsTqsYkVnj28sybtuDngfMc8HPHSgC+yEbTvc/MOCfcVaqs5GByPvD+YqzSY0FFFFIYUUUUAFFFFABRRRQAUq/fX60lKv31+tIZbFZqf8ft19U/ka0hWan/AB+3X1T+RoiORNRRRTJClH3hSUo+8KAMe8KjVrjcqtwMZUHsKr3DR/ZZf3aD5DyEFT3wJ1efCu3A+6uewqrcqwtpD5cv3e6HFABLrsVpHfSXdh5MVoyRq5kVhK7dF4+6ehxz1H0qW11eO41VbBrNYy0CzCQuCGyM4Xj5sdzn8KVNF09VmGy7ImbewM0h2tu3bk5+U55yMVPFp9nFcx3CRz74l2oCzlRxjO0nG7HGcZql5idivcarDY3Qt5rRthhkmEoxg7eSMf5/rSDWI90aPYlJN+2ddynyfmC5z/Fyw6VOdPs55/tE0UruQy7SzlOcgnb0zjjOM0Lplioh/dTkwtuDM7kuc5+c5+fkA855AoQFX+3ImjLJYFnJBiTco8xCGO7PbhG4PoPWnNrdqGcralogv7t+B5jfL8uO3315PqfSpjpNgYpI/KnCu+4kO4K9eFOcqvJ4HHJ9ae2m2LSSuYJP3ibCoLBQOOVHRTwORzwPSgNCuuswGSNXsyoztmOVPktuZQP9rlGGRUf9uw+RvNgQ4y5j3LxEFD78/wC6QdvXtVxdNsUeBxDKTCMLksd3JOW/vHJJyc8k0z+yNP8AIEXkz7Q+/O989Mbc5ztxgbemBinoGg+C9jn1S5sTaGNoUWQOcEOp9u3+elXvLT+4v/fIqrDaWsF5LdJHN50owSzOwUZyQoPCgnnirPmD+6//AHyaQhfLT+4v/fIo8tP7i/8AfIpPMH91/wDvk0eYP7r/APfJoAXy0/uL/wB8imQxp5S/Iv5e9O8wZ+6//fJpsMgEa/K//fJoAypdbsbPUHsZ4iPLtWuXlwCBtydmOu7aCarS+I2gubW3uNJjt5LpDJH9ovYkBUbe5/i+YfL7VabQtMuWaee1Z5pJC7yFPmIKlCmcZ2beNtMXQYVmgmXUNV82BDHG7MrEIdvy8oePlHPX3paj0IdO8U2OpXtnaR2ciS3DTghtv7ryu7f7w5FdB5af3F/75FZdpoem2U1vPBBIs0G7EmDufdkfMcc43HHpWn5g/uv/AN8mmJ+Qvlp/cX/vkUeWn9xf++RSeYP7r/8AfJo8wf3X/wC+TQAvlp/cX/vkUeWn9xf++RSeYP7r/wDfJo8wf3X/AO+TQAvlp/cX/vkUeWn9xf8AvkUnmD+6/wD3yaPMH91/++TQAvlp/cX/AL5FHlp/cX/vkUnmD+6//fJo8wf3X/75NADUjTL/ACL949qJY08s/IvUdvehJBl/lf7x/hNJLIPLPyv1H8J9aAJPLT+4v/fIo8tP7i/98ik8wZ+6/wD3yaPMH91/++TQAvlp/cX/AL5FHlp/cX/vkUnmD+6//fJo8wf3X/75NAFKW/to9Yt9N8oNLKjOWGMJgZAI65POPpS6leJpqwM1oZEklWJmXA2ZOAff/PNLLYWM2p2+ovbE3luGWOUIQQCMEH149elRHSbA20FuY7kxQElVMsh3ZOcNz8wz2OelAFa411LKO7a+08W/kMioDKreYXJCjgfKTjPfg1qoQ9os4gTcybggIIzjON39ahuLK0uUlWSKX97IJWZSysHGMMCOQRjtUcenQRTXMivdATwpAEDMBGig/dx0JyST1oGRDVoSLNvsZ23EccjnK/ug52rn+983HH1qzfzJZxxyC3Ers+xIxgb2PAGT0+tRQ6VYwpaosdwRajEe+R24ByA2T8wB5Gc4qxdRw3SLFKkhQnPAIII6EEcgj1FDEUhqrC5EMukyRgMscr70YI7fdA9c8c9sirOnXQvoZGez+zvHIY2QsrjIx0YcHrj2IIqH+xtP8xXMVyWVduTLId3XDNzywycMeRmptPsrbS7b7PbC48vOcSu8hHAHBYnjjpQgLTxp5bfIvQ9qVY02L8i9B2pryDy2+V+h/hNKsg2L8r9B/CaAHeWn9xf++RVe+mSysZroW4l8pC5QYBIHXk1P5g/uv/3yagvbeC/s5LWcT+VIMN5bMhI9Mrg0AihqGrQ6fe/ZxapK7IJXZ5UiSNMhQSzcZJOAO9R3PiC2t9NivBaAiW5e3USSJGoZSwJZzwoOw4z6gU+90Sy1H5ZmvF2x+QzIxzJGcEq5IORkZz196T+woVt5rdL/AFNIJXdjEpXaN5JYDKdCWPXNDuPQtXNz5DW4ishNPOvyQh1Xtk5bpwPzq5EoeJGeARsRkowBKn04qnJYWkkEFp5cyRQRhYjGzI6AcDDDkccVdjKRoqKjhVAAG0nigQkUaeSvyL09KZcBY496wq5XJC8DOAeM06KQCJflfp/dNMuQlxF5LiYK+VJTcrYIPQjkfhQBTGqQl7MC0+W4jjd2yP3XmcIPfJyOOlW7yVbRYmNuHEkyRHGBt3HAPv1qCHTLKD7LsjuD9lULHvd24HTdk/NjtnOO1Nk0qylthbkXixic3A2TSKd5O7OQc4z0HQUwLMEqTXl1bG3CmAp83B3hhkH2qveX6WN2kUtkTCyMxmUrxtUsfl64wOvqRStplm8l67fayb1Nkw86TBGMfKM/Lx3GKa2lWL3y3jJcmURiLaZZNjKARgrnB4J6ikPQhOr7YEkOlsT5wilQSJlCdpXH94kMDge/pU9tfQ3r3Ea2+wIpaNjg+YuSu725U8VE2h6c/kZW8BhYsjLPKCScZyQfm4AHPYYq1Fa21qbiSGOQNKCWzuIHU4AP3Rkk4HGSaAKtzrFtY2d3PcW6p9nmWAAsP3jMFK4PbO6tCMiW0ScQJuZAwUEEZxnG7H61SGk2RW4DC7b7Q6yuTNISrjoyc/IRgdMdKmFjaq7OiXCMYBb5R3GEHIxzwefvdfegCD+0x5OnzDT2MV5syQ65jLdBjq2Opx0AJqxqVx/Z9m1ytkJwvLKGVMD1yf0HcmqqaHp8bWjKL3Nou2LNxLwM5wefmGfXtx0p1xo1hcw+VIt2F89rjKTyqd7dTkHOOenQdqA0D+01eeaKKwZ2RW8vLKvmMuNynP3cbhyff0plvrENw9qv2JkEwXczFf3bMWCj/aB2nkdsHvUk+kafcLOskVxiZQr7ZHXjg8YPBOBkjrjmnxabZQyQOqXDNAMKXd2z1ILZPzEZOCemeKA0JJS6zJFCkIaRnO51yABj0+tNzKk6wzLAQ67gY0Ixgj1J9akZWaRZIyVdGYfNGSMHH+FNKyGRZZWyVG0BYiOpHqfagBsf2mfc8a2qIHZQGjJPBx60wTsbZZBFF5rusfK/KDuIz+lTos0W5YnXYWLDdCxPJz61GIcR+UGbcrK4byzjO4np6c0AD/aIWj81bZkdwh2RkEZ79aAZpJnjhW3VY1XJdCSSRnsRT3WaQqZWBVG34WJgSR+NCrKrtJEwG9VyGiJ6DHY0AJblnneOZIt0bYyi4ByAeh+tW/LT+4v/AHyKrRAxzl3JZpCSdsZA4AFWPMH91/8Avk0CGxxptPyL949ven+Wn9xf++RTI5BtPyv94/wn1p3mD+6//fJoASSNPKf5F+6e1KI0wPkX8hTZJB5T/K/3T/CacJBgfK//AHyaAF8tP7i/98ijy0/uL/3yKTzB/df/AL5NHmD+6/8A3yaAF8tP7i/98ijy0/uL/wB8ik8wf3X/AO+TR5g/uv8A98mgBfLT+4v/AHyKzmvootRFmbfcC4VpeMIzZ2jHU52n6VoeYP7r/wDfJqp9ltpLxbt45DMjHGN2D6EjoSMnBPTJoAtMiAAhFB3DoPcVaqqzg7RhvvDqp9RVqkxoKKKKQwooooAKKKKACiiigApV++v1pKVfvr9aQy2KzU/4/br6p/I1pCs1P+P26+qfyNERyJqKKKZIUo+8KSlH3hQBj3rFdVuPcD+QqtcSE20o9VNWb1WbV7grs4AzuJ9B6Cq1zG/2WX/VfdPQnP8AKgDOk8Q3EUWqSQ31teeTKkUUaKimHLbWZ/m+6DxlsdCelW7HVrqXXYLaW5jkglt1ZEUIH3bclmA5A9CPlrcETY4gj+cc8fe+vHNLtkB3eXHkcZz+nSqQmYN7q9xaan5EEsMq+RK5twBvDAFgTznB9cY7daams3W62UXMEqmUqsqoMXY3quE5wMAk8Z+7W7EH2bhGmckbs89enSn7HGB5UY29B/d/TihAc3/bl2baRjcwR/ON0pQYgJDnym5+9lVHPPz/AEqR9bvBLP8A6tCseTCV5gHyfvG7kHc3Xj5frXQbHPHlR/Mckevv0oxJkny4/m4Jz19ulAXMCPWbozWq+bFJu4CqozdDc67154AChuM/epialqd1pzTW9/CHWVEBW3VxIzhf3fXjaSQT147Gui2uMHyoxt4HPT9OKAsg4EaDvgH9elArmbYahNcatdW7ujIm/wDdqoBh2vtAY9TuHzDP4Vq0zEg+by0Gepz1/SjMn91P++j/AIUAPopmZP7qf99H/CjMn91P++j/AIUAP70yH/VL/nvRmT+6n/fR/wAKbCZPKXCp/wB9H/CgDnhr0kGryJcTiK0iuDb+UsIYnEXmbnYnKg84wCPl561Sj8SarNpJmZfs80MzNcn7NiSOAoXQiOQjdjoSP7pIrphZQTMtxLZWskoUoJHQFtvPGcdOvFPn06G6YG40+1mKkEGSMNjHTqKVh3RzV54kvobeW+huLZo/Plt0tTF8w2xswkJznsCRjG01Lret6laz6cLCe2JuYFYxPGGDOZIl65yOJD+ldC1lC1w9w1lamZk8tpCg3FT/AAk4zj2qGLSbCB1aHS7CNk+6UhUFfpheOg/Kmguc7/wl87fZ5I0BhF5KLnELN5cCvsGSPukEkknj5DVjxLr+paTfzQWcUcif2e0iZjLbJizbWbH8GFOf510Itox5mLW3Hm58z5R8+eTnjnqetOMe4sTDCSyeWxPdf7p46e1AXVznINcv5preX7RAElvFsvsoiG8ZTd5uc5/2sYxtpLfUNXMggl1OEmXUZLNZ2tVURhATnGcFmxjniuhFpCtyLlbO1FwF2CUKN4X0zjOPaiW1imheGW0tpIpG3PG6gqx9SCOTQByen+J9UvNatLdmhFuzLG7iICOT5pQWD5yCwjBUYweRmtXxXq17pNtatZEhpZHDlYRKQFjZuhI4yBk9cZrX+yxbdv2W22jaANox8v3e3bt6VIyF2VniiZlJKknOMjBxx6UdAur3ORXxDqvlajctJH5cEvkoyxIbdSSg3b928gbiemCBXRaPetdWk3nTtLJDcPA7vEsRJXHZSR36g06PSrGKRpItMsEkZSpZYlBKkYIJ29McYp66fbJCkKWFmsSZ2RiMBVz1wMYGaBFmPq/++aJf9UfqP501DJl/lT7x/iP+FJKZPLOVTqP4j6/SgCbvRTMyf3U/76P+FGZP7qf99H/CgB9FMzJ/dT/vo/4UZk/up/30f8KAMy61CWLxFZWSXEJjlBEkGB5g+UkN1zjjqBgd+SKr6nrjxw2F1pjpdW88hXERUmXkDA3EcdckZIx0rbxJndsjyBjOf/rUbXOCIo/l6c9P0oA5pNbvN19FLe2ymO4CidQjRwRktjdz975QCGx1rV/taD+zZJJrqC1uIrVLiYSc+QGHDMPTIP5VobHOR5UZ3ckev6c1GsAWaWVYIRJNgSN3fHAzx2o6WH1MWx1sytpQl1G0kN1JMhAKAyBc7SME4bgAgZ54rS1a4ktbVJI5FiJcKZXXKxA8FyPQe/FWvKIxiCH5enHT9OKG8wugKIc5GM9ePpQI54a3Ol6qHVbOaMFcARAGdCCTKCD0XHOOOD6itHQNQbUrKSY3kF4qylUmhAXK4BGQCcHn64xmtLY4/wCWUY2jA9h6dKQK8YwsUa98Dj+lCAc/+rb/AHTSr9xfoKY5k8tvlTof4j/hQpk2L8qdB/Ef8KAJKoa1eHT9GursXEUDRRlleXG3PYc+vSrmZP7qf99H/Cgh3G1o42HoTn+lAI53WdcltLvEFysVsLb7W8qRLM0qgquFBYDABySDnpiibWdQfQ0urd4xILmZJjGis6RIzjKozAMflXPPTJraks4rtts9nbTCNgyCRAwQ4HIyOKjbRrCR3ZtJsHaRt7kwKSx9T8vJ560D0Kt5qJW2sJ472K3huEDNeSxjao27hwxAG736fWtW3Zmt4maRZGKgl1XaG9wO1NKu0uwxxkbPu9R1+lSZlz91P++j/hQISH/Up9KhvpRDavKZUhCKzeY+ML8p5OeKfEZPKXCp0/vH/CiQOxRSiEFuhOc8H2oAxYdalnfSzHcQOtxFExCAHzyxw+0542YycZ681av9ZtYrSG5g1C2WM3i27s7DBO/a65JGCOfpitIIwxiKMbemO36UFGYYMUTAc4PP9KYGdHq9ul9qsdxfW3k2SpI3zAGJSuW3YOcA9zVa+1ow6vFb217bSMYDIbMgb2GxmUg5ySSBgAdMk1tbGBJ8qIFup9f0o2Nu3+VFuHG7uPxxSGc2+vyJBb51ayEj3GxGdFC3C/KTg7sKF3EEjJyB3zWjp2oT3k97HKyMEUnYqgGE7mXY3vgBueea0/KbgGCL5eQMdP0pHDiNzsQbgSSD14+lAjAu9fkgstSNvPBcS290kC7GQeSrBeXycAAk8nHStWHUbd7dY3vI1uBbCdy+FKoeN5HQDIPtVpYyFwIYvmHP+19eOacQ5yDHGc8EE/8A1qBnOp4g82LRSmqWXm3aoZIsL+9yQGIO7jngAZOeKtazrlvb6c01rqlrDIszQBpAGBkUHMfJAB9T2Ga1vKPGIIfl6cdP04pSjOMGGJh1wef6UAYMuuSRS3Zmvra3ijjYligbyMFArnnLB9xxnHT60WWs3U8+no1xbyeaq7ljAPnZLAspB427RnGRk/St7Y56xRndwc9/0oCOuMRRjbwMdv0oArSq0lzFEJJERmkLbG2k4xjn8aaY2gu40Eszo6EkSOW5DLjr9afIEI3TMke1zhvNKde2aagiJLxSJKwwM+eXwMigAgtzcK8klxcAmRxhZSAAGIHAqFWlazQGV9zSrGXB+bbvYdfpUriBHYG4SM5JKi5K4J9qd5cflFT5YiAVg3mkY5Jzu+tADZoGt2hZJ5zmQKweQsCDnsaEia4uJQ00yqioFEchUcrk9KFEDsNs6SsvKr9pLc+uKVxEpVpJUidlGf35TPHpQAtsGS6liMjuqN8pdskZUHrV2qkIUMrQlHDEkt5pbJwO9WMyf3U/76P+FAgj+6f94/zp9RRmTaflT7x/iPr9KdmT+6n/AH0f8KAFk/1T/wC6aUdB9KjkMnlP8qfdP8R/wpwMmB8qdP7x/wAKAH0UzMn91P8Avo/4UZk/up/30f8ACgB9FMzJ/dT/AL6P+FGZP7qf99H/AAoAfWPLqE8Wux2iugjZwPKIG6QNuywPXC4GcevNauZP7qf99H/CmRh/mbYhIYjOen6UASP0H+8P5irFVWL/AC5Vcbh0PuParVJjQUUUUhhRRRQAUUUUAFFFFABSr99frSUq/fX60hlsVmp/x+3X1T+RrSFZqf8AH7dfVP5GiI5E1FFFMkKUfeFJSj7woAxr4katcY9B/IVVuGb7NJ/umrd4oOrXBLOuAPukeg9RVe5RTay/vJT8p4JH+FAFCLTTcf2v5umXyNId0ayTkJIVztwQ+eSdx6DGB2q5DZXEGu2OyO5MMFt5UsrSZjcbeP4s5z2x75qw2taWgm3arEPIYJL8w+RjkAHj1B/KrEV7aTTxwxXyPLJGJURWBLJ6jjpVITMq9tb6XVfMs47hCLeVDKXAjJIO3HzdQe233zUcdnehrQpb3McSykwI0nNuN4OZPm5+XcP4utbC3Vsk32ZrxVn2tJ5ZYZ2gnJoS/s5Ft2S/RluDthII+c+g4oQGGbHUPssyyW906lx5sayfNLJh8uvzfd3GM9R908esr2eqGa4JWZpTFiSRX+WVfkwi88NxJ2H3hz6azajYrFLK2oRiOJ/LkbcMK3p0609ru1WWWJr1RJCnmSKWHyr6nigLsx47PUBPZlYp02j9yWfiBNzkq/PJKlB/F061X+waj9hCi3ugN52xmT5hLsAEhO77m/Ldeh6dq30vbSRrdUvlLXCloQCPnHqOKhk1nTIollk1SJY3cxqxYYLDqOnancLkVjBcp4hvpmiuEgeMDdI4Ks4PVfmPGPYY6c1r1Wjnhmnlgjug8sOPMQEZXPTPFTbG/wCejfp/hSEPopmxv+ejfp/hRsb/AJ6N+n+FAD+9Mh/1S/570bG/56N+n+FMhRvLX9436f4UAczeLrp1ea8so3EPkvZwr5jD5ipYSbMYxvwN2f0rPktUN/pxgs9QW2ELfaBdQXUgM2U5wpznG75vu9a61L60W6jsTfILtxlYNw3Hr2x7Gkk1bTorUXUmqQrbmRohJvBBdSQV6dRg59MUh3Ob0Ow1yHVNLku2uPsaNcnazsT8+T+8B7Agbc+tdpVBtT09Ll7Z9TiWZEMjIXXIUDJP5c/SkuNU0+0ljiudTihklUPGruBuUkAEcdMkD8RTB66mhRVQ3dqrxob5A0kxgQFly0gySg/2hg8e1JPe2lq7pcX8cTxwm4dXdQVjBwXP+yPWgRcoqh/adh9q+y/2lF9o2eZ5e4Z24znp6c/SoI9f0eaGWWPWIWjiIV2DD5SeAOnX2oA1qKzl1XTnuYbZNUhaadQ8SB1JdTnBHHfB/I1Je31ppsayX18tujttVpCACcZx09ATQBdorNGsaYZ5YRqkPmQqWkG4fIAMkk4x0qza3EF9AJ7W786IkgOmMZHUdKAJo+r/AO+aJf8AVH6j+dMRD8/7xvvH0/wolQ+Wf3jdR6ev0oAm70UzY3/PRv0/wo2N/wA9G/T/AAoAfRTNjf8APRv0/wAKNjf89G/T/CgDJuo9SPivT5Uj3acsUiuyyEbGI6svQ5OMenNQam11ex6ew0rUEkMm5jHKubfDDqA4BJH1AGe/Fa7XECXaWjXYFw6lliJG4j6YqO6v7Oxlhjur9YXmOI1cgFuQOOPUj86BnPXNldXkWpAWOqW6vMjhA4fzNrN8wBkGc8ZAK8Y6kGtuC7keKe0msZvMt7aMymP7ruynKIc8kY9e45qf7babLh/ty7bZtsxyMRn0PFTB0a3E4uCYSu8Pxjb1z0oWwdTnkS7ddDV9N1JZIUTzZfMH7vBAIYb8HOOSc8e5rX1eKSa0VI0dxvBkjjbazp/EoORyR7in/b7PzLaP7eu+6XfAoIJkX1HHTmpLmSO2QTT3HlxJks7YAHH0oYjBFlcpexyw2GoIoCtFm5yIo8HfGRu+83br1HIxWh4djlisJRLa3NrulLLDcPuKAgcA7mJHXknrnjFTx6pp8sscUepxNJKpZFDrlgOvb2P5GprS5t76HzrS8E8eSu5CCMjt0oQFh/8AVt/umlX7i/QVG6N5bfvG6H0/wpVRti/vG6D0/wAKAJKz9cWR9Fu0hgmmlaMhEhOH3diDkfzq7sb/AJ6N+n+FRzyR2sDTT3PlxIMs7YAH6UAtzmvEP2yS6jnSyuZ4xb5hgAfAnyvEnlnIO3IBJ2g5zUF01xPon2WRNQ+0QXkztG9rOyTLvk2qWTB24KkFTgYGeK6S5vrTT3/0y+SDzG2pvIBY4HTiln1GytrX7VNqCR2+8p5hYY3AkEdOuQfyNJjTKV9FNPaWJls53jWMNcWkUv7zO3gZyN2G68+9a9snl28SBWXaoG123EexPc+9Vp7u2tUW4nvFjhZRtkYjBz0xxViIrNGksU5eNxlWXBBHqOKYh0P+pT6VDf8A/HpIPKklyrDy4/vN8p4HI5/EU+JD5S/vG6e3+FNnIiUSSTFUUksxxwMHnpQCMaCC/kfSXe3uo2jiiU+Yw/dFT+834bncuAOv4VZ1Ca5mtIJF0y982O8X93Gyltivy/DAbSO3vyKu/a7bfbp9tXdcLuhGR+8GM5HHpUkskcGzzrnZ5jhE3Y+Zj0HTqaYGfFLcQahq8q6feOu1HiGVxMwXBCZbgk464FV76O8n1qJ7eyvInEBxciQeWGKNhSN2AAcZO0knGOBWxHJHLLLFHc7pISBIoxlSRkZ49Kje7to7xbN71VuWXesRYbiPXpSHc5+S2uhb2sQ03Udv2jehSX5rcDbnI38ljuIySACfpWnptvdxXF806SKGB3M7ZEj7mO5eTgbSo7dOlWP7U0/y4ZP7Si2TuUiYsMOw7Diplnhn+0Rw3QkeHKyKpGVOOh4oAw7qPUpbLVIrS1uoS90jAuAfMiwofyxv68HjK9fetaGSWO2FtJp82xLUMWRgQzdDGPmzu+vHPWpftVsIZpTeKI4DtlbIwhABwePcfnUiujQCdbgmIrvD8Yx1z0oA55I7t49DR9N1JZIVTzJfMH7rBAIYb8HPcnPy+5q3rb3N3pjRrpV87+eyKIpACAAcS8OMj0BPXGRWgdQsg1sp1CMG6GYBuH7wdscU+7urewiEt3eLBGW2hpCAM+nSgDFmt71Jb2RrK8uQ0ZDIs20zKSuxQdwwV+fdjHXvmixtL5Z9OLQ3aiNVAaV/9WoLb1Ybj1BTHXgdRWu99ZxNMsl+imBA8oLD5FPQniljvbSVoFjv0drhS8IVgd6juOKAuMm8v7ZA0uwIDJ9/GM8etI3kG+iaAxnCMG2Y/vL1xUkkqwna3myM7ttVEDE46mmrMjt5YWeJzhgHjC5AI9PrQAlqbVUcSmAP5rk7yM/ePrVdVT7DGDt8sTKTnpje36VZNyjO22K5kwxUssSkEjg0faI/KM26Uo21QoQZJyRjH1oAbcfZmaDyTCXEyn5CM459KI/s63c5nMQJWPG/H933pRcJuVTHcRFztDPEoGfTNK06K3l7J5WVV3bI1IGRx1oALUJ9snMW0oX429Puir1VIZFmcBDKhQkMrqARwDVjY3/PRv0/woEEf3T/ALx/nT6hjRtp/eN94+nr9Kfsb/no36f4UALJ/qn/AN00o6D6VHIjeU/7xvun0/wpwRsD9436f4UAPopmxv8Ano36f4UbG/56N+n+FAD6KZsb/no36f4UbG/56N+n+FAD6xpbe6bX4pkSUxhhtkDfIi/NvUjPVsrjg9O1a2xv+ejfp/hVcTwpcrbNdBZ5CzJGSMsB1PSgCy/Qf7w/mKsVUZSNp3sfmHBx61bpMaCiiikMKKKKACiiigAooooAKVfvr9aSlX76/WkMtis1P+P26+qfyNaQrNT/AI/br6p/I0RHImooopkhSj7wpKUfeFAGNfAnVpwPQfyFVblSLaUnptNW73Z/a1xvRW4GNyg44FVrjyvssuIowdhwQgFAD7fT9QX+0POurUm5B8qSONg6dQM5OMBeMDHOT3qQaZINXtblZYlt7aIxogQ7zlcYJztx3zjPbOK1RDFgfu06elL5MX/PJP8AvmncVjCu9Hl1C78154kgEUkYCod/zAg5OduO+cZ7ZxSDRblpElkuYfMkfdc7UOCN6uNnPHKjrnvW1FDF5fMadT29zUnkxf8APNPyovYDnxoVykfyXUPmx4SEsjbfLAdfm55bEjcjjgUraA+XRblfJVcw5U7g/wAn3ueV/djpzya3/Ji/55p+VHkxf880/KjmHqYS6JMZI2kuYyrnfcBVOSwd3GzngZc9c8AU+30iVLKSCW4QtI8YYopAMaAALyepCjPatryYv+eaflR5MX/PNPyo5hWZmWmnSW1/NO0qNGd4iUKQRvfe27seemO1aFP8mL/nmn5UeTF/zzT8qLhYZRT/ACYv+eaflR5MX/PNPyouFhnemQ/6pf8APephDFn/AFSf980yGGIxLmNPy96LhY5ptJ1ZL6aawuYo4Zp2uCTIykkx7NjKAQwBCsDkY5GKrjwte2Vr9nsrgSlX8yC4kmMMsEhj2sw2JhgcAkEc85NdZDDEYVJjTv296k8mL/nmn5UtB6nJXnhzULq2lsTNamFp5boXGSJGkeNl2lcYAyx5z04xRe6HqmqyWC3UNlHBBGscqrcM+4CSNuPkHURn8xXW+TF/zzT8qPJi/wCeaflTuGpxo8KaiU+fUUElvNJPbMoGGdpAwL5UkfKqgleeW9aua/4ZbXL2ScziJTZm3Cj+IksSrf7ByPfium8mL/nmn5UeTF/zzT8qLhre5zFvoV9FLbQM9sbSK9W+MwY+aWC42YxjGf4s9OMVOdJvYZFuYWglni1GW8SORyqsrgrgnBwwBznBroPJi/55p+VHkxf880/Ki4HH2PhS7s7+G8a5idkkSRrfcwiJ3SM2BjqvmfKfbnGa1PEGjS60lqkV01t5TyMzoxDfNGyge4yRkdxmtzyYv+eaflR5MX/PNPyovpYNb3ONi8N6n5F7A5t40nkEyIl07QqQUYL5RUDGUxnOcGtvT4tVtrWT7QY55pJ3kw9wzeWhxtUMVy2OewrX8mL/AJ5p+VHkxf8APNPyouFiGPq/++aJf9UfqP50+OGLMn7tPvntSSwxCI4jTqO3vRcVhe9FP8mL/nkn/fNHkxf880/Ki4WGUU/yYv8Anmn5UeTF/wA80/Ki4WMu4sJp9YtbvzYhDb5IXYd5JBBGc4xz6ZGODyak+y3U1pbx3dxE8qSq8zRRlVcKcgAEnH8Pc9K0PJi/55p+VHkxf880/Ki4WOYuPC7T/a2F0UaWVHjjEknlqFcvg/NkZJOdpFasKamjzxtJA0SQIlu7glmkwdzPz06YHXrzWl5MX/PNPyo8mL/nmn5UJ2VhnPx6JdgaWZLi2EtmgjeWJZFZlBBwvzYwcYIYH2rR1C2a6jiWN1SVJBLGWGV3LyMj0q/5MX/PNPypjQxeZH+7Tqe3tRcVjFfSb+S4Mr3Vp+8KSygQH/WIDt28/d5Gc88H1q1pNpd2lvIL6aCa4kk3tJCjKG4A5yT6duAMDtWn5MX/ADzT8qPJi/55p+VCYWIn/wBW3+6aVfuL9BTnhi8tv3afdPahYYti/u06DtRcLCVU1S3nvNMuLa2kijllQoGlUlQD14BBq95MX/PNPyo8mL/nmn5UXCxzWqaVqlzdfabK4hiumtvs0jq7R+Wcq29Dg5GRgqeoxzULaNqn9n/ZBDa74bmWe3uY7x43QuzkNwnBAfBHIPNdQkMXmSfu06jt7Cn+TF/zzT8qLjMmazvGWyeO5hN9bR/6ySM7HYjaxIBBHrxWjGCsaqxBYAAlRgE+w7U7yYvPx5afc9PeniGLP+qT/vmi4rEMP+pT6VHdrK8BWBkErAhDICVBweuOamhhiMKExp09KV4Yt8f7tPvensaLhYxoNHul+w+dcQHyY4km8tGG7y2LJtyeM55zn2qW7tNTuLRIxc2ZmW5Eu5omC7Fbcq4DdeACf0rX8mL/AJ5p+VHkxf8APNPyo5gsZQtdRW71GZLi0X7Qii3zExMbKMAtz8w9hiobzTL69vUMtzbfYhEVZBEwcOUKlgc4zzxnoM+ua2/Ji/55p+VHkxf880/Ki49TnpNI1No41W7siHl8y5VoXKvgKFA+bOMICQep9uKt2enPZyXEjzK6FCkQUEELuZ/m9Tlj07VreTF/zzT8qbJDF5T/ALtPunt7UXFboYFzot7fW97HNc26ia4juIvLEi42gDa5DZIIUfdxWlHDfxDaLmB0W3CKHjO4yj+InPK4xx196vCGLaP3adPSl8mL/nmn5UXHY5+PStUWHTYHurFobUL5yiF/3hUggj5uwHQ8Z5qfULLVruyeCO8swzytkvC2DCRwnDZz6kdRnpWz5MX/ADzT8qPJi/55p+VFwMJ9Jvo3mktLu2jkwxgLREhGcruyM9Bs+X0zznFJa6LPDLas88G1NrSrGjfMyFiu0knrvOc5JNb3kxf880/KjyYv+eaflRzBqUHDLcxzCN3CNICE684/wpHLS3McvlSIqKQS4A6svv7Vdjhi+f8Adp989qSWGIR8Rp1Hb3FFxWKsDvbq0Zt5m/eM2VAIOST61CsMgtlXy2LLIshQYzjex/PmtTyYv+eSf980wQxec/7tPujt9aLjsU5me4MQEEq7ZA5LgAADPvRGXhnkfyZHWRUIKAHouPWrrQxbG/dp0PahIYvLT92n3R2ouKxTgDfapJGRkEjZAbrwoFW6RoYvNjHlp0PapPJi/wCeaflRcLEMf3T/ALx/nT6SKGIqf3afebt71J5MX/PNPyouFiGT/VP/ALppw6D6UssMQhf92n3T29qcIYsD92nT0ouFhtFP8mL/AJ5p+VHkxf8APNPyouFhlFP8mL/nmn5UeTF/zzT8qLhYZWW2nSS6qLoSoIfMV5EIO4sm7bg9MfMc1r+TF/zzT8qZHDF8/wC7T757UXCw1+g/3h/MVYqGSKNVBEaghl5A9xU1JsaCiiigAooooAKKKKACiiigApV++v1pKVfvr9aQy2KzU/4/br6p/I1pCs1P+P26+qfyNERyJqKKKZIUo+8KSlH3hQBi33/IXn4Y8D7qk9h6VVuf+PWXCyfdPWNh/Srl65XVbjHcD+QqtcSH7LL/ALhoA3BKmB97p/cP+FL5qf7X/fB/wp4+6PpRQBBFKvl/xdT/AAn1NSean+1/3wf8KIf9X+J/mafQAzzU/wBr/vg/4Uean+1/3wf8KfRQAzzU/wBr/vg/4Uean+1/3wf8KfRQAzzU/wBr/vg/4Uean+1/3wf8KfRQAzzU/wBr/vg/4Uean+1/3wf8KfRQAwTJn+L/AL4P+FMhlQRL97/vk+tTjrUcH+qT/PegCOGVRCv3u/8ACfWpPNT/AGv++D/hRD/qV/H+dPoAZ5qf7X/fB/wo81P9r/vg/wCFPooAZ5qf7X/fB/wo81P9r/vg/wCFPooAZ5qf7X/fB/wo81P9r/vg/wCFPooAZ5qf7X/fB/wo81P9r/vg/wCFPooAZ5qf7X/fB/wo81P9r/vg/wCFPooAhjlXMn3vvn+E0ksq+UfvdR/CfWpI+sn++f6UTf6o/UfzFAB5qf7X/fB/wo81P9r/AL4P+FP70UAM81P9r/vg/wCFHmp/tf8AfB/wp9FADPNT/a/74P8AhR5qf7X/AHwf8KfRQAzzU/2v++D/AIUean+1/wB8H/Cn0UAM81P9r/vg/wCFMaVfMj+91P8ACfSpqY/+ti+p/lQAean+1/3wf8KPNT/a/wC+D/hT6KAInlTy2+990/wmhZU2L97oP4DT5P8AVv8A7p/lSp9xfoKAG+an+1/3wf8ACjzU/wBr/vg/4U+igCFJV8yT73Ufwn0FP81P9r/vg/4UJ/rJfqP5Cn0AQ+avn5+b7n90+tPEyZ/i/wC+D/hR/wAvH/AP61IOtAFeGVRCn3un900ryrvj+997+6fQ0+H/AFCfSh/vxf739DQAean+1/3wf8KPNT/a/wC+D/hT6KAGean+1/3wf8KPNT/a/wC+D/hT6KAGean+1/3wf8KZJKnlP977p/hPpU1Nk/1T/wC6f5UANEqbR97p/cP+FL5qf7X/AHwf8KcPuj6UtADPNT/a/wC+D/hR5qf7X/fB/wAKfRQAzzU/2v8Avg/4Uean+1/3wf8ACn0UAQxyp8/3vvn+E0ksq+X/ABdR/CfUVJH/AB/75om/1f4j+YoAPNT/AGv++D/hTBKnnP8Ae+6P4T71NTB/rn/3V/rQA1pU2N97of4DQkqeWn3vuj+E1I33G+hpI/8AVJ/uj+VAETSr5sf3uh/hNSean+1/3wf8KG/10f0b+lPoAgilXafvfeb+E+tSean+1/3wf8KIvuH/AHm/nT6AIZZU8l/vfdP8J9KcJUwPvdP7h/wpZf8AUyf7p/lTx0H0oAZ5qf7X/fB/wo81P9r/AL4P+FPooAZ5qf7X/fB/wo81P9r/AL4P+FPooAZ5qf7X/fB/wpkcq/P9775/hNTUyPo/++aAGSSKVAG7ll/hPqKmpkv+r/4Ev8xT6ACiiigAooooAKKKKACiiigApV++v1pKVfvr9aQy2KzU/wCP26+qfyNaQrNT/j9uvqn8jREciaiiimSFKPvCkpR94UAY96rNq1xtCkADO5sdh7VWuUf7LL8sY+U9HJ/pVi+JGrXGPQfyFVbhj9ml/wB00AbwaTA/dr0/v/8A1qXdJ/zzX/vv/wCtTh90fSloAhiaTy/9WvU/x+59qfuk/wCea/8Aff8A9aiH/V/if5mn0AM3Sf8APNf++/8A61G6T/nmv/ff/wBan0UAM3Sf881/77/+tRuk/wCea/8Aff8A9an0UAM3Sf8APNf++/8A61G6T/nmv/ff/wBan0UAM3Sf881/77/+tRuk/wCea/8Aff8A9an0UAMDS5/1a/8Aff8A9amQtJ5S4jX/AL79/pUw60yD/VJ/nvQBHCZPJX92vf8Aj9/pUm6T/nmv/ff/ANakh/1K/j/OpKAGbpP+ea/99/8A1qN0n/PNf++//rU+igBm6T/nmv8A33/9ajdJ/wA81/77/wDrU+igBm6T/nmv/ff/ANajdJ/zzX/vv/61PooAZuk/55r/AN9//Wo3Sf8APNf++/8A61PooAZuk/55r/33/wDWo3Sf881/77/+tT6KAIY2kzJ+7X75/j/+tRK0nlH92vUfx+/0p8fWT/fNE3+qP1H8xQAbpf8Anmv/AH3/APWo3Sf881/77/8ArU/vRQAzdJ/zzX/vv/61G6T/AJ5r/wB9/wD1qfRQAzdJ/wA81/77/wDrUbpP+ea/99//AFqfRQAzdJ/zzX/vv/61G6T/AJ5r/wB9/wD1qfRQAzdJ/wA81/77/wDrUxmk8yP92vU/x+30qamP/rYvqf5UAG6T/nmv/ff/ANajdJ/zzX/vv/61PooAidpPLb92v3T/AB//AFqFaTYv7teg/j/+tT3/ANW/+6f5UqfcX6CgBu6T/nmv/ff/ANajdJ/zzX/vv/61PooAhRpPMk/dr1H8fsPan7pP+ea/99//AFqE/wBZL9R/IU+gCHdJ5/8Aq1+5/f8Af6U8NLn/AFa/99//AFqP+Xj/AIB/WnjrQBBCZPJTEa9P7/8A9aldpN0f7tfvf3/Y+1Oh/wBQn0pX+/H/AL39DQAbpP8Anmv/AH3/APWo3Sf881/77/8ArU+igBm6T/nmv/ff/wBajdJ/zzX/AL7/APrU+igBm6T/AJ5r/wB9/wD1qbI0nlP+7X7p/j9vpUtNk/1T/wC6f5UANDSbR+7Xp/f/APrUu6T/AJ5r/wB9/wD1qcPuj6UtADN0n/PNf++//rUbpP8Anmv/AH3/APWp9FADN0n/ADzX/vv/AOtRuk/55r/33/8AWp9FAEMbSfP+7X75/j/+tRK0nl/6teo/j9x7U+P+P/fNE3+r/EfzFABuk/55r/33/wDWpgaTzn/dr90fx/X2qamD/XP/ALq/1oARmk2N+7Xof4//AK1IjSeWn7tfuj+P/wCtUjfcb6Gkj/1Sf7o/lQBGzSebH+7Xof4//rU/dJ/zzX/vv/61Df66P6N/Sn0AQxNJtP7tfvN/H7/Sn7pP+ea/99//AFqIvuH/AHm/nT6AIZWk8l/3a/dP8ft9KcGkwP3a9P7/AP8AWpZf9TJ/un+VOHQfSgBu6T/nmv8A33/9ajdJ/wA81/77/wDrU+igBm6T/nmv/ff/ANajdJ/zzX/vv/61PooAZuk/55r/AN9//WpkbSfP+7X75/j/APrVNTI/4/8AfNADJDJtGUAG5ed3uPapqZL9z/gS/wAxT6ACiiigAooooAKKKKACiiigApV++PrSUq/eH1pDLIdf7w/Os+P/AI/Lr6p/I1UtNU1CfXJrSbRLmCyUYiu2xhiOuRngHtVuP/j8uv8AgH8qEgbJqKKKYgpR94UlKPvCgDHvFzq1wd7LgDoBzwPWq90g+yy/vXPyk4IXn9KsXqFtXnA9Af0FVrqNltZTkfdNAG4EfA/enp/dFLsf/nqf++RUgU7R9KXaaAK8Sv5f+tPU/wAI9TT9j/8APU/98ilhU+X+J/maftNAEex/+ep/75FGx/8Anqf++RUm00bTQBHsf/nqf++RRsf/AJ6n/vkVJtNG00AR7H/56n/vkUbH/wCep/75FSbTRtNAEex/+ep/75FGx/8Anqf++RUm00bTQBGEfP8ArT/3yKZCr+Uv70j/AICPWrAU5qOBT5Sf570ARQq/kr+9Pf8AhHrUmx/+ep/75FLCp8lfx/nT9poAj2P/AM9T/wB8ijY//PU/98ipNpo2mgCPY/8Az1P/AHyKNj/89T/3yKk2mjaaAI9j/wDPU/8AfIo2P/z1P/fIqTaaNpoAj2P/AM9T/wB8ijY//PU/98ipNpo2mgCPY/8Az1P/AHyKNj/89T/3yKk2mjaaAII1fMn70/fP8IolV/KP709R/CPWpI1OZP8AfP8ASiZT5R+o/mKAE2P/AM9T/wB8ijY//PU/98ipdpzSbTQBHsf/AJ6n/vkUbH/56n/vkVJtNG00AR7H/wCep/75FGx/+ep/75FSbTRtNAEex/8Anqf++RRsf/nqf++RUm00bTQBHsf/AJ6n/vkUxlfzY/3p6n+EelT7TTHU+bF9T/KgBNj/APPU/wDfIo2P/wA9T/3yKk2mjaaAIXR/Lb96fun+EUqo+xf3p6D+EVJIp8t/90/yoRTsX6CgBmx/+ep/75FGx/8Anqf++RUm00bTQBAiv5kn709R/CPQU/Y//PU/98ilRT5kv1H8hT9poAg2v5/+tP3P7o9aeEfP+tP/AHyKXaftH/AP61IFOaAK0Kv5KfvT0/uildX3x/vT97+6PQ1JCp8hPpQ6nfF/vf0NACbH/wCep/75FGx/+ep/75FSbTRtNAEex/8Anqf++RRsf/nqf++RUm00bTQBHsf/AJ6n/vkU2RH8p/3p+6f4R6VNtNNkU+U/+6f5UAMCPtH709P7opdj/wDPU/8AfIqQKdo+lG00AR7H/wCep/75FGx/+ep/75FSbTRtNAEex/8Anqf++RRsf/nqf++RUm00bTQBBGr/AD/vT98/wiiVX8v/AFp6j+EeoqSNT8/++aJlPl/iP5igBNj/APPU/wDfIpgV/Of96fuj+Ee9WNpqMKfPf/dX+tADWR9jfvT0P8IpER/LT96fuj+EVKynY30NJGp8pP8AdH8qAImV/Nj/AHp6H+EU/Y//AD1P/fIpWU+dH9G/pT9poAgiV9p/en7zfwj1p+x/+ep/75FLEp2H/eb+dP2mgCCVX8l/3p+6f4R6U4I+B+9PT+6KfKp8mT/dP8qcFOB9KAI9j/8APU/98ijY/wDz1P8A3yKk2mjaaAI9j/8APU/98ijY/wDz1P8A3yKk2mjaaAI9j/8APU/98imRq/z/AL0/fP8ACKn2mmRKfn/3zQBHIrBQTISNy8YHqKmpsqny/wDgS/zFSbTQA2il2mjaaAEopdpo2mgBKKXaaNpoASil2mjaaAEpRncMdaNppyqQwPvSGNW4jdwi3ELMTgKGBP5VBH/x93X/AAD+VRW3h/SrTWJ9Vgs40vZxh5APzIHYnuR1qaNT9suv+AfypoGS0Uu00bTQISlH3hRtNKFO4UAf/9k=">
          <a:extLst>
            <a:ext uri="{FF2B5EF4-FFF2-40B4-BE49-F238E27FC236}">
              <a16:creationId xmlns:a16="http://schemas.microsoft.com/office/drawing/2014/main" id="{00000000-0008-0000-0900-000001A40000}"/>
            </a:ext>
          </a:extLst>
        </xdr:cNvPr>
        <xdr:cNvSpPr>
          <a:spLocks noChangeAspect="1" noChangeArrowheads="1"/>
        </xdr:cNvSpPr>
      </xdr:nvSpPr>
      <xdr:spPr bwMode="auto">
        <a:xfrm>
          <a:off x="10925175" y="507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41986" name="AutoShape 2" descr="data:image/jpeg;base64,/9j/4AAQSkZJRgABAQEAYABgAAD/2wBDAAgGBgcGBQgHBwcJCQgKDBQNDAsLDBkSEw8UHRofHh0aHBwgJC4nICIsIxwcKDcpLDAxNDQ0Hyc5PTgyPC4zNDL/2wBDAQkJCQwLDBgNDRgyIRwhMjIyMjIyMjIyMjIyMjIyMjIyMjIyMjIyMjIyMjIyMjIyMjIyMjIyMjIyMjIyMjIyMjL/wAARCAG/Ay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2ma/nWeRV8kKrbRlSTx+NM/tC5/6Y/wDfB/xqheSbbyYf7Z/nXJfEO9ntvAOrTW1xJBMsa7ZY3Ksvzr0I5FbWSjcyUm5WO8/tC6P/ADx/74P+NJ/aNz6wf98H/GvE9R1u+1EWeoPdzQ22pTJZafE1w8IW2T5prl9rA5OOCTwPrUjfE3WIo9XlmitLY2Uf7qzaEuSWIWI+cH2sCTk8DocUe6F5HtH9o3PrB/3wf8aX+0Ln/ph/3wf8a8mufiFew3l7bCazZoYoLaF4ovME16w3OB84GwDPUjHHNYlx4v1DxPoOm2uq+VDHPqEk0zwqU3WluNzEjccZYY4J6UPl/r+vn6AnI90/tC5/6Y/98H/Gk/tG59YP++D/AI14vp3ivXja6dBpd5pv9p6kWu7i3u98gto3bKsXaT5Rt24QA5zwBU6fEy+k8SW8du9tcaK6yyPMbfyz5cSZdwfMJ+8DjKjt1o90LyPYf7RufWD/AL4P+NL9vusZ/c4/65n/ABrhvDOuard+HE1vXGtIYJLc3CxQxspROSCxJP8ADivPLS78QSWEfi2Z9UtIoppdRmmnvD5EsJ/1cMcQY5zwMkDrQ0k9UCbfU97/ALRufWD/AL4P+NH9o3PrB/3wf8a8gvvHXimzFhY/ZrCTVLuyW9cLHtWBPTDyKGJPoRj3qzpvjbX9akks45NH0q7s4YzdveEuJJXGQsahh8uMc5PWiyvYV5bnq/8AaFz/ANMf++D/AI0n9o3PrB/3wf8AGvGNL8cX9xeTtBPZWkmotNdrdX0jtDFbRHYpVC2NzENwuB35rorfxjer8MX8SanAlvd/ZndUUEK7ElYyAeRu4OKPdtcd5Xsejfb7odfJ/wC/Z/xpP7RufWD/AL4P+NeDwS+J/DVnaayTqMU/kLamDUrszC9u5W4IjDEKijnqDxW/rPjnXLCXWLSO50eO40mJJJmljf8AfyOPlijTdkn1b1PSiy6heT2PWf7RufWD/vg/40f2hc/9MP8Avg/414trvjzXNS0m/g0/7FYyK0WnNBJl7iW4lADhORtC5PJBziprTxjd6XYS6RpTWb/Zr+HSdPVwWdyo/fSuN2SOuOnWi0f6/r0C8rHsf9o3PrB/3wf8aX+0Ln/pj/3wf8a8jl8e6xeeHrzxDZXujWtjEJfJtJkaS4dVyoY4YYJbHy479ao6V4m1zRdMh0iXWNNe6SwOpzX16WcIrciIfP8AvGzxkEADtR7oXke0/wBo3PrB/wB8H/Gj+0Ln/ph/3wf8a5bw3qt5qvhzT7+/txb3dxCHkiXOAT04PIyMHHvXNHVbLU9W1bXdbuRFo2iTm1tY2JC+aB88pH8TZO1R2+tNxSYlJs9P+33XpD/37P8AjR9vuh18n/v2f8a8LMktrpmoeLI9R1C3gSLZp2myak88jyP8qSSgscZJyF9uaguY/Eug6S92JdXtpbm0j06K3vL0yy3N3IRukRdxCADOOc1OnYd33Pe/t90Ovk/9+z/jR9vuv+mP/fs/418/wazeW+h6xf6dqd/Ct00Wj21rfXjSSpckjzJWyT5Z+9jBroNR01tL+HGsnUJxc3VxGsEDQ6jNdLJJkBCu/oxf+6O1Oyte39f1+YXd9z1/+0bn1g/74P8AjS/b7o9PJ/79n/GuP0S9vp7p4ZL2wntbWCOB1hYtMtwAN/mHoPp1rh7a8ufEPiHWNcuNQQaJbTtGkS6nLBIsUI+Z1jThsnu1DUUxKTaPZ/7RufWD/vg/40v9oXP/AEx/74P+NeN2/wAQvEQW3nuxpqQy6XPqTosL7oEGRFu+bncdvHfNM8N694ks49L05tUsLmW8tpdUup7hXk+yxHkAkPzz2GMAYosu39f0mO8j2b+0bn1g/wC+D/jS/wBoXP8A0w/74P8AjXi6fFPUU1aWUxw3OjJaS3YZYPKkKL8qEHe3V8D5gOuar3nii+uPENnea1fWJttMtRerFZIzqlxMNsMbfN85HXt3pe6F5Ht/9o3PrB/3wf8AGj+0bn1g/wC+D/jXnXgXxVq+vHVjq0dukVlMIlliTZlsZcEB2HHHINZQ8f6tJow1HzbKL7fcyxaXbi3LySorY3MS6qBgNzkdRTaihXkesLq0sjOqS2rsh2uFGSp9Dzwaf/aFz/0x/wC+D/jXimg+Nr5NK0i2todI02S9e5uZp5YyIxBHn94w35LM2f4j0qGX4i6i9tpd/qNsoe0tpL6eOFpIlk3P5cAI3cBiQSGzxzR7o7yPcf7Quf8Aph/3wf8AGk/tG59YP++D/jXiFz4lv/8AhKnvdW1Cxmk0u3WKzWziYxG8nHCcvhyqg5OQPpXX+A/E2q+ItOvrjU4oU8i6aCJ4k2b9o+bI3MOD3BNCSYnJo9A/tG59YP8Avg/40f2jc+sH/fB/xrK873o873quRC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Uajc56wf98H/ABrJ873pRNz1o5EHOxmpNjUJh/tmqFxFBd2729zDHNC4w8cihlb6g9a6G4JFxJj++f51QudUtbOeOCebbNIpZI1RmYgdTgA8U4u6tYmSSd2zIlsbCfy/Os7aTykMce+JTsQjBUegI4xUUej6RFZSWUel2KWsjbngW3QIx9SuMGugtL2C+t1uLWYSxMSAwHcHBHNI94FleJIp53RdziGPfsHbP19OtNyS3QKN9mc+2i6O0HkNpVgYfM83yzbpt39N2MdfenDSdKEYjGm2YQRmIL5C4CE5K4x0J7VuW+oRXUhSLf8Ad3hiuFYZxkGoG1y0W5ntyZfMhOGAj4J9j3qXUiouT2Q1BuSit2Y39h6Kblbk6Rp5uFIZZfsybgR0OcZ4xQmh6LF5nl6TYJ5ilH226Dcp6g8cg10Vtex3W7y94K4yHXHXp/I1OGJbAPNKFWE480NUOVOUHyy0ZhvFBJbG2eGNrcpsMRUFSvTGOmPamSWtpNZizltoHtQAogZAUwOg29OKv2Wu2d/cGCF3WTbvAkXbuGccetaILE4zWjdnqiEk1dM5u903TdS8v7fp9pdeX9zz4Vfb9Mjikl0zTJ7xbybTrOS6VdqzNCpcDGMA4z0rQ/4SGzJIHnkjk4QcD1xnNaMNzHcJvhlWRQcEqc8+lZxqwlsaSozgveTRzcuj6RNHbxy6XYyJb8QK9uhEXf5Rjj8KtXENveQ+TcwRTRZB2SIGXI6cH0qzqHiTS9LuhbXt2IZiFO1lPQ5wc+nH8q0Le5S6toriFi0UqB0JGMg+xpqrFuyCVGcYqTTszGnht7kxG4hilMT+ZGZFDbG/vDPQ+9Qyafp01+l/LYWsl4n3Lh4VMi/RsZrYuNTjtoriaWOfyLc4lmEeUTgE857AirKTLKgeORXU9GUgg0+dEcrOcOlaU179tOm2Zuy4k88wLv3Dod2M596VNL0uK7+1x6dZpchy/nLAofcep3Yzk+tdDJMI4pJWPyxqWbA7DrUP24/aEtza3Qmdd6xlF3FfUDPSqWuyJdluzBXR9IU3BXS7EG5GJyLdP3ozn5uOeeeaDoujt9n3aVYH7MMQZt0/dc5+XjjnniuijuVkt/PG5UwSdwwRjOcj8DUaahG8gTbMhJxl48Ade/4Gs5VoQajLRs1jSnNOUdUUfM5zmsa18OaXbR30Lwi5try6N29vcqsiJIepUEfzzXXh9wBVgQehByDUNzexWgTzWbLnChRkn/PFE6sILmnohRpyk+WJzsOhaJbAiDSNPiDMrkJbIuWXoeB1Hark0NvcSRSTwxSvC2+JnUEo3qM9D71tJcK8PnKx2YJzj061Db6jDdSmOMvuAzhlx6f4il7emmlda7a7+g/YzabttuYE2iaNceZ5+lWMvmP5j77dDub+8eOT71Avh7Tlv7S5CbYrLJtbRAqQQuerhAB83uc4zxXXJJvXcpOD0OOvuPalDkjIOQavmXYizMKCC2tVkW3gihEjmSQRoF3serHHUn1qlHoOhwtI0Wj6ejSKUcrbICynqDxyD6V0T6hCkhQueDgkLkD8asbj1BrOniKVRtQabWjs9i5UpxSck1c502GnnzM2VsfMiEMn7pfmjHRDxyo9OlNttM02z3fZdPtINyeWfKhVcp128Dp7V0m4+tG4+ta8y7EcpzEOjaPbpKkGlWMSSp5cipboA69cHA5HtSLomipbyW66TYLDJt3xi3QK23pkY5x2rqNx9aNx9aXMuwcvmc/b2dlaWzW1taW8EDklooowqtnrkDjmopdK0ue3ht5tOs5IIP8AVRPApWP/AHQRgfhXS7j60bj60+Zdg5Tiv+ET0NtVe/msoZyYUgigliRooFU5GxccHNacthp85mM1jayGdVSbfEp8xR0DccgdhXRbj60bj60uZdgt5nL/ANi6N9na3/sqw8hnDmL7Om0sBgHGMZx3q3bQW1lAILSCK3hBJEcSBVBPXgVu7j60bj60+Zd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ofnrWvuPrShjnrRzByj7n/j4k/wB8/wA65LWLPVZdTeVYYZ4SuxA9t5qhc5HQghuTnOQe1dbdZFzINr/fPRDUOf8AZf8A74P+FQnoW97mP4fg1CCKYXgVY3YuiCMJhiecLkkLjHBOfpTr+JTcSxPdRxiQecgafyCHwE+9ghh8o44I/GtbP+y//fB/woyf7r/98H/CoqwjVjyy2Ejm/CjSgTWs8DwzWgKHPKyKzbgwbvmql5azy6nfAW77VmZ9xjbDg4wMjGRx711+T/df/vg/4Ubj/df/AL4P+FVG8IuMHYGoyacloZGgwPCs2/ccqgyykcjdxz9RWunErHtkfyoyf7r/APfB/wAKM/7L/wDfB/wqKUHCPK3ff8XcupLmldK234Kx55c2V/p0gkltpoGRgyToMqGAUKdy5wBljg4rtNEvpL6wEsxQtHIYi8ZJD7QPm59a0NxH8Mn/AHwf8KTJ/uv/AN8H/CumdTmWqOeFLkejOWW2lt5JFvLeRwyRhYwCcBVkGQwOPvFTg+vStzSsfZ5SqMqmX5QyleAijv7g1d3H+6//AHwf8KMn+6//AHwf8K5YUoxldHbUxEpxs/8AgfcedaxE8urzlUt2xeYPmRMzAZPU5+79Mdq6zwrn+xv4eJmA2ggY46ZJra3H0k/74P8AhSZP91/++D/hWNLC+zqOpe97/iZyqOUVGy08jA1W/CW1xpsXlNcXdyysJWAVI9iZJJ4Gex+tXNBsoLKwdYH8wvK2+UHKyEHGR7cVqbj/AHZP++D/AIUmT/df/vg/4V2J2VkZWu7sr3SlrC8VQSzJIAAOvBqJtRT/AIS6xvVZjYx2bRSMYTlXPTHy7scc49qu5/2X/wC+D/hS7j/dk/74P+FUpJbkyg29H/SK1moksQrghXL5BBBwWbt9DWWqRwXCNIXtmUE4lG8MdxHHI4xz+Nbmf9l/++D/AIUZP91/++D/AIVx4rDqur7SWztex04es6Om67FK0cRaVIYQpWISGPC4DYyRx9a52DXLjWbNr5lW1jhKoYcHeCVOWJ/uk4AH0zzXX5P91/8Avg/4Uu4+kn/fB/wrWMPcUZ+938yJSu246X/AjSNY7YRY2KEweenHNctr6z6NYre2EjBncRndEp3rtJGeOBwMD/Gusz/sv/3wf8KXcR/DJ/3wf8Kirh4VEujWz7GtDESpSu9U913Mrw1fXWo6JBdXv+vZmDfLt6Hj2/EVfM0dvaedMwSONdzMewqXJ/uv/wB8H/CjJ/uv/wB8H/CtoJxik3cyqSU5uSVr9Oxwr6s6BmTBWT5oww6DJyCR1PT8c+ldnYusmn28ibtrRqRuHPTvVjcfST/vhv8ACkyf7r/98H/CuenhaVKrKpTSV7bLsJ1Kslacri0Umf8AZf8A74P+FGf9l/8Avg/4V0ki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KOtNz/ALL/APfB/wAKUHn7r/8AfB/woA2JP9YaZT5P9YaZWZoFKQQMkHmkriLbT9VjeD7LBf2l15fl6jck589zKnzITkMQu85xwDj2o62A7el5rz6XU9dlutRt7SXUri4hBV1hK7IX8whCuFJI2AZHqecc1fkXxH9kaab7dKz5LwIqfIFaMjYMcEjzOuentQncGrOx2NBIVdzEBR1JOBXDRz+KQ1sLaPU5HNvI0jXgAXeVcquNowVbYMk8+mKW9h1eb5YItWmtXiUqbiFTI04JKiQEf6vPX8OaAsdxRWLpCast9Kb+a4eKVJGIfbtjYSkKEwOPkwec9qxrtvF32dTG8qFZjCSse5iEGFkwAcq55I44A6UAdpzSVyF3aa5KjGa41Ix+b5zLBtDIFn4EYAzzHzjnOBVeW48Tm4uvIh1RbcTJ5SSDLuMuCN+35QRsPQgdCRzRcDt6KKKYhRyaz01C4lBaKwd03FQ3mgZwcelaA6iuF1PSdQuriaW3huXgKxhoo3QLcbZGOOWGMZ59elIDrPtd7/0DX/7/AA/wpkmo3EKh5bB1QkAt5oOMnHpXE/2BrSW8Yh00GdTFKk0twNymOM4UkN97ccZ6EAZNbltHdJPfF9HktUuphM8zyoR0TAwrE/e3egqrAdWeDikpT94/WkpAFFFFABS4I6g8Uh6HHpXnlppPiHTLezmZL2XyrFoY0hlPmR7njY7+Dlgd3QE4X3pDseh0uD71y+iDxA1xaT6lJdYbCTROqhAPJB3YAznzOM5/CqF1Za1a6jPcwW17NC97dT7YpcMv7oqhXOcBuMcHkdOaAsdvzSVxUTeIprHZeLqPmm3cQCOMbXfe/wDruMj5dmM4796khXxLcAo82owjkysVQMJAkhKxnH+r3eXg/r1oCx2OcdTj8aK46L+37vXYRc2t2LSOWCRvMwVDgjLLwMDluAT0rsafQQUUUUAFFFFABRRRQAUUUUAFFFFABRRRQAUUUUAFFFFABRRRQAUUUUAFFFFABRRRQAUUUUAFFFFABRRRQAUUUUAFFFFABRRRQAUUUUAFFFFABRRRQAUUUUAFFFFABRRRQAUUUUAFFFFABRRRQAUUUUAFFFFABRRRQAUUUUAFFFFABRRRQAUUUUAFKPvCkpR94UAOk/1hplPk/wBYaZSGIwBUhiQO5BxVVpbNYvNNz8nlmXcJicoP4hg8j3FW8gcnGPeuMuvDWof2deQQC0lfeILQu+DHbgsw56BgzY78KO9DBHTC4sWgmmFz+7gJ81vMb5MevpVk26jqZR/20b/GuGl8K6vIZ/ONvdJNyI3uioV8D96eOSOePeug0bTbuy1i7ubl08uTcCwlLGclyysVP3dq/LigDWkWGKSKOSR1eUkRgyN8xAycc+gJp3kJ6yf9/G/xrmNE0DUrHUEnvLoTbZzI7GUEPlHXeABwTuXOT29q6vcv94fnQBH5Cesn/fxv8aPIT1k/7+N/jUm5f7w/Ojcv94fnQBH5Cesn/fxv8aPIT1k/7+N/jUm5f7w/Ojcv94fnQBH5Cesn/fxv8aPIT1k/7+N/jUm5f7w/Ojcv94fnQAwQJkfNJ/38b/GsaJppGVEe2jaRn8uJnfcwB5ON3NboZcj5h+dYH2e5kubCWJrUQQvL5u9yH+bI+UAY/M01uJksP2i4DGG4tJQrFGKO7YYdQcN1prNIomL3NjtgwZdzviPuN3zcfjTLGxvLCBhHPZmQtEnzFivlIME9vnI/DPrRcWt/JLqxRrDZdwiOHdI2RgFcvx6E9M9KdkFy/wCZqRXd5lnjGc7Wxj86rJqcskUcqX2mNHI/lxurZDN/dB3cn2p6C+WGGMtYbVtikikscy4AXB/udc5Gayo9FvXtwLiawWeRnEzRM2NrbMsvAww2YAwBjvRZXFfQ0zqcwWdjfaYFtziY7v8AVn/a+bj8au2VxPM86T+UTGVw0YOCCM96w/7N1B7q4uZW0zzPNV4AjMFKqzEK4xwPmySMkmtbSLcWsbwB9/lpGm71wuKXQZo0UUUAFFFFABRRRQAUUUUAFFFFABRRRQAUUUUAFFFFABRRRQAUUUUAFFFFABRRRQAUUUUAFFFFABRRRQAUUUUAFFFFABRRRQAUUUUAFFFFABRRRQAUUUUAFFFFABRRRQAUUUUAFFFFABRRRQAUUUUAFFFFABRRRQAUUUUAFFFFABRRRQAUUUUAFFFFABRRRQAUUUUAFFFFABSj7wpKUfeFADpP9YaZSTTRLKytKgI6gsAaZ58P/PaP/vsUWAeQGGGAIPYim+TF/wA8o/8AvkUnnw/89o/++xR58P8Az2j/AO+xRYLi+TF/zyj/AO+RR5MX/PKP/vkUnnw/89o/++xR58P/AD2j/wC+xRYLi+TF/wA8o/8AvkUeTF/zyj/75FJ58P8Az2j/AO+xR58P/PaP/vsUWC4vkxf88o/++RR5MX/PKP8A75FJ58P/AD2j/wC+xR58P/PaP/vsUWC4vkxf88o/++RR5MX/ADyj/wC+RSefD/z2j/77FHnw/wDPaP8A77FFguL5MX/PKP8A75FHkxf88o/++RSefD/z2j/77FHnw/8APaP/AL7FFguL5MX/ADyj/wC+RR5EP/PGP/vgUnnw/wDPaP8A77FHnw/89o/++xRYLh5EP/PGP/vgUeRD/wA8Y/8AvgUefD/z2j/77FHnw/8APaP/AL7FFguHkQ/88Y/++BR5EP8Azxj/AO+BR58P/PaP/vsUefD/AM9o/wDvsUWC4eRD/wA8Y/8AvgU9UVBhFVc+gxTP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cro4JR1bHXac4oAdRRRQAUo+8KSlH3hQBkXuz+0bjeM8rjn/ZFZ2oXkNhZNOIPNfcqIm8jczMFAz2GSOav6jFNJfzmKNn+YA7R/sis6506W6tnguLWRonHzAgj8c9jnvWq2M3uUR4itbeWe3v7R47i3Leb5DGRAoVW3ZODyHUYxnNTtrNv/Zc98lnMotpvKmimO1kwQGPBI4Bz+FRHw2vkTRi0nLzI6vLIWdm34ySSck/Kv5Ulj4bks7do5Eu7l3EglklLfvN5G7Iz7DnrQAP4l0yC4WK4XYZZmjiIfO5QwTeeRwW44yeM01fEtpM9stvpt7IZpAuCoUhSrMHALcg7T71Kvh6MJaCOznUWqiOIozD5Qc7Sc/MMjPNL/wAI8u1AtncJs2BWR2VhtBA5B9GI980W8wv5DIvE2lS3KWwjmEzTGEqSvykAE5IbHccAk9eOKjj8QobeaV7IfIIXULIRuWWQov0OAD+NRnwdbi2aCK0uo1JyP3jMAQMA4JwcYGB7Vck0ASSxSNZz5iVFCqzBWCHK7gOGweRmheoXM8+K4sWJOmyxfaCcpI3zYyQCuCQecdcf1rS/te3l0V9QgtZAclI45uCz7to6E8E9welVpfCdvMMSWVywGduZX+QE5wvPAz2FSR+HWh+zCOK8225XaruzghclRyex5z14xQvNg32KUXi2B75LQ6exlNxNFIFl+6iBirjOB8xUjGRj1qeLxXp0nmy/ZZxaRQ+a9wSu1TuZSpw3quARkc/jU8vhqGeExSaa5Us7HqCS27PPX+NvpmmL4XiSLyhZ3OwoyMpkY7wTuO7nk5JIPY9KLPuDfkNXxPpsyI1vbzyg43EYwuWK4zuxnKnvjjrVjS9ZtNWnk+zx/uUjDAlvm3bmUjgkcbeoNRSeGYprZ7eayuJI3UK292JYAkjJznqxqax0L+zg32aznUsMMzEsTyTyT7k016iuaX7n+5+po/c/3P1NQ/Zrv/n3l/75pBb3ZGRBIR7CjQNSf9z/AHP1NH7n+5+pqAW92RkQSEewpfs13/z7y/8AfNGgak37n+5+po/c/wBz9TUP2a7/AOfeX/vmj7Nd/wDPvL/3zRoGpN+5/ufqaP3P9z9TUP2a7/595f8Avmj7Nd/8+8v/AHzRoGpN+5/ufqaP3P8Ac/U1D9mu/wDn3l/75o+zXf8Az7y/980aBqTfuf7n6mj9z/c/U1D9mu/+feX/AL5o+zXf/PvL/wB80aBqTfuf7n6mj9z/AHP1NQ/Zrv8A595f++aPs13/AM+8v/fNGgak37n+5+po/c/3P1NQfZ7s9IJOPag292BkwSD6ijQNSf8Ac/3P1NH7n+5+pqH7Nd/8+8v/AHzR9mu/+feX/vmjQNSb9z/c/U0fuf7n6mofs13/AM+8v/fNH2a7/wCfeX/vmjQNSb9z/c/U0fuf7n6mofs13/z7y/8AfNH2a7/595f++aNA1Jv3P9z9TR+5/ufqah+zXf8Az7y/980fZrv/AJ95f++aNA1Jv3P9z9TR+5/ufqah+zXf/PvL/wB80n2e7zjyJOenFGgak/7n+5+po/c/3P1NQ/Zrv/n3l/75o+zXf/PvL/3zRoGpN+5/ufqaP3P9z9TUH2e7HJt5f++aX7Nd/wDPvL/3zRoGpN+5/ufqaP3P9z9TUP2a7/595f8Avmj7Nd/8+8v/AHzRoGpN+5/ufqaP3P8Ac/U1B9nu/wDnhJx14pfs13/z7y/980aBqTfuf7n6mj9z/c/U1B9nu848iTPpil+zXf8Az7y/980aBqTfuf7n6mj9z/c/U1ALe7IyIJCPYUfZ7sdYJOenFGgak/7n+5+po/c/3P1NQ/Zrv/n3l/75o+zXf/PvL/3zRoGpN+5/ufqaP3P9z9TUP2a7/wCfeX/vmj7Nd/8APvL/AN80aBqTfuf7n6mj9z/c/U1D9mu/+feX/vmk+z3YGTbyf980aBqT/uf7n6mj9z/c/U1D9mu/+feX/vmj7Nd/8+8v/fNGgak37n+5+po/c/3P1NQ/Zrv/AJ95f++aPs13/wA+8v8A3zRoGpN+5/ufqaP3P9z9TUP2a7/595f++aPs13/z7y/980aBqTfuf7n6mj9z/c/U1B9nuz0gkP4UG3uwMmCQfUUaBqT/ALn+5+po/c/3P1NQ/Zrv/n3l/wC+aT7Pd5x5EmfTFGgak/7n+5+po/c/3P1NQ/Zrv/n3l/75pPs92RkW8n/fNGgak/7n+5+po/c/3P1NQfZ7vOPIkyfal+zXf/PvL/3zRoGpN+5/ufqaP3P9z9TUAt7s9IJD+FL9mu/+feX/AL5o0DUm/c/3P1NH7n+5+pqA292Bk28gH0pfs13/AM+8v/fNGgak37n+5+po/c/3P1NQ/Zrv/n3l/wC+aPs13/z7y/8AfNGgak37n+5+po/c/wBz9TUP2a7/AOfeX/vmj7Nd/wDPvL/3zRoGpN+5/ufqaP3P9z9TUP2a7/595f8Avmk+z3Z6QSH8KNA1J/3P9z9TR+5/ufqagNvdjrBIPwpfs13/AM+8v/fNAXZN+5/ufqaP3P8Ac/U1D9mu/wDn3l/75o+zXf8Az7y/980Bdk37n+5+po/c/wBz9TUP2a7/AOfeX/vmj7Nd/wDPvL/3zQF2Tfuf7n6mj9z/AHP1NQ/Zrv8A595f++aPs13/AM+8v/fNAXZN+5/ufqaP3P8Ac/U1D9mu/wDn3l/75o+zXf8Az7y/980Bdk37n+5+po/c/wBz9TUP2a7/AOfeX/vmj7NeZx9nl/75oC7Jv3P9z9TV7TMbrnHTeMfrWZ9jvv8An1m/74NaemKym4DqVbcMg/jUy2Kje5fooorMsKUfeFJSj7woAzrp9t3OM/8ALT/2VarSykxMMnkU++eX+0Z0jiV+QSWk24+VaqzNcCFy1vGFAySJgSB9MUDKk2uzLqEsPlLtXUUtN2T0aMPn684rV80+pqCTRbWW9N69kjXBGN5f2x06ZwcZxmmx6DZwtG0djGpjKFCG+6UUqv5AkfjRYG0YmteKJ9GuDClskqm0kljJYjM28hEOP4Tg80p8XSvLFbW9j510xh3Ktwu3D4B5zwQSODW4ulpIGeW2R3dGiZieqFidv05qAeGdNHmY02MeaAHw5GcEEY545A6YosF0Z8fi+Ca6ktoLW4lkWUQrhgAzbip5PAwQevUciorfxd9suba2ij2SyPHuO8MCjHB4ByrdODW2mh2scxmSzUSFg+d5PzDoQM4B+lRQeG9OtZvNg02KOTIYFW6Ec5Azgc0JdwbRd80+po80+pp/2Z/+ef8A48KPsz/88/8Ax4UWC4zzT6mjzT6mn/Zn/wCef/jwo+zP/wA8/wDx4UWC4zzT6mjzT6mn/Zn/AOef/jwo+zP/AM8//HhRYLjRMcjk1j3Gr3NnqFlBsSOzkwGnkR2BcvjYCvCHpgtwc4ra+zPn/V/+PCqQ0WCeWC5ntUkni+45c4GCSOM4OPcUWC6Mu+1y9sLiRYYoHtra3SeYOWDsGkZcKegIxnkc9KRPGME8ssdraXM7rL5aYZVD/eyck4XGw8HnpWn/AGFa3M0N3cWcctxGMLIXPZiRxnBwTnkVIuh2qStKtmgdn3k7z97nkDOB1PT1pWYXRkyeL4Ej81bW5eEr8jhl+Z9gfZjPB2sOTxUVz4y+y487TrmNvMaPbvRixU4YDB45xyeua2P+EdsPM8z+zotxjEed38IwAMdOgAz14p02g2dwQZrCKQh2cbj/ABMck/iadtQujLk8WwW8kKXUEkJd3RwZVZo2TOeAckfL1FR3Xie5jVYksZYrma3M8KMysdgBJY/NjhQTt61rv4fsZLoXL6fE0wJbeW7kkkkdDyT19TUX/CL6Z5QiOmxlB0BkJwPQHOQOTx0pWYXRFYeIE1C68mOCZYyGMczEYk24DcA5H3h1rU80+pqOPS4opBJHaojjdgqQMbsFvzwPyqf7M/8Azz/8eFOwXGeafU0eafU0/wCzP/zz/wDHhR9mf/nn/wCPCiwXGeafU0eafU0/7M//ADz/APHhR9mf/nn/AOPCiwXMXV9WutORJIY08lpHM88iO6RAAEbgnIB/vdBjmtSSbMJIOQcHr7ioJ9Fgv+Ly1WYJISoLkYzjIODyOOh4pW0eCFjNDaRxy7mO8N3Ygt+eB+VFguY58U3MF1eQz2LT+TOyK1uwXCAooLbjyxLjpTh4whUyGeyuYYomaOSQsrBZFVmK4ByeFPPStVPD9lHJO6WEYedt8pLk7jkHPJ9QD+FRx+GrGO9uLsWStLPnfufKjIwcDpzk5PXk0rOwXVzMufFk8cE6w6XM13ApMsTzIAmCo5bPOd46VbtvEkVxrLaUYJo7hAfMO4MEcKGKnHsRz0NXI/D9lDA0EdhGI2Ro2G7OVJyQSTnsPyFPh0W3t5xNDahJAmwN5pPHTueT7nn3p2C6J/NPqaPNPqaf9mf/AJ5/+PCj7M//ADz/APHhRYLjPNPqaPNPqaf9mf8A55/+PCj7M/8Azz/8eFFguM80+pqrqN61pZTXSjc0MUkgUngkITirv2Z/+ef/AI8KiktHZ4wY1KncGUkHIxRZgmjDm8USW9y8TWUkpEMcoETgEAxs7E7j2C8etbqXAkjV1J2soYfQ1Vh8PWNvGUisI1U5zlyeq7TyTnGOMVYg01LbzPIt1j8xt74bqcAZ/ID8qLBcc8p8t+T90/yrHufE8VjPJFNbTiKIFPODLtZxGH2gZz079M1tSW0nlPhMfKf4qop4dtDcz3UloJZrhdshd8jG0KQB0GQPrRYLohsteN5ftZfY54pow3n7nUiIg4xwfmzx0rT80+pqG10a3sgPs1okeF25DZOM55J5PPPNWfsz/wDPP/x4UWC5nz6g8Go2kCqGF1MUY5OQBEWyP++a5pPHV0ygGzi8x2t/Kw7YKvt8wn3UMMetdVcaTHfCSK6t1lj3hgN5BU47EYI/ClGiWoieIWMQjcoWUEYJXG38to/KhILoq63qcumWE93CoeSNVChgzDmRV6LyevQVJo2pS6hpkF3KFVpMkbM7WAYgMAeRkDODyOhqzPp/2mTy5oVkjKglGbuGBB/MCof+EfsvMd/sEW523Md3U7t+f++ufrRYLoyZvEF1b+ILTS4oo2jkWMncrbjuL5w33RgJnB5POK3JpZML5eC+TtDHjO04qL+x4LiMPPaRyOwTcxPJ2klfyJP50RaRDZvGbW1SL7qHa3VVB2j8MmiwXRgz+LpF0yS7WNEVIU3sXGUlOSyhSRu2henXmmjxfcSC6ghgMtxDL97hVSLzAu45PJ5HArdl8OWE8LRSadEY3ladl3YzIwwW4PUg4NI3hnTXcO2mQ7g+/IbHOc5PPPIHX0oSC6I7LXor2SYCKWJEj85HYgiSPcy7hjpyp4PNZTeNBbrLNdWkqRuUNtEGBdkMe8scHrjovXtXQW+j29o8z29okbTHdIQ33uv5Dk8Djmq6+GdOSFoU05FjZg5CyEHIGOucjjjHTHFKzC6Lqz70VgWwwBGeKSSU+VJyfun+VSfZnAwI/wDx4U2W2k8l8Jj5Tzu9qdguZ0Wuxya2+lFCJUi8wOJAwIGMggcqfmHWtHzT6mq8Wi28V416lmi3Ugw8ofk8DPHTnA/IVb+zP/zz/wDHhRYLoZ5p9TR5p9TT/sz/APPP/wAeFH2Z/wDnn/48KLBcZ5p9TR5p9TT/ALM//PP/AMeFH2Z/+ef/AI8KLBcy7nULmDUbGCIRmK5uJElLA7gAhb5cHHbvV+SUlMZPVf5iq0+iW9+Q15aJMY3fZlyNu4YPQ9xxT/7JigDPBbJG7MCWDdfuj+SgfhRZhdFbTdSvL9pLkiBbIySRxgbvMyjFck9OcHjtx1qPWtVn02BZbdVeSWaKEbo3fG4tztT5m+gq23h+xNw85sI/Ndw7HeeWBBBxnGcgHPfFNfQbWWE2klmhtlKusYcja2Scgg5zkk9aLMLoltrmWWySSY/vGTLYjZB/3y3I+hqhcahqUWr2FpA1p9nuI2YmRHLrsC56NjnPHHFWxoNpHho7NA6bWVjIWIKg7TkntuP51YGnhzBLJArSxoVRy3IDAZx9cCiwXRV1bUHsNOuLyNQ7wQSSKrZwSBnHFGl31zdWnm3OA5bgLBJDxj+6/P49Kf8A2LbrCtotpGLV4zG0W7hlxjH5UxfDdgsXl/YFZCrJh5Wb5WxkZJPBwPyoswuiGfUbz+0IrCxWDzXSSd3n3bdocDAC9yT17e9O03XU1KV0WGWL5BLGzMCJIyxUMMdOVPB5qeXRoL5E+12qSmN2KHeQVyeRkY49R0NEfh+yiYtHYRKTKJSQ38YyQfbGTwOOTRYLosSynyZOT9w/yrn5fFMlreaj9oQC1tJRCgWJ9zsQmMyH5By/TrW1Ho8FnFJ9ltEhJiEeVb+EZwPoMn86e2kwyQzRPaoUnbfKN2N7YAz9eByPSiwXRix+KJJ2jWK3w1wImt1kJUlSSJN3+7tPt09aoXHjaaS4to7GFAJJWhk3q0+CACCvlnLDB7V040W2DQN9jQtAjRxMzZKq33hk+vvUNv4b0+0aJoNOiRom3RncSVOMcEn0AH4UW1C6MZfGYiN39ptztt51hJVghbOckKxyeh44IrR07W5dQ1KaNYWjtBCHidiMyfOylsDoPl6Gn/8ACJ6e09xNNaCd55fNO98bTjGBjHHXrnPerdtottZzzTW1mkUk3+sZX+9yT+HJJ49aLBdE/mn1NY2qavfWdwI7NLdgIZ7mTziwyIyvAI6E7jyc1ufZn/55/wDjwqhPoVrqDBr2zSdo3bZuc8AkZHB5HA4PHFFmF0WILoXMFvMu4LL5bgN1AJBrarFTTI4Z/Ojt0jkeUO7A9SSuf0UflW1QIKKKKACiiigAooooAKKKKACsTxeX/wCEUvljkMbuEQMpIIy6jqOe/atuqOsad/a2lzWO9kEuAWVtrLg5BBwecgdqTvbQZwlx4RnW1uGGpYZEnIIEnVVDD+P3NdX4QkaXQbaR2LO9vCzMxySSnJNVG8J6k8bRtrmoFXDK372Lndwf+WXoMVraLYjTLY2QOVgSNF5zwFwOfXFRRlWdKKrtOVtbK2v3IXJGL9006KKK0AKUfeFJSj7woAxr5iNWuMeg/kKrXDn7NL/umrV4u7Vrg79uAP4c54FV7mM/ZZf3xPynjywM/rQBnJPcNJqBE2sCPz1DK0cmY4gSGaM7epPQLn5QKt2D6mdat/tTzhDbLvj2Nszt5Ofu53f8C/CtYXUOJP8ATrf90P3nzL+7/wB7nj8akD5l8oXEfmbd2zjdt9cZ6e9UhMw72XUBqu2xa6OLeXKbD5W7BKkH7uc8f3s+1Rxy6hutdj3xhMp8gyK25xvH+tyMgbN33sdu+K3Y35EX2iMSYLbON2M9cZ6e9KJkZY2W7hIlOIyCCH/3eefwoQHOmXU/sspke/C7x5pRW3rJh8hMDOzd5fTjBPPWpXl1bzrjJuRKIv3iqp2KvyYMfGN/+s6ZPA9q3TMgV3N3CFRtrsSMKfQnPB9qUvh2Q3EYZF3MpxlR6kZ4HvQFzCjk1LzrTa12cj9yHVsOm58mXI+9s2Y3YOc981B5uqfYgQ9/jedrFW3mXYMKeM+Xv3D+7jviukEqsYwt1ETKMxgYO8eo55/CmNdwIoZ7+2VWYoCzqAWHUDnr7U7hcz9PuNRfxHqcV3DNHbrHGYDkGI8sDtP948EjtxWzUQYs7Is8ZdMblABK56ZGeKdtk/56D/vn/wCvSEPopm2T/noP++f/AK9G2T/noP8Avn/69AD+9Mh/1S/570bZP+eg/wC+f/r0yFZPLXEg/wC+aAOSN9cDV7uNNQu/MW6dHtwx8uO28kEuOPlIbow5JOKzNJ1S8ns7nzdaljnECmKW4upMrmFCWMWzBG4t82cj04rvY5wpjgN3EsrAlYiRuIyeQM5p73SxxebJfQpHuxvZgFz6ZJxmlYdziIdVuJNTt43u7qK38k7PN1BwJX81huVgn70EYwGxxWodUmvfAEk1nfSHUUtEWSWMfvI5SBk4x97rXR/aAJWiN5EJAu9k3Ddt9SM5x70j3KrIqSXsKyMMqrMASPUDNPoF9bnGy3fiaWTUbQC4S9mkhEEaMoEKqrFyrH5fmKgnJ/jqGbVtSluL69e4vbSyeGQREO2Fk+zqwQLj5SG3ENk5IIrut54X7RHy20Djk+nXr7UGUoxDXKKwXcc4BC+vXp70rAmcHBqmvpbRmCa7ufOe4aF2Tcfki4U8c84YZ6nNdJoFyZrq+WC8uLzT0WIwz3BJbeQd6gkDIHyn2JIrWNwvmmM3kPmbd5Qkbtv97Gc496jF/bSo8i6naOsYBdhKpCjtk54p9QLdFV/Pj81YvtkHmuu5UyNzD1Azkj3pZpkt1DT3UMKk4DSEKCfTk0CJ6KrfaYfOaH7db+coy0e5dwHqRnIp8UgnjEkNzFLGejx4YH8QaAHx9X/3zRL/AKo/UfzpqK/z/vB94/w0kqv5Z/eDqP4fegCbvRTNsn/PQf8AfP8A9ejbJ/z0H/fP/wBegB9FM2yf89B/3z/9ejbJ/wA9B/3z/wDXoAybq41FfFenwrDN/Z7RSbpEIKFsZ+fuMcAeuTS3Wo7xpdxHHfxrLc4eP7O+dmGB8xQDgZ29frWmXxIIjcRiRhkIQNxHrjOcU2SdIWRZbuGNpDhFchSx9snmgDBvotUs7fUGs57yUNLEgMzs5RTzI6BRnjIGF9K0oNQieKa1YXQmtrZJJjtZmXcDgAjkvwTjr0q19pixIfttviI4kO5fkP8Atc8fjUpDKCxkUDqSVx/WjoM5+C5v5o9JcG9BaKMMHjddzhsSeaCOPlyRnHPStXVzMLVfJMy/OPMaHPmBP4iuOc49OfSrCyrJsKXUL+YMptIO8eo55/CiUmMq8kyKq5JZgAAMdSc0MRz4lu0vI2jl1ho8K0QkjJVosHeXyPvjsG5+7xya0PD00k9hK8jXpHmnYL1GEirgcEsAT37YGcDpWgs6OyKl3CzOCyBSCWA6kc8inRv5yb4riORM43Jhh+YNCAe/+rb/AHTSr9xfoKjdZPLb94Oh/hpVWTYv7wdB/DQBJWfrcrw6LdPEbgShD5Zt1Zn3dsBQT1q7tk/56D/vn/69NdjGpeSdEUdWYAAfjmgEcx4g1Oe3uo5Ve7S1a38yKOJ2haabK/ITtJB28hSOTnPSq9zrTvou3+1DHdwXk3nxGRopHQPJtQOFO04C445xjvXVtOtuzGW7ihDMFBchdxx0GT19qke4EMRlkvYo4lOC7sAo7YyTikxoyr2WVrSxlP2+GBow0/kgmdfl4B2gnrjOB+ma1rcEW8QLSN8o5l++f973qKSRYm82S5iSPb998BeTxyTUy72AKyqQehC5B/WmIIf9Sn0qG/cJaSOTIMKxzECX+6egHOfpT4lfyl/eDp/dpJdybWaVVUHJJGAOD70AjFguL6Z9JcG8G6KLcGjZQzZxL5gI4OMEZxz0zVnUNRzaQTRR38ZW8VCq277mVXwxIAPyEZ56GtLzBuRftMeZBlBxl/pzz+FKzFNu+dF3HC7gBk+g560wM6K/MWoauWS+kihVJETyHIOF+YR5GGOccA1Wvrq5bWYktDqCyeQWCmJvIYlGKqeNobOMknjAHetpWLMyrOjMhwwABKn354o34lEJuIxKRuEfG4j1xnOKQ7nMyXV0lvap5usAtcZjkELsdo27vMG3J5LAA4GOegFaemveNcXwuDOVAO4SA7Vfc3CZ427dvTjPvmtAXEZVGF5Btkbah3DDH0HPJ9qUtvWVVnjYoCHCgEqcdDzwaAMC6vb82WqLZC7LpdIA0sUg2REKGKfLlgDu+7k+la0N2FtxBNFeK6Wold9jN7YDdS/fHWrIkHls/wBpi2x/fbjCY65OeKcGJjEgnQxkbg4Axj1znpQBziX1xJHoY3asszKnmsYJAh5AYSDb1PvgAZaret37NprGFNUhkE7RKYIXB3AH5jgElO4I+9wK1vOXMY+1RZl/1YyPn/3eefwp0knkrvluY41yBufCjJ6DJNAXMCa5vIpLx5TqTRiM7lgjbOMr5ZjGCAxy27GSO/QUWMuoNPp26S8cFV/1kbqrLlt/mZA5A2YLYJ6gcmt5pVUuGuolMa7nBwNg9TzwPc0CVWKAXURMg3IBj5x6jnkfSgLlaaKOe7hSVQ8eZCVbpnjFI1vDb3sXkRqgZG3BRjPzLinzNCi4uGVsudoMW4n14FMie2JKwFVc4OPIKEjI9aAC2s7WZHkmhjdzK+WYZP3jUCxhrGOI8oZlUjsV3tx9KmkksjK+7Y7AkMRbFue/IFP8yDyC5kjNuVUAeVkHk8Y+tIBs9pbQNA8EUcbeaoyowcc0JbQXF1OZ40k2rGF3DOPlpI3s/MAj2LIeFJtyvP1IpZXtQyrMUaQKM/uC5Axx0pgOtI0hu5441Cxh/lUdB8oq9VO3aJyv2dlCgkECLbg4HUVZ2yf89B/3z/8AXoEEf3T/ALx/nT6hjV9p/eD7x/h96ftk/wCeg/75/wDr0ALJ/qn/AN00o6D6VHIsnlP+8H3T/DTgsmB+8H/fP/16AH0UzbJ/z0H/AHz/APXo2yf89B/3z/8AXoAfRTNsn/PQf98//Xo2yf8APQf98/8A16AH1jSveDXolQz+UWGFUHyyvzeYWPTI+XGefTvWttk/56D/AL5/+vUaNh/LM8YdmYqhAy2OpAzQBK/Qf7w/mKsVUYP8uXBG4cbfcVbpMaCiiikMKKKKACiiigAooooAKVfvj60lKoywHvSGZ1pYazFrc13catFNZSDC2ggI8sDpg56+vrVqP/j8uv8AgH8qqWuvWd3rU2kx216t1DzLvhIVR2O7pg9vWrcf/H3df8A/lTEyaiiigApR94UlKPvCgDGvsnVpwPQfyFVbgMLaUnONpq3eiM6tcb1zwMckdh6VWuFh+zS4QZ2nHzN/jQBWTSL3zbyV7DTwzzrKoWQ4mVScIw2fKMHJPzZYmprHRZ7TVoLhyjrHAsZk3nJIXbjbj8c56cY71P8A2vZgXm6C9X7GAZS0TDIORleeRxn6c1Y+22f9q/2bmT7QE399vrjOeuOapbCZnXuj3F9qHnIIIo/Jlj84Md5LAjBXHY989OMUi6LdF4ZDHbx5kLMiuSLcb1b938vJ+XH8PWrr6jZW1z9lnMqP5by7iG2bV5PPrihdVsW8kFbhWlbaVZSDEcgfPz8vJA/EULyDUzv7Bu1gYeXbOykKsbOdsoAcb2+XhvnzjB+6OfR76Dcl5gHiYbPllZjulPyfIwxwvydcn73T1uHV7DynkC3DbWChVRizg5O5RnlcKxz7GnNqmnq8i7pSI03bwCVfp8qnPLfMvHuKeoalNNEuvOgY+SgzucqxzB87ttTjkHfjt93pRDoDNp7wXEFruaSMAAbgqKFDMCRwzBefr1NXV1OxZ4U/fKZRzuBAjOSMPz8pypGPUGo/7Z0/yBLi4wWxt2NuAxneRn7uCDn0NAaj7HTprbU7i4cRiNt+1lPzSbn3fMMcbfujk8eladUobu1nv57JBKJoFDNuDAEHuD3q15Seh/76NIQ+imeUnof++jR5Seh/76NAD+9Mh/1S/wCe9HlJ6H/vo0yGNDGvB/76NAHNtp2rQavLdWdtDJ5k5mE7mPlfKKiM7huUhgCCvGGOap/8IzqNlYfZI41u3jlM9vKgjRVkdCH3xyZDKW5JHPzEiuj/ALRsIbv7FNKyTLbtctndtEYPJJ6Z749Oarpr1nLLFFHYaq8kqmREFswJQY+fk9PmFLQq7Mi98PajcRT24s7fzmmluPtyyKNwaJlEQH3hyQvPGAKNT0W/1qbTVm0jyY4YVimeSaMkASRNxtJPRGx+FbNnr+k309rBbyytJdNMsalWHMRw+fT29e1a3lJ6H/vo00K7ON/4R3W3CSO9us1pdS3cJ4bzpGk4OcjYSgwTz98irniTw1da1fzzwssaPpzWpDc+YGLFoz6A/Lz7V03lJ6H/AL6NHlJ6H/vo0WC+tzl7bQr1Lu2SSzizHeLdPfb1LbAm0xY+9/s/3cflUg0GW2Pnx6dbzKmpy3Jtl2L5sbAhevGQTnBrpPKT0P8A30aPKT0P/fRoC5xmn+FtRtdStr2WKJo4njb7OrL8o3SnCtjPyb14zhgCPStjxRotzrUVnFbOieU8jM7qrDBiZQMEHqSBxyM5FbflJ6H/AL6NHlJ6H/vo0W0sF9bnFReH9TNvqEJsDEs8nmJG0kLRlRsPllwPM5Clc5xz6V0OlLf2llIJ7H5nuJHSNDEpSM42htuFJ69PxrU8pPQ/99Gjyk9D/wB9GgQR9X/3zRL/AKo/UfzpiRp8/B+8f4jRLGgjPB6j+I+tAE3eimeUnof++jR5Seh/76NAD6KZ5Seh/wC+jR5Seh/76NAGdc6fNNr9neLHAIoAS0m47zlSNu3HPXg54545pZbCXULa1N9b2guElVpCg3hVDbsKSM84XPTvViS5tYr+CyYv586M6AZIwvXJ7e3rzUd7ewWDxCWC7cSHG+JGZUyQBuOeOSKAMpdCu4muikVuY2uBOlu8pZZWy2SSV+UHcOPm5FXlj1FbS4sBa280cNrHHBJcOdtxJg7gwwcKMD65pz6paIbhfs98XgIyiwvucEkblHdflPPtVozQfYPtiLNLEYxIoiDMzAjIwvUn2o6D1uZVnpt/btphNnZr5EsrzFZzkb8j5RsA75xwO3vWjqlq93bxxxhGZZBIEk+6+3naevB+hqCLV7GUwDZcoZiRiRCvl4bb8/PGW4HqatXksNnGssgkIBwFTLMxPAAHck0CMg6LdG7EwstOj3lZDtY5jZQfkX5eVbPJ46twavaFZ3NnaSrdW9tBNJLvK2z5ToBx8q46Yxjt1zSLq9i1wsLRXkbnht8TgITnCsexODgd/wARVmyube/jd4454zG+x0mVkZTgHkH2IP40LyAtP/q2/wB00q/cX6Co3iTy24PQ/wARpViTYvB6D+I0ASVR1i3nu9Iura3iikllQoqyvtXnuTg9PpVvyk9D/wB9GobuSGytJbmVZTHEu5tmWOPpmgFuYOtadqd1drdWttDJN9m8kKzI4gkJVt2JBhlIGDgbuBioJdL1F9KFmdLlMtvdzTwSpNAVYszkEq+QRhuQRnnjkVuXN/bWd4ts0VzNPKN6x26M7BBgFjg8DJFNk1awjtYp1W4mE0zQRRxIzO7qW3ALnttY/QUhrYZdWV1LDYkw2s1xbx5eBztidtu044OMHkcVqQR+VBHHsRNqgbYxhR7D2qnc3UFr5TtFcOZVwkUalpCevTPYdatRCOWJJFWQBwCA+VI+o7UxDof9Sn0qK9WRrZlijSSRgQqO21WJU8E4OB+Bp0UaGJeD0/vGmzhIk8wq7BckhSSTgHpzQCMmDSbzOmtNHbo0EUUchWQsY/LJPyfKM7hwemPerF9DqdzZxD7LZvOl2sgHnMqiNXypyVJ3EDkY4z1qYahZF7VR5x+0orocHChvu7ueMnge9T3MsFqsbSLIRJIsQK5OCxwM88DPenqBUSHUYr7VLiK2tB5yobctMfnZVwN4C8A+oJqtfabfXuqRyG3s0hEJU3CyESq5RlJ+7yBu4G4dST2rUikhmuLiBVkEkBUPuyAdwyCDnkVDcX1pa3aW8yzpuBIlKt5YwC2C3rgE/hSHqZMmjX5hhjFjp7IZvMlQykeWBsACHZ327jjB7e9X9P06azmu5JfL2spVWQ5MnzM25uOD82O/TrSnV7JYEmaK8CM+xv3TZiPHL8/KDuX8xU8N1a3bXEUXmbogclsgMORleeRkEZ9RTDoZd1pOo3drqMQSGATXUc8flT8yqoUFWOz5SdvXDda1I0v4o/KMVtJGlsAPnKlpe4IxgLjHPX2qD+1rENPHsuTJAyoYwjbnLZxtGeeh9OlXkMMlus8e542Teu0klhjPFIDDTS9RMWjwy2OnlbVUErCY7lKsMbTs6YGccc8dKs6ta6nf6e8As9PlYzMAJJCMRYIBBKHDnoeOMnBq5HeWsosyqzYvFLREggcLuw3PBxTr65g0+3M8sdw6DqIVZyBjJJx0AHehgZcmk3yPcyQW9lIzI3lrMxKuWKfK/wAp4Tacdc57UWei3MM1izRQRrEFL7ZCxjKlzhflGQ27npjHQ1e/tKz8yVES4kaNdw8tGbzOmQnqRkZHbNJDqlhcPbpH5+ZxwSrAIckBW54JKsAPY0w1J5PkuopSrFVaQEqpOM49PpSOwmu45EV9qIQSyFerL6/SiRzHIsccJkeRmwDIVAAx3/Gk8xzKIZrfy2YblIlLdCM+nrSAdbSrbo0ciyhhI54jY9WJ7CoFjZbVMo/yyrIRtOQN7HpUqyzSljDabkDFQWnIJwcdMU0XCmATiFizFUCeYfvbiOvpxQA+4kW4MKoshKyhjmNgMDPqKI3EFxMzrJh1QqVQnOFx2pGllRkE1rsV22BlnLYJ9sUeY/mGKG38zy1XcTMV6jPvQA63+a7mkCsFdsruUjOFA71cqnC/nTFHiMbxkhh5hYdAetWfKT0P/fRoEEf3T/vH+dPqGONNp4P3j/EfWn+Unof++jQAsn+qf/dNOHQfSopIk8p+D90/xGnCJMDg9P7xoAfRTPKT0P8A30aPKT0P/fRoAfRTPKT0P/fRo8pPQ/8AfRoAfWRJp00utJdr5flh1YuT86bd3ygY6Nu55HTvWp5Seh/76NU/tdrHeizbzPNduoztUnOATngnBx9KALr9B/vD+YqxVRo1G0jP3h/EfUVbpMaCiiikMKKKKACiiigAooooAKNwT5icBeSaKiuf+PWb/cP8qBkn2yIfNyM9Tsb/AAqGFg9zcMpyDsIP4U6YHy+hqCw/j/3Iv/QaLCuXKKKKAClH3hSUo+8KAMTUGUavPuYLkDr9BVW4eP7NJiRSdvTPWr13IY9WuMEjIHT6Cq9zOxtZQWYgoR1oAjOjhra+h/tm523hLN8sRKZOTj5eeMDnOABVuOyhTUVvWu2eQIFYEKAxxjdkDPT+HOM84zVY6pqCQ6nKbe0aO0/1RWRv3mPvA8dQMcjjPHap5NVeLxDHpskBWOVf3cmxiWIUsTnG0AYxjOc9sVQmRzabbXlz5891IU2PGIcqFG7IJzjd07ZxnnFA0m23Ru97I7h90zHaPP8AmDYbA45APy46U271ebT7kI1ur2xikcOGO7eoLbfTkduvekGtXKyLFJbxb4323JVmxjeqDZ68sOvvTXkGov8AY1qI2VL2VWyPLcbcxoAw2DjBGHYZOTz14FObR7ItJi4dYyuEjBGI2+X5gcZJ+ReuRx71CNduXj+S2h8yTEkIZ22+WVdvm4+9iNunHIpTr8mXdbZfKZcRZY7i/wAmd3YL+8HTng0ahqSrpNoHiZrp328yg7cTNlmDNxxgsx4wOaZ/Ylp5Hlm9lLZ2l/lyY9oXy+mMbQBnr3zmhdbmEiK9vHtQ7LgqxzuLug2eoyh69iKi/t+5FvuNtD5oUzMN7bfKCB+OPvYOPTNGoWZfgs4YNRnvTdvI8q7ArbQEXOccAE+2ScDgVd82P/nov51nWGtRX+s39hFsxaKnIf5iSSGyvYAj8a1KQhnmx/8APRfzo82P/nov50+igBnmx/8APRfzpkMsYjXLr+dTd6ZD/ql/z3oAwJ/Dtjezy3U1zJ50zMGIcgeUUKGPGcdCTuxnNRz+H5Lq5s7i61O0uZLRDHGJrEMu07TnG8fN8vX36CpP7dvI7qWP7Lbm2W6NnG/mNv8AM8vzAWGMbTyOOR1qlYeLdRvYJ5FsIHkhiD/Z4hMzOTGr8Nt2/wAXTOeOlLQqzL2n+G7DTr21vIrgmeHfvY9JNwYdM/Ljd264Fb3mx/8APRfzrmY/FNzLew20YsXLReY7qs5Gd7LtxtypG3nfjk1o3GtTReEP7bjtleY2qzrAXwCxAwufx60xWbZq+bH/AM9F/OjzY/8Anov51yk3jlEtNQuI7aIx28kMcBkm2CUsCXzxxt2uPcipJPFs7ale21pb28scEDzIWZwxURLIGPGNpLBcAkjINFwszp/Nj/56L+dHmx/89F/OuUj8ayJCWurFFdWlG2OQkOqR7sjI/vDafTg1u6df3U17dWN9DDHc26xyEwOWRlfOOozkFSPyNArF7zY/+ei/nR5sf/PRfzp9FADPNj/56L+dHmx/89F/On0UAQpLHl/nX7x70SyxmM4deo7+9Pj6v/vmiX/VH6j+dAB5sf8Az0X86PNj/wCei/nT+9FADPNj/wCei/nR5sf/AD0X86fRQBmTaZZy65bat5zpcQqylVk+WQEYG4e2TjHrUqW0YtreGa9luDDIJfMlYbnIJI3YAHGR09BUM2tRxeI7XRx5ZkljaRyz4YYGVAHfODn0o1PU5rKazMMSSW0rETznLCJcgA/L6k9egoAqvom+K6Q65dn7RIHclYs4BPyn5eV5AwewHvm/aRS29zI8motND5UccUZAG0qDuc4H3mJHtx0qn/bVybe7lW3i/doJYlLHlN5Q7vRsqTxx0rUvrn7JaXEqgO8SFghbBPpRsh63M+TRtPm+wCV1dLI7owyqSWznO7GRzzxjNW72OG7RIzMUIbesiEZRh0Izx+dZqeIJjLYWz2wjuJ9zTZV9saq209vlJJH3q0tRuZLWOJokVpXkEUYckLubgZI7UCKZ0qNpRI+qXLMQDJymHdc7XPy8EZ6DjgccVY0u0TTbUwG+kucuW3yhQ3PX7oGfXJ55qr/a19HdmKa3tNkciRSlJjne+du0EdOOc+/pV3S7u4vLeR7iOJWWQqrQsSjjA5GQDjkj3xkcULyAsPLH5bfOvQ96VZY9i/OvQd6c/wDq2/3TSr9xfoKAG+bH/wA9F/Oq2oQx39hNafa2gEq7TJGFLAd8bgR+lXKrajcS2mnXFzCiO8SFwrkgHH0oBbmPqmhJqpOdQ2MYRbzO0YbzFyGBABG1gRkEdM9KZLoMkuny2D6laSWrSvKiy2QcpuZm67+oLcEY6VY1XWpNOvmhRYFVYvtE8twX2omQoACgnOT16DHNNuNfuU0aO/itE+a5khdn3skSozje2wFsHaOg43elJ2sNXLctnG8VrEl9LHLbRhY7kFWfptOdwIOR6ir6SRoiqZt2ABuY8n3NUbi9mzZC0W3kmuk+Rnc+XjG4nI5PHSr8LO0MbSBA5ALBG3Ln2PcU+ohkUsYiUF16etMuis0JiS48pnyvmLglcg84PH51ND/qU+lMuWdY90YUuuSobOCQp64oBGdDpUEX2PdfSS/ZkRDuCDzQhym7A4wT2xnvT7iwM9qsJ1a4BW48/wAwiNm4bcE5XG0cY74HWmjV5i9l+4QLNFC83zHKmU4UL64I5z2q5eXTwRxPCI5A06RPlugZgpxjuM09QK32L9/fyjVZ1N2gUbQg8nAwCh29R75pk2mR3F+txLqU7RiLyjAdm1gVIY5xkE5ycEdBVyG5ka8vYZVRI4NhVwTyGXPOemKrX2pz2d4qrDFLbeU0j7XPmABSc4xjHAHJySeOlIetyu2jIwh26vcqY5fNchYz5rcAEgrjgKAMfXrVq2s7eza4kScvvUqisRiNcltox1GSTzk1WOr3wiTFtbNMJxFJGJG+YEKw2cdcNyTgDBqez1KS8e4R4lRNhkiKkkldzJ83vlT07U9Q6EJ0mFpZpzqE3nyMrJJ8mYtucY+XDfeIy2TjjtVqO1SEbYL6WONbcQRx5UqmP4xkct9eOOlQz398lpfPFFah7STGZWYKU2Bs8DO7nGKvwyySW0ZYItw0Qcx7shSR+eM0hGbDpYhXTlGqzMtjnblI/wB4CMYb5fTjjFLeab9stWgOsXSAzGUn923B6JgrgqO305zU0GoTzJpbtDGFvEJkAJyh2buPUcd6fqd7NaWRmtFglkVsbZHIyf7o2gksemPzoYyrNpMMhnKalPC0qkBkKZQtjew46ttGc++MUsGlW8Mls5vXk8kLkEIBIVzsJAAxt3HAGPfNB1e4M06LDAiqriNpZCAGTbu3kDp8wxj0ptvrNzJLapLapGH2LMNxyGcsF2jHT5MnPPIphqXHP75JYzGxRnG1nx1x/hSMzSTpLJ5SBF2gK+7OSPb2p0rTGeOGKXy97OWbaCeMev1ppNxFcpFJP5qupblAMEMvp9aQCxPJAGRVhdd7MCZcdTnpioxHiBUDxl1dZMbuD8xOM/jUkQurgNILsxjzGUKI1OACR3qIXE7WqsHAld1jL7R/fIzj8KAJZHeYxhxEio4ckSZPH4Uis0UrvH5TiRV6ybSMDHpRL9qt2iLXRlV5AhUxqODn0oX7RNPIkdwYkjVMAIDnIz3oAdCdtw8kjRqZGzhWzjAA61Z82P8A56L+dV7d5TcSRSyeYY2wG2gEgqD2q3QIhjlj2n51+8e/vT/Nj/56L+dEf3T/ALx/nT6AIpJY/Kf51+6e9OEseB+8X86WT/VP/umnDoPpQAzzY/8Anov50ebH/wA9F/On0UAM82P/AJ6L+dHmx/8APRfzp9FADPNj/wCei/nVA2dvLqAuzOylXBMYI2uVztJ4zxuPQ9+a0qzG1KSLVBaiJTD5io7kndufdtwOmPlOaALzSIdoDqTuHGfcVbqu/Qf7w/mKsUmNBRRRSGFFFFABRRRQAUUUUAFG0P8AIwyrcEUUq/fX60hkY0ey6eWf++jUcKhLq5RRhV2AD8K0xWan/H7dfVP5GhBImooopiClH3hSUo+8KAMa9Vjq8+1CwwM4IHYetVrlHFrKfKI+U8714/WrN8xGrXGPQfyFVrhz9ml/3TQBP/Yeksk6nSLci45mGxf3nOeeeeSTVqK1t4JhLFZqkgQRhgBkKOg69K5xtT2JqrtqGrYWVUjRYDuj+YjKny8AE/XCgHvWlp1+0mqW8ElzNKz2COwaBkQvnk8qMEjsT+FUhMupZ2rXH2trGNrgqYzKVXcVyeM0qafZxrbqmnxqtsd0ICr+7PqOay726vo9V8uyknfFvKTD5R2BsEq2cYPPH3s54xio47u+LWmye6eJpSIHeM5nG8D958vA27jzjpQgNdtOsmilibTojHLJ5ki7Vwzep5609rS2aWWVrFDJMnlyMVXLr6H2rBN7qH2WZpJ7tFDgTOsZ3RSYfKJ8v3dwjHQ/ePPpK93qgmuAWmWVYsyRqnyxL8mGTjluZO56DiiwWNlLK1RrdksUVrdSsJCr+7B7DmmDTrEQiEadF5Qk84JtXAf+99ayo7vUDPZhZLh9w/chk4mTc4LSccEKEPOOvSq/23UvsIYT3ZG87X8s7jLsBEZG37m/I6YwOvenYLHRrDEt1JdLagXEihHkGNzKOgJz0FS72/55t+Y/xrJ0+8vpvEmp21zDNHDHHGYQQPLxlgSrDqTwSD04rZpCGb2/55t+Y/xo3t/zzb8x/jT6KAGb2/55t+Y/xpkLN5a/u2/Mf41N3pkP+qX/AD3oAzE0awa4e7Nm5nl3Fm81sZI2lgN2FbaMZABpkHh3TLaNo4LW5jjZQpRbuQKcAKON/XAAz14FYp1S4XV7qJNUl3rdPE1rldsVuIQxk6ZXDfxE4OcVm6Trd/dWlyz66FmWBTFJcXiBQTCjEmMJkjcW+bOB6cUkyrM69dB05JVlS1uEkAwXS5cF+Sx3kN8/JP3s0+HR7GDT5LBLWU2sgCmJ52cADoBuY4HsK5WHW7iXUreE6hcRwiEkebfxr5jiRgSrbP3owBjGOK1W1iW78ASXdnqCtqC2ib5YyrNHKQMkjoDyeCKa2FZ3sbYsbVb77atmBcf3wQOxHTOOhP51Vbw/pbWxt/7PKxkk4WQqeU2HkNnBXjFc9LqniOR9RtVSeO+kkhFtCipmJQrFyC2AQxTPJ6PxUM2vX81zfXf224tLFoJPKYsuxX+zq4QArlXDEnJJBwRikNJnUpoemIkSDTVZYvM2b23Y3rtfqecjg5qxY2FtpyyC1tnXzCC7NIXZsDAyzEnAHAHauMh17W0tozFPLdea1w0DmMNkJFkKcDnnDD15FdJoN21xd30UWoSahYxrEYrmTBO9gd65AAOMKfbdin1EzZ3t/wA82/Mf40b2/wCebfmP8afRQIZvb/nm35j/ABo3t/zzb8x/jT6KAIkdvn/dt949x/jSSu3ln923Udx6/Wnx9X/3zRL/AKo/UfzoAN7f882/Mf40b2/55t+Y/wAaf3ooAZvb/nm35j/Gje3/ADzb8x/jT6KAK7wxS3ENw9qGmhz5UhxlM8HHPGag/sywEVvENMhEdu26FQi4jOc5A7c81Vur29j8WafaCKYWUkUm51AKM2M/Meq44x65pbrVoj/ZU8T3Ucc9ztKGBxuXDA7xtyozjrigCzNpen3Ec8c2mxSJO4eZWVcSMOhPPNLHp1rFcXEy2nz3EaQyZIIKICFXGenJ/Osi/bVLC21B7e5u5x5sUYec/wCqB5d12oTgAgcA9K04dSgaGa3aSdZ7e2SWclSWQMDjkDluCcAZ9qOgyVdPs1W3VdPjAtjmAbV/dn25qS4RLhRFNb+ZG4IZGwQRisSDULyePSHSW5JkijyDEV8192JA+V4wuT259a1NXeWO0VonkQbwJJIhl0T+JlGDyB7GhiAaXp4MZGlwAxxmJDsX5UPVfpyfzNSWVla6bCYbGxS3iJ3FIgACcYz19APyrEF5cpexmO91KSPCtEJLf5ZIsHezfL94dhweBwc1oeHbpruwlkM9zMvmnYbmMrIFwOD8q57ngcZxnihAaTu3lt+7boe4/wAaVXbYv7tug7j/ABpz/wCrb/dNKv3F+goAbvb/AJ5t+Y/xqG6t4L62a2u7QTwP96OQAqfqM1ZrP1y4a10W7mSSWORUOxolLNu7YAB7+1ALciuNHsL3ak9kSsI2IFcphCBlTgjKnA4ORxTToGnYkAtrlVkdnZUu5FXLZLYAfAzk5A45rL1/WJLW5jkW4nitGt/OjELCJriTKjZllPIU5CYBP4VBc6876Lxq8Md1DdzLcRi4SKUorSBVBIIU8LjI5Ax3pMaTsdJNZ2s8K2k1kj2yxhViZRtAHTAq0p2KqrCVVRgAYAA/Osi+unNpYzGW8t7eSMNPKkeZlG3IBABxk4BwK17fP2eLLu52j5pBhj7kdjTENidvKX923T1H+NMuUS5i8ma38yJ8q6NjDDB461ND/qU+lQ38ixWkkjO6BVY7kBLD5TyAAefwoBEcWn2UH2fydPjT7MCINqj93nrt54qOTSdOmgEEmlwtCJTMEKLjzCclsZ6k85rOgv7ud9JZJbgiWKLIMRUSNnEu/K8EDkZxz61a1HVY1s4LiOS6iAvFiYCB8sA+HyNpO3Geeh7Gn1AsnS7AvdOdNiLXa7LglVPmr6NzyKP7MsDepenTYvtUahUl2ruAAIAz7AkfjVeLU449Q1cSSXMkdsqSBBC52jb8wT5fm57DNVr7UJv7aihs57sSmAuIGgPlNlGKjO372cZJYYxjvSHYuvoulyLCr6TAywEmIFF+Qk5OOe5A/KrKwQwfaJIbURvNlpGUAFzjqa56TUpkt7Vft2oKz3GIpPs7Heo27vM+TOASwA4z68ZrT02e7luL5Z2lYKDuV1wI33N8q8cjbtPfr1oAsw6dZQee0Wnxobk5nIUfvD6tzzUslpbzSySyWSNJLF5MjkDcyZztJ9Mk8Vh3WqXQstUWykmkkiukQM8br5UZChmU7OQDu6Bq1or6MW4hmN0ki2omd2jYkA8fexgtx06+1AajU0fTY/s2zS4V+ykm3wo/dZ5O3niln0fTLmIxT6VBJGZWmKsi4Mjfeb6nuayE1V5Y9DAvL5Z5VTzM27bH5Abf8mdx5GOAOvSrWt6qi6YzwzX1vIJ2hVords71B6/Kfk75A+boOtAal+XTLCdZRNpsTiZVSQMineq/dB+mB+VOh0+yt2gaHT44zApWIqoGwHqBz3rImv7mKW9aee9EaRncIISSi5Xy2QbT8zZbPXGOcYosby+kn04NcXEgdV6xFVkXLby+VHKgJg8Z645oC2htGN5X3qJEdGbBXaeuM9fpSNDIrCWQyuw4XcFGMkZ6fSo5oUnu4Y5BujzISueCeMUhtora9iEKbFdDuAJ5wy4oAmEEyZ8t5kUsW27UOMnNNFv8vkhZAVIYN8uc5Jz6dajtrG3uFeSaLe5lfLEnpuOKhVN1lHESSpmVCM9V3tx+VAFtoJThpHmcIdwBCAZH0oEMhPmRtKm9V3ABSDge9RT2cFs0EkMexvNAJBPQ5yKEtYrm6mMyb9qxhck8fLQBNHG0U2WEju5JYttGeAO1T72/55t+Y/xqpaxrDdzRINsav8q56ZUVeoERRu20/u2+8e49frTt7f8APNvzH+NEf3T/ALx/nT6AIpHbyn/dt909x/jTg7YH7tvzH+NLJ/qn/wB00o6D6UAN3t/zzb8x/jRvb/nm35j/ABp9FADN7f8APNvzH+NG9v8Anm35j/Gn0UAM3t/zzb8x/jVcQQvcrctahp4yypIQNyg9QDVusaWe6XX4okeURlhtjC/I6/NvLHHUfLjkde9AGqzMdoKMPmHOR6irVV36D/eH8xVikxoKKKKQwooooAKKKKACiiigApV++v1pKVfvr9aQy2KzU/4/br6p/I1pCs1P+P26+qfyNERyJqKKKZIUo+8KSlH3hQBj3iltWuCHC4A6rnsPcVWuYz9ll/er90nHl4/rVi+z/a0+PQfyFVbjcLaQnP3TQBriU4P+kRfIPm5+79eeKdufdt81M4zjHOPXrXNrpFyyarv0azDXTcFJ1HmKCcfwEA87stnJJq1p+k3Vtf2skqQkRRKGmVueI9nlgEZ25+bOce2apEmvEX2hPMTPJ24569etO3sQpE0ZD/dP976c81h3uk3N5qfnwxRRDyJY/tHmfM24EAbcZ4PfOMds0xNGut9s/wBmgiAkLCNXGLQb1b5OOcgEcY+9Qhm/vYAkzRgKcE+h9OtG5wSvmx5UZIx0Hr1rnP7DvBbyKba3kwwBiMg2zkBx5rccNlwcHJ+Tr0qR9EvDLP8A6tyY8ecW+af7n7tuMgDYeuR831phob+5jjE0Z38jj73055o3tjd50eM7c+/p16+1YMejXYmtm8uKMDncrjNqNztsTjkEMF4x92of7BvPsYj+z24O4r5XmDap2BfOzj72QWx1565oDQ6X9508xOO2P/r0Yk/vL/3z/wDXrJ0/T7628Rand3DwyW9xHGI5ACH+Ut8pGTwAevGa2aQhmJP7y/8AfP8A9ejEn95f++f/AK9PooAZiT+8v/fP/wBemQiTylwy/wDfP/16m70yH/VL/nvQBFE/ybfOi3KMsO4Ge/PSlEqswUXFuWxkAEZx+dcsdHuX1W5mXS+TdvP9ryn72EwhPK65OW7NgDGazdL8OXcNncwXelXCCWBUCwR22RiFFIEm7cDlTx90/jSuOyO785MLm5t8N93kc/Tmn/OBu8yMDrnbx/OuKh0XURqcM8+mqIhCY08q1tuP3jEF1LYQ4IJKZrSNheXvgKTR5bCWK4FoluUldMSYABwQx44PXFMLanR5cdZI+OvHT9aQyYZlM8IZRkg9QPU81xsnhXVJn1C0lmidL6SFpbplJUrGrBRtDA5H7v8AEE1HLoGqzXF7qF1YJPLcwyRmFPL372t1TcWJ+ZSwYbSeMg0rgkdurM2NssZz0wM5/WhWZ13JLGy56qMj+dcJF4Y1dbdEt4VthK1w7oZAPKZotiEYPf7px0wDXSaHZPb3l9cLp/8AZ1rMsSx2uV4ZQQz4UkDOQPU7cmmI2MSf3l/75/8Ar0Yk/vL/AN8//Xp9FADMSf3l/wC+f/r0Yk/vL/3z/wDXp9FAESCT5/mX7x/h/wDr0kok8s/MvUfw+/1p8fV/980S/wCqP1H86ADEn95f++f/AK9GJP7y/wDfP/16f3ooAZiT+8v/AHz/APXoxJ/eX/vn/wCvT6KAGfvBx5ic9sdf1pGdkxumjXccDPGf1rKudPvpPFVhqCNC9nDFIjqwIePI/h55ycZ44xUWoaff6j/Zty9rAl5byEnEwZIskc/Mnz8Dtgg96ANrewz++jG04PsfTrQFdSWBQE8k7MZ+vNc7No98tlqEcdpBM8wCqGlC+ad5bzGJHBAIHOTxWpcm9v01Cza0EUZgURytJ992B3KMDoOBn1PSjoOxe8xtoYzx7X4B7N9Oeaa+9XRjIgAyckYA4+tc9Fod9HLpTARiG2LloGZGEZLAhvu4JxkfLtwTxxWxq1s93bJGiJJiQOYpDhZQOSp9jQIth2YgCaMluQB39xzShncbllRh6gZ/rXO/2LcfbFnj0uxiztkBWXBhwDmIYXo2eSMDk8dK0NAs57OylW4soLSSSUuYoJAyDgDjAAA4/HqeTQgNBxJ5bfMvQ/w//XpVEmxfmXoP4f8A69Of/Vt/umlX7i/QUANxJ/eX/vn/AOvQS6DcZEUepGP60+qGtQTXWjXVvb28c8ssZRUkcKuT3JIPTrQCLG4o7l5Y1ywALcZOPrTmYqpd5YlUdWYYH55rm9dsNRu7tLmGwjnkFt5aRuI5VglJU7iHwCCBgsORjgc1Xn069l0f7E+l3Rmt7uaaNgIJIn3NIVyrthlwwzkAjqOlA7HVFmSXe0sajb948Dr9akHmHo6f98//AF6ybyyuJ7aw32dtcSQRgyWjMBEx244JBHB6ZFatvGIreKMRpGFUDYn3V9h7UCGxCTyl+Zen93/69D71KEugw3XGMcH3p8P+pT6VDfKz2rqkKzOysBGzABiVPBJ6UATbnyAZUy3Tj73680bpFIzKgzwMjr+tYUGl3pbS3lt4o2giiRyJQxh2HnbxzvGBxj3qzfx6jc2cP/Evt3njvFkC/aAAEV8hslfvEDp2z1pgagaQ8CVDt6gDp+tG592zzU3EZ245P4ZrNjjv4b/Vp4rCD96qGAmcDzXVcfNhcrn15qtfafe3mrxyixt40EJX7Wsw8xHKMOmMlQTwARnqelIdja8xsAiePDHAPqfTrzSOXaOQCRDtBBAHTj61zcmj3pgt4hpNmyef5jL56qYANn3Dt/iKliRzzjuTWlp2nz2k95JKqKrqRvU5Mx3M29vQ4IXnPSgRpeaVQM1xEqrxknAB/OnZkxnzEx1zjj+dYn9mTXMGqxXGm2oWeXzbfe6yKW2BdxGODxnv1rRVJ7dDaxWkUlpFbBY8yYLsONhBGAMY5z+FAFre5x++Q7hkcdf1oLOgy0qKOmSMf1rDtbPUIo9CV9OhVrRSkzC4U+WNu35fl59ccU/WLbUNQ05oDpdnOxmZQrzjiPBw43LgOfTtnPNDA2N7gkGaMFRk+w9TzxRuckDzozuGRx94eo55rBl0q9WS7kjsbW4Z0IVZpeJtxTCPx0TacZ657ZNFlo11DNYM1vFEsQXcfNDGHaXJVcAcNuHTAGMdhTGak5gVf9KaLBc7dyE898YpkLWrFhbNFv4zhCDjI9akkYR3cMr5CKZASATjOPT6UjyJPeRPGSQiEE7SMZZfX6UgI5HsPNfzGhL5+bEbHn8Kk3W/kFi8P2bauPkOOp7fWltp4rdGjkZlYSuSNh7sT6VAqFbSMkNhZVc8HIG9jnFADonsTIBE0PmHO392w59s0szWYZRcND5mwdYyTjt0qS4mjuDCsZZisoY/KRwM+1JHKkFzMZCV3qhX5Sc4XHagB1uYm2/ZXi25OdqEc4HWrOJP7y/98/8A16rW5D3c0q52u3BIIzhQKuUCIoxJtPzL94/w+/1p2JP7y/8AfP8A9eiP7p/3j/On0ARSCTyn+Zfun+H/AOvTgJMD5l/75/8Ar0sn+qf/AHTSjoPpQA3En95f++f/AK9GJP7y/wDfP/16fRQAzEn95f8Avn/69GJP7y/98/8A16fRQAzEn95f++f/AK9MQuCy+YgJYkLjk/rU1Y8mnzy65HdqkZjVwfNLfNGF3ZUD0bcM/TmgDUYP8uWUjcOi+496tVXfoP8AeH8xVikxoKKKKQwooooAKKKKACiiigApV++v1pKVfvr9aQy2KzU/4/br6p/I1pCs1P8Aj9uvqn8jREciaiiimSFKPvCkpR94UAY96EOrXG8HgDGGI7D0qtcrF9llwGztOP3jH+tTagyjVpwzKuQOpx2FVbh4/s0mJUJ29A3WgC0NXsAt6Xe5jWyTfM0kbqAOeVyPm6HpVqK4t5bgQI0u8wiYZ3AFDwDn+lZcmhLc219BcatK6XbF1KhUaJux3LgtgYAB4wKtWtgba8gm/tIyRxWq23lMi/MB/EW65zzVLzEx5v7OCf7NNLIkmxpMkMFwMk/N0zjnFC6nYt5PzzgyttCsrgoc4+cfw8kDnuRUE+lw3115892fLEbxiIKoxuyD833sd9vTPNA0eLdG735eTfunbao875g2Mfw8qOnpQgJTq1gIpJPMnIRtuFRyW68qP4lwCcjjg+lPbUrBZJUM0n7tN5YbirdOFPRjyOBzyPWqn9iQiJlS/ZXBAifap8tAGGzHfh25PPPtTjolqWk23RWMriOP5T5bfL82e/3F4PHHvQGhZXUrF3hQSzAzDI3Bhs5Iw/8AdOQRg9wajbWNOW1+0NJcCMPsJ2PkZ5BI7Lgg56YqNdHtw8TPeFwPmmGFHnNuZgf9nlmOB61G+hRPYtanUmw7KXby0OVUAKuD0IAGGHOeaA0NOKSGaeeFGl3wMFcHcOoyMeox6VN5a+r/APfRqnbWxt7+8uXv/NW4KkRFFHl4GByOTx61d8yP++v50CE8tfV/++jR5a+r/wDfRpfMj/vr+dHmR/31/OgBPLX1f/vs0yGMGNeX/wC+jUnmR/31/OmQyIIl+dfzoAyX1/S7Z54ZprhXt92/EbkEjBKqQMM2GXgetObxBpSRCRprgD5i6+VJuiCttYyDGUAPBJqnN4Ys7yLUmluMy3rkqWYlYlIQEBc4yQnJGDzSf8I48EU0NnqcUUU0L2rB4t7CFmLAA7uXG5huOcgjIyKNR6GjHrWmSy3Mazyg2yu7syuFIQ4YqejYOM49RTf7f0jYjfa3xJai7Xh+YicZ+ue3WqcfhexitbmFbp83Eh3OZGysRcMY15+XOACRjPWq8/hGGWGeJdSKqyhIGYbmiHmFyCSctncw59aA0NmDVLC4vjZxzTGXLqpKuEkKfeCseGI74q/5a+r/APfRrGtdHMF7bs99G9paSSy20QTDhpM53NnkDc2MAdeelbXmR/31/OgQnlr6v/30aPLX1f8A76NL5kf99fzo8yP++v50AJ5a+r/99Gjy19X/AO+jS+ZH/fX86PMj/vr+dACeWvq//fRo8tfV/wDvo0vmR/31/OjzI/76/nQAxIxl+X+8f4jSSxjyzy3UfxH1pUkT5/nX7x70SyJ5Z+deo7+9ADvLX1f/AL7NHlr6v/30aXzI/wC+v50eZH/fX86AE8tfV/8Avo0eWvq//fRpfMj/AL6/nR5kf99fzoAg82EXgtS0vmmMyD72CoIB56ZyRxTbm6trN4kmeUGQ4G3ccDgZOOgyQMnjkVG9uW1eK+F+BHHE0f2fYpDZIJO7r1AqCTTBPFbrPqTyyRgrJIypmZCwbaQMAcheR6UASNqliqzHzJ28pguFVyXJyPkH8QyDyPQ+lWmlt1tftRlPkbN+/ecbeuazv7GiG9o79kkDAwNtU+SAWOMfxcu3X19qkXT8pcWsl4DYNbxwQQjGY9oOWJ7knHtxQPS5ImpWTvAge4DTZwGRxswcfP8A3OeOe9TXcsNpGs0rSbQcYXczEngAAckk9hWe+hWk8lo9zcLO9vKZ2YooLyFg2cj7oyOgq/fRR3aRp5/lsr70kUglGHIODwfpQIrpq+nvOsO+5V2674pFCHnAYkcE4OAeuKsWV1b38TSQGcbG2MsisjKcA8g89CD+NU20ovMJH1aVidrSDYgDyLna/TjHHHQ4FWNLtDp1q0Ut/wDa3Zy5ldFQknGc46nvk+tCAtvGPLbl+h/iNKsY2Ly/QfxGh5E8tvnXoe9KskexfnXoO9AB5a+r/wDfRqG6lhs7WS4mMvlxjcxXcxA+gqfzI/76/nVXUYBf6fNaJdi3Mq7TIqqxAPXg8UAiG41Cys7toJ5pBMwVkRdzMwJCjAHU57U+yv7TUGcWxuHRc4lKOsb4ODtY8Nz6VnXeh/a9Yt9UGoKl7aRCOKQoME5BYkA4wwypHbOQafo+jf2VeNIb9JYVgFvEgBUhA2QW+YgsBxkAcUAaF3cQWTo0pmbeNqpEGd2PsBz05qxF5c0SSoZNrgEbiwOPoelVb23F1LE8V39nniBMcqhWxngjB4PFW0dFRVMwcgAFmIyfegBsUY8peW6f3jTZ9kSCRvMKrknaSTgA9BT4pE8pfnXp61HdYmhMcdwsTvlRIAG25B5weDQBXXUrNrq1t0a4aS6i86ParkBPVj/D+NWLiWG2EZlaUCSRY1K7j8zHAzjoM96zk0WLdprTX4laxCgMYYwz7enzYyvvg81Lc2M1xapD/bDhluPP8xoo2OA25UxwMDgZ68UAWorq2nupbaN5TJF97O4A4ODg9Dg8HHSmTX1pb3a200kyOwJDkPsHBOC3QHAJxntUP9nKst1LFqDRPKjrEyqpMBc5Zhn7xyAeelMuNMN1fJPNqjtAsRiNuUTBypDEN1BOecenpQPQedXsFhjlZrkI77DmKT5Dxy3Hyjkcn1FTxXVtdG4jheQtECDncAeoyCfvDIIyO4NUH0Z2WELrLqVl82X9zGRKw2hcg8DAUAfn1q1a2MNk9xItx5m9SsanA8tcltue/LE5NAD3v7OG0u7iWWVIrPImLBuMAHgd+COlWvkMPmgyFSu4YJJIxnpWPcaIl5aahBc6nIy3biRDGBG0DBdoIKn5uAOvpV6O2eFQqam+1bZYUVlVgGH/AC09ST6E4oAdHeWsotCjzEXaloSQwBGN3PocdjTr25t9Pg86cz7M8+WruRxknA7ADJNUoNLkhTTE/tYstjkcwoPNBGMH0444pb3Tpry0a3/tqRA0zSE+XG2UPSMjuo/M45zQwJzqVkHlUPO5iXcdiu27pwuPvHkZA6ZFJDqdjO8CRyzEzjK5VxjkjDf3TkEYPPBqvLpO5p2h1SSCSRSEdFTMbNt3sPXdtHHbnFLb6RFDJau19v8AJC7lCKokKk7Dx93G48Dr3phoW3kMLiOOOSSR2bAEm3gYzz+NJ5ztIIZYZImYblzLuBwRn+dK5PnpLHsfYzgqXA64/wAKRmaSdJXVECKV/wBYGzkj/CkAonlkLeTayugYqG8/GSDg8U0XK+T54SUliqBN/O7JGM/UU6J5LcMixxuN7MG84DOSTUYiIgVMxl1dZNu8Y+8TjP40APM8qlVmtpY1dtgbzt3J6cUec4cxQwSy7FXcfO2jkZpZXecxhkjRUcOT5oPT2oRnild0VHEip/y1C4wMUALDJ58pV0kjeMlWUyZ7AjmrPlr6v/30arQ8XDySFFMjZ2hwcYAHWrXmR/31/OgQyOMbTy/3j/EfWneWvq//AH0abHIm0/Ov3j396f5kf99fzoAZJGPKfl/un+I04Rrgcv0/vGmySJ5T/Ov3T3pwkjwPnX86ADy19X/76NHlr6v/AN9Gl8yP++v50eZH/fX86AE8tfV/++jR5a+r/wDfRpfMj/vr+dHmR/31/OgBPLX1f/vo1U+1W0d4LRnk852OMbto64BPQE4OAeuDVzzI/wC+v51nNYwy6iLw3O0K4ZouMOy52nPUY3H60AX2QDact94dWPqKtVVZ0IUB1J3DofcVapMaCiiikMKKKKACiiigAooooAKVfvr9aSlX76/WkMtis1P+P26+qfyNaQrNT/j9uvqn8jREciaiiimSFKPvCkpR94UAZF2+zVrjHcD+QqvczE2soJPKGpr4MdXnwjMMDO3HHA9TVa5VxaykROPlPJK8frQA2412WyttSuLu1t0htSEhcT8SueiklQFPTPXGcdqmttXkn1SK3a1VLaaBZIp8sRIxXcVU7dvA/wBrPtUkej6ZGtyF04AXSlZxyQ4JJPfjJJPGOtSxafYwXMdxFYhJo4xEjgcqoGAOvpxnriqQmVbrVn0+5EclrutzFJIJQ3JZcnb0x+ue+MUg1mVZFiktYxIj7bnbISF+cINnHzcsOuOM1aWxs3uDdvZBrgqyGQjJKnIx1x04oTTrGNbdVscC3YtF/sn168/jmhAUhrsrx/JZx+Y+HhUyEAxkO2WOODiNuBntzSnXxl2W1BiK4iJbDM/ycEY4H7xecnvxVttM09opYjYDy5X8xx6t69ePoOKe1jZvLLK1kC8yeXIcfeX068fhQGhTXW28yNXtVCqdlwQ5OxizINvHzDKHk44xUX9vyCDcbOPzADKy+YcCIIHznb97aRx0z3rRSwso3t3Wyw1uu2I4+6Pz5/HNM/svT/JEP9njyxJ5oXH8Xr1/TpTAZZaxBf6vfWMIjItFXLBwWJJIIK9Rgjv1rSwPQVWS2t47yW8S1K3MqhJJAOWUdAee2TU+8/8APN/yH+NIQ7A9BRgegpu8/wDPN/yH+NG8/wDPN/yH+NAD8DPQUyEDyl4H+TRvP/PN/wAh/jTIXPlr+7f8hQBiDXbiO5li+wxG3S5NokvnHcZfL3jcu3hT0yCT7VRs/GM93DPINPtzJDCJDbxzO0r5jV/l+TGPm9c8HitdNFsWuJLsw3BlkZnP75tqsV2F1XOFbaMZHNNtvD1jZxNFbf2lFGyhSi3kgBwoUH73UADn2palaFBfFbPeW9sqacTJF5hdbiQqfnK7VxH1453Y61pT60YvCZ1tLTe32ZZ1t9+MkgYXdj364pI9BsYphNEt9HJgh3S5cGXJLHf83zck9akh0ezh0x9OEd3JaOoXy5Z2fao6BSTkDjtTFpcyJvG1ulrqFxHbI0ds8McReYIJi4Jbkj5du1h7lafL4sP9pXtra2kE628DTKfOIYqIlkDMNuAp3Bcgk5xxWwNLsBe/axZYlPoBt6EZ25xnDHt3qsfDulm2MC2k6JzykrKwBQIRuznBUAY9hS1BWMyPxoghLXNh5bK0gKpJu3Kke7K5A6sCvt1rb0+/nnu7myvbWOC6t1RyIpN6Mr5xgkA5BUg8VAvh/SlSFDYu4i8zb5jFj+8Xa+STzketWrGwttOEhginLykb5JZDI7YGACzEnAHQUwLuB6CjA9BTd5/55v8AkP8AGjef+eb/AJD/ABoEOwPQUYHoKbvP/PN/yH+NG8/883/If40AEYGX4H3zRKB5Z4HUfzpqOfn/AHb/AHj2FJK58s/u36jsPWgCbAz0FJgegpu8/wDPN/yH+NG8/wDPN/yH+NADsD0FGB6Cm7z/AM83/If40bz/AM83/If40AZ82rwx+ILbSAIzLLG0jkyAMuBlQF6nOD9MVauZ2gmtFWJXSebymOeVypORxz932pJLa3lu4LuS0LXEAYRSEcpuGDjnvVc6Rpphtof7OxHatvgRSQI2znIwaAKlxrlxZJd/a7KEPG8ccKwyNJvdydqnCZzgA8A9a14pGls0lVYzI0YYAE7SceuM4/Cop7W2uYpoprTekzBpARjcRjB4PXgflUS6bZpPcyi2kJuYkgkGeBGoICjB4HJoGQDWHK2TfZVAmiilm+f/AFYkbau3j5vm9ccVb1C4a1jiaOJZJXkEcasdoLNwMnBwPwqOHTNPt0tlisNq2ufIHJ2Z9Mn+fSp7lI7lBDPAzxtkMrDrx9aGIof2reJdeVNYQhUdIpWSfJDvnbtG0ZHTOcYz7GremXc15BI89vHEySFAY33o4GOVJAz6dOoNRDSNMDRsNNXdHGY1OOQpzx156nk88mpbGxtNMgMFjZmCInJVeecAdyewH5UIC24HltwPumhQNi8DoKY7ny2/dv0PYUqudi/u36DsP8aAH4HoKr6hO9np9xcxxLI0SF9jHAOOvODU28/883/If41Bd29vf2r213bNLA/3kPAP5GgEZ2qa1/Zt60CxwYEYnmluJTGkaZCjopJJJ+nHJplz4haHSI75LRAHuZIGaVyI4grMNzsqkgHb6dSKsXOjWF7tSa3mAiTyl8uVlJjIGUYg/MpwODmm/wBhWYSREOopHI7OUS7dVBYktgBuAcnijUasT3F5KrWa20MMs9yvyBpMR4A3E7gDnjpgc1ehLNEjSxqkhALKp3AH0z3qnLY2c8EdnJZ7rZIwqR4xtA4GMHI44q2hEaKiQsqqAFAAwBQIWIDyU4HSmXBZI90aKzrkqpOASAaInPlL+7fp6CmXKR3MXkzQu0cmVZemRg8cGgCmNWYvZj7MoWaOJ5Tu5TzDhQOOeQc5xxVy8ne2SF0iWQPMkTZOMBmAyOOcZ6VDDptjb/ZvKsdv2UYg6nYPbJ/n07UyTSNNltxbvp+YRMZwgJA8wnJbg9c80wLMM7yXt3A8SqsBTa4OdwYZ544/Wq17qMtleKhtkkt/LaRnWT51CqSTtxjbxjJPUilbStPZ7t2sNzXibLncSfNX0Izig6VpxvkvTp4+0ooRZPRQCAMZxwCR070h6Fc6tdiFCLGFpROIpIxMc8hSNny/McNk5wBg81Paaj9te4jMKooQvEwbJZNzLk8cHKnjnimPoekyLCr6YCICTHyflJIJ/i5zgdfSrSW8FsbiSG1MbzZaRgPvH8/5UAUrvWTY2l1LLbAvFcJbwom5vMZgpXouf4ugB6VpQyNNaRyqsZkdAwCk7c49cZx+FU10nTglwv2Di6IafkneR0PXg/TFS/YbPez/AGLDtALdmAwTGOi5B6c0AVv7TuDDpkq2cZW7Cl183503YztGPmA6knHHvVnU7qaysmnt4IpmU8q8mzPsMAksegGO9V00LSUa2ZdMANqMQHJ+QZ3YHzdM8806fRtLuYTFNpoaMzNORyP3jfebg9Tk0BoM/tWZpp40tYhtV/LMsu35k279/HygbhyM9DTbfWZZZbVZLMRiQIJcucqzlgu0Y5B2k5ODgjip5tK064WZZtPDrMqpID/EFxgdfYdPQU6HTrG3aBorHa0AKxHrtB5PU89T19aAHStL58cMLrHvZyWKbumP8aQmeO4SGWVJVdS2RGFIIZf8aeUeRw6eYjozYIUHg4z39qQxyBxLK0jlRtX5AuMkZ7+1ACRfargM63CRr5jKF8kHABI61GLiY2yuCgld1jLbeB8xGcfhUywzJuEUkiqWLAGJTjJz1zTRB8nkjzAylXDbRnOSelACSfaoGjLzpIruEK+UF655zQpuJZpI4pkiWNU6xhs5Gae0UzbTK8jqh3AeWo5H40CKXcZImkTeq7h5YboMetACW7Sm4eOZlcxtgMF25BUHpVvA9BVaNGim3MJHdySxKgdgOman3n/nm/5D/GgQRgbTwPvH+dOwPQVHG52n92/3j2HrTt5/55v+Q/xoAJAPKfgfdNOAGBwOlRyOfKf92/3T2FODnA/dv+Q/xoAdgegowPQU3ef+eb/kP8aN5/55v+Q/xoAdgegowPQU3ef+eb/kP8aN5/55v+Q/xoAdgegrNbUTFqYtRCpj8xVeQtyGfdtwMcj5TnkdutaG8/8APN/yH+NVhb273S3T2pa4jLBJMcgH8aALLgYHA+8P5irNVWcnaNjj5hyQPUVapMaCiiikMKKKKACiiigAooooAKVfvr9aSlX76/WkMtis1P8Aj9uvqn8jWkKzU/4/br6p/I0RHImooopkhSj7wpKUfeFAGNesV1W4x6D+QqtcOfs0o9VNWr1S2rXBDKMAfeUnsKrXMbfZZfnj+6eiEf1oAy5NauUtNdltLy4upIARHF5C7oACQzgYGQD0BJJC571q2T3c9/Yz/a7gwzWgmkgeNAq5VQO2dxJJ6/hWvumwvzpwOOvFJ+9P8SfkapCZgXuoXkGreTaStIRbysbfy+AQCVbO3kZ77uvGO9Mj1K7LWgS5kkieUrBIYxm6G8DDfLxhSx4x0roIjL5YAZMZJxg+tPzN/eTn680IDmDql99lmZ7qVFEgEsoiGYHw/wC7A29MhByD97r6SPqWoia5BZ1kWLdJCIxiFfkw445PL9Sfu9K6PM3XcnHHejM3TcnHsaAuc7HqV8Z7NVmeTeP3KlB/pK7nBduOCFCNxj71MjuNRvNNaSLULlZFmREZIk+d227lOV+6h3dPTk10uZv7yc/XmkzMerJ6d6YGTp+o3Vx4l1SynjljigjjaFWQbSCWG4MDk54OD0rZpn73GMpgdsGj976p+RpCH0Uz976p+Ro/e+qfkaAH96ZD/ql/z3o/e56p+RpkPmeWuCn5GgDmX15rTXJEurmRIo5jGtsmwDyxEX8xgRuYE7hlTgbQKpHX9VXSv9NuHtLiKYyTI3lRTPCyFkEYbKtg5GOrBfWuyjjZkVisRIBAJXJxnpTmjL43rA2DxuXODSsO6OPvdfvYknngvz9pEssYsGjXKRLEzLKRjcDwGyTt5xinavr1y1xpi6VrEHmXEC7kQxyKzmWJTngno7dD/KuvKOWLlYixGC23kj0z6UxYAhykVupH92PFNBc5D/hKL9/LljSUxwXkz3irEp8uBZNgVskEY+Y5GT8nvWjrGpTw+KLeyF81vbNbLIdk8EWSXIJ/eAlhgdFrodr88Rc9fl6014fMwZI4Hx03JnFAXONXWNTu9B1e4OpSQXNkAYDFEgE0fO2YhlPD+g4G2ppNZv8AS/EF3Hc3k0tjbFkUzCPbKwhVwg2qCJCxz6EAjGa67a/pF0x93tQUc9REec8r3osFzK8N3t7dafJFqQkF/byFJhIioxBG5ThSQODj8K2aZiTOf3eT7Gj976p+RoEPopn731T8jR+99U/I0AEfV/8AfNEv+qP1H86anmfPyn3j2NJL5nlnJTqOx9aAJu9FM/e56p+Ro/e+qfkaAH0Uz976p+Ro/e+qfkaAMia7uY/FcFv57NbSRACBRjacMS5+TkcAcOMHtT7meS/gsbrT764ijkmCBViADjd8xYOuQAFb06/StT99jGUx9DRmXPLJz7GgDm21O82XJkuZIo1kUTyCMZteX+Vfl54Cdc/erROqO+nzxx/8hSC0jmliCH5C449s8Mce1amZuDuTjp14pgRldnVYgz43MF5OOmaB31MCLUrwy2QW5kkjd8QsYx/pS+Zglvl4wnzcY/pWpq8ssNorxSNF84Dyqu4xp/EwGD0HsavZm5+ZOfrzTG80SRnKZyccH0oEc4NTnS9jCancSxkK0Qa1GJoiCXkJCj7uO2Og4O6tHw7fHULCWb7W90glIR5IwrhcA4YAAZ5zx0yAeQa1czf3k5570EzNyWQ/XNCAH/1bf7ppV+4v0FRv5vltynQ9jSr5uxeU6DsaAJKz9cujZaJd3InMDohKOFyd3YYwc5PtV3976p+RoBmByGQH6GgEcxrutvaXSPHdvDaG2+0IYdga4bKjaDIMcKc7Ryc8VFca/M+iCRNTt0uI7uZbhFmiSXy1dwAu/KhuF6jkA966jazu+8RNhgfmXODjr9aDbqSSYbcknJJjHP1oGjLvr4izsbj7VNa20sYaa58sb0G3IyCCBk4B49q17fP2eItI0hKjLsu0t7kdvpSZlE+dyA7evPrTv3ueqfkaBBD/AKlPpVXVZZYdPklg/wBYvIIGcepx7DJ/Cp4vM8pcFOnoaV/M3R8p970PoaAMW21U/bNLhkvWYXBmVdyD98gP7tzheCcew9qm1HWbeOzguY7tok+2rAxMRG7D4cYIzjGeR+BrX3TcjcvPXrzQGmByGUfnTAyotXgj1DV0lumeK0VJCojJMY2/NjAy3P1NVr7VnXW4be0u3MrQGQWrQ/I+UYrzjO4kDuAAOeSK3t03HzJx068UZmxjcmPTmkM5WTWZI7e1B1SZWkuNsMjQAiZRt3b/AJegJZQAATx6E1qabd3NxcXyTOzBAdyMoAhfcw2DjkbQp5z161rbp/768/WmSeaYmyUwFPY0COcfU7oXF+v26QWsckYaYQ824O7cOV65C9d3BznnA14dRQ2yx3TtBdLaLcTfIcIDwTnGM5zx19qvAzYXDJwOOvFGZf7yevQ0dBmDaa0sqaAzXxLXalZFKY8xtvf5eDu+lP1vWoItMaSC+mtnE7QBlg6yKDkHcp+X1IHPQda3N0/Pzrz1680BphyGUdu9DA5yfVpoZL1ri8liijjJcxQAmIZXYygjq+W65Ax0GDRY6neTT6cpujKJVXgRgCZcsHYnaOVAXpgcnggiujzMP4k4+tGZj1ZOfrzQFynNEJ7qGJ9xjLSEgMRkjGOlNNulteRrFuVXQ7gXJBIZcdafOYVXNy8KjedpYkc+2DTImtmLfZpIWcYzgknGR6mgBbeziuFeSYOzmVxnzGHAYgdDUKhmso4yzcyqh+Y5K72GM9elPlexWVxJLbh8/MNzDn8DUn7jyCS0H2fapB529T3z60ANntI7ZoXhDqxlCn52OQc5HJpUtkubmbzQ7BFjCgOQB8vPQ0yJrJpAIpYGk52jcxOfbJpZmtFZftEkCyFB1LA47dDQBJap5V1NEpbYr/KCxOMqPWrtU7cxnabZoSuTkrk88deas/vfVPyNAgj+6f8AeP8AOn1DH5m08p949j60/wDe+qfkaAFk/wBU/wDumlHQfSo5PM8p+U+6expw83A5T8jQA+imfvfVPyNH731T8jQA+imfvfVPyNH731T8jQA+saW7uU1+K3V2EbMNsQUYkU7t7E4/hwvcde9a3731T8jTY/NwwBTBc8YNAD36D/eH8xViqreZ8uSmNw6A+oq1SY0FFFFIYUUUUAFFFFABRRRQAUq/fX60lKv31+tIZbFZqf8AH7dfVP5GtIVmp/x+3X1T+RoiORNRRRTJClH3hSUo+8KAMa+z/a0+PQfyFVbjcLaTOfumrd4qnVrgsWGAMbWI7Cq9ykf2WXmT7pxmQmgDLk0Oa4i1QPowjNxMjgxTxfvQrZHDAjP8R3jnOO1aljb3sOqwPNZIFFisMlxG6BS4OcBeuO3SpDrWmp54a5uM27Ksg8qTOWO0YG35skEcZq4k0Mlx9nWWXzfLEu1gw+UnGeR69utUvITMe90y7utV+0W8Ii/0eWP7T5o+bcCAMY3Ag++3HPWmJpF2GtWW0SJFlLRxB1/0Mbw2Rjg5UEfL/e+tan26zhn+zS3LpKFZ8HcBgZJ+bGM45xnNC6lYuICLmX9+21AVYEHOPmBHy84HzY6ihAYx0W9+zSq1okgLjfEZFxcMA48054zllPPPyfSpX0e/M1wdquzRYafeMzj5P3Z7gDa3Xj5/rWmdU08RSS/apCsb7DhXJJ9hjLDg8jI4PpTm1CxWSWM3Tbok3sfmxjjocYJ5HAyeR60BdmXHpF4JrRhCkWwfIwcf6Iu5yUGOuVZV+Xj5fTFQf2JffYhGLVB85xD5i4V9gXz89M7gW9efWttdQsneBFuZN04ygIYev3uPlPBGDjkGoZNa02OETNcz+WWK5WKRsYwcnC8DBByeDnrTuGo2xsZ4fEF9dtbiKKWMJu8wN5rA/ewBkcdd3ToOK16qQ3NtPcS28U8jSxffHIH4HocHg46VY8v/AG5P++qQh9FM8v8A25P++qPL/wBuT/vqgB/emQ/6pf8APejy+fvyf99UyGPMa/O//fVAHM3mna1Nq82oWmxFaF7KIFiGVSpIk64x5mD0zxVF9Izf6dLD4emt4IoWSdXs4590mU+bBceh+fqa6mK/tDeCxE8rXI4ZUViqk5IDMBtUkc4JqP8AtvS/sq3KXryRvK8K+UruxdM7gFAJ4wcnGKQ7mBoegapZappdxcZ+zwtckR7uYjJknd2OTtxjOMnpXaVlya1pcVw8El6yugYsSG2gqu4jdjG4LztznHai81nTNPkhS7vXiMyCRCVcqVJCg5AwOWUc+opg9dTUorPbUtPSSKNr0h5rhrWMbj80q5yv4YPtSXmqadp8ssd3emF4rZrpwxPyxKcFunQH8aBWNGiswavprXS2y3khlboArYJ27tobGN23nbnPtUMfiDSpY3dLm6wknlEG3lBL/wB0Arlm9hnFAGzRWTFrmlTXEEEV87vOFMZAfad2doLYwCdrcEg8GrGoX9npccb3c8yLISq7VdycAseFBOAATn2oCxeorJGuaWRMwu5fLgBMk3lv5YwAfv42k8jgHvV21mivIfNhefbkriRWjYEeqsAf0oAmj6v/AL5ol/1R+o/nTUj+/wDO/wB4/wAVJLHiM/O/Ufxe9AE3eimeXz9+T/vqjy/9uT/vqgB9FM8v/bk/76o8v/bk/wC+qAMm5stQfxXp96giexiikR8kh4yR6Z+bJx24xUd/aX+opZyvaJFMuQU84N9nbcCJAeMkAEcc/NWk91bR3sdm88gnkGVX5sHvjOMZwDxnPFFxcW9rJDHNNIrzHCAbj+JwOB05OBzQMx7vTry7tdUhGn+UJbtZoQXjdZBhRllJxjjJB9u9Wgl9LYXOlyRM7xWkafa2baJ5Cp3ADHGMDnpzVh9UsI0mc3MxELBX2o7HJ9ABlhweRkcH0q5H5csKSxzM0bqHVg/BBGQaA6nOJod6P7J8pTAbZiWLeW/lpvDbRj7rEcfIMY44rZ1e2e7tViSNZfnDNCxwJVHJQk8c+/HrRb39ldLatBcu63QYwsN2H29eccdO9SXUsNpGs00sixqTkgkn2AA5JPoKBGGNHuFvEni0mGH7roVuBmAAHdEMf3s9Rxz7CtDw9aTWdjKs9itkzyl/JSRWRcgfd29Bx9ScnvUiaxpskyQi7kEjjIDK6468HI+U8Hg4JxVizurbUImltppWVW2tuDKQevIYA9CD+NCAsv8A6tv900q/cX6Co3j/AHbfO/Q/xUqx/Ivzv0H8VAElUNbgludFu4ILYXEskZVYy6rknvk8cdaueX/tyf8AfVRXMkNpbSXE8sixRjLMMnA+g5oBbnOa/Z391dR3Eem/aSLfbHC6rKsM5KnLDcBgjI3g8fjVe5s7ufRfsUmmXzTQXk0y7oElhl3O5XKlxuXDD0IOD2rorm/s7G4EVxPKJJeURFZ2IAGThQSAMjk8US6nYQ2q3LXUjRvI0SeWrOzOpIICqCTja3QdqTGmVr2znuLSwElhFcGKMGay3gIx24wC3B2npn+da1vGIreKNYxGFUAIpyF9s96q3F3bWqxzSzShJFGzarMzZ54UAnpz04qzDsmiSWOSQo4DKckZFMQ6H/Up9Khv1Z7R1WHz2ZWAiyBvyp4yePzp8UeYl+d+n96mz7YkEjvJtXJOCScAHsKAW5jQades+kvLaiNoIokYmVWMBQ/NjHXeMDj8as6gL+5tID/ZYeaO8VwguE4RXyHycckDp2zVv7dZl7ZBcuWuVDxfe5B6Z44z2zjNSzyQ2wjMssiiSRY1PJ+YnAHHT8aeoFGJb2DUNWnj00YkVGgJnRRMyrjB6lc+pFVr6xvLvWYpk09YtsBUXqzruVijDBHXaCegHJ57VrxyQyzzQpLIZISBIDkYyMjr149KilvbOC8W1luXSZl3DO7b0J+9jAOATjOeDSGYMmk3n2e2iXRo2QXHmbVuEBtgNn3e2WIY5GSMnua09Nsbi1uL2SZFQOCC4YHzm3Md5x04IXnnj0qU6tpwiilN1KEkfYpKPwePvcfKORycDketTx3Nvcm4jhndnhyHHI9emRyMgjIyODQBjXWn6lc2eqQQ2n2cT3SSriSNvPjwocAHIBO3+IY55rWiF1Fbi2awjaJLUY2SKAz9DGFxgDHfpTvtlqsM8hnlC27bJOGyGwDgDGT1GMZzmp1KNAJg02wru5DA4+mM59sZoA55NPvmj0OOXR1DWqoJJftCbodpHC89CBk45I4q1rUN9qGmtD/Y8c7GdlVTcL8qAHEgzgbj2B+715xV06lYj7KTcyYugDCdrYIPTJx8uSQOcc1Le3Vtp8PnXM0qJnGQGb36KCcY5z2oAxptNvVkvJV06O6MkZGySYATglNqMfRMN14OeOposdJu4Z9OZrYRiFVG5pVYwgFtyDHZtw4HAxjsK1W1GxRplNzITCu99oZuOOmB8x5HAyeR60RajYzvAkd07NOu6PhvcYPHynIIwcHg+lMNRZWWO7hlkO1FMgJI4ycUjyxz3sTxMHCIQxA6ZZf8Ke8phcIqzSO7NhUcDgYz1+tJ57O4ikiniYjcu5wQcEZ6H3pAJbXEECPHLIFYSuSCPViagVQtnGTwqzK5OO29jmrAuZHLeVb3Mihiu4SKMkHB6mmi5XyvPAmO4qgTd827JGPTrQAtxPDcGFYnDsJQ2AOwzRHLFBczGVwm9YyuR1wtKbhwVWWC4jVztDGQEZPToaPPdX8qKK4lKKu4rIABkZ7mgAtir3k0iHKO/BA64UCrtVIZPPlwwmjdCQys2SOAeoqx5f8Atyf99UCCP7p/3j/On1FHH8p+d/vH+L3p3l/7cn/fVACyf6p/900o6D6VHJH+6f53+6f4qcI+B88n/fVAD6KZ5f8Atyf99UeX/tyf99UAPopnl/7cn/fVHl/7cn/fVAD6xpbG4k16K6WNTGrgibcMxgbtygdfmyOnpzWt5f8Atyf99VV+026XYtHncTOxKrzj8TjAJwcZ64OKALb9B/vD+YqxVVkxtO5z8w6t7irVJjQUUUUhhRRRQAUUUUAFFFFABSr99frSUq/fX60hlsVmp/x+3X1T+RrSFZqf8ft19U/kaIjkTUUUUyQpR94UlKPvCgDFvyBq84LKvA6nHYVVuCgtpPnQ/L0DCrt4wXVrjIB4HUZ7Cq9zIDayjaPuH+EUARNos0sV7HPqUE63MgkCy2iOFIPAYFvmAGAOmMZqzaadJa3sEo1BXgitRbCJoxuOOdxfPr2xVabXTaRX0l1YLHFbSJFG6yb/ADXY4C4C8HoSBu6+vFWoNQkkvraBrKMRzw+YJUlDbTjJyuAdvbJxz2ql5CdyK50lL+6E812BGIpIhGqKGG7IPz9cd8Y696QaMC8ckl8GkL7rgiMAS/MHAAz8vKj1p1zqq2FyIZrMmExSSiYHqVySMYx+ufbHNNGs4dI5LJVkV9twBICIvmCAg4+blh6d6F5BqM/sMLGQl+FkXCxOYwdkYDDaRn5jh2547ccU46FDucLd7Ytv7pNoJjf5fmJz833F4470g10NGSliDI2GhQyAB4yGO4nHynCNxz255pTrsOXZbXMW39024Au/y/KRj5R8685PfinqGoq6LH5kbPeBhndOAgHmsGZgRz8oy7cc9qkg0lIrR4JLzzN8kZZgoXKJgKuM+ijJ71GutJvjV7QKAds5Dg+WxZlAHHzDKNzx2qP+3gIN5sB5gBkZPMHEQQPuzjrtI+X14z3o1CzLtrYJbX01x9pDq24RpgDZubc3Oect9MVe3p/fX86pQXvm6rcWL2nl+VGsiSE53qTjpj+RPvjpV7Yv91fypCE3p/fX86N6f31/Ol2L/dX8qNi/3V/KgA3pn76/nUcLr5S/Mv5+9SbFz91fypkKr5S/KPy96AOfk0S7a9e4tNSjgjeVp8HduDmPyyDg4ZeFbkZBHFQv4VaG0a1s76MxlleN7l3MsD7NhZHUg5wBx045q7N4hsrLUnsJox+6tXuHkDLxty2zb1ztBOelQTeI57W6s7e6020tnu0MkZmvgo2jbxnYfm+bp7dTS0HqMuvDlxc28lk2owmzaWS5DMh80ysjDk5xtyxbjntRc6FfahLYm8u9O8u2QRusSP8AOA8bdz38vH40/TPFdtqd/Z2aWLJLcNOHywPleX0J453jkemK6PYv91fyp+YNs5RfCTCNlbVn3RySS2zKdu1mkDguM/NgKg/A+tXNa8OQa3ePcTXITNr5KBT0bLHn1X5untW/sX+6v5UbF/ur+VFgu9zn4NCmhlt4TewNYxXS3m0KfNMgXGM5xtzz69qlOkSxMJ7a7g+0x30t3H5qkoRICpVsHPQ9RW3sX+6v5UbF/ur+VArnL2fhT7HfxX4v43uUdXYMDsY7pC/y5x/y0O09Vx7mtHXdGi11LaN7kxJC7vlGIbJRlGCD2Jzg8HpWvsX+6v5UbF/ur+VHkO+tzk4vC9yPtgku7INcSCYSReYNjgqR+7LbNuUHbOK19Ptb6xtHRrq2llkneVt7OyoGxhVyScDnr68Vq7F/ur+VGxf7q/lQK4xHX5/mX7570krr5Z+Zeo7+9Kirl/lX757USqvln5R1Hb3oAfvTP31/Ok3p/fX86XYufur+VGxf7q/lQAm9P76/nRvT++v50uxf7q/lRsX+6v5UAUJ7Hz9Wtr1rtQluDtiCLnJBB+frg9x6gVWu9GXUbW0hv71Z2hcs8vlhGk5yANpAA4HY5xViXVLePXLfSgiNLLGzsdwGzAyBjqc8/lT9RunsfJKWYmV5AjfOFYZIA2jHzHnOOOAeaBlGTRZfJmS31UQGTCKfKDbYtzMUPzDOSx5yOOKspZzutxbXV5G1k9vHDGkIEbAgEO2R0zxgDgYqr/bU7R3xTTIxJaOcxyymMmMbv3nKdDt4xuznrWlLO0WlNeCzZ5Fh83yF5YnGdowOvbpS6BrczrLRZrGLTYl1bzUsmkZjJEC0u/PGd3y4Bx3rQvoFu440WYRur+YjjB2sOQSO49qr2mp/alsT9lRftJkVsMf3TKCcEMoPbuBirF/OLSON0gEsjuI40yFDMeBk44HvTfmIptpc7zeY+rZLbXlAhUBpFB2sOeAOPl5zgc9asaVaSWFs8dxfLdyu5dpfLCEkgZzycnjrn26Cq41SdbnyptLCKrrHKyzK212+6AMDIPHPGMjjrVrTbpr6CR5bVYHjkMZCuJFbGOQ2Bnrj6g0IC27r5bfMvQ96FdNi/OvQd6HVfLb5V6HtQqrsX5V6DtQAu9P76/nVXUrdr7Tp7WK6SBpV2eYUD4B68ZH86t7F/ur+VVr+f7FYT3SwLKYkL7M7cgdecGgFuZGqaNdX8xlg1CKKZoBbyyYZeMhg6bWyrAjpkg55qKTQ719PaxM+mvGtxJNDI3mrIhdmbOVYYYbu3Xn1q5qWsJp14YBBCx2CaWSaYQpGmQo5IPJJ4Ht1qO68QxW+lRXwtExJcvb/AL2QRom1mG53wdoO3jjqQKGNXLctnI6WgS/23dtHhbl0D7jjaxZcjOevXrWgjAKoaUOwABYkDJ9ao3N28TWqwWqTT3C/JH5gVRgZJ3YPb0HNXYgWiRpIVjcjLJwdp9M96BCROvkp8y9PWo7sGWAxxTJG7AhXI3Bcg84yM/nUsSr5KfKOnpTLj93HvSNWZckKeM4B4zQCM6HSCn2Lzb9ZPs6RpJiIL5ojJKdztwTz1z7VJc2N3cWiRf2qgkW5E3mNbqflDblTAI6cDPU0g1ZS9mPsg2zxxPIdw/d+YcKMY+bnOelW7yb7IkLC3Vw8yRHnG0McZ6c9elPUCt9juRc6hMmpohukCxYgGYSBgHlsN9CBUdzpk13fJLNqatbLEYzb+SOpUqzBs8E59DjGB1q9BN5t7dW7QKvkFMMDneGGemOKrXuoGxvEjezDQNGzmVXG4bVLH5MdOMZyOSKQ9blV9HuWSJV1dFxL5swNuCspAULxu4wFHqCecVatNPjsnuJPtAkDIUjXAGxMlsZz8xyx54qA6vKIEf8As1S/niGVBMMrkKRt4+ckMDjjoeantdQS9e4j+zhAqF42znemWXJGODlTxzTDoU7nQje295FdX8UiXE6XCL5AAQqAAGG75xgDI4rQjt54Rtj1AeWtuIkRo1IVx/HnOT6benFVbrWYrG0upp7cAwTrbooOfNZgpXouRnd0APTvWlE3m2aTCKMs6BgoOVzjpnH64/CkGpkx6RdJHp0TawjQ2YG6P7MMSkHg/e4OOO/r1qa+sLy8s3txrCx75mck26sDGekZAIyB65570v8AajmHTZlsAY7zbu/eDchbsBj5sdSeOB+FWNTuXsLJriO0SfbyVMgTj2ODknoBjkmgNSnJpMu6Z7fVPIkdW8t1iBMbNt3nrznaMDjGaLfRhDJas96jiLaXVYgokZSxQjk7cbjnrn1qT+1GaeaKOxUlVfy98gTcybd4bj5QNw556HimW+sieS1VrHyxKE3ksPkZywXAx8wO0nPHBHFPUNS4+ROkqAPsZwRvAPOPX6UjFpLhJXQRhFK8uDnJX0+lErSCZIYfLUuzks6bsYx249aTM0dwsMxhcOu4FY9uMEe59aQDoXkt1ZBCHG9mDCRRnJJ7moliYW6p8pdXWTbvH94nGfxp8f2q43OkkEa72UKYcng465qMXEhtlkCxCV3WPO3gfMRnH4UASytJOYwYggRw5YyKen0NCM8M0jrGJFkVORIoxgY7mmyfaYGj8x4JEdwhCxbTz3zmlHnyzPHE0Maxqn3o9xORn1FADoMi5klcKnmNkLuBxhQO1Wt6f31/OqtuztcPHMI2aNsblTAOVB6Vb2L/AHV/KgQyN12n5l+8e/vTt6f31/Omxqu0/Kv3j296fsX+6v5UAMkdfKf5l+6e9ODpgfOvT1psir5T/Kv3T2pwVcD5V6elABvT++v50b0/vr+dLsX+6v5UbF/ur+VACb0/vr+dG9P76/nS7F/ur+VGxf7q/lQAm9P76/nWc2npLqQu/tAVQ4Z4sA7mXO05zxjceMc1pbF/ur+VZragsWpC0+zhkLhXkz91nztAGOfunJyMe9AGgzKQAGB+Yd/cVZqs6qACFA+YdvcVZpMaCiiikMKKKKACiiigAooooAKVfvr9aSlX76/WkMtis1P+P26+qfyNaQrNT/j9uvqn8jREciaiiimSFKPvCkpR94UAY18CdXnwjtwPujOOBVa5VhaykRSj5TyV4FWr1iuq3GO4H8hVW4c/ZpR6qaAJk0XTUWcLaS/vzmT94553bsr83yndzlcVJDpWn298L2K1lScKF3B3xgDaPlzjp7Vhya9cRxatJb6hHdmGVY0jKohtwW2s7HHCjp82fuk9KuWermbXLWzGpLIzW4aW3eNVbOzIIIAJJ68ALj3qkJ3ND7BZS3BupLVnmKshJyRg5H3c4zjjOM4pV02xQQBbWT9w26MlmJznPJJ+bnn5s9BWde6pdW2q+RbTJLi3lc22zLBgCVbpnB9c47YzzUaavdlrULdrLG8pWOUIv+ljeBgYGBhSx+X+79aEBqHStPMUkRtH2SPvbDMDn2OcgcngYHJ45p7afZNJLIbRt0qeW/XGPYZwDwORg8D0rEOs3n2WV2u1jAcCSXy1/wBHbDnyumOqoOefn+lSvrF+JrgFgjrFuaDYP3A+T94e5zufrx8v1oCxqrp9kjwOtq+6AYjJLH8+fmPJOTk8mmf2Vp/kCH7G/lh/MA3NnP1znGONvTHGMVnR6teGa0UTLJvH7tdg/wBLXc4LjHTCqrfLgfN6UyO91K701pYNRIdZkRWSBG3s4XKHI4CEkHvxyaYWNqGztbe7muorZ1mm++3J754BOBzzxirPmf7D/wDfNZmn308+r3cEkgZY92YwoHk4fCjPU7l+bn8K1qQhnmf7D/8AfNHmf7D/APfNPooAZ5n+w/8A3zTIZP3S/I//AHzU3emQ/wCqX/PegDMOj6dPukmtGeR5TKzkck7du3PXbt429KjTQLaOWGWO61ZJIVMaOLk5CHHyc9vlFUDr722syJc3Jjt4pzCLdET7oiMm9yTuwecFeBt5qkviLVW0ovcSG1uIZme4BijjmEJQumxJDhsdD3O3jrS0Kszo7bR9PtJLeWC1dZLfdsfHzHdnO4/xfeOM9M1oeZ/sP/3zXH3viO+ihmuob2IsJpYVsmiXcqLEzLKf4s8BjnjBxUms67fRz6aum6jbbrmBS0e1HDOZIl69Rw56e1MVmdZ5n+w//fNHmf7D/wDfNcd/wlt2/kyxoxijvJjdhYd3lwK+wBj/AAkHJ3f7B9ateJta1bTdQnh09VdBpzSL+73eXKWbbI3+wApyOnNFw5Xex0/mf7D/APfNHmf7D/8AfNctb63fTXVuxvYw0t4tobIRruCGPPm565/i/u44xSQ3+po3lXGsEJJqUtn9okgiURKgJHYDc2AOcj2oCx1Xmf7D/wDfNHmf7D/981xeneJNVutZs4pJ0FqzJG8nlIIpMtKM5+8GcIpXHy/mK1vFmpX2m21obBpA8skgfyo0dsLGzdG4wCATjnGcUX0uFtbG95n+w/8A3zR5n+w//fNcWniLUmi1K4+2xssEnloyCEwKDsBfGfNIG4tzxgeldFo2oLc2Uplu2kaK4khMk3lqWK46bDtI56j8aBWNBH+/8j/eP8NJK/7s/I/Ufw+9Pj6v/vmiX/VH6j+dAB5n+w//AHzR5n+w/wD3zT+9FADPM/2H/wC+aPM/2H/75p9FAFOSztJr+C+ktC11bhhFLt5UMMH68etVm0PS2jtUNnKFtd3khZZBtycno3OT65pt1fzReJLKzjuUMcqt5lvtG4cEhumcZHUHA6EHNV9T1qUQ6fdaU4uIZ5CoRCoaXBAwA/OBznaM8DtQM0E06xT7RttH/wBI/wBbksdwznHJ4GSTgYHNBsLdru8uJI5na7jSKRWztCLnAA7dSaxF1i8U38c1+gWO4Cm5RVKW8ZLYBBUYbhQQ2eua1Tq8A06Yz3KW11DaJcXAKFvIDDgkfUHj2o6XDW49dJ09HtnW2mDWzFoiJZOCepPzfMT3LZqxcxxXSLDNC7RtnIwR+RHIPuKxrHW/MbSBLqcMhupJkIwgMgGdvTgMDgHbxmtTV55La0WSOTyvnCvNtDeUp6vg8cD14oYiP+x9N3o/2J9yJsBLOcjnrzyeTyckZPNTWFlaaXb+RZwSxxZztZmfsB1Yk9AOKxRrEyXiKNWjmj+UoptwPPjIJaXI7Ljtxx7itDw9qB1Kwkm+2peIJSqShVU7cAjcF4B56ehGec0IDSeT923yP0P8NKsnyL8j9B/DTn/1bf7ppV+4v0FADfM/2H/75qC8t4L+0ktbmGV4ZBhlBZcj6qQatVn63efYNFu7oXC27RxkrIwBG7sOeOelALcr3ei2N+QsqXS+Wnk5jkYF4yBlGPVgcDrz70g0K2WKWKO51WOKR2cxpcEKNxJYAY6EseKoa3rr2d2phu/Ktfs32rfEkbtPyo2rvOMAHJA5ORimz65dvoazw3kCzLdTJOEaISCNGcDarnbu+Vcg9RnHNJ26jVzaksLOWCKza2cQRRhY1UspQDgYIII4461cjKxoqJE6qoAAC9BWRe6gVtLG4W9+y288YaS7eMfKNuRkNwuTxz06Vr25Jt4i0nmkqCX27d3vjt9KYhsT/ul+R+n92mXKpcReTJHKY3yrAEqSMHuDkfhU0P8AqU+lQ38qwWkkzTCEIrN5hxhflPPPFALcgh0yxg+y+XayD7KNsOWZto7Zyecds5x2psmkafJbC3a1mEQmNwFWR1/eE5LZDZ6846VQg1ma4fSWjuY3W4iiYqqg+ezHEmD22Yzx681Z1DW7WKzguYb+KOP7YsDswADYfa6/N6c8j0p9QJ20uxd7x2tpmN6my4zI5DrjGMbsD8MUHStPa+W8NpKZ1QRg73xtAIAK52ngnqO9QxaxbpqGrxz30TRWapIyjGYl25bOOTzVe+1kx61FbWl9G8jQGT7G0Y+f5GZcH7xYkDgcAA57Uh6ll9D0txAGs5v3BLRkSyAgnGckNz0HXPAx0q1HbW9sbiSG3dHmyXPJ9emTwOScDA5rAk1547e1B1eJZJLjbE7RLtnX5N2T2Clivy8kge9aem31xd3F9HK4cIDlNoHktuYbDjr8oDc88+lAdCUaTp+y4Btpj9pYSS5lc5YdCPm+Uj/Zx0qX7BZh2dbaRWaAW5KlgfLHIAweOvUc+9Y91r0sVlqhtbmK4lt7pIgQyjyEYLlmOMYBLckH8cVrQ6jbm3Ecl3suFtRcOXUAqh43njb1B/woDUhTQtLja1ZbScG1G2H99J8ozux97kZ7HNOn0XTbmExS2kpQztcfLI6nzG6tkMDznp0rLTxAJY9DKatB510qGSPYu2XkBjnsc8AL39hVvWtct7fTWmt9TS3dZ2gDNGCDIoOUO7gAdz6DjmgNS3NpGnXCzLLZyMsyhJAGcZAwex46DJHJwM5p0Om2MDwPHbS7oARGWZmxkk85PzHk8nJGeKy5takhkvDPfpBFHGSxWIN5IyoRwDyd+44zxx9aLHV7uefTla6ilEqrkIq4mBLBmyP7m1c7eMk9sUwtobLIzyCRC6OjNjMe4YOPf2pCknmCWVmYqNqgRbepHv7U2ZDLdRRFnCFpCwRiucYx0+tIYfs95GqPKUdCWDuW5DLjr9aQEixzR7hFIwUsWAMOcZOfWmCDEflAvuUq4bZ3yT09OaS3tVuFeSV5ixlccSsBgMQOAahUyNZopkfLSqhO47iu9h169KALLxzOVMrsyo2/AhxyPfNCpIGMkTMu9V3Axbugx60ya2Fs0LxPNkyhTulZgQc54JoSAXFzMJHl2oqBQshUDK5PSgCSNWjmLvvd3JJITHYDpmrHmf7D/wDfNVbZTHdTRbnZEb5d7FiMqD1NXaBEUcnyn5H+8f4feneZ/sP/AN80R/dP+8f50+gCKST90/yP90/w04ScD5H/AO+aWT/VP/umlHQfSgBvmf7D/wDfNHmf7D/980+igBnmf7D/APfNHmf7D/8AfNPooAZ5n+w//fNVfs1vJdrdvbuZ4yQrc/qM4J68npnirtY0t9cR69FarIBGzDEW0ZkB3bmz1+XC9PXmgDVZ87RscfMOo96tVXfoP94fzFWKTGgooopDCiiigAooooAKKKKAClX76/WkpV++v1pDLYrNT/j9uvqn8jWkKzU/4/br6p/I0RHImooopkhSj7wpKUfeFAGPeozatcEFBgDO7PoPSq1zG/2WX5ovunoDmrF8T/a1xj0H8hVW4LfZpMk/dNAG1+/wvC8jjrR++7hOPrXJvpl+0WrG10+W0muZVJfzEcSxBuQo3feIyfmwOQO1XrSy1OLxBYSvDELGOyaIhHx5TfLwV6EkjqOlUhM24vO8rgJjJ9fWn4m54Tjr1rn72wvbjVfOtYnjIt5Y/P8ANG05BwMZ3Ag9sY75zTI9MvA1oUtXijSUtDGZF/0UbwcnnnKhhxn71CA6PE2Rwvt1o/fY6J7da5g6VffZZle1eRTIDJEJVzO+HBkHzdMlDzg/L0qR9M1EzXBKs8jRYeYSDEy/JiMc5BGH6gD5utAWR0f77nhOOvWjE2eidPeuej02+E9mywtHsH7pi4/0VdzkoeecqUXjP3ar/wBk3/2EILVwN5xF5q5WTYB52d2MbwW6556Z4pgdT++wOEx260n730T8zWXY2lxH4hvrloHjhljC7mkBEjA/eABz09cY6DitekIZ+99E/M0fvfRPzNPooAZ+99E/M0yHzPLXGz9am70yH/VL/nvQBAtusgWV7e3dwCodky2PTOOntUklmJyDNaW8pUgjfHuxjoeRXM3lrrkmrzX1mm2MwvZRDewIypIkx93Akxz1/CqD6ahv9OeHRbyK3SFluFns5J8y5j5wHHOA3z8g89aQ7Ham3BlaVre3MpXYzlPmK+hOM49qijsLeIhorGyjI6FIQCPpgVy2h6PrFrqmlzXRl+yxNcnYXJKGTJO8emQu3rjPau0pgyHyvvfuoPn+98v3vr607YxySkRyNpyOo9Pp7VJRQIgEAE3nCC3EoXYJAnzbfTOM49qV4RJG0ckNu8bnLIy5VvqMc1NRQBD5XGPJgxxxt9Onbt29KcQ5IJWIkdCc8VJRQBVWygjkMiWdmshG0usQBI9M46UotIljWMWtqI1+6gjG1c9cDHFWaKAIk8z5/ufePrSS+Z5Zzs6j19afH1f/AHzRL/qj9R/OgA/e+ifmaP3von5mn96KAGfvfRPzNH730T8zT6KAG/vcdEx+NH7454Q+vWsi6ttRbxXp9yiI+nxxSK5DkGMkdSv8WTjHpg1HqkN9qNpYuNOliuVmD7fPQ+Thv4jnoR3XJHTuaANzE/HC89OtRrEySvIscSySY3sActjgZ+lc/f6HNHBqP9mQiEXEse5EIZpYxy/3jjcSx6ntWlBNL5U9i+nSbbe2j5UgLIzA5RM46YGTnHNAzR/fc8Jx160w+b5seAmcnGM+lYEFjfvHpBe0ljeCKNDvkU+Qyt85OGOdy/Lxn3xWprEElzaLGkZlG8F4g20yIPvLn3FDEX/3/ovH1pD52eQn45rmhplwl7HNDpcsQAVoj9qH7lADvixu6t7ZHPUbRWh4dt5bawlWayksi0pYQNIHCggfdIY8fU8nJ4zQgNJ/M8tuE6HuaVfN2LwnQdzTn/1bf7ppV+4v0FADf3von5mlHm54CZ/GnVn65FLPot3FDbvcSvGVSNGCknsckgDHXrQCLBg+0Owlggl2MGG9N2046jI4PvTDp1u7sTYWTM53MTACWPqeOTXPeIIb24uo7hNOluVFv+6gZS6xz5U5cKwx8uQGyQOaguYbmfRPsctlqJngvJpdj2jSxTAvIVBwwLLgggg8HFIaR1w83z8AJnZ7+tP/AHueifrWNfW01xaWPm2BmWOMGeySUcnbgAEkA7T6n3rXt0EVvFGE8sKoGzdu2+2e/wBaYhsXmeUuNnT3pW83dHwn3uOvoadD/qU+lQ34LWkiiFpiVYCNSAW+U8ckD9aAJ/33PCe/Wj99/sfmawILK+d9JeS1ljaGKJCXkU+QVP7zOGOdy4HGffFWdRa8uLSBxpcxmjvFYRpKhIRX+/ksByO3XnmmBrfvuOE9utH77GcJj8ayojdQahq80emzMGVHhzKgE7KuCB83y59SBVa+try51qKWGwliYQEC8Ey4VijDaRuzgEjOFOTg9qQ7G/ifnhffrTJPN8pshMbT61zEmn3Yt7WJdInKC48xdk6BrYDbnHz4yxDHPOATxk4rT020ube4vnmQoHB3OWBEz7mO8c8DaVHOOnSgRqjzsLwnTjrS/vumE/WuburTUp7LVIba0mt/NukkBJjbzo8KHCjdgE4PDYHNa0JnithbPp5MaWoOY3XDN0MYXPHHfpzQMvfvueE469aB5xPAQ/nXMpa3rx6GkmkXKvbKgkm89Mw4IBGN/IIGSRkkcd6t62t3faY0X9jyyt57IqrOmQoBxKPmA57Ang8npQBt/vuMBPbrR++54Tjr1rnZrK9WW9l/s+S63xkFDOo88ErsTO4fdw2emc8ZzRY6deRz6czW8yCJVG6SRT5KgtvUgMfvArjGcAYJ4pga83lBd1w8SAOdrNIV/Wmxm3YloJYZHGAcSlyBkeppZTGl5C8pVUBkGW6ZOKR3ilvYmhZGCowbb2yy0gGyNZpIweeBGzll89lwfpmpNsIhOTCIAqkNvOOp5z9aS1ltokdJZI1cSuSGIB+8arqFFlGTjYJlYk9Mb2OfpQBLGbR3AjnhkkHKjz2bn6Zp0ptlZTNLDHIVHWYqSO3Q0XEtvK0CxPGzCZThSM45ojeGK6nMzou5Y8bz1+WgB8GzKtbtE6knLBy2Tgd6s/vfRPzNVbUo15O8ZBRn4K9D8oq7QIij8zaeE+8fX1p3730T8zRH90/7x/nT6AIpPM8p+E+6fWnDzcDhPzNLJ/qn/wB00o6D6UAN/e+ifmaP3von5mn0UAM/e+ifmaP3von5mn0UAM/e+ifmabH5u18BMbznrUtY0tpcvr8VwsbGNWGJdwxGo3b1xnPzZXoD07UAareZ8udmNw6Z9RVqq79B/vD+YqxSY0FFFFIYUUUUAFFFFABRRRQAUq/fX60lKv31+tIZbFZqf8ft19U/ka0hWan/AB+3X1T+RoiORNRRRTJClH3hSUo+8KAMe8VTq1wWZxgDG1sdhVe5RPssvzyn5T1f/wCtU1//AMhecZA4HU+wqrc4FtIdyn5T0NAFyPVNPlNwqXxLWo/fDBGzkj055BHGamS6tpJoYVum82aIzRoeGZBgFsEZHUdayp9BubyC8iur+GRZ5VmTELKQVbKq5D/MoAC4G3ue9TwaI0GtW2oi/kYR25hkibBVzgAEdxjHTmqXmJlsXlpHP9me82TBWcoTj5Rkk5xjpzjrSJqNi625W9JFwxWLqNx/Lj8cVVutIOoXYmluUWERSRBFj+cbsg/NnGO+MZyOuKBo0hdJJLuMyO+65KxkB/nDgKN3y8qOueM0INCydTsFiklN98kT+W554b06c/UccH0p7X1msssbXuHhTzJBnovrnGD9BzyKoDQpFjOy9jEiYSFjFkLGA64YbuTiRueO3FKdBXLqt0BEFzCpTLK/yck55H7teMDvzTDQvJf2bvAi3pLXC7oh/eH5cfjioJNb0uKFZX1EiNnKBtrHkdei9ORz0qJdEPmRs92pVjvuAExvYMzgrz8oy54OeMU+DSDHZyQS3SuZHj3FU2gpHgKuMnkhRk/pQGhdiuLee4lt4rpmlh/1ig/d/Tn8Km2H/no/51StNP8As1/LcGdXQ7xEgXBXe29snPPPTgcetX8j1H50hDdh/wCej/nRsP8Az0f86dkeo/OjI9R+dADfLP8Az0f86ZCh8tf3j/nUuRnqPzpkJHlLyPz96AKcd/Zi8Sw+2H7Wf+WQycZyRk4wDgZwTTH1nS0tRdHUgYGkaIOpLZdchhgAnjBz6YrOfR9SF7JPZX8UMMszXBy7htxj2bWUfKy5CsCeRjioP+EWuLW1NvY3iuAweGaeZ0lgfZsZlaMDOcDg8HnNLUdkbL6vpkdy9u+pKsqKXZSegC7jzjGQOcZzjtRdavpljLFHdaiIWlQPHvJwykgA5xjqwH4ism78N3t1bS2JvLY2rTSXQlKnzTK6MuCOm3LE5HOOMUXehalqUth9sfTlht4xHIsbu28B427qOojI/GmGhttf2SyRxtfAPLO1tGC33pVySg46jB/KkutRsLKSSO6v1heKBrlw7Y2xKcFzx0BrAXwldbCH1X54ZZJrZk4+dpA4MmQc4CqOMd/Wrmu+Gl1y8kuHuBFm08hVXucsSG9UORkdeKQWVzQGracbsWo1AGcruCAnnjdjOMZxzjrjtUEfiHR5YpJY9SYpG/lsdjjDf3QCuSfYZNVbfQbqGW3ga5tjZRXa3pYbvNMgXG30255znOOMd6mOkXUTrc29xA1xFqEt3GspYIVkBUqSOQQD1ANMCyms6XLcw28epq8s6q0SqSQwbOOcYycHjOeDU1/f2elxpJfXjQo7FVJBOSASegPYE/hWDZeFJ7O/ivftsUkqSJI0Z3CJjukZ/l6ZHmfKeox71p6/o39tpaxi6a3ELuxaNiG+aNlHTtk8g8EZFHQNLkg1vSjJMg1L/UgtI2DsUAZOWxt6Ed+9W7S4gvoPPtriSSMkjOCvI68EA1zcXhrUBFeRST2iCeQTJ5c8pjRgUIHkn5NuU69cGtmwg1O0tpBNNBPNJO8p3zuwjU4wisRkgc9cdaBF9EPz/vH+8e9JKh8s/vH6jv709CMvyPvnvSSkeWeR1Hf3oAXyz/z0f86Nh/56P+dOyM9R+dGR6j86AG7D/wA9H/OjYf8Ano/507I9R+dGR6j86AKzXVsl4lm10wuJBlY88kflj8PalnuLe2khjmuWR5m2xr1LH8Bx9TxUE9g8+r2t4biMRW+SqeX8+SCCN2eh4OMZ461WvdGk1K1tYr28R5ImJlljRoy4znACtgDgZB3A46UAWf7UsPKnl+2t5cD+XI21sBs4wPl+bkHpmrLvHHbmd7hhCq7y+4Y2+tZK6FJHNcTw3cEcjzCWMLCQgb5sll3fMxDkZG3oKsx2l/DFPbQXcMUCW8cVmxj3srgEM7cjPbA9qOg9Lk8N/Z3PkeTeF/P3eV1G7b94cjgj0PNPupYrVBPPOyRJksxPT8hVC30u9hawLX1qwtpJHlxA2ZS+QeS5wcHqc5P5Vdv7f7UkSpKI5EkEkbkbgGXkZHcUCIY9X02WaOJNRBkkBZVJI4GeuRx0PBweDU9ndW2oQma0umljDbSRxg+mCM1RfSrySfzX1GI7ykkoFv1kQHaR83C9Mg5Jx15NWtKtLiyt5Fu7qK5mkk3tKkZTccAc5Y88flgY4oQFp0Plt+8foe9KqHYv7x+g70rkeW3I+6e9KpGxeR0HegBNh/56P+dRXEsVpbvPcXDxxIMs55AH4Cp8j1H51V1O3lvdNuLWCeOGSVCm903gA9eAR/OgERXV/Z6fKFu7wxNKfkXklsAZOADwMjnpSzanYW9oLqW+xAXMYcZbLAkEAAZJGD+RrN1PSNQvLjz7S+ihuWtxbSyBnj28ht6FSSDkfdJwR1NQtompGwNmDYER3Es1vOJ5Y5ELs5zlRwRuxwSDzQM2bi7tbVUuJ7pkidRtbk7s9MADP6VZiKTRJLFM7xuAysDwR+VUZrO4ZbMx3ifbLaPieSPcrkjaxKgjr14NaKZCKHcMwAy2MZPrigRHEh8pf3j9PWmz7YkEkkrhFyWPXAAPtUkRHkpyOnrUd2HkgKQyIkjAhWcbgCQeSARn86AI/ttpvt0+2HdcruhGfvjGQenH41JNLFb+X51w6eY4jTPdj0HTvWdDo8qfYvNvIn8hI0l2RFfM8skpj5jt5PPXPtUt1Z6hcWiRDULfzVuRNva3ONgbcqYDDkcAnPPpTAuRyxSzTRR3DtJCQJF7qSMjt6VHJe2kV4tnJebbhl3BCe3J64x0B/I1CLS+W61GZL63Q3KKIf3BJiZRgE5bDfTAqK70y6vL1Gmv4TZiIo0Pk/NuKlWYNuwCc9wcDjvSHoTf2tpwjhkOoYSZykZORlh+HHUcnA5HrUyXEFx9ojhuWd4crIoPQ/lz+FZr6RflI1XUrcAy+bcK1uSsuAoUY38ABRwcgnn2q3aad9ie4kM4kUoUiULgqm5mwTnk5Y88cdqAJvtdqIZpDdMEt22Snn5WwDjGOTyOnrUysjQCcTSeWV3g4xx9MZrHudDnvre8iubyBlnuEuIwsTKFKgAK/wA+WBCjOMVoxwXcQ2pexsi24jRXiyRIP4yc5I6fL+tADTqViDag33/H2AYOfvg9O3Gc98VJeXVtp8Imu7pooydoY88/gKzo9J1BYtNhbUrZobQL5ifZjiUqeD9/ggeuRnmpr6x1K7s3gTU4ELysSWtyQYj0jOGB+pzzQGhYfULKNple+wYEDyc52g9O3PUcDJ5HrRFqFlM8CRXu9rhd0QB+8Py46Hg4PBqo+k3SvNJa6hHDIwbyW8nPls5Xefvcj5eBxjPei20V4ZLVnuoiI9pkVIiu9kLFSMscffOc5J9RQGhdeUQsExPI7u2FTGeMZPP1pBPvfymS4iYjcA+3kAjPT60rhhcRzKhcIzghSM849fpSOWluElMTRqilTuI5yV9D7UAH2kszeXDdyKGK7l24JBweppPtKeV54MxDbVCjG4nJGPzp0LvbqyGB2/eM2VZcHJJ9aiWFxbqu3LLIshXIzjcT9M80AP8AtJ3KskV1HvO0M23GfwNKbja3lJHcysiru2bcDI460szPOYx5DoFkDksy4wM+hoQvDNI4iZ1kVMFSvYY7mgBYZBPJj98jISGV8ZHAParGw/8APR/zqvAG+0ySsuzzGyASM8KB2q1keo/OgRHGh2n94/3j396dsP8Az0f86IyNp5H3j396dkeo/OgCORD5T/vH+6e9OCHA/eP09aJCPKfkfdPenAjA5HT1oAbsP/PR/wA6Nh/56P8AnTsj1H50ZHqPzoAbsP8Az0f86Nh/56P+dOyPUfnRkeo/OgBuw/8APR/zqsLi3S6W1a5KzyFiiZ5I/LFW8j1H51mtp3m6mLsTqsYkVnj28sybtuDngfMc8HPHSgC+yEbTvc/MOCfcVaqs5GByPvD+YqzSY0FFFFIYUUUUAFFFFABRRRQAUq/fX60lKv31+tIZbFZqf8ft19U/ka0hWan/AB+3X1T+RoiORNRRRTJClH3hSUo+8KAMe8KjVrjcqtwMZUHsKr3DR/ZZf3aD5DyEFT3wJ1efCu3A+6uewqrcqwtpD5cv3e6HFABLrsVpHfSXdh5MVoyRq5kVhK7dF4+6ehxz1H0qW11eO41VbBrNYy0CzCQuCGyM4Xj5sdzn8KVNF09VmGy7ImbewM0h2tu3bk5+U55yMVPFp9nFcx3CRz74l2oCzlRxjO0nG7HGcZql5idivcarDY3Qt5rRthhkmEoxg7eSMf5/rSDWI90aPYlJN+2ddynyfmC5z/Fyw6VOdPs55/tE0UruQy7SzlOcgnb0zjjOM0Lplioh/dTkwtuDM7kuc5+c5+fkA855AoQFX+3ImjLJYFnJBiTco8xCGO7PbhG4PoPWnNrdqGcralogv7t+B5jfL8uO3315PqfSpjpNgYpI/KnCu+4kO4K9eFOcqvJ4HHJ9ae2m2LSSuYJP3ibCoLBQOOVHRTwORzwPSgNCuuswGSNXsyoztmOVPktuZQP9rlGGRUf9uw+RvNgQ4y5j3LxEFD78/wC6QdvXtVxdNsUeBxDKTCMLksd3JOW/vHJJyc8k0z+yNP8AIEXkz7Q+/O989Mbc5ztxgbemBinoGg+C9jn1S5sTaGNoUWQOcEOp9u3+elXvLT+4v/fIqrDaWsF5LdJHN50owSzOwUZyQoPCgnnirPmD+6//AHyaQhfLT+4v/fIo8tP7i/8AfIpPMH91/wDvk0eYP7r/APfJoAXy0/uL/wB8imQxp5S/Iv5e9O8wZ+6//fJpsMgEa/K//fJoAypdbsbPUHsZ4iPLtWuXlwCBtydmOu7aCarS+I2gubW3uNJjt5LpDJH9ovYkBUbe5/i+YfL7VabQtMuWaee1Z5pJC7yFPmIKlCmcZ2beNtMXQYVmgmXUNV82BDHG7MrEIdvy8oePlHPX3paj0IdO8U2OpXtnaR2ciS3DTghtv7ryu7f7w5FdB5af3F/75FZdpoem2U1vPBBIs0G7EmDufdkfMcc43HHpWn5g/uv/AN8mmJ+Qvlp/cX/vkUeWn9xf++RSeYP7r/8AfJo8wf3X/wC+TQAvlp/cX/vkUeWn9xf++RSeYP7r/wDfJo8wf3X/AO+TQAvlp/cX/vkUeWn9xf8AvkUnmD+6/wD3yaPMH91/++TQAvlp/cX/AL5FHlp/cX/vkUnmD+6//fJo8wf3X/75NADUjTL/ACL949qJY08s/IvUdvehJBl/lf7x/hNJLIPLPyv1H8J9aAJPLT+4v/fIo8tP7i/98ik8wZ+6/wD3yaPMH91/++TQAvlp/cX/AL5FHlp/cX/vkUnmD+6//fJo8wf3X/75NAFKW/to9Yt9N8oNLKjOWGMJgZAI65POPpS6leJpqwM1oZEklWJmXA2ZOAff/PNLLYWM2p2+ovbE3luGWOUIQQCMEH149elRHSbA20FuY7kxQElVMsh3ZOcNz8wz2OelAFa411LKO7a+08W/kMioDKreYXJCjgfKTjPfg1qoQ9os4gTcybggIIzjON39ahuLK0uUlWSKX97IJWZSysHGMMCOQRjtUcenQRTXMivdATwpAEDMBGig/dx0JyST1oGRDVoSLNvsZ23EccjnK/ug52rn+983HH1qzfzJZxxyC3Ers+xIxgb2PAGT0+tRQ6VYwpaosdwRajEe+R24ByA2T8wB5Gc4qxdRw3SLFKkhQnPAIII6EEcgj1FDEUhqrC5EMukyRgMscr70YI7fdA9c8c9sirOnXQvoZGez+zvHIY2QsrjIx0YcHrj2IIqH+xtP8xXMVyWVduTLId3XDNzywycMeRmptPsrbS7b7PbC48vOcSu8hHAHBYnjjpQgLTxp5bfIvQ9qVY02L8i9B2pryDy2+V+h/hNKsg2L8r9B/CaAHeWn9xf++RVe+mSysZroW4l8pC5QYBIHXk1P5g/uv/3yagvbeC/s5LWcT+VIMN5bMhI9Mrg0AihqGrQ6fe/ZxapK7IJXZ5UiSNMhQSzcZJOAO9R3PiC2t9NivBaAiW5e3USSJGoZSwJZzwoOw4z6gU+90Sy1H5ZmvF2x+QzIxzJGcEq5IORkZz196T+woVt5rdL/AFNIJXdjEpXaN5JYDKdCWPXNDuPQtXNz5DW4ishNPOvyQh1Xtk5bpwPzq5EoeJGeARsRkowBKn04qnJYWkkEFp5cyRQRhYjGzI6AcDDDkccVdjKRoqKjhVAAG0nigQkUaeSvyL09KZcBY496wq5XJC8DOAeM06KQCJflfp/dNMuQlxF5LiYK+VJTcrYIPQjkfhQBTGqQl7MC0+W4jjd2yP3XmcIPfJyOOlW7yVbRYmNuHEkyRHGBt3HAPv1qCHTLKD7LsjuD9lULHvd24HTdk/NjtnOO1Nk0qylthbkXixic3A2TSKd5O7OQc4z0HQUwLMEqTXl1bG3CmAp83B3hhkH2qveX6WN2kUtkTCyMxmUrxtUsfl64wOvqRStplm8l67fayb1Nkw86TBGMfKM/Lx3GKa2lWL3y3jJcmURiLaZZNjKARgrnB4J6ikPQhOr7YEkOlsT5wilQSJlCdpXH94kMDge/pU9tfQ3r3Ea2+wIpaNjg+YuSu725U8VE2h6c/kZW8BhYsjLPKCScZyQfm4AHPYYq1Fa21qbiSGOQNKCWzuIHU4AP3Rkk4HGSaAKtzrFtY2d3PcW6p9nmWAAsP3jMFK4PbO6tCMiW0ScQJuZAwUEEZxnG7H61SGk2RW4DC7b7Q6yuTNISrjoyc/IRgdMdKmFjaq7OiXCMYBb5R3GEHIxzwefvdfegCD+0x5OnzDT2MV5syQ65jLdBjq2Opx0AJqxqVx/Z9m1ytkJwvLKGVMD1yf0HcmqqaHp8bWjKL3Nou2LNxLwM5wefmGfXtx0p1xo1hcw+VIt2F89rjKTyqd7dTkHOOenQdqA0D+01eeaKKwZ2RW8vLKvmMuNynP3cbhyff0plvrENw9qv2JkEwXczFf3bMWCj/aB2nkdsHvUk+kafcLOskVxiZQr7ZHXjg8YPBOBkjrjmnxabZQyQOqXDNAMKXd2z1ILZPzEZOCemeKA0JJS6zJFCkIaRnO51yABj0+tNzKk6wzLAQ67gY0Ixgj1J9akZWaRZIyVdGYfNGSMHH+FNKyGRZZWyVG0BYiOpHqfagBsf2mfc8a2qIHZQGjJPBx60wTsbZZBFF5rusfK/KDuIz+lTos0W5YnXYWLDdCxPJz61GIcR+UGbcrK4byzjO4np6c0AD/aIWj81bZkdwh2RkEZ79aAZpJnjhW3VY1XJdCSSRnsRT3WaQqZWBVG34WJgSR+NCrKrtJEwG9VyGiJ6DHY0AJblnneOZIt0bYyi4ByAeh+tW/LT+4v/AHyKrRAxzl3JZpCSdsZA4AFWPMH91/8Avk0CGxxptPyL949ven+Wn9xf++RTI5BtPyv94/wn1p3mD+6//fJoASSNPKf5F+6e1KI0wPkX8hTZJB5T/K/3T/CacJBgfK//AHyaAF8tP7i/98ijy0/uL/3yKTzB/df/AL5NHmD+6/8A3yaAF8tP7i/98ijy0/uL/wB8ik8wf3X/AO+TR5g/uv8A98mgBfLT+4v/AHyKzmvootRFmbfcC4VpeMIzZ2jHU52n6VoeYP7r/wDfJqp9ltpLxbt45DMjHGN2D6EjoSMnBPTJoAtMiAAhFB3DoPcVaqqzg7RhvvDqp9RVqkxoKKKKQwooooAKKKKACiiigApV++v1pKVfvr9aQy2KzU/4/br6p/I1pCs1P+P26+qfyNERyJqKKKZIUo+8KSlH3hQBj3rFdVuPcD+QqtcSE20o9VNWb1WbV7grs4AzuJ9B6Cq1zG/2WX/VfdPQnP8AKgDOk8Q3EUWqSQ31teeTKkUUaKimHLbWZ/m+6DxlsdCelW7HVrqXXYLaW5jkglt1ZEUIH3bclmA5A9CPlrcETY4gj+cc8fe+vHNLtkB3eXHkcZz+nSqQmYN7q9xaan5EEsMq+RK5twBvDAFgTznB9cY7daams3W62UXMEqmUqsqoMXY3quE5wMAk8Z+7W7EH2bhGmckbs89enSn7HGB5UY29B/d/TihAc3/bl2baRjcwR/ON0pQYgJDnym5+9lVHPPz/AEqR9bvBLP8A6tCseTCV5gHyfvG7kHc3Xj5frXQbHPHlR/Mckevv0oxJkny4/m4Jz19ulAXMCPWbozWq+bFJu4CqozdDc67154AChuM/epialqd1pzTW9/CHWVEBW3VxIzhf3fXjaSQT147Gui2uMHyoxt4HPT9OKAsg4EaDvgH9elArmbYahNcatdW7ujIm/wDdqoBh2vtAY9TuHzDP4Vq0zEg+by0Gepz1/SjMn91P++j/AIUAPopmZP7qf99H/CjMn91P++j/AIUAP70yH/VL/nvRmT+6n/fR/wAKbCZPKXCp/wB9H/CgDnhr0kGryJcTiK0iuDb+UsIYnEXmbnYnKg84wCPl561Sj8SarNpJmZfs80MzNcn7NiSOAoXQiOQjdjoSP7pIrphZQTMtxLZWskoUoJHQFtvPGcdOvFPn06G6YG40+1mKkEGSMNjHTqKVh3RzV54kvobeW+huLZo/Plt0tTF8w2xswkJznsCRjG01Lret6laz6cLCe2JuYFYxPGGDOZIl65yOJD+ldC1lC1w9w1lamZk8tpCg3FT/AAk4zj2qGLSbCB1aHS7CNk+6UhUFfpheOg/Kmguc7/wl87fZ5I0BhF5KLnELN5cCvsGSPukEkknj5DVjxLr+paTfzQWcUcif2e0iZjLbJizbWbH8GFOf510Itox5mLW3Hm58z5R8+eTnjnqetOMe4sTDCSyeWxPdf7p46e1AXVznINcv5preX7RAElvFsvsoiG8ZTd5uc5/2sYxtpLfUNXMggl1OEmXUZLNZ2tVURhATnGcFmxjniuhFpCtyLlbO1FwF2CUKN4X0zjOPaiW1imheGW0tpIpG3PG6gqx9SCOTQByen+J9UvNatLdmhFuzLG7iICOT5pQWD5yCwjBUYweRmtXxXq17pNtatZEhpZHDlYRKQFjZuhI4yBk9cZrX+yxbdv2W22jaANox8v3e3bt6VIyF2VniiZlJKknOMjBxx6UdAur3ORXxDqvlajctJH5cEvkoyxIbdSSg3b928gbiemCBXRaPetdWk3nTtLJDcPA7vEsRJXHZSR36g06PSrGKRpItMsEkZSpZYlBKkYIJ29McYp66fbJCkKWFmsSZ2RiMBVz1wMYGaBFmPq/++aJf9UfqP501DJl/lT7x/iP+FJKZPLOVTqP4j6/SgCbvRTMyf3U/76P+FGZP7qf99H/CgB9FMzJ/dT/vo/4UZk/up/30f8KAMy61CWLxFZWSXEJjlBEkGB5g+UkN1zjjqBgd+SKr6nrjxw2F1pjpdW88hXERUmXkDA3EcdckZIx0rbxJndsjyBjOf/rUbXOCIo/l6c9P0oA5pNbvN19FLe2ymO4CidQjRwRktjdz975QCGx1rV/taD+zZJJrqC1uIrVLiYSc+QGHDMPTIP5VobHOR5UZ3ckev6c1GsAWaWVYIRJNgSN3fHAzx2o6WH1MWx1sytpQl1G0kN1JMhAKAyBc7SME4bgAgZ54rS1a4ktbVJI5FiJcKZXXKxA8FyPQe/FWvKIxiCH5enHT9OKG8wugKIc5GM9ePpQI54a3Ol6qHVbOaMFcARAGdCCTKCD0XHOOOD6itHQNQbUrKSY3kF4qylUmhAXK4BGQCcHn64xmtLY4/wCWUY2jA9h6dKQK8YwsUa98Dj+lCAc/+rb/AHTSr9xfoKY5k8tvlTof4j/hQpk2L8qdB/Ef8KAJKoa1eHT9GursXEUDRRlleXG3PYc+vSrmZP7qf99H/Cgh3G1o42HoTn+lAI53WdcltLvEFysVsLb7W8qRLM0qgquFBYDABySDnpiibWdQfQ0urd4xILmZJjGis6RIzjKozAMflXPPTJraks4rtts9nbTCNgyCRAwQ4HIyOKjbRrCR3ZtJsHaRt7kwKSx9T8vJ560D0Kt5qJW2sJ472K3huEDNeSxjao27hwxAG736fWtW3Zmt4maRZGKgl1XaG9wO1NKu0uwxxkbPu9R1+lSZlz91P++j/hQISH/Up9KhvpRDavKZUhCKzeY+ML8p5OeKfEZPKXCp0/vH/CiQOxRSiEFuhOc8H2oAxYdalnfSzHcQOtxFExCAHzyxw+0542YycZ681av9ZtYrSG5g1C2WM3i27s7DBO/a65JGCOfpitIIwxiKMbemO36UFGYYMUTAc4PP9KYGdHq9ul9qsdxfW3k2SpI3zAGJSuW3YOcA9zVa+1ow6vFb217bSMYDIbMgb2GxmUg5ySSBgAdMk1tbGBJ8qIFup9f0o2Nu3+VFuHG7uPxxSGc2+vyJBb51ayEj3GxGdFC3C/KTg7sKF3EEjJyB3zWjp2oT3k97HKyMEUnYqgGE7mXY3vgBueea0/KbgGCL5eQMdP0pHDiNzsQbgSSD14+lAjAu9fkgstSNvPBcS290kC7GQeSrBeXycAAk8nHStWHUbd7dY3vI1uBbCdy+FKoeN5HQDIPtVpYyFwIYvmHP+19eOacQ5yDHGc8EE/8A1qBnOp4g82LRSmqWXm3aoZIsL+9yQGIO7jngAZOeKtazrlvb6c01rqlrDIszQBpAGBkUHMfJAB9T2Ga1vKPGIIfl6cdP04pSjOMGGJh1wef6UAYMuuSRS3Zmvra3ijjYligbyMFArnnLB9xxnHT60WWs3U8+no1xbyeaq7ljAPnZLAspB427RnGRk/St7Y56xRndwc9/0oCOuMRRjbwMdv0oArSq0lzFEJJERmkLbG2k4xjn8aaY2gu40Eszo6EkSOW5DLjr9afIEI3TMke1zhvNKde2aagiJLxSJKwwM+eXwMigAgtzcK8klxcAmRxhZSAAGIHAqFWlazQGV9zSrGXB+bbvYdfpUriBHYG4SM5JKi5K4J9qd5cflFT5YiAVg3mkY5Jzu+tADZoGt2hZJ5zmQKweQsCDnsaEia4uJQ00yqioFEchUcrk9KFEDsNs6SsvKr9pLc+uKVxEpVpJUidlGf35TPHpQAtsGS6liMjuqN8pdskZUHrV2qkIUMrQlHDEkt5pbJwO9WMyf3U/76P+FAgj+6f94/zp9RRmTaflT7x/iPr9KdmT+6n/AH0f8KAFk/1T/wC6aUdB9KjkMnlP8qfdP8R/wpwMmB8qdP7x/wAKAH0UzMn91P8Avo/4UZk/up/30f8ACgB9FMzJ/dT/AL6P+FGZP7qf99H/AAoAfWPLqE8Wux2iugjZwPKIG6QNuywPXC4GcevNauZP7qf99H/CmRh/mbYhIYjOen6UASP0H+8P5irFVWL/AC5Vcbh0PuParVJjQUUUUhhRRRQAUUUUAFFFFABSr99frSUq/fX60hlsVmp/x+3X1T+RrSFZqf8AH7dfVP5GiI5E1FFFMkKUfeFJSj7woAxr4katcY9B/IVVuGb7NJ/umrd4oOrXBLOuAPukeg9RVe5RTay/vJT8p4JH+FAFCLTTcf2v5umXyNId0ayTkJIVztwQ+eSdx6DGB2q5DZXEGu2OyO5MMFt5UsrSZjcbeP4s5z2x75qw2taWgm3arEPIYJL8w+RjkAHj1B/KrEV7aTTxwxXyPLJGJURWBLJ6jjpVITMq9tb6XVfMs47hCLeVDKXAjJIO3HzdQe233zUcdnehrQpb3McSykwI0nNuN4OZPm5+XcP4utbC3Vsk32ZrxVn2tJ5ZYZ2gnJoS/s5Ft2S/RluDthII+c+g4oQGGbHUPssyyW906lx5sayfNLJh8uvzfd3GM9R908esr2eqGa4JWZpTFiSRX+WVfkwi88NxJ2H3hz6azajYrFLK2oRiOJ/LkbcMK3p0609ru1WWWJr1RJCnmSKWHyr6nigLsx47PUBPZlYp02j9yWfiBNzkq/PJKlB/F061X+waj9hCi3ugN52xmT5hLsAEhO77m/Ldeh6dq30vbSRrdUvlLXCloQCPnHqOKhk1nTIollk1SJY3cxqxYYLDqOnancLkVjBcp4hvpmiuEgeMDdI4Ks4PVfmPGPYY6c1r1Wjnhmnlgjug8sOPMQEZXPTPFTbG/wCejfp/hSEPopmxv+ejfp/hRsb/AJ6N+n+FAD+9Mh/1S/570bG/56N+n+FMhRvLX9436f4UAczeLrp1ea8so3EPkvZwr5jD5ipYSbMYxvwN2f0rPktUN/pxgs9QW2ELfaBdQXUgM2U5wpznG75vu9a61L60W6jsTfILtxlYNw3Hr2x7Gkk1bTorUXUmqQrbmRohJvBBdSQV6dRg59MUh3Ob0Ow1yHVNLku2uPsaNcnazsT8+T+8B7Agbc+tdpVBtT09Ll7Z9TiWZEMjIXXIUDJP5c/SkuNU0+0ljiudTihklUPGruBuUkAEcdMkD8RTB66mhRVQ3dqrxob5A0kxgQFly0gySg/2hg8e1JPe2lq7pcX8cTxwm4dXdQVjBwXP+yPWgRcoqh/adh9q+y/2lF9o2eZ5e4Z24znp6c/SoI9f0eaGWWPWIWjiIV2DD5SeAOnX2oA1qKzl1XTnuYbZNUhaadQ8SB1JdTnBHHfB/I1Je31ppsayX18tujttVpCACcZx09ATQBdorNGsaYZ5YRqkPmQqWkG4fIAMkk4x0qza3EF9AJ7W786IkgOmMZHUdKAJo+r/AO+aJf8AVH6j+dMRD8/7xvvH0/wolQ+Wf3jdR6ev0oAm70UzY3/PRv0/wo2N/wA9G/T/AAoAfRTNjf8APRv0/wAKNjf89G/T/CgDJuo9SPivT5Uj3acsUiuyyEbGI6svQ5OMenNQam11ex6ew0rUEkMm5jHKubfDDqA4BJH1AGe/Fa7XECXaWjXYFw6lliJG4j6YqO6v7Oxlhjur9YXmOI1cgFuQOOPUj86BnPXNldXkWpAWOqW6vMjhA4fzNrN8wBkGc8ZAK8Y6kGtuC7keKe0msZvMt7aMymP7ruynKIc8kY9e45qf7babLh/ty7bZtsxyMRn0PFTB0a3E4uCYSu8Pxjb1z0oWwdTnkS7ddDV9N1JZIUTzZfMH7vBAIYb8HOOSc8e5rX1eKSa0VI0dxvBkjjbazp/EoORyR7in/b7PzLaP7eu+6XfAoIJkX1HHTmpLmSO2QTT3HlxJks7YAHH0oYjBFlcpexyw2GoIoCtFm5yIo8HfGRu+83br1HIxWh4djlisJRLa3NrulLLDcPuKAgcA7mJHXknrnjFTx6pp8sscUepxNJKpZFDrlgOvb2P5GprS5t76HzrS8E8eSu5CCMjt0oQFh/8AVt/umlX7i/QVG6N5bfvG6H0/wpVRti/vG6D0/wAKAJKz9cWR9Fu0hgmmlaMhEhOH3diDkfzq7sb/AJ6N+n+FRzyR2sDTT3PlxIMs7YAH6UAtzmvEP2yS6jnSyuZ4xb5hgAfAnyvEnlnIO3IBJ2g5zUF01xPon2WRNQ+0QXkztG9rOyTLvk2qWTB24KkFTgYGeK6S5vrTT3/0y+SDzG2pvIBY4HTiln1GytrX7VNqCR2+8p5hYY3AkEdOuQfyNJjTKV9FNPaWJls53jWMNcWkUv7zO3gZyN2G68+9a9snl28SBWXaoG123EexPc+9Vp7u2tUW4nvFjhZRtkYjBz0xxViIrNGksU5eNxlWXBBHqOKYh0P+pT6VDf8A/HpIPKklyrDy4/vN8p4HI5/EU+JD5S/vG6e3+FNnIiUSSTFUUksxxwMHnpQCMaCC/kfSXe3uo2jiiU+Yw/dFT+834bncuAOv4VZ1Ca5mtIJF0y982O8X93Gyltivy/DAbSO3vyKu/a7bfbp9tXdcLuhGR+8GM5HHpUkskcGzzrnZ5jhE3Y+Zj0HTqaYGfFLcQahq8q6feOu1HiGVxMwXBCZbgk464FV76O8n1qJ7eyvInEBxciQeWGKNhSN2AAcZO0knGOBWxHJHLLLFHc7pISBIoxlSRkZ49Kje7to7xbN71VuWXesRYbiPXpSHc5+S2uhb2sQ03Udv2jehSX5rcDbnI38ljuIySACfpWnptvdxXF806SKGB3M7ZEj7mO5eTgbSo7dOlWP7U0/y4ZP7Si2TuUiYsMOw7Diplnhn+0Rw3QkeHKyKpGVOOh4oAw7qPUpbLVIrS1uoS90jAuAfMiwofyxv68HjK9fetaGSWO2FtJp82xLUMWRgQzdDGPmzu+vHPWpftVsIZpTeKI4DtlbIwhABwePcfnUiujQCdbgmIrvD8Yx1z0oA55I7t49DR9N1JZIVTzJfMH7rBAIYb8HPcnPy+5q3rb3N3pjRrpV87+eyKIpACAAcS8OMj0BPXGRWgdQsg1sp1CMG6GYBuH7wdscU+7urewiEt3eLBGW2hpCAM+nSgDFmt71Jb2RrK8uQ0ZDIs20zKSuxQdwwV+fdjHXvmixtL5Z9OLQ3aiNVAaV/9WoLb1Ybj1BTHXgdRWu99ZxNMsl+imBA8oLD5FPQniljvbSVoFjv0drhS8IVgd6juOKAuMm8v7ZA0uwIDJ9/GM8etI3kG+iaAxnCMG2Y/vL1xUkkqwna3myM7ttVEDE46mmrMjt5YWeJzhgHjC5AI9PrQAlqbVUcSmAP5rk7yM/ePrVdVT7DGDt8sTKTnpje36VZNyjO22K5kwxUssSkEjg0faI/KM26Uo21QoQZJyRjH1oAbcfZmaDyTCXEyn5CM459KI/s63c5nMQJWPG/H933pRcJuVTHcRFztDPEoGfTNK06K3l7J5WVV3bI1IGRx1oALUJ9snMW0oX429Puir1VIZFmcBDKhQkMrqARwDVjY3/PRv0/woEEf3T/ALx/nT6hjRtp/eN94+nr9Kfsb/no36f4UALJ/qn/AN00o6D6VHIjeU/7xvun0/wpwRsD9436f4UAPopmxv8Ano36f4UbG/56N+n+FAD6KZsb/no36f4UbG/56N+n+FAD6xpbe6bX4pkSUxhhtkDfIi/NvUjPVsrjg9O1a2xv+ejfp/hVcTwpcrbNdBZ5CzJGSMsB1PSgCy/Qf7w/mKsVUZSNp3sfmHBx61bpMaCiiikMKKKKACiiigAooooAKVfvr9aSlX76/WkMtis1P+P26+qfyNaQrNT/AI/br6p/I0RHImooopkhSj7wpKUfeFAGNfAnVpwPQfyFVblSLaUnptNW73Z/a1xvRW4GNyg44FVrjyvssuIowdhwQgFAD7fT9QX+0POurUm5B8qSONg6dQM5OMBeMDHOT3qQaZINXtblZYlt7aIxogQ7zlcYJztx3zjPbOK1RDFgfu06elL5MX/PJP8AvmncVjCu9Hl1C78154kgEUkYCod/zAg5OduO+cZ7ZxSDRblpElkuYfMkfdc7UOCN6uNnPHKjrnvW1FDF5fMadT29zUnkxf8APNPyovYDnxoVykfyXUPmx4SEsjbfLAdfm55bEjcjjgUraA+XRblfJVcw5U7g/wAn3ueV/djpzya3/Ji/55p+VHkxf880/KjmHqYS6JMZI2kuYyrnfcBVOSwd3GzngZc9c8AU+30iVLKSCW4QtI8YYopAMaAALyepCjPatryYv+eaflR5MX/PNPyo5hWZmWmnSW1/NO0qNGd4iUKQRvfe27seemO1aFP8mL/nmn5UeTF/zzT8qLhYZRT/ACYv+eaflR5MX/PNPyouFhnemQ/6pf8APephDFn/AFSf980yGGIxLmNPy96LhY5ptJ1ZL6aawuYo4Zp2uCTIykkx7NjKAQwBCsDkY5GKrjwte2Vr9nsrgSlX8yC4kmMMsEhj2sw2JhgcAkEc85NdZDDEYVJjTv296k8mL/nmn5UtB6nJXnhzULq2lsTNamFp5boXGSJGkeNl2lcYAyx5z04xRe6HqmqyWC3UNlHBBGscqrcM+4CSNuPkHURn8xXW+TF/zzT8qPJi/wCeaflTuGpxo8KaiU+fUUElvNJPbMoGGdpAwL5UkfKqgleeW9aua/4ZbXL2ScziJTZm3Cj+IksSrf7ByPfium8mL/nmn5UeTF/zzT8qLhre5zFvoV9FLbQM9sbSK9W+MwY+aWC42YxjGf4s9OMVOdJvYZFuYWglni1GW8SORyqsrgrgnBwwBznBroPJi/55p+VHkxf880/Ki4HH2PhS7s7+G8a5idkkSRrfcwiJ3SM2BjqvmfKfbnGa1PEGjS60lqkV01t5TyMzoxDfNGyge4yRkdxmtzyYv+eaflR5MX/PNPyovpYNb3ONi8N6n5F7A5t40nkEyIl07QqQUYL5RUDGUxnOcGtvT4tVtrWT7QY55pJ3kw9wzeWhxtUMVy2OewrX8mL/AJ5p+VHkxf8APNPyouFiGPq/++aJf9UfqP50+OGLMn7tPvntSSwxCI4jTqO3vRcVhe9FP8mL/nkn/fNHkxf880/Ki4WGUU/yYv8Anmn5UeTF/wA80/Ki4WMu4sJp9YtbvzYhDb5IXYd5JBBGc4xz6ZGODyak+y3U1pbx3dxE8qSq8zRRlVcKcgAEnH8Pc9K0PJi/55p+VHkxf880/Ki4WOYuPC7T/a2F0UaWVHjjEknlqFcvg/NkZJOdpFasKamjzxtJA0SQIlu7glmkwdzPz06YHXrzWl5MX/PNPyo8mL/nmn5UJ2VhnPx6JdgaWZLi2EtmgjeWJZFZlBBwvzYwcYIYH2rR1C2a6jiWN1SVJBLGWGV3LyMj0q/5MX/PNPypjQxeZH+7Tqe3tRcVjFfSb+S4Mr3Vp+8KSygQH/WIDt28/d5Gc88H1q1pNpd2lvIL6aCa4kk3tJCjKG4A5yT6duAMDtWn5MX/ADzT8qPJi/55p+VCYWIn/wBW3+6aVfuL9BTnhi8tv3afdPahYYti/u06DtRcLCVU1S3nvNMuLa2kijllQoGlUlQD14BBq95MX/PNPyo8mL/nmn5UXCxzWqaVqlzdfabK4hiumtvs0jq7R+Wcq29Dg5GRgqeoxzULaNqn9n/ZBDa74bmWe3uY7x43QuzkNwnBAfBHIPNdQkMXmSfu06jt7Cn+TF/zzT8qLjMmazvGWyeO5hN9bR/6ySM7HYjaxIBBHrxWjGCsaqxBYAAlRgE+w7U7yYvPx5afc9PeniGLP+qT/vmi4rEMP+pT6VHdrK8BWBkErAhDICVBweuOamhhiMKExp09KV4Yt8f7tPvensaLhYxoNHul+w+dcQHyY4km8tGG7y2LJtyeM55zn2qW7tNTuLRIxc2ZmW5Eu5omC7Fbcq4DdeACf0rX8mL/AJ5p+VHkxf8APNPyo5gsZQtdRW71GZLi0X7Qii3zExMbKMAtz8w9hiobzTL69vUMtzbfYhEVZBEwcOUKlgc4zzxnoM+ua2/Ji/55p+VHkxf880/Ki49TnpNI1No41W7siHl8y5VoXKvgKFA+bOMICQep9uKt2enPZyXEjzK6FCkQUEELuZ/m9Tlj07VreTF/zzT8qbJDF5T/ALtPunt7UXFboYFzot7fW97HNc26ia4juIvLEi42gDa5DZIIUfdxWlHDfxDaLmB0W3CKHjO4yj+InPK4xx196vCGLaP3adPSl8mL/nmn5UXHY5+PStUWHTYHurFobUL5yiF/3hUggj5uwHQ8Z5qfULLVruyeCO8swzytkvC2DCRwnDZz6kdRnpWz5MX/ADzT8qPJi/55p+VFwMJ9Jvo3mktLu2jkwxgLREhGcruyM9Bs+X0zznFJa6LPDLas88G1NrSrGjfMyFiu0knrvOc5JNb3kxf880/KjyYv+eaflRzBqUHDLcxzCN3CNICE684/wpHLS3McvlSIqKQS4A6svv7Vdjhi+f8Adp989qSWGIR8Rp1Hb3FFxWKsDvbq0Zt5m/eM2VAIOST61CsMgtlXy2LLIshQYzjex/PmtTyYv+eSf980wQxec/7tPujt9aLjsU5me4MQEEq7ZA5LgAADPvRGXhnkfyZHWRUIKAHouPWrrQxbG/dp0PahIYvLT92n3R2ouKxTgDfapJGRkEjZAbrwoFW6RoYvNjHlp0PapPJi/wCeaflRcLEMf3T/ALx/nT6SKGIqf3afebt71J5MX/PNPyouFiGT/VP/ALppw6D6UssMQhf92n3T29qcIYsD92nT0ouFhtFP8mL/AJ5p+VHkxf8APNPyouFhlFP8mL/nmn5UeTF/zzT8qLhYZWW2nSS6qLoSoIfMV5EIO4sm7bg9MfMc1r+TF/zzT8qZHDF8/wC7T757UXCw1+g/3h/MVYqGSKNVBEaghl5A9xU1JsaCiiigAooooAKKKKACiiigApV++v1pKVfvr9aQy2KzU/4/br6p/I1pCs1P+P26+qfyNERyJqKKKZIUo+8KSlH3hQBi33/IXn4Y8D7qk9h6VVuf+PWXCyfdPWNh/Srl65XVbjHcD+QqtcSH7LL/ALhoA3BKmB97p/cP+FL5qf7X/fB/wp4+6PpRQBBFKvl/xdT/AAn1NSean+1/3wf8KIf9X+J/mafQAzzU/wBr/vg/4Uean+1/3wf8KfRQAzzU/wBr/vg/4Uean+1/3wf8KfRQAzzU/wBr/vg/4Uean+1/3wf8KfRQAzzU/wBr/vg/4Uean+1/3wf8KfRQAwTJn+L/AL4P+FMhlQRL97/vk+tTjrUcH+qT/PegCOGVRCv3u/8ACfWpPNT/AGv++D/hRD/qV/H+dPoAZ5qf7X/fB/wo81P9r/vg/wCFPooAZ5qf7X/fB/wo81P9r/vg/wCFPooAZ5qf7X/fB/wo81P9r/vg/wCFPooAZ5qf7X/fB/wo81P9r/vg/wCFPooAZ5qf7X/fB/wo81P9r/vg/wCFPooAhjlXMn3vvn+E0ksq+UfvdR/CfWpI+sn++f6UTf6o/UfzFAB5qf7X/fB/wo81P9r/AL4P+FP70UAM81P9r/vg/wCFHmp/tf8AfB/wp9FADPNT/a/74P8AhR5qf7X/AHwf8KfRQAzzU/2v++D/AIUean+1/wB8H/Cn0UAM81P9r/vg/wCFMaVfMj+91P8ACfSpqY/+ti+p/lQAean+1/3wf8KPNT/a/wC+D/hT6KAInlTy2+990/wmhZU2L97oP4DT5P8AVv8A7p/lSp9xfoKAG+an+1/3wf8ACjzU/wBr/vg/4U+igCFJV8yT73Ufwn0FP81P9r/vg/4UJ/rJfqP5Cn0AQ+avn5+b7n90+tPEyZ/i/wC+D/hR/wAvH/AP61IOtAFeGVRCn3un900ryrvj+997+6fQ0+H/AFCfSh/vxf739DQAean+1/3wf8KPNT/a/wC+D/hT6KAGean+1/3wf8KPNT/a/wC+D/hT6KAGean+1/3wf8KZJKnlP977p/hPpU1Nk/1T/wC6f5UANEqbR97p/cP+FL5qf7X/AHwf8KcPuj6UtADPNT/a/wC+D/hR5qf7X/fB/wAKfRQAzzU/2v8Avg/4Uean+1/3wf8ACn0UAQxyp8/3vvn+E0ksq+X/ABdR/CfUVJH/AB/75om/1f4j+YoAPNT/AGv++D/hTBKnnP8Ae+6P4T71NTB/rn/3V/rQA1pU2N97of4DQkqeWn3vuj+E1I33G+hpI/8AVJ/uj+VAETSr5sf3uh/hNSean+1/3wf8KG/10f0b+lPoAgilXafvfeb+E+tSean+1/3wf8KIvuH/AHm/nT6AIZZU8l/vfdP8J9KcJUwPvdP7h/wpZf8AUyf7p/lTx0H0oAZ5qf7X/fB/wo81P9r/AL4P+FPooAZ5qf7X/fB/wo81P9r/AL4P+FPooAZ5qf7X/fB/wpkcq/P9775/hNTUyPo/++aAGSSKVAG7ll/hPqKmpkv+r/4Ev8xT6ACiiigAooooAKKKKACiiigApV++v1pKVfvr9aQy2KzU/wCP26+qfyNaQrNT/j9uvqn8jREciaiiimSFKPvCkpR94UAY96rNq1xtCkADO5sdh7VWuUf7LL8sY+U9HJ/pVi+JGrXGPQfyFVbhj9ml/wB00AbwaTA/dr0/v/8A1qXdJ/zzX/vv/wCtTh90fSloAhiaTy/9WvU/x+59qfuk/wCea/8Aff8A9aiH/V/if5mn0AM3Sf8APNf++/8A61G6T/nmv/ff/wBan0UAM3Sf881/77/+tRuk/wCea/8Aff8A9an0UAM3Sf8APNf++/8A61G6T/nmv/ff/wBan0UAM3Sf881/77/+tRuk/wCea/8Aff8A9an0UAMDS5/1a/8Aff8A9amQtJ5S4jX/AL79/pUw60yD/VJ/nvQBHCZPJX92vf8Aj9/pUm6T/nmv/ff/ANakh/1K/j/OpKAGbpP+ea/99/8A1qN0n/PNf++//rU+igBm6T/nmv8A33/9ajdJ/wA81/77/wDrU+igBm6T/nmv/ff/ANajdJ/zzX/vv/61PooAZuk/55r/AN9//Wo3Sf8APNf++/8A61PooAZuk/55r/33/wDWo3Sf881/77/+tT6KAIY2kzJ+7X75/j/+tRK0nlH92vUfx+/0p8fWT/fNE3+qP1H8xQAbpf8Anmv/AH3/APWo3Sf881/77/8ArU/vRQAzdJ/zzX/vv/61G6T/AJ5r/wB9/wD1qfRQAzdJ/wA81/77/wDrUbpP+ea/99//AFqfRQAzdJ/zzX/vv/61G6T/AJ5r/wB9/wD1qfRQAzdJ/wA81/77/wDrUxmk8yP92vU/x+30qamP/rYvqf5UAG6T/nmv/ff/ANajdJ/zzX/vv/61PooAidpPLb92v3T/AB//AFqFaTYv7teg/j/+tT3/ANW/+6f5UqfcX6CgBu6T/nmv/ff/ANajdJ/zzX/vv/61PooAhRpPMk/dr1H8fsPan7pP+ea/99//AFqE/wBZL9R/IU+gCHdJ5/8Aq1+5/f8Af6U8NLn/AFa/99//AFqP+Xj/AIB/WnjrQBBCZPJTEa9P7/8A9aldpN0f7tfvf3/Y+1Oh/wBQn0pX+/H/AL39DQAbpP8Anmv/AH3/APWo3Sf881/77/8ArU+igBm6T/nmv/ff/wBajdJ/zzX/AL7/APrU+igBm6T/AJ5r/wB9/wD1qbI0nlP+7X7p/j9vpUtNk/1T/wC6f5UANDSbR+7Xp/f/APrUu6T/AJ5r/wB9/wD1qcPuj6UtADN0n/PNf++//rUbpP8Anmv/AH3/APWp9FADN0n/ADzX/vv/AOtRuk/55r/33/8AWp9FAEMbSfP+7X75/j/+tRK0nl/6teo/j9x7U+P+P/fNE3+r/EfzFABuk/55r/33/wDWpgaTzn/dr90fx/X2qamD/XP/ALq/1oARmk2N+7Xof4//AK1IjSeWn7tfuj+P/wCtUjfcb6Gkj/1Sf7o/lQBGzSebH+7Xof4//rU/dJ/zzX/vv/61Df66P6N/Sn0AQxNJtP7tfvN/H7/Sn7pP+ea/99//AFqIvuH/AHm/nT6AIZWk8l/3a/dP8ft9KcGkwP3a9P7/AP8AWpZf9TJ/un+VOHQfSgBu6T/nmv8A33/9ajdJ/wA81/77/wDrU+igBm6T/nmv/ff/ANajdJ/zzX/vv/61PooAZuk/55r/AN9//WpkbSfP+7X75/j/APrVNTI/4/8AfNADJDJtGUAG5ed3uPapqZL9z/gS/wAxT6ACiiigAooooAKKKKACiiigApV++PrSUq/eH1pDLIdf7w/Os+P/AI/Lr6p/I1UtNU1CfXJrSbRLmCyUYiu2xhiOuRngHtVuP/j8uv8AgH8qEgbJqKKKYgpR94UlKPvCgDHvFzq1wd7LgDoBzwPWq90g+yy/vXPyk4IXn9KsXqFtXnA9Af0FVrqNltZTkfdNAG4EfA/enp/dFLsf/nqf++RUgU7R9KXaaAK8Sv5f+tPU/wAI9TT9j/8APU/98ilhU+X+J/maftNAEex/+ep/75FGx/8Anqf++RUm00bTQBHsf/nqf++RRsf/AJ6n/vkVJtNG00AR7H/56n/vkUbH/wCep/75FSbTRtNAEex/+ep/75FGx/8Anqf++RUm00bTQBGEfP8ArT/3yKZCr+Uv70j/AICPWrAU5qOBT5Sf570ARQq/kr+9Pf8AhHrUmx/+ep/75FLCp8lfx/nT9poAj2P/AM9T/wB8ijY//PU/98ipNpo2mgCPY/8Az1P/AHyKNj/89T/3yKk2mjaaAI9j/wDPU/8AfIo2P/z1P/fIqTaaNpoAj2P/AM9T/wB8ijY//PU/98ipNpo2mgCPY/8Az1P/AHyKNj/89T/3yKk2mjaaAII1fMn70/fP8IolV/KP709R/CPWpI1OZP8AfP8ASiZT5R+o/mKAE2P/AM9T/wB8ijY//PU/98ipdpzSbTQBHsf/AJ6n/vkUbH/56n/vkVJtNG00AR7H/wCep/75FGx/+ep/75FSbTRtNAEex/8Anqf++RRsf/nqf++RUm00bTQBHsf/AJ6n/vkUxlfzY/3p6n+EelT7TTHU+bF9T/KgBNj/APPU/wDfIo2P/wA9T/3yKk2mjaaAIXR/Lb96fun+EUqo+xf3p6D+EVJIp8t/90/yoRTsX6CgBmx/+ep/75FGx/8Anqf++RUm00bTQBAiv5kn709R/CPQU/Y//PU/98ilRT5kv1H8hT9poAg2v5/+tP3P7o9aeEfP+tP/AHyKXaftH/AP61IFOaAK0Kv5KfvT0/uildX3x/vT97+6PQ1JCp8hPpQ6nfF/vf0NACbH/wCep/75FGx/+ep/75FSbTRtNAEex/8Anqf++RRsf/nqf++RUm00bTQBHsf/AJ6n/vkU2RH8p/3p+6f4R6VNtNNkU+U/+6f5UAMCPtH709P7opdj/wDPU/8AfIqQKdo+lG00AR7H/wCep/75FGx/+ep/75FSbTRtNAEex/8Anqf++RRsf/nqf++RUm00bTQBBGr/AD/vT98/wiiVX8v/AFp6j+EeoqSNT8/++aJlPl/iP5igBNj/APPU/wDfIpgV/Of96fuj+Ee9WNpqMKfPf/dX+tADWR9jfvT0P8IpER/LT96fuj+EVKynY30NJGp8pP8AdH8qAImV/Nj/AHp6H+EU/Y//AD1P/fIpWU+dH9G/pT9poAgiV9p/en7zfwj1p+x/+ep/75FLEp2H/eb+dP2mgCCVX8l/3p+6f4R6U4I+B+9PT+6KfKp8mT/dP8qcFOB9KAI9j/8APU/98ijY/wDz1P8A3yKk2mjaaAI9j/8APU/98ijY/wDz1P8A3yKk2mjaaAI9j/8APU/98imRq/z/AL0/fP8ACKn2mmRKfn/3zQBHIrBQTISNy8YHqKmpsqny/wDgS/zFSbTQA2il2mjaaAEopdpo2mgBKKXaaNpoASil2mjaaAEpRncMdaNppyqQwPvSGNW4jdwi3ELMTgKGBP5VBH/x93X/AAD+VRW3h/SrTWJ9Vgs40vZxh5APzIHYnuR1qaNT9suv+AfypoGS0Uu00bTQISlH3hRtNKFO4UAf/9k=">
          <a:extLst>
            <a:ext uri="{FF2B5EF4-FFF2-40B4-BE49-F238E27FC236}">
              <a16:creationId xmlns:a16="http://schemas.microsoft.com/office/drawing/2014/main" id="{00000000-0008-0000-0900-000002A40000}"/>
            </a:ext>
          </a:extLst>
        </xdr:cNvPr>
        <xdr:cNvSpPr>
          <a:spLocks noChangeAspect="1" noChangeArrowheads="1"/>
        </xdr:cNvSpPr>
      </xdr:nvSpPr>
      <xdr:spPr bwMode="auto">
        <a:xfrm>
          <a:off x="11944350" y="451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14</xdr:row>
      <xdr:rowOff>0</xdr:rowOff>
    </xdr:from>
    <xdr:to>
      <xdr:col>8</xdr:col>
      <xdr:colOff>304800</xdr:colOff>
      <xdr:row>14</xdr:row>
      <xdr:rowOff>304800</xdr:rowOff>
    </xdr:to>
    <xdr:sp macro="" textlink="">
      <xdr:nvSpPr>
        <xdr:cNvPr id="41987" name="AutoShape 3" descr="data:image/jpeg;base64,/9j/4AAQSkZJRgABAQEAYABgAAD/2wBDAAgGBgcGBQgHBwcJCQgKDBQNDAsLDBkSEw8UHRofHh0aHBwgJC4nICIsIxwcKDcpLDAxNDQ0Hyc5PTgyPC4zNDL/2wBDAQkJCQwLDBgNDRgyIRwhMjIyMjIyMjIyMjIyMjIyMjIyMjIyMjIyMjIyMjIyMjIyMjIyMjIyMjIyMjIyMjIyMjL/wAARCAG/Ay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2ma/nWeRV8kKrbRlSTx+NM/tC5/6Y/wDfB/xqheSbbyYf7Z/nXJfEO9ntvAOrTW1xJBMsa7ZY3Ksvzr0I5FbWSjcyUm5WO8/tC6P/ADx/74P+NJ/aNz6wf98H/GvE9R1u+1EWeoPdzQ22pTJZafE1w8IW2T5prl9rA5OOCTwPrUjfE3WIo9XlmitLY2Uf7qzaEuSWIWI+cH2sCTk8DocUe6F5HtH9o3PrB/3wf8aX+0Ln/ph/3wf8a8mufiFew3l7bCazZoYoLaF4ovME16w3OB84GwDPUjHHNYlx4v1DxPoOm2uq+VDHPqEk0zwqU3WluNzEjccZYY4J6UPl/r+vn6AnI90/tC5/6Y/98H/Gk/tG59YP++D/AI14vp3ivXja6dBpd5pv9p6kWu7i3u98gto3bKsXaT5Rt24QA5zwBU6fEy+k8SW8du9tcaK6yyPMbfyz5cSZdwfMJ+8DjKjt1o90LyPYf7RufWD/AL4P+NL9vusZ/c4/65n/ABrhvDOuard+HE1vXGtIYJLc3CxQxspROSCxJP8ADivPLS78QSWEfi2Z9UtIoppdRmmnvD5EsJ/1cMcQY5zwMkDrQ0k9UCbfU97/ALRufWD/AL4P+NH9o3PrB/3wf8a8gvvHXimzFhY/ZrCTVLuyW9cLHtWBPTDyKGJPoRj3qzpvjbX9akks45NH0q7s4YzdveEuJJXGQsahh8uMc5PWiyvYV5bnq/8AaFz/ANMf++D/AI0n9o3PrB/3wf8AGvGNL8cX9xeTtBPZWkmotNdrdX0jtDFbRHYpVC2NzENwuB35rorfxjer8MX8SanAlvd/ZndUUEK7ElYyAeRu4OKPdtcd5Xsejfb7odfJ/wC/Z/xpP7RufWD/AL4P+NeDwS+J/DVnaayTqMU/kLamDUrszC9u5W4IjDEKijnqDxW/rPjnXLCXWLSO50eO40mJJJmljf8AfyOPlijTdkn1b1PSiy6heT2PWf7RufWD/vg/40f2hc/9MP8Avg/414trvjzXNS0m/g0/7FYyK0WnNBJl7iW4lADhORtC5PJBziprTxjd6XYS6RpTWb/Zr+HSdPVwWdyo/fSuN2SOuOnWi0f6/r0C8rHsf9o3PrB/3wf8aX+0Ln/pj/3wf8a8jl8e6xeeHrzxDZXujWtjEJfJtJkaS4dVyoY4YYJbHy479ao6V4m1zRdMh0iXWNNe6SwOpzX16WcIrciIfP8AvGzxkEADtR7oXke0/wBo3PrB/wB8H/Gj+0Ln/ph/3wf8a5bw3qt5qvhzT7+/txb3dxCHkiXOAT04PIyMHHvXNHVbLU9W1bXdbuRFo2iTm1tY2JC+aB88pH8TZO1R2+tNxSYlJs9P+33XpD/37P8AjR9vuh18n/v2f8a8LMktrpmoeLI9R1C3gSLZp2myak88jyP8qSSgscZJyF9uaguY/Eug6S92JdXtpbm0j06K3vL0yy3N3IRukRdxCADOOc1OnYd33Pe/t90Ovk/9+z/jR9vuv+mP/fs/418/wazeW+h6xf6dqd/Ct00Wj21rfXjSSpckjzJWyT5Z+9jBroNR01tL+HGsnUJxc3VxGsEDQ6jNdLJJkBCu/oxf+6O1Oyte39f1+YXd9z1/+0bn1g/74P8AjS/b7o9PJ/79n/GuP0S9vp7p4ZL2wntbWCOB1hYtMtwAN/mHoPp1rh7a8ufEPiHWNcuNQQaJbTtGkS6nLBIsUI+Z1jThsnu1DUUxKTaPZ/7RufWD/vg/40v9oXP/AEx/74P+NeN2/wAQvEQW3nuxpqQy6XPqTosL7oEGRFu+bncdvHfNM8N694ks49L05tUsLmW8tpdUup7hXk+yxHkAkPzz2GMAYosu39f0mO8j2b+0bn1g/wC+D/jS/wBoXP8A0w/74P8AjXi6fFPUU1aWUxw3OjJaS3YZYPKkKL8qEHe3V8D5gOuar3nii+uPENnea1fWJttMtRerFZIzqlxMNsMbfN85HXt3pe6F5Ht/9o3PrB/3wf8AGj+0bn1g/wC+D/jXnXgXxVq+vHVjq0dukVlMIlliTZlsZcEB2HHHINZQ8f6tJow1HzbKL7fcyxaXbi3LySorY3MS6qBgNzkdRTaihXkesLq0sjOqS2rsh2uFGSp9Dzwaf/aFz/0x/wC+D/jXimg+Nr5NK0i2todI02S9e5uZp5YyIxBHn94w35LM2f4j0qGX4i6i9tpd/qNsoe0tpL6eOFpIlk3P5cAI3cBiQSGzxzR7o7yPcf7Quf8Aph/3wf8AGk/tG59YP++D/jXiFz4lv/8AhKnvdW1Cxmk0u3WKzWziYxG8nHCcvhyqg5OQPpXX+A/E2q+ItOvrjU4oU8i6aCJ4k2b9o+bI3MOD3BNCSYnJo9A/tG59YP8Avg/40f2jc+sH/fB/xrK873o873quRC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P7RufWD/AL4P+NZXne9Hne9HIg52av8AaNz6wf8AfB/xo/tG59YP++D/AI1led70ed70ciDnZq/2jc+sH/fB/wAaUajc56wf98H/ABrJ873pRNz1o5EHOxmpNjUJh/tmqFxFBd2729zDHNC4w8cihlb6g9a6G4JFxJj++f51QudUtbOeOCebbNIpZI1RmYgdTgA8U4u6tYmSSd2zIlsbCfy/Os7aTykMce+JTsQjBUegI4xUUej6RFZSWUel2KWsjbngW3QIx9SuMGugtL2C+t1uLWYSxMSAwHcHBHNI94FleJIp53RdziGPfsHbP19OtNyS3QKN9mc+2i6O0HkNpVgYfM83yzbpt39N2MdfenDSdKEYjGm2YQRmIL5C4CE5K4x0J7VuW+oRXUhSLf8Ad3hiuFYZxkGoG1y0W5ntyZfMhOGAj4J9j3qXUiouT2Q1BuSit2Y39h6Kblbk6Rp5uFIZZfsybgR0OcZ4xQmh6LF5nl6TYJ5ilH226Dcp6g8cg10Vtex3W7y94K4yHXHXp/I1OGJbAPNKFWE480NUOVOUHyy0ZhvFBJbG2eGNrcpsMRUFSvTGOmPamSWtpNZizltoHtQAogZAUwOg29OKv2Wu2d/cGCF3WTbvAkXbuGccetaILE4zWjdnqiEk1dM5u903TdS8v7fp9pdeX9zz4Vfb9Mjikl0zTJ7xbybTrOS6VdqzNCpcDGMA4z0rQ/4SGzJIHnkjk4QcD1xnNaMNzHcJvhlWRQcEqc8+lZxqwlsaSozgveTRzcuj6RNHbxy6XYyJb8QK9uhEXf5Rjj8KtXENveQ+TcwRTRZB2SIGXI6cH0qzqHiTS9LuhbXt2IZiFO1lPQ5wc+nH8q0Le5S6toriFi0UqB0JGMg+xpqrFuyCVGcYqTTszGnht7kxG4hilMT+ZGZFDbG/vDPQ+9Qyafp01+l/LYWsl4n3Lh4VMi/RsZrYuNTjtoriaWOfyLc4lmEeUTgE857AirKTLKgeORXU9GUgg0+dEcrOcOlaU179tOm2Zuy4k88wLv3Dod2M596VNL0uK7+1x6dZpchy/nLAofcep3Yzk+tdDJMI4pJWPyxqWbA7DrUP24/aEtza3Qmdd6xlF3FfUDPSqWuyJdluzBXR9IU3BXS7EG5GJyLdP3ozn5uOeeeaDoujt9n3aVYH7MMQZt0/dc5+XjjnniuijuVkt/PG5UwSdwwRjOcj8DUaahG8gTbMhJxl48Ade/4Gs5VoQajLRs1jSnNOUdUUfM5zmsa18OaXbR30Lwi5try6N29vcqsiJIepUEfzzXXh9wBVgQehByDUNzexWgTzWbLnChRkn/PFE6sILmnohRpyk+WJzsOhaJbAiDSNPiDMrkJbIuWXoeB1Hark0NvcSRSTwxSvC2+JnUEo3qM9D71tJcK8PnKx2YJzj061Db6jDdSmOMvuAzhlx6f4il7emmlda7a7+g/YzabttuYE2iaNceZ5+lWMvmP5j77dDub+8eOT71Avh7Tlv7S5CbYrLJtbRAqQQuerhAB83uc4zxXXJJvXcpOD0OOvuPalDkjIOQavmXYizMKCC2tVkW3gihEjmSQRoF3serHHUn1qlHoOhwtI0Wj6ejSKUcrbICynqDxyD6V0T6hCkhQueDgkLkD8asbj1BrOniKVRtQabWjs9i5UpxSck1c502GnnzM2VsfMiEMn7pfmjHRDxyo9OlNttM02z3fZdPtINyeWfKhVcp128Dp7V0m4+tG4+ta8y7EcpzEOjaPbpKkGlWMSSp5cipboA69cHA5HtSLomipbyW66TYLDJt3xi3QK23pkY5x2rqNx9aNx9aXMuwcvmc/b2dlaWzW1taW8EDklooowqtnrkDjmopdK0ue3ht5tOs5IIP8AVRPApWP/AHQRgfhXS7j60bj60+Zdg5Tiv+ET0NtVe/msoZyYUgigliRooFU5GxccHNacthp85mM1jayGdVSbfEp8xR0DccgdhXRbj60bj60uZdgt5nL/ANi6N9na3/sqw8hnDmL7Om0sBgHGMZx3q3bQW1lAILSCK3hBJEcSBVBPXgVu7j60bj60+Zd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b/etjcfWjcfWjmDlMff70b/etjcfWjcfWjmDlMff70b/etjcfWjcfWjmDlMff70b/AHrY3H1o3H1o5g5TH3+9G/3rY3H1o3H1o5g5TH3+9G/3rY3H1o3H1o5g5TH3+9G/3rY3H1o3H1o5g5TH3+9G/wB62Nx9aNx9aOYOUx9/vRv962Nx9aNx9aOYOUx9/vRv962Nx9aNx9aOYOUx9/vRv962Nx9aNx9aOYOUx9/vRv8AetjcfWjcfWjmDlMff70ofnrWvuPrShjnrRzByj7n/j4k/wB8/wA65LWLPVZdTeVYYZ4SuxA9t5qhc5HQghuTnOQe1dbdZFzINr/fPRDUOf8AZf8A74P+FQnoW97mP4fg1CCKYXgVY3YuiCMJhiecLkkLjHBOfpTr+JTcSxPdRxiQecgafyCHwE+9ghh8o44I/GtbP+y//fB/woyf7r/98H/CoqwjVjyy2Ejm/CjSgTWs8DwzWgKHPKyKzbgwbvmql5azy6nfAW77VmZ9xjbDg4wMjGRx711+T/df/vg/4Ubj/df/AL4P+FVG8IuMHYGoyacloZGgwPCs2/ccqgyykcjdxz9RWunErHtkfyoyf7r/APfB/wAKM/7L/wDfB/wqKUHCPK3ff8XcupLmldK234Kx55c2V/p0gkltpoGRgyToMqGAUKdy5wBljg4rtNEvpL6wEsxQtHIYi8ZJD7QPm59a0NxH8Mn/AHwf8KTJ/uv/AN8H/CumdTmWqOeFLkejOWW2lt5JFvLeRwyRhYwCcBVkGQwOPvFTg+vStzSsfZ5SqMqmX5QyleAijv7g1d3H+6//AHwf8KMn+6//AHwf8K5YUoxldHbUxEpxs/8AgfcedaxE8urzlUt2xeYPmRMzAZPU5+79Mdq6zwrn+xv4eJmA2ggY46ZJra3H0k/74P8AhSZP91/++D/hWNLC+zqOpe97/iZyqOUVGy08jA1W/CW1xpsXlNcXdyysJWAVI9iZJJ4Gex+tXNBsoLKwdYH8wvK2+UHKyEHGR7cVqbj/AHZP++D/AIUmT/df/vg/4V2J2VkZWu7sr3SlrC8VQSzJIAAOvBqJtRT/AIS6xvVZjYx2bRSMYTlXPTHy7scc49qu5/2X/wC+D/hS7j/dk/74P+FUpJbkyg29H/SK1moksQrghXL5BBBwWbt9DWWqRwXCNIXtmUE4lG8MdxHHI4xz+Nbmf9l/++D/AIUZP91/++D/AIVx4rDqur7SWztex04es6Om67FK0cRaVIYQpWISGPC4DYyRx9a52DXLjWbNr5lW1jhKoYcHeCVOWJ/uk4AH0zzXX5P91/8Avg/4Uu4+kn/fB/wrWMPcUZ+938yJSu246X/AjSNY7YRY2KEweenHNctr6z6NYre2EjBncRndEp3rtJGeOBwMD/Gusz/sv/3wf8KXcR/DJ/3wf8Kirh4VEujWz7GtDESpSu9U913Mrw1fXWo6JBdXv+vZmDfLt6Hj2/EVfM0dvaedMwSONdzMewqXJ/uv/wB8H/CjJ/uv/wB8H/CtoJxik3cyqSU5uSVr9Oxwr6s6BmTBWT5oww6DJyCR1PT8c+ldnYusmn28ibtrRqRuHPTvVjcfST/vhv8ACkyf7r/98H/CuenhaVKrKpTSV7bLsJ1Kslacri0Umf8AZf8A74P+FGf9l/8Avg/4V0ki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FJn/Zf/vg/4UZ/2X/74P8AhQAtFJn/AGX/AO+D/hRn/Zf/AL4P+FAC0Umf9l/++D/hRn/Zf/vg/wCFAC0Umf8AZf8A74P+FGf9l/8Avg/4UALRSZ/2X/74P+FGf9l/++D/AIUALRSZ/wBl/wDvg/4UZ/2X/wC+D/hQAtKOtNz/ALL/APfB/wAKUHn7r/8AfB/woA2JP9YaZT5P9YaZWZoFKQQMkHmkriLbT9VjeD7LBf2l15fl6jck589zKnzITkMQu85xwDj2o62A7el5rz6XU9dlutRt7SXUri4hBV1hK7IX8whCuFJI2AZHqecc1fkXxH9kaab7dKz5LwIqfIFaMjYMcEjzOuentQncGrOx2NBIVdzEBR1JOBXDRz+KQ1sLaPU5HNvI0jXgAXeVcquNowVbYMk8+mKW9h1eb5YItWmtXiUqbiFTI04JKiQEf6vPX8OaAsdxRWLpCast9Kb+a4eKVJGIfbtjYSkKEwOPkwec9qxrtvF32dTG8qFZjCSse5iEGFkwAcq55I44A6UAdpzSVyF3aa5KjGa41Ix+b5zLBtDIFn4EYAzzHzjnOBVeW48Tm4uvIh1RbcTJ5SSDLuMuCN+35QRsPQgdCRzRcDt6KKKYhRyaz01C4lBaKwd03FQ3mgZwcelaA6iuF1PSdQuriaW3huXgKxhoo3QLcbZGOOWGMZ59elIDrPtd7/0DX/7/AA/wpkmo3EKh5bB1QkAt5oOMnHpXE/2BrSW8Yh00GdTFKk0twNymOM4UkN97ccZ6EAZNbltHdJPfF9HktUuphM8zyoR0TAwrE/e3egqrAdWeDikpT94/WkpAFFFFABS4I6g8Uh6HHpXnlppPiHTLezmZL2XyrFoY0hlPmR7njY7+Dlgd3QE4X3pDseh0uD71y+iDxA1xaT6lJdYbCTROqhAPJB3YAznzOM5/CqF1Za1a6jPcwW17NC97dT7YpcMv7oqhXOcBuMcHkdOaAsdvzSVxUTeIprHZeLqPmm3cQCOMbXfe/wDruMj5dmM4796khXxLcAo82owjkysVQMJAkhKxnH+r3eXg/r1oCx2OcdTj8aK46L+37vXYRc2t2LSOWCRvMwVDgjLLwMDluAT0rsafQQUUUUAFFFFABRRRQAUUUUAFFFFABRRRQAUUUUAFFFFABRRRQAUUUUAFFFFABRRRQAUUUUAFFFFABRRRQAUUUUAFFFFABRRRQAUUUUAFFFFABRRRQAUUUUAFFFFABRRRQAUUUUAFFFFABRRRQAUUUUAFFFFABRRRQAUUUUAFFFFABRRRQAUUUUAFKPvCkpR94UAOk/1hplPk/wBYaZSGIwBUhiQO5BxVVpbNYvNNz8nlmXcJicoP4hg8j3FW8gcnGPeuMuvDWof2deQQC0lfeILQu+DHbgsw56BgzY78KO9DBHTC4sWgmmFz+7gJ81vMb5MevpVk26jqZR/20b/GuGl8K6vIZ/ONvdJNyI3uioV8D96eOSOePeug0bTbuy1i7ubl08uTcCwlLGclyysVP3dq/LigDWkWGKSKOSR1eUkRgyN8xAycc+gJp3kJ6yf9/G/xrmNE0DUrHUEnvLoTbZzI7GUEPlHXeABwTuXOT29q6vcv94fnQBH5Cesn/fxv8aPIT1k/7+N/jUm5f7w/Ojcv94fnQBH5Cesn/fxv8aPIT1k/7+N/jUm5f7w/Ojcv94fnQBH5Cesn/fxv8aPIT1k/7+N/jUm5f7w/Ojcv94fnQAwQJkfNJ/38b/GsaJppGVEe2jaRn8uJnfcwB5ON3NboZcj5h+dYH2e5kubCWJrUQQvL5u9yH+bI+UAY/M01uJksP2i4DGG4tJQrFGKO7YYdQcN1prNIomL3NjtgwZdzviPuN3zcfjTLGxvLCBhHPZmQtEnzFivlIME9vnI/DPrRcWt/JLqxRrDZdwiOHdI2RgFcvx6E9M9KdkFy/wCZqRXd5lnjGc7Wxj86rJqcskUcqX2mNHI/lxurZDN/dB3cn2p6C+WGGMtYbVtikikscy4AXB/udc5Gayo9FvXtwLiawWeRnEzRM2NrbMsvAww2YAwBjvRZXFfQ0zqcwWdjfaYFtziY7v8AVn/a+bj8au2VxPM86T+UTGVw0YOCCM96w/7N1B7q4uZW0zzPNV4AjMFKqzEK4xwPmySMkmtbSLcWsbwB9/lpGm71wuKXQZo0UUUAFFFFABRRRQAUUUUAFFFFABRRRQAUUUUAFFFFABRRRQAUUUUAFFFFABRRRQAUUUUAFFFFABRRRQAUUUUAFFFFABRRRQAUUUUAFFFFABRRRQAUUUUAFFFFABRRRQAUUUUAFFFFABRRRQAUUUUAFFFFABRRRQAUUUUAFFFFABRRRQAUUUUAFFFFABRRRQAUUUUAFFFFABSj7wpKUfeFADpP9YaZSTTRLKytKgI6gsAaZ58P/PaP/vsUWAeQGGGAIPYim+TF/wA8o/8AvkUnnw/89o/++xR58P8Az2j/AO+xRYLi+TF/zyj/AO+RR5MX/PKP/vkUnnw/89o/++xR58P/AD2j/wC+xRYLi+TF/wA8o/8AvkUeTF/zyj/75FJ58P8Az2j/AO+xR58P/PaP/vsUWC4vkxf88o/++RR5MX/PKP8A75FJ58P/AD2j/wC+xR58P/PaP/vsUWC4vkxf88o/++RR5MX/ADyj/wC+RSefD/z2j/77FHnw/wDPaP8A77FFguL5MX/PKP8A75FHkxf88o/++RSefD/z2j/77FHnw/8APaP/AL7FFguL5MX/ADyj/wC+RR5EP/PGP/vgUnnw/wDPaP8A77FHnw/89o/++xRYLh5EP/PGP/vgUeRD/wA8Y/8AvgUefD/z2j/77FHnw/8APaP/AL7FFguHkQ/88Y/++BR5EP8Azxj/AO+BR58P/PaP/vsUefD/AM9o/wDvsUWC4eRD/wA8Y/8AvgU9UVBhFVc+gxTP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PPh/57R/8AfYosFySio/Ph/wCe0f8A32KPPh/57R/99iiwXJKKj8+H/ntH/wB9ijz4f+e0f/fYosFySio/Ph/57R/99ijz4f8AntH/AN9iiwXJKKj8+H/ntH/32Kcro4JR1bHXac4oAdRRRQAUo+8KSlH3hQBkXuz+0bjeM8rjn/ZFZ2oXkNhZNOIPNfcqIm8jczMFAz2GSOav6jFNJfzmKNn+YA7R/sis6506W6tnguLWRonHzAgj8c9jnvWq2M3uUR4itbeWe3v7R47i3Leb5DGRAoVW3ZODyHUYxnNTtrNv/Zc98lnMotpvKmimO1kwQGPBI4Bz+FRHw2vkTRi0nLzI6vLIWdm34ySSck/Kv5Ulj4bks7do5Eu7l3EglklLfvN5G7Iz7DnrQAP4l0yC4WK4XYZZmjiIfO5QwTeeRwW44yeM01fEtpM9stvpt7IZpAuCoUhSrMHALcg7T71Kvh6MJaCOznUWqiOIozD5Qc7Sc/MMjPNL/wAI8u1AtncJs2BWR2VhtBA5B9GI980W8wv5DIvE2lS3KWwjmEzTGEqSvykAE5IbHccAk9eOKjj8QobeaV7IfIIXULIRuWWQov0OAD+NRnwdbi2aCK0uo1JyP3jMAQMA4JwcYGB7Vck0ASSxSNZz5iVFCqzBWCHK7gOGweRmheoXM8+K4sWJOmyxfaCcpI3zYyQCuCQecdcf1rS/te3l0V9QgtZAclI45uCz7to6E8E9welVpfCdvMMSWVywGduZX+QE5wvPAz2FSR+HWh+zCOK8225XaruzghclRyex5z14xQvNg32KUXi2B75LQ6exlNxNFIFl+6iBirjOB8xUjGRj1qeLxXp0nmy/ZZxaRQ+a9wSu1TuZSpw3quARkc/jU8vhqGeExSaa5Us7HqCS27PPX+NvpmmL4XiSLyhZ3OwoyMpkY7wTuO7nk5JIPY9KLPuDfkNXxPpsyI1vbzyg43EYwuWK4zuxnKnvjjrVjS9ZtNWnk+zx/uUjDAlvm3bmUjgkcbeoNRSeGYprZ7eayuJI3UK292JYAkjJznqxqax0L+zg32aznUsMMzEsTyTyT7k016iuaX7n+5+po/c/3P1NQ/Zrv/n3l/75pBb3ZGRBIR7CjQNSf9z/AHP1NH7n+5+pqAW92RkQSEewpfs13/z7y/8AfNGgak37n+5+po/c/wBz9TUP2a7/AOfeX/vmj7Nd/wDPvL/3zRoGpN+5/ufqaP3P9z9TUP2a7/595f8Avmj7Nd/8+8v/AHzRoGpN+5/ufqaP3P8Ac/U1D9mu/wDn3l/75o+zXf8Az7y/980aBqTfuf7n6mj9z/c/U1D9mu/+feX/AL5o+zXf/PvL/wB80aBqTfuf7n6mj9z/AHP1NQ/Zrv8A595f++aPs13/AM+8v/fNGgak37n+5+po/c/3P1NQfZ7s9IJOPag292BkwSD6ijQNSf8Ac/3P1NH7n+5+pqH7Nd/8+8v/AHzR9mu/+feX/vmjQNSb9z/c/U0fuf7n6mofs13/AM+8v/fNH2a7/wCfeX/vmjQNSb9z/c/U0fuf7n6mofs13/z7y/8AfNH2a7/595f++aNA1Jv3P9z9TR+5/ufqah+zXf8Az7y/980fZrv/AJ95f++aNA1Jv3P9z9TR+5/ufqah+zXf/PvL/wB80n2e7zjyJOenFGgak/7n+5+po/c/3P1NQ/Zrv/n3l/75o+zXf/PvL/3zRoGpN+5/ufqaP3P9z9TUH2e7HJt5f++aX7Nd/wDPvL/3zRoGpN+5/ufqaP3P9z9TUP2a7/595f8Avmj7Nd/8+8v/AHzRoGpN+5/ufqaP3P8Ac/U1B9nu/wDnhJx14pfs13/z7y/980aBqTfuf7n6mj9z/c/U1B9nu848iTPpil+zXf8Az7y/980aBqTfuf7n6mj9z/c/U1ALe7IyIJCPYUfZ7sdYJOenFGgak/7n+5+po/c/3P1NQ/Zrv/n3l/75o+zXf/PvL/3zRoGpN+5/ufqaP3P9z9TUP2a7/wCfeX/vmj7Nd/8APvL/AN80aBqTfuf7n6mj9z/c/U1D9mu/+feX/vmk+z3YGTbyf980aBqT/uf7n6mj9z/c/U1D9mu/+feX/vmj7Nd/8+8v/fNGgak37n+5+po/c/3P1NQ/Zrv/AJ95f++aPs13/wA+8v8A3zRoGpN+5/ufqaP3P9z9TUP2a7/595f++aPs13/z7y/980aBqTfuf7n6mj9z/c/U1B9nuz0gkP4UG3uwMmCQfUUaBqT/ALn+5+po/c/3P1NQ/Zrv/n3l/wC+aT7Pd5x5EmfTFGgak/7n+5+po/c/3P1NQ/Zrv/n3l/75pPs92RkW8n/fNGgak/7n+5+po/c/3P1NQfZ7vOPIkyfal+zXf/PvL/3zRoGpN+5/ufqaP3P9z9TUAt7s9IJD+FL9mu/+feX/AL5o0DUm/c/3P1NH7n+5+pqA292Bk28gH0pfs13/AM+8v/fNGgak37n+5+po/c/3P1NQ/Zrv/n3l/wC+aPs13/z7y/8AfNGgak37n+5+po/c/wBz9TUP2a7/AOfeX/vmj7Nd/wDPvL/3zRoGpN+5/ufqaP3P9z9TUP2a7/595f8Avmk+z3Z6QSH8KNA1J/3P9z9TR+5/ufqagNvdjrBIPwpfs13/AM+8v/fNAXZN+5/ufqaP3P8Ac/U1D9mu/wDn3l/75o+zXf8Az7y/980Bdk37n+5+po/c/wBz9TUP2a7/AOfeX/vmj7Nd/wDPvL/3zQF2Tfuf7n6mj9z/AHP1NQ/Zrv8A595f++aPs13/AM+8v/fNAXZN+5/ufqaP3P8Ac/U1D9mu/wDn3l/75o+zXf8Az7y/980Bdk37n+5+po/c/wBz9TUP2a7/AOfeX/vmj7NeZx9nl/75oC7Jv3P9z9TV7TMbrnHTeMfrWZ9jvv8An1m/74NaemKym4DqVbcMg/jUy2Kje5fooorMsKUfeFJSj7woAzrp9t3OM/8ALT/2VarSykxMMnkU++eX+0Z0jiV+QSWk24+VaqzNcCFy1vGFAySJgSB9MUDKk2uzLqEsPlLtXUUtN2T0aMPn684rV80+pqCTRbWW9N69kjXBGN5f2x06ZwcZxmmx6DZwtG0djGpjKFCG+6UUqv5AkfjRYG0YmteKJ9GuDClskqm0kljJYjM28hEOP4Tg80p8XSvLFbW9j510xh3Ktwu3D4B5zwQSODW4ulpIGeW2R3dGiZieqFidv05qAeGdNHmY02MeaAHw5GcEEY545A6YosF0Z8fi+Ca6ktoLW4lkWUQrhgAzbip5PAwQevUciorfxd9suba2ij2SyPHuO8MCjHB4ByrdODW2mh2scxmSzUSFg+d5PzDoQM4B+lRQeG9OtZvNg02KOTIYFW6Ec5Azgc0JdwbRd80+po80+pp/2Z/+ef8A48KPsz/88/8Ax4UWC4zzT6mjzT6mn/Zn/wCef/jwo+zP/wA8/wDx4UWC4zzT6mjzT6mn/Zn/AOef/jwo+zP/AM8//HhRYLjRMcjk1j3Gr3NnqFlBsSOzkwGnkR2BcvjYCvCHpgtwc4ra+zPn/V/+PCqQ0WCeWC5ntUkni+45c4GCSOM4OPcUWC6Mu+1y9sLiRYYoHtra3SeYOWDsGkZcKegIxnkc9KRPGME8ssdraXM7rL5aYZVD/eyck4XGw8HnpWn/AGFa3M0N3cWcctxGMLIXPZiRxnBwTnkVIuh2qStKtmgdn3k7z97nkDOB1PT1pWYXRkyeL4Ej81bW5eEr8jhl+Z9gfZjPB2sOTxUVz4y+y487TrmNvMaPbvRixU4YDB45xyeua2P+EdsPM8z+zotxjEed38IwAMdOgAz14p02g2dwQZrCKQh2cbj/ABMck/iadtQujLk8WwW8kKXUEkJd3RwZVZo2TOeAckfL1FR3Xie5jVYksZYrma3M8KMysdgBJY/NjhQTt61rv4fsZLoXL6fE0wJbeW7kkkkdDyT19TUX/CL6Z5QiOmxlB0BkJwPQHOQOTx0pWYXRFYeIE1C68mOCZYyGMczEYk24DcA5H3h1rU80+pqOPS4opBJHaojjdgqQMbsFvzwPyqf7M/8Azz/8eFOwXGeafU0eafU0/wCzP/zz/wDHhR9mf/nn/wCPCiwXGeafU0eafU0/7M//ADz/APHhR9mf/nn/AOPCiwXMXV9WutORJIY08lpHM88iO6RAAEbgnIB/vdBjmtSSbMJIOQcHr7ioJ9Fgv+Ly1WYJISoLkYzjIODyOOh4pW0eCFjNDaRxy7mO8N3Ygt+eB+VFguY58U3MF1eQz2LT+TOyK1uwXCAooLbjyxLjpTh4whUyGeyuYYomaOSQsrBZFVmK4ByeFPPStVPD9lHJO6WEYedt8pLk7jkHPJ9QD+FRx+GrGO9uLsWStLPnfufKjIwcDpzk5PXk0rOwXVzMufFk8cE6w6XM13ApMsTzIAmCo5bPOd46VbtvEkVxrLaUYJo7hAfMO4MEcKGKnHsRz0NXI/D9lDA0EdhGI2Ro2G7OVJyQSTnsPyFPh0W3t5xNDahJAmwN5pPHTueT7nn3p2C6J/NPqaPNPqaf9mf/AJ5/+PCj7M//ADz/APHhRYLjPNPqaPNPqaf9mf8A55/+PCj7M/8Azz/8eFFguM80+pqrqN61pZTXSjc0MUkgUngkITirv2Z/+ef/AI8KiktHZ4wY1KncGUkHIxRZgmjDm8USW9y8TWUkpEMcoETgEAxs7E7j2C8etbqXAkjV1J2soYfQ1Vh8PWNvGUisI1U5zlyeq7TyTnGOMVYg01LbzPIt1j8xt74bqcAZ/ID8qLBcc8p8t+T90/yrHufE8VjPJFNbTiKIFPODLtZxGH2gZz079M1tSW0nlPhMfKf4qop4dtDcz3UloJZrhdshd8jG0KQB0GQPrRYLohsteN5ftZfY54pow3n7nUiIg4xwfmzx0rT80+pqG10a3sgPs1okeF25DZOM55J5PPPNWfsz/wDPP/x4UWC5nz6g8Go2kCqGF1MUY5OQBEWyP++a5pPHV0ygGzi8x2t/Kw7YKvt8wn3UMMetdVcaTHfCSK6t1lj3hgN5BU47EYI/ClGiWoieIWMQjcoWUEYJXG38to/KhILoq63qcumWE93CoeSNVChgzDmRV6LyevQVJo2pS6hpkF3KFVpMkbM7WAYgMAeRkDODyOhqzPp/2mTy5oVkjKglGbuGBB/MCof+EfsvMd/sEW523Md3U7t+f++ufrRYLoyZvEF1b+ILTS4oo2jkWMncrbjuL5w33RgJnB5POK3JpZML5eC+TtDHjO04qL+x4LiMPPaRyOwTcxPJ2klfyJP50RaRDZvGbW1SL7qHa3VVB2j8MmiwXRgz+LpF0yS7WNEVIU3sXGUlOSyhSRu2henXmmjxfcSC6ghgMtxDL97hVSLzAu45PJ5HArdl8OWE8LRSadEY3ladl3YzIwwW4PUg4NI3hnTXcO2mQ7g+/IbHOc5PPPIHX0oSC6I7LXor2SYCKWJEj85HYgiSPcy7hjpyp4PNZTeNBbrLNdWkqRuUNtEGBdkMe8scHrjovXtXQW+j29o8z29okbTHdIQ33uv5Dk8Djmq6+GdOSFoU05FjZg5CyEHIGOucjjjHTHFKzC6Lqz70VgWwwBGeKSSU+VJyfun+VSfZnAwI/wDx4U2W2k8l8Jj5Tzu9qdguZ0Wuxya2+lFCJUi8wOJAwIGMggcqfmHWtHzT6mq8Wi28V416lmi3Ugw8ofk8DPHTnA/IVb+zP/zz/wDHhRYLoZ5p9TR5p9TT/sz/APPP/wAeFH2Z/wDnn/48KLBcZ5p9TR5p9TT/ALM//PP/AMeFH2Z/+ef/AI8KLBcy7nULmDUbGCIRmK5uJElLA7gAhb5cHHbvV+SUlMZPVf5iq0+iW9+Q15aJMY3fZlyNu4YPQ9xxT/7JigDPBbJG7MCWDdfuj+SgfhRZhdFbTdSvL9pLkiBbIySRxgbvMyjFck9OcHjtx1qPWtVn02BZbdVeSWaKEbo3fG4tztT5m+gq23h+xNw85sI/Ndw7HeeWBBBxnGcgHPfFNfQbWWE2klmhtlKusYcja2Scgg5zkk9aLMLoltrmWWySSY/vGTLYjZB/3y3I+hqhcahqUWr2FpA1p9nuI2YmRHLrsC56NjnPHHFWxoNpHho7NA6bWVjIWIKg7TkntuP51YGnhzBLJArSxoVRy3IDAZx9cCiwXRV1bUHsNOuLyNQ7wQSSKrZwSBnHFGl31zdWnm3OA5bgLBJDxj+6/P49Kf8A2LbrCtotpGLV4zG0W7hlxjH5UxfDdgsXl/YFZCrJh5Wb5WxkZJPBwPyoswuiGfUbz+0IrCxWDzXSSd3n3bdocDAC9yT17e9O03XU1KV0WGWL5BLGzMCJIyxUMMdOVPB5qeXRoL5E+12qSmN2KHeQVyeRkY49R0NEfh+yiYtHYRKTKJSQ38YyQfbGTwOOTRYLosSynyZOT9w/yrn5fFMlreaj9oQC1tJRCgWJ9zsQmMyH5By/TrW1Ho8FnFJ9ltEhJiEeVb+EZwPoMn86e2kwyQzRPaoUnbfKN2N7YAz9eByPSiwXRix+KJJ2jWK3w1wImt1kJUlSSJN3+7tPt09aoXHjaaS4to7GFAJJWhk3q0+CACCvlnLDB7V040W2DQN9jQtAjRxMzZKq33hk+vvUNv4b0+0aJoNOiRom3RncSVOMcEn0AH4UW1C6MZfGYiN39ptztt51hJVghbOckKxyeh44IrR07W5dQ1KaNYWjtBCHidiMyfOylsDoPl6Gn/8ACJ6e09xNNaCd55fNO98bTjGBjHHXrnPerdtottZzzTW1mkUk3+sZX+9yT+HJJ49aLBdE/mn1NY2qavfWdwI7NLdgIZ7mTziwyIyvAI6E7jyc1ufZn/55/wDjwqhPoVrqDBr2zSdo3bZuc8AkZHB5HA4PHFFmF0WILoXMFvMu4LL5bgN1AJBrarFTTI4Z/Ojt0jkeUO7A9SSuf0UflW1QIKKKKACiiigAooooAKKKKACsTxeX/wCEUvljkMbuEQMpIIy6jqOe/atuqOsad/a2lzWO9kEuAWVtrLg5BBwecgdqTvbQZwlx4RnW1uGGpYZEnIIEnVVDD+P3NdX4QkaXQbaR2LO9vCzMxySSnJNVG8J6k8bRtrmoFXDK372Lndwf+WXoMVraLYjTLY2QOVgSNF5zwFwOfXFRRlWdKKrtOVtbK2v3IXJGL9006KKK0AKUfeFJSj7woAxr5iNWuMeg/kKrXDn7NL/umrV4u7Vrg79uAP4c54FV7mM/ZZf3xPynjywM/rQBnJPcNJqBE2sCPz1DK0cmY4gSGaM7epPQLn5QKt2D6mdat/tTzhDbLvj2Nszt5Ofu53f8C/CtYXUOJP8ATrf90P3nzL+7/wB7nj8akD5l8oXEfmbd2zjdt9cZ6e9UhMw72XUBqu2xa6OLeXKbD5W7BKkH7uc8f3s+1Rxy6hutdj3xhMp8gyK25xvH+tyMgbN33sdu+K3Y35EX2iMSYLbON2M9cZ6e9KJkZY2W7hIlOIyCCH/3eefwoQHOmXU/sspke/C7x5pRW3rJh8hMDOzd5fTjBPPWpXl1bzrjJuRKIv3iqp2KvyYMfGN/+s6ZPA9q3TMgV3N3CFRtrsSMKfQnPB9qUvh2Q3EYZF3MpxlR6kZ4HvQFzCjk1LzrTa12cj9yHVsOm58mXI+9s2Y3YOc981B5uqfYgQ9/jedrFW3mXYMKeM+Xv3D+7jviukEqsYwt1ETKMxgYO8eo55/CmNdwIoZ7+2VWYoCzqAWHUDnr7U7hcz9PuNRfxHqcV3DNHbrHGYDkGI8sDtP948EjtxWzUQYs7Is8ZdMblABK56ZGeKdtk/56D/vn/wCvSEPopm2T/noP++f/AK9G2T/noP8Avn/69AD+9Mh/1S/570bZP+eg/wC+f/r0yFZPLXEg/wC+aAOSN9cDV7uNNQu/MW6dHtwx8uO28kEuOPlIbow5JOKzNJ1S8ns7nzdaljnECmKW4upMrmFCWMWzBG4t82cj04rvY5wpjgN3EsrAlYiRuIyeQM5p73SxxebJfQpHuxvZgFz6ZJxmlYdziIdVuJNTt43u7qK38k7PN1BwJX81huVgn70EYwGxxWodUmvfAEk1nfSHUUtEWSWMfvI5SBk4x97rXR/aAJWiN5EJAu9k3Ddt9SM5x70j3KrIqSXsKyMMqrMASPUDNPoF9bnGy3fiaWTUbQC4S9mkhEEaMoEKqrFyrH5fmKgnJ/jqGbVtSluL69e4vbSyeGQREO2Fk+zqwQLj5SG3ENk5IIrut54X7RHy20Djk+nXr7UGUoxDXKKwXcc4BC+vXp70rAmcHBqmvpbRmCa7ufOe4aF2Tcfki4U8c84YZ6nNdJoFyZrq+WC8uLzT0WIwz3BJbeQd6gkDIHyn2JIrWNwvmmM3kPmbd5Qkbtv97Gc496jF/bSo8i6naOsYBdhKpCjtk54p9QLdFV/Pj81YvtkHmuu5UyNzD1Azkj3pZpkt1DT3UMKk4DSEKCfTk0CJ6KrfaYfOaH7db+coy0e5dwHqRnIp8UgnjEkNzFLGejx4YH8QaAHx9X/3zRL/AKo/UfzpqK/z/vB94/w0kqv5Z/eDqP4fegCbvRTNsn/PQf8AfP8A9ejbJ/z0H/fP/wBegB9FM2yf89B/3z/9ejbJ/wA9B/3z/wDXoAybq41FfFenwrDN/Z7RSbpEIKFsZ+fuMcAeuTS3Wo7xpdxHHfxrLc4eP7O+dmGB8xQDgZ29frWmXxIIjcRiRhkIQNxHrjOcU2SdIWRZbuGNpDhFchSx9snmgDBvotUs7fUGs57yUNLEgMzs5RTzI6BRnjIGF9K0oNQieKa1YXQmtrZJJjtZmXcDgAjkvwTjr0q19pixIfttviI4kO5fkP8Atc8fjUpDKCxkUDqSVx/WjoM5+C5v5o9JcG9BaKMMHjddzhsSeaCOPlyRnHPStXVzMLVfJMy/OPMaHPmBP4iuOc49OfSrCyrJsKXUL+YMptIO8eo55/CiUmMq8kyKq5JZgAAMdSc0MRz4lu0vI2jl1ho8K0QkjJVosHeXyPvjsG5+7xya0PD00k9hK8jXpHmnYL1GEirgcEsAT37YGcDpWgs6OyKl3CzOCyBSCWA6kc8inRv5yb4riORM43Jhh+YNCAe/+rb/AHTSr9xfoKjdZPLb94Oh/hpVWTYv7wdB/DQBJWfrcrw6LdPEbgShD5Zt1Zn3dsBQT1q7tk/56D/vn/69NdjGpeSdEUdWYAAfjmgEcx4g1Oe3uo5Ve7S1a38yKOJ2haabK/ITtJB28hSOTnPSq9zrTvou3+1DHdwXk3nxGRopHQPJtQOFO04C445xjvXVtOtuzGW7ihDMFBchdxx0GT19qke4EMRlkvYo4lOC7sAo7YyTikxoyr2WVrSxlP2+GBow0/kgmdfl4B2gnrjOB+ma1rcEW8QLSN8o5l++f973qKSRYm82S5iSPb998BeTxyTUy72AKyqQehC5B/WmIIf9Sn0qG/cJaSOTIMKxzECX+6egHOfpT4lfyl/eDp/dpJdybWaVVUHJJGAOD70AjFguL6Z9JcG8G6KLcGjZQzZxL5gI4OMEZxz0zVnUNRzaQTRR38ZW8VCq277mVXwxIAPyEZ56GtLzBuRftMeZBlBxl/pzz+FKzFNu+dF3HC7gBk+g560wM6K/MWoauWS+kihVJETyHIOF+YR5GGOccA1Wvrq5bWYktDqCyeQWCmJvIYlGKqeNobOMknjAHetpWLMyrOjMhwwABKn354o34lEJuIxKRuEfG4j1xnOKQ7nMyXV0lvap5usAtcZjkELsdo27vMG3J5LAA4GOegFaemveNcXwuDOVAO4SA7Vfc3CZ427dvTjPvmtAXEZVGF5Btkbah3DDH0HPJ9qUtvWVVnjYoCHCgEqcdDzwaAMC6vb82WqLZC7LpdIA0sUg2REKGKfLlgDu+7k+la0N2FtxBNFeK6Wold9jN7YDdS/fHWrIkHls/wBpi2x/fbjCY65OeKcGJjEgnQxkbg4Axj1znpQBziX1xJHoY3asszKnmsYJAh5AYSDb1PvgAZaret37NprGFNUhkE7RKYIXB3AH5jgElO4I+9wK1vOXMY+1RZl/1YyPn/3eefwp0knkrvluY41yBufCjJ6DJNAXMCa5vIpLx5TqTRiM7lgjbOMr5ZjGCAxy27GSO/QUWMuoNPp26S8cFV/1kbqrLlt/mZA5A2YLYJ6gcmt5pVUuGuolMa7nBwNg9TzwPc0CVWKAXURMg3IBj5x6jnkfSgLlaaKOe7hSVQ8eZCVbpnjFI1vDb3sXkRqgZG3BRjPzLinzNCi4uGVsudoMW4n14FMie2JKwFVc4OPIKEjI9aAC2s7WZHkmhjdzK+WYZP3jUCxhrGOI8oZlUjsV3tx9KmkksjK+7Y7AkMRbFue/IFP8yDyC5kjNuVUAeVkHk8Y+tIBs9pbQNA8EUcbeaoyowcc0JbQXF1OZ40k2rGF3DOPlpI3s/MAj2LIeFJtyvP1IpZXtQyrMUaQKM/uC5Axx0pgOtI0hu5441Cxh/lUdB8oq9VO3aJyv2dlCgkECLbg4HUVZ2yf89B/3z/8AXoEEf3T/ALx/nT6hjV9p/eD7x/h96ftk/wCeg/75/wDr0ALJ/qn/AN00o6D6VHIsnlP+8H3T/DTgsmB+8H/fP/16AH0UzbJ/z0H/AHz/APXo2yf89B/3z/8AXoAfRTNsn/PQf98//Xo2yf8APQf98/8A16AH1jSveDXolQz+UWGFUHyyvzeYWPTI+XGefTvWttk/56D/AL5/+vUaNh/LM8YdmYqhAy2OpAzQBK/Qf7w/mKsVUYP8uXBG4cbfcVbpMaCiiikMKKKKACiiigAooooAKVfvj60lKoywHvSGZ1pYazFrc13catFNZSDC2ggI8sDpg56+vrVqP/j8uv8AgH8qqWuvWd3rU2kx216t1DzLvhIVR2O7pg9vWrcf/H3df8A/lTEyaiiigApR94UlKPvCgDGvsnVpwPQfyFVbgMLaUnONpq3eiM6tcb1zwMckdh6VWuFh+zS4QZ2nHzN/jQBWTSL3zbyV7DTwzzrKoWQ4mVScIw2fKMHJPzZYmprHRZ7TVoLhyjrHAsZk3nJIXbjbj8c56cY71P8A2vZgXm6C9X7GAZS0TDIORleeRxn6c1Y+22f9q/2bmT7QE399vrjOeuOapbCZnXuj3F9qHnIIIo/Jlj84Md5LAjBXHY989OMUi6LdF4ZDHbx5kLMiuSLcb1b938vJ+XH8PWrr6jZW1z9lnMqP5by7iG2bV5PPrihdVsW8kFbhWlbaVZSDEcgfPz8vJA/EULyDUzv7Bu1gYeXbOykKsbOdsoAcb2+XhvnzjB+6OfR76Dcl5gHiYbPllZjulPyfIwxwvydcn73T1uHV7DynkC3DbWChVRizg5O5RnlcKxz7GnNqmnq8i7pSI03bwCVfp8qnPLfMvHuKeoalNNEuvOgY+SgzucqxzB87ttTjkHfjt93pRDoDNp7wXEFruaSMAAbgqKFDMCRwzBefr1NXV1OxZ4U/fKZRzuBAjOSMPz8pypGPUGo/7Z0/yBLi4wWxt2NuAxneRn7uCDn0NAaj7HTprbU7i4cRiNt+1lPzSbn3fMMcbfujk8eladUobu1nv57JBKJoFDNuDAEHuD3q15Seh/76NIQ+imeUnof++jR5Seh/76NAD+9Mh/1S/wCe9HlJ6H/vo0yGNDGvB/76NAHNtp2rQavLdWdtDJ5k5mE7mPlfKKiM7huUhgCCvGGOap/8IzqNlYfZI41u3jlM9vKgjRVkdCH3xyZDKW5JHPzEiuj/ALRsIbv7FNKyTLbtctndtEYPJJ6Z749Oarpr1nLLFFHYaq8kqmREFswJQY+fk9PmFLQq7Mi98PajcRT24s7fzmmluPtyyKNwaJlEQH3hyQvPGAKNT0W/1qbTVm0jyY4YVimeSaMkASRNxtJPRGx+FbNnr+k309rBbyytJdNMsalWHMRw+fT29e1a3lJ6H/vo00K7ON/4R3W3CSO9us1pdS3cJ4bzpGk4OcjYSgwTz98irniTw1da1fzzwssaPpzWpDc+YGLFoz6A/Lz7V03lJ6H/AL6NHlJ6H/vo0WC+tzl7bQr1Lu2SSzizHeLdPfb1LbAm0xY+9/s/3cflUg0GW2Pnx6dbzKmpy3Jtl2L5sbAhevGQTnBrpPKT0P8A30aPKT0P/fRoC5xmn+FtRtdStr2WKJo4njb7OrL8o3SnCtjPyb14zhgCPStjxRotzrUVnFbOieU8jM7qrDBiZQMEHqSBxyM5FbflJ6H/AL6NHlJ6H/vo0W0sF9bnFReH9TNvqEJsDEs8nmJG0kLRlRsPllwPM5Clc5xz6V0OlLf2llIJ7H5nuJHSNDEpSM42htuFJ69PxrU8pPQ/99Gjyk9D/wB9GgQR9X/3zRL/AKo/UfzpiRp8/B+8f4jRLGgjPB6j+I+tAE3eimeUnof++jR5Seh/76NAD6KZ5Seh/wC+jR5Seh/76NAGdc6fNNr9neLHAIoAS0m47zlSNu3HPXg54545pZbCXULa1N9b2guElVpCg3hVDbsKSM84XPTvViS5tYr+CyYv586M6AZIwvXJ7e3rzUd7ewWDxCWC7cSHG+JGZUyQBuOeOSKAMpdCu4muikVuY2uBOlu8pZZWy2SSV+UHcOPm5FXlj1FbS4sBa280cNrHHBJcOdtxJg7gwwcKMD65pz6paIbhfs98XgIyiwvucEkblHdflPPtVozQfYPtiLNLEYxIoiDMzAjIwvUn2o6D1uZVnpt/btphNnZr5EsrzFZzkb8j5RsA75xwO3vWjqlq93bxxxhGZZBIEk+6+3naevB+hqCLV7GUwDZcoZiRiRCvl4bb8/PGW4HqatXksNnGssgkIBwFTLMxPAAHck0CMg6LdG7EwstOj3lZDtY5jZQfkX5eVbPJ46twavaFZ3NnaSrdW9tBNJLvK2z5ToBx8q46Yxjt1zSLq9i1wsLRXkbnht8TgITnCsexODgd/wARVmyube/jd4454zG+x0mVkZTgHkH2IP40LyAtP/q2/wB00q/cX6Co3iTy24PQ/wARpViTYvB6D+I0ASVR1i3nu9Iura3iikllQoqyvtXnuTg9PpVvyk9D/wB9GobuSGytJbmVZTHEu5tmWOPpmgFuYOtadqd1drdWttDJN9m8kKzI4gkJVt2JBhlIGDgbuBioJdL1F9KFmdLlMtvdzTwSpNAVYszkEq+QRhuQRnnjkVuXN/bWd4ts0VzNPKN6x26M7BBgFjg8DJFNk1awjtYp1W4mE0zQRRxIzO7qW3ALnttY/QUhrYZdWV1LDYkw2s1xbx5eBztidtu044OMHkcVqQR+VBHHsRNqgbYxhR7D2qnc3UFr5TtFcOZVwkUalpCevTPYdatRCOWJJFWQBwCA+VI+o7UxDof9Sn0qK9WRrZlijSSRgQqO21WJU8E4OB+Bp0UaGJeD0/vGmzhIk8wq7BckhSSTgHpzQCMmDSbzOmtNHbo0EUUchWQsY/LJPyfKM7hwemPerF9DqdzZxD7LZvOl2sgHnMqiNXypyVJ3EDkY4z1qYahZF7VR5x+0orocHChvu7ueMnge9T3MsFqsbSLIRJIsQK5OCxwM88DPenqBUSHUYr7VLiK2tB5yobctMfnZVwN4C8A+oJqtfabfXuqRyG3s0hEJU3CyESq5RlJ+7yBu4G4dST2rUikhmuLiBVkEkBUPuyAdwyCDnkVDcX1pa3aW8yzpuBIlKt5YwC2C3rgE/hSHqZMmjX5hhjFjp7IZvMlQykeWBsACHZ327jjB7e9X9P06azmu5JfL2spVWQ5MnzM25uOD82O/TrSnV7JYEmaK8CM+xv3TZiPHL8/KDuX8xU8N1a3bXEUXmbogclsgMORleeRkEZ9RTDoZd1pOo3drqMQSGATXUc8flT8yqoUFWOz5SdvXDda1I0v4o/KMVtJGlsAPnKlpe4IxgLjHPX2qD+1rENPHsuTJAyoYwjbnLZxtGeeh9OlXkMMlus8e542Teu0klhjPFIDDTS9RMWjwy2OnlbVUErCY7lKsMbTs6YGccc8dKs6ta6nf6e8As9PlYzMAJJCMRYIBBKHDnoeOMnBq5HeWsosyqzYvFLREggcLuw3PBxTr65g0+3M8sdw6DqIVZyBjJJx0AHehgZcmk3yPcyQW9lIzI3lrMxKuWKfK/wAp4Tacdc57UWei3MM1izRQRrEFL7ZCxjKlzhflGQ27npjHQ1e/tKz8yVES4kaNdw8tGbzOmQnqRkZHbNJDqlhcPbpH5+ZxwSrAIckBW54JKsAPY0w1J5PkuopSrFVaQEqpOM49PpSOwmu45EV9qIQSyFerL6/SiRzHIsccJkeRmwDIVAAx3/Gk8xzKIZrfy2YblIlLdCM+nrSAdbSrbo0ciyhhI54jY9WJ7CoFjZbVMo/yyrIRtOQN7HpUqyzSljDabkDFQWnIJwcdMU0XCmATiFizFUCeYfvbiOvpxQA+4kW4MKoshKyhjmNgMDPqKI3EFxMzrJh1QqVQnOFx2pGllRkE1rsV22BlnLYJ9sUeY/mGKG38zy1XcTMV6jPvQA63+a7mkCsFdsruUjOFA71cqnC/nTFHiMbxkhh5hYdAetWfKT0P/fRoEEf3T/vH+dPqGONNp4P3j/EfWn+Unof++jQAsn+qf/dNOHQfSopIk8p+D90/xGnCJMDg9P7xoAfRTPKT0P8A30aPKT0P/fRoAfRTPKT0P/fRo8pPQ/8AfRoAfWRJp00utJdr5flh1YuT86bd3ygY6Nu55HTvWp5Seh/76NU/tdrHeizbzPNduoztUnOATngnBx9KALr9B/vD+YqxVRo1G0jP3h/EfUVbpMaCiiikMKKKKACiiigAooooAKNwT5icBeSaKiuf+PWb/cP8qBkn2yIfNyM9Tsb/AAqGFg9zcMpyDsIP4U6YHy+hqCw/j/3Iv/QaLCuXKKKKAClH3hSUo+8KAMTUGUavPuYLkDr9BVW4eP7NJiRSdvTPWr13IY9WuMEjIHT6Cq9zOxtZQWYgoR1oAjOjhra+h/tm523hLN8sRKZOTj5eeMDnOABVuOyhTUVvWu2eQIFYEKAxxjdkDPT+HOM84zVY6pqCQ6nKbe0aO0/1RWRv3mPvA8dQMcjjPHap5NVeLxDHpskBWOVf3cmxiWIUsTnG0AYxjOc9sVQmRzabbXlz5891IU2PGIcqFG7IJzjd07ZxnnFA0m23Ru97I7h90zHaPP8AmDYbA45APy46U271ebT7kI1ur2xikcOGO7eoLbfTkduvekGtXKyLFJbxb4323JVmxjeqDZ68sOvvTXkGov8AY1qI2VL2VWyPLcbcxoAw2DjBGHYZOTz14FObR7ItJi4dYyuEjBGI2+X5gcZJ+ReuRx71CNduXj+S2h8yTEkIZ22+WVdvm4+9iNunHIpTr8mXdbZfKZcRZY7i/wAmd3YL+8HTng0ahqSrpNoHiZrp328yg7cTNlmDNxxgsx4wOaZ/Ylp5Hlm9lLZ2l/lyY9oXy+mMbQBnr3zmhdbmEiK9vHtQ7LgqxzuLug2eoyh69iKi/t+5FvuNtD5oUzMN7bfKCB+OPvYOPTNGoWZfgs4YNRnvTdvI8q7ArbQEXOccAE+2ScDgVd82P/nov51nWGtRX+s39hFsxaKnIf5iSSGyvYAj8a1KQhnmx/8APRfzo82P/nov50+igBnmx/8APRfzpkMsYjXLr+dTd6ZD/ql/z3oAwJ/Dtjezy3U1zJ50zMGIcgeUUKGPGcdCTuxnNRz+H5Lq5s7i61O0uZLRDHGJrEMu07TnG8fN8vX36CpP7dvI7qWP7Lbm2W6NnG/mNv8AM8vzAWGMbTyOOR1qlYeLdRvYJ5FsIHkhiD/Z4hMzOTGr8Nt2/wAXTOeOlLQqzL2n+G7DTr21vIrgmeHfvY9JNwYdM/Ljd264Fb3mx/8APRfzrmY/FNzLew20YsXLReY7qs5Gd7LtxtypG3nfjk1o3GtTReEP7bjtleY2qzrAXwCxAwufx60xWbZq+bH/AM9F/OjzY/8Anov51yk3jlEtNQuI7aIx28kMcBkm2CUsCXzxxt2uPcipJPFs7ale21pb28scEDzIWZwxURLIGPGNpLBcAkjINFwszp/Nj/56L+dHmx/89F/OuUj8ayJCWurFFdWlG2OQkOqR7sjI/vDafTg1u6df3U17dWN9DDHc26xyEwOWRlfOOozkFSPyNArF7zY/+ei/nR5sf/PRfzp9FADPNj/56L+dHmx/89F/On0UAQpLHl/nX7x70SyxmM4deo7+9Pj6v/vmiX/VH6j+dAB5sf8Az0X86PNj/wCei/nT+9FADPNj/wCei/nR5sf/AD0X86fRQBmTaZZy65bat5zpcQqylVk+WQEYG4e2TjHrUqW0YtreGa9luDDIJfMlYbnIJI3YAHGR09BUM2tRxeI7XRx5ZkljaRyz4YYGVAHfODn0o1PU5rKazMMSSW0rETznLCJcgA/L6k9egoAqvom+K6Q65dn7RIHclYs4BPyn5eV5AwewHvm/aRS29zI8motND5UccUZAG0qDuc4H3mJHtx0qn/bVybe7lW3i/doJYlLHlN5Q7vRsqTxx0rUvrn7JaXEqgO8SFghbBPpRsh63M+TRtPm+wCV1dLI7owyqSWznO7GRzzxjNW72OG7RIzMUIbesiEZRh0Izx+dZqeIJjLYWz2wjuJ9zTZV9saq209vlJJH3q0tRuZLWOJokVpXkEUYckLubgZI7UCKZ0qNpRI+qXLMQDJymHdc7XPy8EZ6DjgccVY0u0TTbUwG+kucuW3yhQ3PX7oGfXJ55qr/a19HdmKa3tNkciRSlJjne+du0EdOOc+/pV3S7u4vLeR7iOJWWQqrQsSjjA5GQDjkj3xkcULyAsPLH5bfOvQ96VZY9i/OvQd6c/wDq2/3TSr9xfoKAG+bH/wA9F/Oq2oQx39hNafa2gEq7TJGFLAd8bgR+lXKrajcS2mnXFzCiO8SFwrkgHH0oBbmPqmhJqpOdQ2MYRbzO0YbzFyGBABG1gRkEdM9KZLoMkuny2D6laSWrSvKiy2QcpuZm67+oLcEY6VY1XWpNOvmhRYFVYvtE8twX2omQoACgnOT16DHNNuNfuU0aO/itE+a5khdn3skSozje2wFsHaOg43elJ2sNXLctnG8VrEl9LHLbRhY7kFWfptOdwIOR6ir6SRoiqZt2ABuY8n3NUbi9mzZC0W3kmuk+Rnc+XjG4nI5PHSr8LO0MbSBA5ALBG3Ln2PcU+ohkUsYiUF16etMuis0JiS48pnyvmLglcg84PH51ND/qU+lMuWdY90YUuuSobOCQp64oBGdDpUEX2PdfSS/ZkRDuCDzQhym7A4wT2xnvT7iwM9qsJ1a4BW48/wAwiNm4bcE5XG0cY74HWmjV5i9l+4QLNFC83zHKmU4UL64I5z2q5eXTwRxPCI5A06RPlugZgpxjuM09QK32L9/fyjVZ1N2gUbQg8nAwCh29R75pk2mR3F+txLqU7RiLyjAdm1gVIY5xkE5ycEdBVyG5ka8vYZVRI4NhVwTyGXPOemKrX2pz2d4qrDFLbeU0j7XPmABSc4xjHAHJySeOlIetyu2jIwh26vcqY5fNchYz5rcAEgrjgKAMfXrVq2s7eza4kScvvUqisRiNcltox1GSTzk1WOr3wiTFtbNMJxFJGJG+YEKw2cdcNyTgDBqez1KS8e4R4lRNhkiKkkldzJ83vlT07U9Q6EJ0mFpZpzqE3nyMrJJ8mYtucY+XDfeIy2TjjtVqO1SEbYL6WONbcQRx5UqmP4xkct9eOOlQz398lpfPFFah7STGZWYKU2Bs8DO7nGKvwyySW0ZYItw0Qcx7shSR+eM0hGbDpYhXTlGqzMtjnblI/wB4CMYb5fTjjFLeab9stWgOsXSAzGUn923B6JgrgqO305zU0GoTzJpbtDGFvEJkAJyh2buPUcd6fqd7NaWRmtFglkVsbZHIyf7o2gksemPzoYyrNpMMhnKalPC0qkBkKZQtjew46ttGc++MUsGlW8Mls5vXk8kLkEIBIVzsJAAxt3HAGPfNB1e4M06LDAiqriNpZCAGTbu3kDp8wxj0ptvrNzJLapLapGH2LMNxyGcsF2jHT5MnPPIphqXHP75JYzGxRnG1nx1x/hSMzSTpLJ5SBF2gK+7OSPb2p0rTGeOGKXy97OWbaCeMev1ppNxFcpFJP5qupblAMEMvp9aQCxPJAGRVhdd7MCZcdTnpioxHiBUDxl1dZMbuD8xOM/jUkQurgNILsxjzGUKI1OACR3qIXE7WqsHAld1jL7R/fIzj8KAJZHeYxhxEio4ckSZPH4Uis0UrvH5TiRV6ybSMDHpRL9qt2iLXRlV5AhUxqODn0oX7RNPIkdwYkjVMAIDnIz3oAdCdtw8kjRqZGzhWzjAA61Z82P8A56L+dV7d5TcSRSyeYY2wG2gEgqD2q3QIhjlj2n51+8e/vT/Nj/56L+dEf3T/ALx/nT6AIpJY/Kf51+6e9OEseB+8X86WT/VP/umnDoPpQAzzY/8Anov50ebH/wA9F/On0UAM82P/AJ6L+dHmx/8APRfzp9FADPNj/wCei/nVA2dvLqAuzOylXBMYI2uVztJ4zxuPQ9+a0qzG1KSLVBaiJTD5io7kndufdtwOmPlOaALzSIdoDqTuHGfcVbqu/Qf7w/mKsUmNBRRRSGFFFFABRRRQAUUUUAFG0P8AIwyrcEUUq/fX60hkY0ey6eWf++jUcKhLq5RRhV2AD8K0xWan/H7dfVP5GhBImooopiClH3hSUo+8KAMa9Vjq8+1CwwM4IHYetVrlHFrKfKI+U8714/WrN8xGrXGPQfyFVrhz9ml/3TQBP/Yeksk6nSLci45mGxf3nOeeeeSTVqK1t4JhLFZqkgQRhgBkKOg69K5xtT2JqrtqGrYWVUjRYDuj+YjKny8AE/XCgHvWlp1+0mqW8ElzNKz2COwaBkQvnk8qMEjsT+FUhMupZ2rXH2trGNrgqYzKVXcVyeM0qafZxrbqmnxqtsd0ICr+7PqOay726vo9V8uyknfFvKTD5R2BsEq2cYPPH3s54xio47u+LWmye6eJpSIHeM5nG8D958vA27jzjpQgNdtOsmilibTojHLJ5ki7Vwzep5609rS2aWWVrFDJMnlyMVXLr6H2rBN7qH2WZpJ7tFDgTOsZ3RSYfKJ8v3dwjHQ/ePPpK93qgmuAWmWVYsyRqnyxL8mGTjluZO56DiiwWNlLK1RrdksUVrdSsJCr+7B7DmmDTrEQiEadF5Qk84JtXAf+99ayo7vUDPZhZLh9w/chk4mTc4LSccEKEPOOvSq/23UvsIYT3ZG87X8s7jLsBEZG37m/I6YwOvenYLHRrDEt1JdLagXEihHkGNzKOgJz0FS72/55t+Y/xrJ0+8vpvEmp21zDNHDHHGYQQPLxlgSrDqTwSD04rZpCGb2/55t+Y/xo3t/zzb8x/jT6KAGb2/55t+Y/xpkLN5a/u2/Mf41N3pkP+qX/AD3oAzE0awa4e7Nm5nl3Fm81sZI2lgN2FbaMZABpkHh3TLaNo4LW5jjZQpRbuQKcAKON/XAAz14FYp1S4XV7qJNUl3rdPE1rldsVuIQxk6ZXDfxE4OcVm6Trd/dWlyz66FmWBTFJcXiBQTCjEmMJkjcW+bOB6cUkyrM69dB05JVlS1uEkAwXS5cF+Sx3kN8/JP3s0+HR7GDT5LBLWU2sgCmJ52cADoBuY4HsK5WHW7iXUreE6hcRwiEkebfxr5jiRgSrbP3owBjGOK1W1iW78ASXdnqCtqC2ib5YyrNHKQMkjoDyeCKa2FZ3sbYsbVb77atmBcf3wQOxHTOOhP51Vbw/pbWxt/7PKxkk4WQqeU2HkNnBXjFc9LqniOR9RtVSeO+kkhFtCipmJQrFyC2AQxTPJ6PxUM2vX81zfXf224tLFoJPKYsuxX+zq4QArlXDEnJJBwRikNJnUpoemIkSDTVZYvM2b23Y3rtfqecjg5qxY2FtpyyC1tnXzCC7NIXZsDAyzEnAHAHauMh17W0tozFPLdea1w0DmMNkJFkKcDnnDD15FdJoN21xd30UWoSahYxrEYrmTBO9gd65AAOMKfbdin1EzZ3t/wA82/Mf40b2/wCebfmP8afRQIZvb/nm35j/ABo3t/zzb8x/jT6KAIkdvn/dt949x/jSSu3ln923Udx6/Wnx9X/3zRL/AKo/UfzoAN7f882/Mf40b2/55t+Y/wAaf3ooAZvb/nm35j/Gje3/ADzb8x/jT6KAK7wxS3ENw9qGmhz5UhxlM8HHPGag/sywEVvENMhEdu26FQi4jOc5A7c81Vur29j8WafaCKYWUkUm51AKM2M/Meq44x65pbrVoj/ZU8T3Ucc9ztKGBxuXDA7xtyozjrigCzNpen3Ec8c2mxSJO4eZWVcSMOhPPNLHp1rFcXEy2nz3EaQyZIIKICFXGenJ/Osi/bVLC21B7e5u5x5sUYec/wCqB5d12oTgAgcA9K04dSgaGa3aSdZ7e2SWclSWQMDjkDluCcAZ9qOgyVdPs1W3VdPjAtjmAbV/dn25qS4RLhRFNb+ZG4IZGwQRisSDULyePSHSW5JkijyDEV8192JA+V4wuT259a1NXeWO0VonkQbwJJIhl0T+JlGDyB7GhiAaXp4MZGlwAxxmJDsX5UPVfpyfzNSWVla6bCYbGxS3iJ3FIgACcYz19APyrEF5cpexmO91KSPCtEJLf5ZIsHezfL94dhweBwc1oeHbpruwlkM9zMvmnYbmMrIFwOD8q57ngcZxnihAaTu3lt+7boe4/wAaVXbYv7tug7j/ABpz/wCrb/dNKv3F+goAbvb/AJ5t+Y/xqG6t4L62a2u7QTwP96OQAqfqM1ZrP1y4a10W7mSSWORUOxolLNu7YAB7+1ALciuNHsL3ak9kSsI2IFcphCBlTgjKnA4ORxTToGnYkAtrlVkdnZUu5FXLZLYAfAzk5A45rL1/WJLW5jkW4nitGt/OjELCJriTKjZllPIU5CYBP4VBc6876Lxq8Md1DdzLcRi4SKUorSBVBIIU8LjI5Ax3pMaTsdJNZ2s8K2k1kj2yxhViZRtAHTAq0p2KqrCVVRgAYAA/Osi+unNpYzGW8t7eSMNPKkeZlG3IBABxk4BwK17fP2eLLu52j5pBhj7kdjTENidvKX923T1H+NMuUS5i8ma38yJ8q6NjDDB461ND/qU+lQ38ixWkkjO6BVY7kBLD5TyAAefwoBEcWn2UH2fydPjT7MCINqj93nrt54qOTSdOmgEEmlwtCJTMEKLjzCclsZ6k85rOgv7ud9JZJbgiWKLIMRUSNnEu/K8EDkZxz61a1HVY1s4LiOS6iAvFiYCB8sA+HyNpO3Geeh7Gn1AsnS7AvdOdNiLXa7LglVPmr6NzyKP7MsDepenTYvtUahUl2ruAAIAz7AkfjVeLU449Q1cSSXMkdsqSBBC52jb8wT5fm57DNVr7UJv7aihs57sSmAuIGgPlNlGKjO372cZJYYxjvSHYuvoulyLCr6TAywEmIFF+Qk5OOe5A/KrKwQwfaJIbURvNlpGUAFzjqa56TUpkt7Vft2oKz3GIpPs7Heo27vM+TOASwA4z68ZrT02e7luL5Z2lYKDuV1wI33N8q8cjbtPfr1oAsw6dZQee0Wnxobk5nIUfvD6tzzUslpbzSySyWSNJLF5MjkDcyZztJ9Mk8Vh3WqXQstUWykmkkiukQM8br5UZChmU7OQDu6Bq1or6MW4hmN0ki2omd2jYkA8fexgtx06+1AajU0fTY/s2zS4V+ykm3wo/dZ5O3niln0fTLmIxT6VBJGZWmKsi4Mjfeb6nuayE1V5Y9DAvL5Z5VTzM27bH5Abf8mdx5GOAOvSrWt6qi6YzwzX1vIJ2hVords71B6/Kfk75A+boOtAal+XTLCdZRNpsTiZVSQMineq/dB+mB+VOh0+yt2gaHT44zApWIqoGwHqBz3rImv7mKW9aee9EaRncIISSi5Xy2QbT8zZbPXGOcYosby+kn04NcXEgdV6xFVkXLby+VHKgJg8Z645oC2htGN5X3qJEdGbBXaeuM9fpSNDIrCWQyuw4XcFGMkZ6fSo5oUnu4Y5BujzISueCeMUhtora9iEKbFdDuAJ5wy4oAmEEyZ8t5kUsW27UOMnNNFv8vkhZAVIYN8uc5Jz6dajtrG3uFeSaLe5lfLEnpuOKhVN1lHESSpmVCM9V3tx+VAFtoJThpHmcIdwBCAZH0oEMhPmRtKm9V3ABSDge9RT2cFs0EkMexvNAJBPQ5yKEtYrm6mMyb9qxhck8fLQBNHG0U2WEju5JYttGeAO1T72/55t+Y/xqpaxrDdzRINsav8q56ZUVeoERRu20/u2+8e49frTt7f8APNvzH+NEf3T/ALx/nT6AIpHbyn/dt909x/jTg7YH7tvzH+NLJ/qn/wB00o6D6UAN3t/zzb8x/jRvb/nm35j/ABp9FADN7f8APNvzH+NG9v8Anm35j/Gn0UAM3t/zzb8x/jVcQQvcrctahp4yypIQNyg9QDVusaWe6XX4okeURlhtjC/I6/NvLHHUfLjkde9AGqzMdoKMPmHOR6irVV36D/eH8xVikxoKKKKQwooooAKKKKACiiigApV++v1pKVfvr9aQy2KzU/4/br6p/I1pCs1P+P26+qfyNERyJqKKKZIUo+8KSlH3hQBj3iltWuCHC4A6rnsPcVWuYz9ll/er90nHl4/rVi+z/a0+PQfyFVbjcLaQnP3TQBriU4P+kRfIPm5+79eeKdufdt81M4zjHOPXrXNrpFyyarv0azDXTcFJ1HmKCcfwEA87stnJJq1p+k3Vtf2skqQkRRKGmVueI9nlgEZ25+bOce2apEmvEX2hPMTPJ24569etO3sQpE0ZD/dP976c81h3uk3N5qfnwxRRDyJY/tHmfM24EAbcZ4PfOMds0xNGut9s/wBmgiAkLCNXGLQb1b5OOcgEcY+9Qhm/vYAkzRgKcE+h9OtG5wSvmx5UZIx0Hr1rnP7DvBbyKba3kwwBiMg2zkBx5rccNlwcHJ+Tr0qR9EvDLP8A6tyY8ecW+af7n7tuMgDYeuR831phob+5jjE0Z38jj73055o3tjd50eM7c+/p16+1YMejXYmtm8uKMDncrjNqNztsTjkEMF4x92of7BvPsYj+z24O4r5XmDap2BfOzj72QWx1565oDQ6X9508xOO2P/r0Yk/vL/3z/wDXrJ0/T7628Rand3DwyW9xHGI5ACH+Ut8pGTwAevGa2aQhmJP7y/8AfP8A9ejEn95f++f/AK9PooAZiT+8v/fP/wBemQiTylwy/wDfP/16m70yH/VL/nvQBFE/ybfOi3KMsO4Ge/PSlEqswUXFuWxkAEZx+dcsdHuX1W5mXS+TdvP9ryn72EwhPK65OW7NgDGazdL8OXcNncwXelXCCWBUCwR22RiFFIEm7cDlTx90/jSuOyO785MLm5t8N93kc/Tmn/OBu8yMDrnbx/OuKh0XURqcM8+mqIhCY08q1tuP3jEF1LYQ4IJKZrSNheXvgKTR5bCWK4FoluUldMSYABwQx44PXFMLanR5cdZI+OvHT9aQyYZlM8IZRkg9QPU81xsnhXVJn1C0lmidL6SFpbplJUrGrBRtDA5H7v8AEE1HLoGqzXF7qF1YJPLcwyRmFPL372t1TcWJ+ZSwYbSeMg0rgkdurM2NssZz0wM5/WhWZ13JLGy56qMj+dcJF4Y1dbdEt4VthK1w7oZAPKZotiEYPf7px0wDXSaHZPb3l9cLp/8AZ1rMsSx2uV4ZQQz4UkDOQPU7cmmI2MSf3l/75/8Ar0Yk/vL/AN8//Xp9FADMSf3l/wC+f/r0Yk/vL/3z/wDXp9FAESCT5/mX7x/h/wDr0kok8s/MvUfw+/1p8fV/980S/wCqP1H86ADEn95f++f/AK9GJP7y/wDfP/16f3ooAZiT+8v/AHz/APXoxJ/eX/vn/wCvT6KAGfvBx5ic9sdf1pGdkxumjXccDPGf1rKudPvpPFVhqCNC9nDFIjqwIePI/h55ycZ44xUWoaff6j/Zty9rAl5byEnEwZIskc/Mnz8Dtgg96ANrewz++jG04PsfTrQFdSWBQE8k7MZ+vNc7No98tlqEcdpBM8wCqGlC+ad5bzGJHBAIHOTxWpcm9v01Cza0EUZgURytJ992B3KMDoOBn1PSjoOxe8xtoYzx7X4B7N9Oeaa+9XRjIgAyckYA4+tc9Fod9HLpTARiG2LloGZGEZLAhvu4JxkfLtwTxxWxq1s93bJGiJJiQOYpDhZQOSp9jQIth2YgCaMluQB39xzShncbllRh6gZ/rXO/2LcfbFnj0uxiztkBWXBhwDmIYXo2eSMDk8dK0NAs57OylW4soLSSSUuYoJAyDgDjAAA4/HqeTQgNBxJ5bfMvQ/w//XpVEmxfmXoP4f8A69Of/Vt/umlX7i/QUANxJ/eX/vn/AOvQS6DcZEUepGP60+qGtQTXWjXVvb28c8ssZRUkcKuT3JIPTrQCLG4o7l5Y1ywALcZOPrTmYqpd5YlUdWYYH55rm9dsNRu7tLmGwjnkFt5aRuI5VglJU7iHwCCBgsORjgc1Xn069l0f7E+l3Rmt7uaaNgIJIn3NIVyrthlwwzkAjqOlA7HVFmSXe0sajb948Dr9akHmHo6f98//AF6ybyyuJ7aw32dtcSQRgyWjMBEx244JBHB6ZFatvGIreKMRpGFUDYn3V9h7UCGxCTyl+Zen93/69D71KEugw3XGMcH3p8P+pT6VDfKz2rqkKzOysBGzABiVPBJ6UATbnyAZUy3Tj73680bpFIzKgzwMjr+tYUGl3pbS3lt4o2giiRyJQxh2HnbxzvGBxj3qzfx6jc2cP/Evt3njvFkC/aAAEV8hslfvEDp2z1pgagaQ8CVDt6gDp+tG592zzU3EZ245P4ZrNjjv4b/Vp4rCD96qGAmcDzXVcfNhcrn15qtfafe3mrxyixt40EJX7Wsw8xHKMOmMlQTwARnqelIdja8xsAiePDHAPqfTrzSOXaOQCRDtBBAHTj61zcmj3pgt4hpNmyef5jL56qYANn3Dt/iKliRzzjuTWlp2nz2k95JKqKrqRvU5Mx3M29vQ4IXnPSgRpeaVQM1xEqrxknAB/OnZkxnzEx1zjj+dYn9mTXMGqxXGm2oWeXzbfe6yKW2BdxGODxnv1rRVJ7dDaxWkUlpFbBY8yYLsONhBGAMY5z+FAFre5x++Q7hkcdf1oLOgy0qKOmSMf1rDtbPUIo9CV9OhVrRSkzC4U+WNu35fl59ccU/WLbUNQ05oDpdnOxmZQrzjiPBw43LgOfTtnPNDA2N7gkGaMFRk+w9TzxRuckDzozuGRx94eo55rBl0q9WS7kjsbW4Z0IVZpeJtxTCPx0TacZ657ZNFlo11DNYM1vFEsQXcfNDGHaXJVcAcNuHTAGMdhTGak5gVf9KaLBc7dyE898YpkLWrFhbNFv4zhCDjI9akkYR3cMr5CKZASATjOPT6UjyJPeRPGSQiEE7SMZZfX6UgI5HsPNfzGhL5+bEbHn8Kk3W/kFi8P2bauPkOOp7fWltp4rdGjkZlYSuSNh7sT6VAqFbSMkNhZVc8HIG9jnFADonsTIBE0PmHO392w59s0szWYZRcND5mwdYyTjt0qS4mjuDCsZZisoY/KRwM+1JHKkFzMZCV3qhX5Sc4XHagB1uYm2/ZXi25OdqEc4HWrOJP7y/98/8A16rW5D3c0q52u3BIIzhQKuUCIoxJtPzL94/w+/1p2JP7y/8AfP8A9eiP7p/3j/On0ARSCTyn+Zfun+H/AOvTgJMD5l/75/8Ar0sn+qf/AHTSjoPpQA3En95f++f/AK9GJP7y/wDfP/16fRQAzEn95f8Avn/69GJP7y/98/8A16fRQAzEn95f++f/AK9MQuCy+YgJYkLjk/rU1Y8mnzy65HdqkZjVwfNLfNGF3ZUD0bcM/TmgDUYP8uWUjcOi+496tVXfoP8AeH8xVikxoKKKKQwooooAKKKKACiiigApV++v1pKVfvr9aQy2KzU/4/br6p/I1pCs1P8Aj9uvqn8jREciaiiimSFKPvCkpR94UAY96EOrXG8HgDGGI7D0qtcrF9llwGztOP3jH+tTagyjVpwzKuQOpx2FVbh4/s0mJUJ29A3WgC0NXsAt6Xe5jWyTfM0kbqAOeVyPm6HpVqK4t5bgQI0u8wiYZ3AFDwDn+lZcmhLc219BcatK6XbF1KhUaJux3LgtgYAB4wKtWtgba8gm/tIyRxWq23lMi/MB/EW65zzVLzEx5v7OCf7NNLIkmxpMkMFwMk/N0zjnFC6nYt5PzzgyttCsrgoc4+cfw8kDnuRUE+lw3115892fLEbxiIKoxuyD833sd9vTPNA0eLdG735eTfunbao875g2Mfw8qOnpQgJTq1gIpJPMnIRtuFRyW68qP4lwCcjjg+lPbUrBZJUM0n7tN5YbirdOFPRjyOBzyPWqn9iQiJlS/ZXBAifap8tAGGzHfh25PPPtTjolqWk23RWMriOP5T5bfL82e/3F4PHHvQGhZXUrF3hQSzAzDI3Bhs5Iw/8AdOQRg9wajbWNOW1+0NJcCMPsJ2PkZ5BI7Lgg56YqNdHtw8TPeFwPmmGFHnNuZgf9nlmOB61G+hRPYtanUmw7KXby0OVUAKuD0IAGGHOeaA0NOKSGaeeFGl3wMFcHcOoyMeox6VN5a+r/APfRqnbWxt7+8uXv/NW4KkRFFHl4GByOTx61d8yP++v50CE8tfV/++jR5a+r/wDfRpfMj/vr+dHmR/31/OgBPLX1f/vs0yGMGNeX/wC+jUnmR/31/OmQyIIl+dfzoAyX1/S7Z54ZprhXt92/EbkEjBKqQMM2GXgetObxBpSRCRprgD5i6+VJuiCttYyDGUAPBJqnN4Ys7yLUmluMy3rkqWYlYlIQEBc4yQnJGDzSf8I48EU0NnqcUUU0L2rB4t7CFmLAA7uXG5huOcgjIyKNR6GjHrWmSy3Mazyg2yu7syuFIQ4YqejYOM49RTf7f0jYjfa3xJai7Xh+YicZ+ue3WqcfhexitbmFbp83Eh3OZGysRcMY15+XOACRjPWq8/hGGWGeJdSKqyhIGYbmiHmFyCSctncw59aA0NmDVLC4vjZxzTGXLqpKuEkKfeCseGI74q/5a+r/APfRrGtdHMF7bs99G9paSSy20QTDhpM53NnkDc2MAdeelbXmR/31/OgQnlr6v/30aPLX1f8A76NL5kf99fzo8yP++v50AJ5a+r/99Gjy19X/AO+jS+ZH/fX86PMj/vr+dACeWvq//fRo8tfV/wDvo0vmR/31/OjzI/76/nQAxIxl+X+8f4jSSxjyzy3UfxH1pUkT5/nX7x70SyJ5Z+deo7+9ADvLX1f/AL7NHlr6v/30aXzI/wC+v50eZH/fX86AE8tfV/8Avo0eWvq//fRpfMj/AL6/nR5kf99fzoAg82EXgtS0vmmMyD72CoIB56ZyRxTbm6trN4kmeUGQ4G3ccDgZOOgyQMnjkVG9uW1eK+F+BHHE0f2fYpDZIJO7r1AqCTTBPFbrPqTyyRgrJIypmZCwbaQMAcheR6UASNqliqzHzJ28pguFVyXJyPkH8QyDyPQ+lWmlt1tftRlPkbN+/ecbeuazv7GiG9o79kkDAwNtU+SAWOMfxcu3X19qkXT8pcWsl4DYNbxwQQjGY9oOWJ7knHtxQPS5ImpWTvAge4DTZwGRxswcfP8A3OeOe9TXcsNpGs0rSbQcYXczEngAAckk9hWe+hWk8lo9zcLO9vKZ2YooLyFg2cj7oyOgq/fRR3aRp5/lsr70kUglGHIODwfpQIrpq+nvOsO+5V2674pFCHnAYkcE4OAeuKsWV1b38TSQGcbG2MsisjKcA8g89CD+NU20ovMJH1aVidrSDYgDyLna/TjHHHQ4FWNLtDp1q0Ut/wDa3Zy5ldFQknGc46nvk+tCAtvGPLbl+h/iNKsY2Ly/QfxGh5E8tvnXoe9KskexfnXoO9AB5a+r/wDfRqG6lhs7WS4mMvlxjcxXcxA+gqfzI/76/nVXUYBf6fNaJdi3Mq7TIqqxAPXg8UAiG41Cys7toJ5pBMwVkRdzMwJCjAHU57U+yv7TUGcWxuHRc4lKOsb4ODtY8Nz6VnXeh/a9Yt9UGoKl7aRCOKQoME5BYkA4wwypHbOQafo+jf2VeNIb9JYVgFvEgBUhA2QW+YgsBxkAcUAaF3cQWTo0pmbeNqpEGd2PsBz05qxF5c0SSoZNrgEbiwOPoelVb23F1LE8V39nniBMcqhWxngjB4PFW0dFRVMwcgAFmIyfegBsUY8peW6f3jTZ9kSCRvMKrknaSTgA9BT4pE8pfnXp61HdYmhMcdwsTvlRIAG25B5weDQBXXUrNrq1t0a4aS6i86ParkBPVj/D+NWLiWG2EZlaUCSRY1K7j8zHAzjoM96zk0WLdprTX4laxCgMYYwz7enzYyvvg81Lc2M1xapD/bDhluPP8xoo2OA25UxwMDgZ68UAWorq2nupbaN5TJF97O4A4ODg9Dg8HHSmTX1pb3a200kyOwJDkPsHBOC3QHAJxntUP9nKst1LFqDRPKjrEyqpMBc5Zhn7xyAeelMuNMN1fJPNqjtAsRiNuUTBypDEN1BOecenpQPQedXsFhjlZrkI77DmKT5Dxy3Hyjkcn1FTxXVtdG4jheQtECDncAeoyCfvDIIyO4NUH0Z2WELrLqVl82X9zGRKw2hcg8DAUAfn1q1a2MNk9xItx5m9SsanA8tcltue/LE5NAD3v7OG0u7iWWVIrPImLBuMAHgd+COlWvkMPmgyFSu4YJJIxnpWPcaIl5aahBc6nIy3biRDGBG0DBdoIKn5uAOvpV6O2eFQqam+1bZYUVlVgGH/AC09ST6E4oAdHeWsotCjzEXaloSQwBGN3PocdjTr25t9Pg86cz7M8+WruRxknA7ADJNUoNLkhTTE/tYstjkcwoPNBGMH0444pb3Tpry0a3/tqRA0zSE+XG2UPSMjuo/M45zQwJzqVkHlUPO5iXcdiu27pwuPvHkZA6ZFJDqdjO8CRyzEzjK5VxjkjDf3TkEYPPBqvLpO5p2h1SSCSRSEdFTMbNt3sPXdtHHbnFLb6RFDJau19v8AJC7lCKokKk7Dx93G48Dr3phoW3kMLiOOOSSR2bAEm3gYzz+NJ5ztIIZYZImYblzLuBwRn+dK5PnpLHsfYzgqXA64/wAKRmaSdJXVECKV/wBYGzkj/CkAonlkLeTayugYqG8/GSDg8U0XK+T54SUliqBN/O7JGM/UU6J5LcMixxuN7MG84DOSTUYiIgVMxl1dZNu8Y+8TjP40APM8qlVmtpY1dtgbzt3J6cUec4cxQwSy7FXcfO2jkZpZXecxhkjRUcOT5oPT2oRnild0VHEip/y1C4wMUALDJ58pV0kjeMlWUyZ7AjmrPlr6v/30arQ8XDySFFMjZ2hwcYAHWrXmR/31/OgQyOMbTy/3j/EfWneWvq//AH0abHIm0/Ov3j396f5kf99fzoAZJGPKfl/un+I04Rrgcv0/vGmySJ5T/Ov3T3pwkjwPnX86ADy19X/76NHlr6v/AN9Gl8yP++v50eZH/fX86AE8tfV/++jR5a+r/wDfRpfMj/vr+dHmR/31/OgBPLX1f/vo1U+1W0d4LRnk852OMbto64BPQE4OAeuDVzzI/wC+v51nNYwy6iLw3O0K4ZouMOy52nPUY3H60AX2QDact94dWPqKtVVZ0IUB1J3DofcVapMaCiiikMKKKKACiiigAooooAKVfvr9aSlX76/WkMtis1P+P26+qfyNaQrNT/j9uvqn8jREciaiiimSFKPvCkpR94UAZF2+zVrjHcD+QqvczE2soJPKGpr4MdXnwjMMDO3HHA9TVa5VxaykROPlPJK8frQA2412WyttSuLu1t0htSEhcT8SueiklQFPTPXGcdqmttXkn1SK3a1VLaaBZIp8sRIxXcVU7dvA/wBrPtUkej6ZGtyF04AXSlZxyQ4JJPfjJJPGOtSxafYwXMdxFYhJo4xEjgcqoGAOvpxnriqQmVbrVn0+5EclrutzFJIJQ3JZcnb0x+ue+MUg1mVZFiktYxIj7bnbISF+cINnHzcsOuOM1aWxs3uDdvZBrgqyGQjJKnIx1x04oTTrGNbdVscC3YtF/sn168/jmhAUhrsrx/JZx+Y+HhUyEAxkO2WOODiNuBntzSnXxl2W1BiK4iJbDM/ycEY4H7xecnvxVttM09opYjYDy5X8xx6t69ePoOKe1jZvLLK1kC8yeXIcfeX068fhQGhTXW28yNXtVCqdlwQ5OxizINvHzDKHk44xUX9vyCDcbOPzADKy+YcCIIHznb97aRx0z3rRSwso3t3Wyw1uu2I4+6Pz5/HNM/svT/JEP9njyxJ5oXH8Xr1/TpTAZZaxBf6vfWMIjItFXLBwWJJIIK9Rgjv1rSwPQVWS2t47yW8S1K3MqhJJAOWUdAee2TU+8/8APN/yH+NIQ7A9BRgegpu8/wDPN/yH+NG8/wDPN/yH+NAD8DPQUyEDyl4H+TRvP/PN/wAh/jTIXPlr+7f8hQBiDXbiO5li+wxG3S5NokvnHcZfL3jcu3hT0yCT7VRs/GM93DPINPtzJDCJDbxzO0r5jV/l+TGPm9c8HitdNFsWuJLsw3BlkZnP75tqsV2F1XOFbaMZHNNtvD1jZxNFbf2lFGyhSi3kgBwoUH73UADn2palaFBfFbPeW9sqacTJF5hdbiQqfnK7VxH1453Y61pT60YvCZ1tLTe32ZZ1t9+MkgYXdj364pI9BsYphNEt9HJgh3S5cGXJLHf83zck9akh0ezh0x9OEd3JaOoXy5Z2fao6BSTkDjtTFpcyJvG1ulrqFxHbI0ds8McReYIJi4Jbkj5du1h7lafL4sP9pXtra2kE628DTKfOIYqIlkDMNuAp3Bcgk5xxWwNLsBe/axZYlPoBt6EZ25xnDHt3qsfDulm2MC2k6JzykrKwBQIRuznBUAY9hS1BWMyPxoghLXNh5bK0gKpJu3Kke7K5A6sCvt1rb0+/nnu7myvbWOC6t1RyIpN6Mr5xgkA5BUg8VAvh/SlSFDYu4i8zb5jFj+8Xa+STzketWrGwttOEhginLykb5JZDI7YGACzEnAHQUwLuB6CjA9BTd5/55v8AkP8AGjef+eb/AJD/ABoEOwPQUYHoKbvP/PN/yH+NG8/883/If40AEYGX4H3zRKB5Z4HUfzpqOfn/AHb/AHj2FJK58s/u36jsPWgCbAz0FJgegpu8/wDPN/yH+NG8/wDPN/yH+NADsD0FGB6Cm7z/AM83/If40bz/AM83/If40AZ82rwx+ILbSAIzLLG0jkyAMuBlQF6nOD9MVauZ2gmtFWJXSebymOeVypORxz932pJLa3lu4LuS0LXEAYRSEcpuGDjnvVc6Rpphtof7OxHatvgRSQI2znIwaAKlxrlxZJd/a7KEPG8ccKwyNJvdydqnCZzgA8A9a14pGls0lVYzI0YYAE7SceuM4/Cop7W2uYpoprTekzBpARjcRjB4PXgflUS6bZpPcyi2kJuYkgkGeBGoICjB4HJoGQDWHK2TfZVAmiilm+f/AFYkbau3j5vm9ccVb1C4a1jiaOJZJXkEcasdoLNwMnBwPwqOHTNPt0tlisNq2ufIHJ2Z9Mn+fSp7lI7lBDPAzxtkMrDrx9aGIof2reJdeVNYQhUdIpWSfJDvnbtG0ZHTOcYz7GremXc15BI89vHEySFAY33o4GOVJAz6dOoNRDSNMDRsNNXdHGY1OOQpzx156nk88mpbGxtNMgMFjZmCInJVeecAdyewH5UIC24HltwPumhQNi8DoKY7ny2/dv0PYUqudi/u36DsP8aAH4HoKr6hO9np9xcxxLI0SF9jHAOOvODU28/883/If41Bd29vf2r213bNLA/3kPAP5GgEZ2qa1/Zt60CxwYEYnmluJTGkaZCjopJJJ+nHJplz4haHSI75LRAHuZIGaVyI4grMNzsqkgHb6dSKsXOjWF7tSa3mAiTyl8uVlJjIGUYg/MpwODmm/wBhWYSREOopHI7OUS7dVBYktgBuAcnijUasT3F5KrWa20MMs9yvyBpMR4A3E7gDnjpgc1ehLNEjSxqkhALKp3AH0z3qnLY2c8EdnJZ7rZIwqR4xtA4GMHI44q2hEaKiQsqqAFAAwBQIWIDyU4HSmXBZI90aKzrkqpOASAaInPlL+7fp6CmXKR3MXkzQu0cmVZemRg8cGgCmNWYvZj7MoWaOJ5Tu5TzDhQOOeQc5xxVy8ne2SF0iWQPMkTZOMBmAyOOcZ6VDDptjb/ZvKsdv2UYg6nYPbJ/n07UyTSNNltxbvp+YRMZwgJA8wnJbg9c80wLMM7yXt3A8SqsBTa4OdwYZ544/Wq17qMtleKhtkkt/LaRnWT51CqSTtxjbxjJPUilbStPZ7t2sNzXibLncSfNX0Izig6VpxvkvTp4+0ooRZPRQCAMZxwCR070h6Fc6tdiFCLGFpROIpIxMc8hSNny/McNk5wBg81Paaj9te4jMKooQvEwbJZNzLk8cHKnjnimPoekyLCr6YCICTHyflJIJ/i5zgdfSrSW8FsbiSG1MbzZaRgPvH8/5UAUrvWTY2l1LLbAvFcJbwom5vMZgpXouf4ugB6VpQyNNaRyqsZkdAwCk7c49cZx+FU10nTglwv2Di6IafkneR0PXg/TFS/YbPez/AGLDtALdmAwTGOi5B6c0AVv7TuDDpkq2cZW7Cl183503YztGPmA6knHHvVnU7qaysmnt4IpmU8q8mzPsMAksegGO9V00LSUa2ZdMANqMQHJ+QZ3YHzdM8806fRtLuYTFNpoaMzNORyP3jfebg9Tk0BoM/tWZpp40tYhtV/LMsu35k279/HygbhyM9DTbfWZZZbVZLMRiQIJcucqzlgu0Y5B2k5ODgjip5tK064WZZtPDrMqpID/EFxgdfYdPQU6HTrG3aBorHa0AKxHrtB5PU89T19aAHStL58cMLrHvZyWKbumP8aQmeO4SGWVJVdS2RGFIIZf8aeUeRw6eYjozYIUHg4z39qQxyBxLK0jlRtX5AuMkZ7+1ACRfargM63CRr5jKF8kHABI61GLiY2yuCgld1jLbeB8xGcfhUywzJuEUkiqWLAGJTjJz1zTRB8nkjzAylXDbRnOSelACSfaoGjLzpIruEK+UF655zQpuJZpI4pkiWNU6xhs5Gae0UzbTK8jqh3AeWo5H40CKXcZImkTeq7h5YboMetACW7Sm4eOZlcxtgMF25BUHpVvA9BVaNGim3MJHdySxKgdgOman3n/nm/5D/GgQRgbTwPvH+dOwPQVHG52n92/3j2HrTt5/55v+Q/xoAJAPKfgfdNOAGBwOlRyOfKf92/3T2FODnA/dv+Q/xoAdgegowPQU3ef+eb/kP8aN5/55v+Q/xoAdgegowPQU3ef+eb/kP8aN5/55v+Q/xoAdgegrNbUTFqYtRCpj8xVeQtyGfdtwMcj5TnkdutaG8/8APN/yH+NVhb273S3T2pa4jLBJMcgH8aALLgYHA+8P5irNVWcnaNjj5hyQPUVapMaCiiikMKKKKACiiigAooooAKVfvr9aSlX76/WkMtis1P8Aj9uvqn8jWkKzU/4/br6p/I0RHImooopkhSj7wpKUfeFAGNesV1W4x6D+QqtcOfs0o9VNWr1S2rXBDKMAfeUnsKrXMbfZZfnj+6eiEf1oAy5NauUtNdltLy4upIARHF5C7oACQzgYGQD0BJJC571q2T3c9/Yz/a7gwzWgmkgeNAq5VQO2dxJJ6/hWvumwvzpwOOvFJ+9P8SfkapCZgXuoXkGreTaStIRbysbfy+AQCVbO3kZ77uvGO9Mj1K7LWgS5kkieUrBIYxm6G8DDfLxhSx4x0roIjL5YAZMZJxg+tPzN/eTn680IDmDql99lmZ7qVFEgEsoiGYHw/wC7A29MhByD97r6SPqWoia5BZ1kWLdJCIxiFfkw445PL9Sfu9K6PM3XcnHHejM3TcnHsaAuc7HqV8Z7NVmeTeP3KlB/pK7nBduOCFCNxj71MjuNRvNNaSLULlZFmREZIk+d227lOV+6h3dPTk10uZv7yc/XmkzMerJ6d6YGTp+o3Vx4l1SynjljigjjaFWQbSCWG4MDk54OD0rZpn73GMpgdsGj976p+RpCH0Uz976p+Ro/e+qfkaAH96ZD/ql/z3o/e56p+RpkPmeWuCn5GgDmX15rTXJEurmRIo5jGtsmwDyxEX8xgRuYE7hlTgbQKpHX9VXSv9NuHtLiKYyTI3lRTPCyFkEYbKtg5GOrBfWuyjjZkVisRIBAJXJxnpTmjL43rA2DxuXODSsO6OPvdfvYknngvz9pEssYsGjXKRLEzLKRjcDwGyTt5xinavr1y1xpi6VrEHmXEC7kQxyKzmWJTngno7dD/KuvKOWLlYixGC23kj0z6UxYAhykVupH92PFNBc5D/hKL9/LljSUxwXkz3irEp8uBZNgVskEY+Y5GT8nvWjrGpTw+KLeyF81vbNbLIdk8EWSXIJ/eAlhgdFrodr88Rc9fl6014fMwZI4Hx03JnFAXONXWNTu9B1e4OpSQXNkAYDFEgE0fO2YhlPD+g4G2ppNZv8AS/EF3Hc3k0tjbFkUzCPbKwhVwg2qCJCxz6EAjGa67a/pF0x93tQUc9REec8r3osFzK8N3t7dafJFqQkF/byFJhIioxBG5ThSQODj8K2aZiTOf3eT7Gj976p+RoEPopn731T8jR+99U/I0AEfV/8AfNEv+qP1H86anmfPyn3j2NJL5nlnJTqOx9aAJu9FM/e56p+Ro/e+qfkaAH0Uz976p+Ro/e+qfkaAMia7uY/FcFv57NbSRACBRjacMS5+TkcAcOMHtT7meS/gsbrT764ijkmCBViADjd8xYOuQAFb06/StT99jGUx9DRmXPLJz7GgDm21O82XJkuZIo1kUTyCMZteX+Vfl54Cdc/erROqO+nzxx/8hSC0jmliCH5C449s8Mce1amZuDuTjp14pgRldnVYgz43MF5OOmaB31MCLUrwy2QW5kkjd8QsYx/pS+Zglvl4wnzcY/pWpq8ssNorxSNF84Dyqu4xp/EwGD0HsavZm5+ZOfrzTG80SRnKZyccH0oEc4NTnS9jCancSxkK0Qa1GJoiCXkJCj7uO2Og4O6tHw7fHULCWb7W90glIR5IwrhcA4YAAZ5zx0yAeQa1czf3k5570EzNyWQ/XNCAH/1bf7ppV+4v0FRv5vltynQ9jSr5uxeU6DsaAJKz9cujZaJd3InMDohKOFyd3YYwc5PtV3976p+RoBmByGQH6GgEcxrutvaXSPHdvDaG2+0IYdga4bKjaDIMcKc7Ryc8VFca/M+iCRNTt0uI7uZbhFmiSXy1dwAu/KhuF6jkA966jazu+8RNhgfmXODjr9aDbqSSYbcknJJjHP1oGjLvr4izsbj7VNa20sYaa58sb0G3IyCCBk4B49q17fP2eItI0hKjLsu0t7kdvpSZlE+dyA7evPrTv3ueqfkaBBD/AKlPpVXVZZYdPklg/wBYvIIGcepx7DJ/Cp4vM8pcFOnoaV/M3R8p970PoaAMW21U/bNLhkvWYXBmVdyD98gP7tzheCcew9qm1HWbeOzguY7tok+2rAxMRG7D4cYIzjGeR+BrX3TcjcvPXrzQGmByGUfnTAyotXgj1DV0lumeK0VJCojJMY2/NjAy3P1NVr7VnXW4be0u3MrQGQWrQ/I+UYrzjO4kDuAAOeSK3t03HzJx068UZmxjcmPTmkM5WTWZI7e1B1SZWkuNsMjQAiZRt3b/AJegJZQAATx6E1qabd3NxcXyTOzBAdyMoAhfcw2DjkbQp5z161rbp/768/WmSeaYmyUwFPY0COcfU7oXF+v26QWsckYaYQ824O7cOV65C9d3BznnA14dRQ2yx3TtBdLaLcTfIcIDwTnGM5zx19qvAzYXDJwOOvFGZf7yevQ0dBmDaa0sqaAzXxLXalZFKY8xtvf5eDu+lP1vWoItMaSC+mtnE7QBlg6yKDkHcp+X1IHPQda3N0/Pzrz1680BphyGUdu9DA5yfVpoZL1ri8liijjJcxQAmIZXYygjq+W65Ax0GDRY6neTT6cpujKJVXgRgCZcsHYnaOVAXpgcnggiujzMP4k4+tGZj1ZOfrzQFynNEJ7qGJ9xjLSEgMRkjGOlNNulteRrFuVXQ7gXJBIZcdafOYVXNy8KjedpYkc+2DTImtmLfZpIWcYzgknGR6mgBbeziuFeSYOzmVxnzGHAYgdDUKhmso4yzcyqh+Y5K72GM9elPlexWVxJLbh8/MNzDn8DUn7jyCS0H2fapB529T3z60ANntI7ZoXhDqxlCn52OQc5HJpUtkubmbzQ7BFjCgOQB8vPQ0yJrJpAIpYGk52jcxOfbJpZmtFZftEkCyFB1LA47dDQBJap5V1NEpbYr/KCxOMqPWrtU7cxnabZoSuTkrk88deas/vfVPyNAgj+6f8AeP8AOn1DH5m08p949j60/wDe+qfkaAFk/wBU/wDumlHQfSo5PM8p+U+6expw83A5T8jQA+imfvfVPyNH731T8jQA+imfvfVPyNH731T8jQA+saW7uU1+K3V2EbMNsQUYkU7t7E4/hwvcde9a3731T8jTY/NwwBTBc8YNAD36D/eH8xViqreZ8uSmNw6A+oq1SY0FFFFIYUUUUAFFFFABRRRQAUq/fX60lKv31+tIZbFZqf8AH7dfVP5GtIVmp/x+3X1T+RoiORNRRRTJClH3hSUo+8KAMa+z/a0+PQfyFVbjcLaTOfumrd4qnVrgsWGAMbWI7Cq9ykf2WXmT7pxmQmgDLk0Oa4i1QPowjNxMjgxTxfvQrZHDAjP8R3jnOO1aljb3sOqwPNZIFFisMlxG6BS4OcBeuO3SpDrWmp54a5uM27Ksg8qTOWO0YG35skEcZq4k0Mlx9nWWXzfLEu1gw+UnGeR69utUvITMe90y7utV+0W8Ii/0eWP7T5o+bcCAMY3Ag++3HPWmJpF2GtWW0SJFlLRxB1/0Mbw2Rjg5UEfL/e+tan26zhn+zS3LpKFZ8HcBgZJ+bGM45xnNC6lYuICLmX9+21AVYEHOPmBHy84HzY6ihAYx0W9+zSq1okgLjfEZFxcMA48054zllPPPyfSpX0e/M1wdquzRYafeMzj5P3Z7gDa3Xj5/rWmdU08RSS/apCsb7DhXJJ9hjLDg8jI4PpTm1CxWSWM3Tbok3sfmxjjocYJ5HAyeR60BdmXHpF4JrRhCkWwfIwcf6Iu5yUGOuVZV+Xj5fTFQf2JffYhGLVB85xD5i4V9gXz89M7gW9efWttdQsneBFuZN04ygIYev3uPlPBGDjkGoZNa02OETNcz+WWK5WKRsYwcnC8DBByeDnrTuGo2xsZ4fEF9dtbiKKWMJu8wN5rA/ewBkcdd3ToOK16qQ3NtPcS28U8jSxffHIH4HocHg46VY8v/AG5P++qQh9FM8v8A25P++qPL/wBuT/vqgB/emQ/6pf8APejy+fvyf99UyGPMa/O//fVAHM3mna1Nq82oWmxFaF7KIFiGVSpIk64x5mD0zxVF9Izf6dLD4emt4IoWSdXs4590mU+bBceh+fqa6mK/tDeCxE8rXI4ZUViqk5IDMBtUkc4JqP8AtvS/sq3KXryRvK8K+UruxdM7gFAJ4wcnGKQ7mBoegapZappdxcZ+zwtckR7uYjJknd2OTtxjOMnpXaVlya1pcVw8El6yugYsSG2gqu4jdjG4LztznHai81nTNPkhS7vXiMyCRCVcqVJCg5AwOWUc+opg9dTUorPbUtPSSKNr0h5rhrWMbj80q5yv4YPtSXmqadp8ssd3emF4rZrpwxPyxKcFunQH8aBWNGiswavprXS2y3khlboArYJ27tobGN23nbnPtUMfiDSpY3dLm6wknlEG3lBL/wB0Arlm9hnFAGzRWTFrmlTXEEEV87vOFMZAfad2doLYwCdrcEg8GrGoX9npccb3c8yLISq7VdycAseFBOAATn2oCxeorJGuaWRMwu5fLgBMk3lv5YwAfv42k8jgHvV21mivIfNhefbkriRWjYEeqsAf0oAmj6v/AL5ol/1R+o/nTUj+/wDO/wB4/wAVJLHiM/O/Ufxe9AE3eimeXz9+T/vqjy/9uT/vqgB9FM8v/bk/76o8v/bk/wC+qAMm5stQfxXp96giexiikR8kh4yR6Z+bJx24xUd/aX+opZyvaJFMuQU84N9nbcCJAeMkAEcc/NWk91bR3sdm88gnkGVX5sHvjOMZwDxnPFFxcW9rJDHNNIrzHCAbj+JwOB05OBzQMx7vTry7tdUhGn+UJbtZoQXjdZBhRllJxjjJB9u9Wgl9LYXOlyRM7xWkafa2baJ5Cp3ADHGMDnpzVh9UsI0mc3MxELBX2o7HJ9ABlhweRkcH0q5H5csKSxzM0bqHVg/BBGQaA6nOJod6P7J8pTAbZiWLeW/lpvDbRj7rEcfIMY44rZ1e2e7tViSNZfnDNCxwJVHJQk8c+/HrRb39ldLatBcu63QYwsN2H29eccdO9SXUsNpGs00sixqTkgkn2AA5JPoKBGGNHuFvEni0mGH7roVuBmAAHdEMf3s9Rxz7CtDw9aTWdjKs9itkzyl/JSRWRcgfd29Bx9ScnvUiaxpskyQi7kEjjIDK6468HI+U8Hg4JxVizurbUImltppWVW2tuDKQevIYA9CD+NCAsv8A6tv900q/cX6Co3j/AHbfO/Q/xUqx/Ivzv0H8VAElUNbgludFu4ILYXEskZVYy6rknvk8cdaueX/tyf8AfVRXMkNpbSXE8sixRjLMMnA+g5oBbnOa/Z391dR3Eem/aSLfbHC6rKsM5KnLDcBgjI3g8fjVe5s7ufRfsUmmXzTQXk0y7oElhl3O5XKlxuXDD0IOD2rorm/s7G4EVxPKJJeURFZ2IAGThQSAMjk8US6nYQ2q3LXUjRvI0SeWrOzOpIICqCTja3QdqTGmVr2znuLSwElhFcGKMGay3gIx24wC3B2npn+da1vGIreKNYxGFUAIpyF9s96q3F3bWqxzSzShJFGzarMzZ54UAnpz04qzDsmiSWOSQo4DKckZFMQ6H/Up9Khv1Z7R1WHz2ZWAiyBvyp4yePzp8UeYl+d+n96mz7YkEjvJtXJOCScAHsKAW5jQades+kvLaiNoIokYmVWMBQ/NjHXeMDj8as6gL+5tID/ZYeaO8VwguE4RXyHycckDp2zVv7dZl7ZBcuWuVDxfe5B6Z44z2zjNSzyQ2wjMssiiSRY1PJ+YnAHHT8aeoFGJb2DUNWnj00YkVGgJnRRMyrjB6lc+pFVr6xvLvWYpk09YtsBUXqzruVijDBHXaCegHJ57VrxyQyzzQpLIZISBIDkYyMjr149KilvbOC8W1luXSZl3DO7b0J+9jAOATjOeDSGYMmk3n2e2iXRo2QXHmbVuEBtgNn3e2WIY5GSMnua09Nsbi1uL2SZFQOCC4YHzm3Md5x04IXnnj0qU6tpwiilN1KEkfYpKPwePvcfKORycDketTx3Nvcm4jhndnhyHHI9emRyMgjIyODQBjXWn6lc2eqQQ2n2cT3SSriSNvPjwocAHIBO3+IY55rWiF1Fbi2awjaJLUY2SKAz9DGFxgDHfpTvtlqsM8hnlC27bJOGyGwDgDGT1GMZzmp1KNAJg02wru5DA4+mM59sZoA55NPvmj0OOXR1DWqoJJftCbodpHC89CBk45I4q1rUN9qGmtD/Y8c7GdlVTcL8qAHEgzgbj2B+715xV06lYj7KTcyYugDCdrYIPTJx8uSQOcc1Le3Vtp8PnXM0qJnGQGb36KCcY5z2oAxptNvVkvJV06O6MkZGySYATglNqMfRMN14OeOposdJu4Z9OZrYRiFVG5pVYwgFtyDHZtw4HAxjsK1W1GxRplNzITCu99oZuOOmB8x5HAyeR60RajYzvAkd07NOu6PhvcYPHynIIwcHg+lMNRZWWO7hlkO1FMgJI4ycUjyxz3sTxMHCIQxA6ZZf8Ke8phcIqzSO7NhUcDgYz1+tJ57O4ikiniYjcu5wQcEZ6H3pAJbXEECPHLIFYSuSCPViagVQtnGTwqzK5OO29jmrAuZHLeVb3Mihiu4SKMkHB6mmi5XyvPAmO4qgTd827JGPTrQAtxPDcGFYnDsJQ2AOwzRHLFBczGVwm9YyuR1wtKbhwVWWC4jVztDGQEZPToaPPdX8qKK4lKKu4rIABkZ7mgAtir3k0iHKO/BA64UCrtVIZPPlwwmjdCQys2SOAeoqx5f8Atyf99UCCP7p/3j/On1FHH8p+d/vH+L3p3l/7cn/fVACyf6p/900o6D6VHJH+6f53+6f4qcI+B88n/fVAD6KZ5f8Atyf99UeX/tyf99UAPopnl/7cn/fVHl/7cn/fVAD6xpbG4k16K6WNTGrgibcMxgbtygdfmyOnpzWt5f8Atyf99VV+026XYtHncTOxKrzj8TjAJwcZ64OKALb9B/vD+YqxVVkxtO5z8w6t7irVJjQUUUUhhRRRQAUUUUAFFFFABSr99frSUq/fX60hlsVmp/x+3X1T+RrSFZqf8ft19U/kaIjkTUUUUyQpR94UlKPvCgDFvyBq84LKvA6nHYVVuCgtpPnQ/L0DCrt4wXVrjIB4HUZ7Cq9zIDayjaPuH+EUARNos0sV7HPqUE63MgkCy2iOFIPAYFvmAGAOmMZqzaadJa3sEo1BXgitRbCJoxuOOdxfPr2xVabXTaRX0l1YLHFbSJFG6yb/ADXY4C4C8HoSBu6+vFWoNQkkvraBrKMRzw+YJUlDbTjJyuAdvbJxz2ql5CdyK50lL+6E812BGIpIhGqKGG7IPz9cd8Y696QaMC8ckl8GkL7rgiMAS/MHAAz8vKj1p1zqq2FyIZrMmExSSiYHqVySMYx+ufbHNNGs4dI5LJVkV9twBICIvmCAg4+blh6d6F5BqM/sMLGQl+FkXCxOYwdkYDDaRn5jh2547ccU46FDucLd7Ytv7pNoJjf5fmJz833F4470g10NGSliDI2GhQyAB4yGO4nHynCNxz255pTrsOXZbXMW39024Au/y/KRj5R8685PfinqGoq6LH5kbPeBhndOAgHmsGZgRz8oy7cc9qkg0lIrR4JLzzN8kZZgoXKJgKuM+ijJ71GutJvjV7QKAds5Dg+WxZlAHHzDKNzx2qP+3gIN5sB5gBkZPMHEQQPuzjrtI+X14z3o1CzLtrYJbX01x9pDq24RpgDZubc3Oect9MVe3p/fX86pQXvm6rcWL2nl+VGsiSE53qTjpj+RPvjpV7Yv91fypCE3p/fX86N6f31/Ol2L/dX8qNi/3V/KgA3pn76/nUcLr5S/Mv5+9SbFz91fypkKr5S/KPy96AOfk0S7a9e4tNSjgjeVp8HduDmPyyDg4ZeFbkZBHFQv4VaG0a1s76MxlleN7l3MsD7NhZHUg5wBx045q7N4hsrLUnsJox+6tXuHkDLxty2zb1ztBOelQTeI57W6s7e6020tnu0MkZmvgo2jbxnYfm+bp7dTS0HqMuvDlxc28lk2owmzaWS5DMh80ysjDk5xtyxbjntRc6FfahLYm8u9O8u2QRusSP8AOA8bdz38vH40/TPFdtqd/Z2aWLJLcNOHywPleX0J453jkemK6PYv91fyp+YNs5RfCTCNlbVn3RySS2zKdu1mkDguM/NgKg/A+tXNa8OQa3ePcTXITNr5KBT0bLHn1X5untW/sX+6v5UbF/ur+VFgu9zn4NCmhlt4TewNYxXS3m0KfNMgXGM5xtzz69qlOkSxMJ7a7g+0x30t3H5qkoRICpVsHPQ9RW3sX+6v5UbF/ur+VArnL2fhT7HfxX4v43uUdXYMDsY7pC/y5x/y0O09Vx7mtHXdGi11LaN7kxJC7vlGIbJRlGCD2Jzg8HpWvsX+6v5UbF/ur+VHkO+tzk4vC9yPtgku7INcSCYSReYNjgqR+7LbNuUHbOK19Ptb6xtHRrq2llkneVt7OyoGxhVyScDnr68Vq7F/ur+VGxf7q/lQK4xHX5/mX7570krr5Z+Zeo7+9Kirl/lX757USqvln5R1Hb3oAfvTP31/Ok3p/fX86XYufur+VGxf7q/lQAm9P76/nRvT++v50uxf7q/lRsX+6v5UAUJ7Hz9Wtr1rtQluDtiCLnJBB+frg9x6gVWu9GXUbW0hv71Z2hcs8vlhGk5yANpAA4HY5xViXVLePXLfSgiNLLGzsdwGzAyBjqc8/lT9RunsfJKWYmV5AjfOFYZIA2jHzHnOOOAeaBlGTRZfJmS31UQGTCKfKDbYtzMUPzDOSx5yOOKspZzutxbXV5G1k9vHDGkIEbAgEO2R0zxgDgYqr/bU7R3xTTIxJaOcxyymMmMbv3nKdDt4xuznrWlLO0WlNeCzZ5Fh83yF5YnGdowOvbpS6BrczrLRZrGLTYl1bzUsmkZjJEC0u/PGd3y4Bx3rQvoFu440WYRur+YjjB2sOQSO49qr2mp/alsT9lRftJkVsMf3TKCcEMoPbuBirF/OLSON0gEsjuI40yFDMeBk44HvTfmIptpc7zeY+rZLbXlAhUBpFB2sOeAOPl5zgc9asaVaSWFs8dxfLdyu5dpfLCEkgZzycnjrn26Cq41SdbnyptLCKrrHKyzK212+6AMDIPHPGMjjrVrTbpr6CR5bVYHjkMZCuJFbGOQ2Bnrj6g0IC27r5bfMvQ96FdNi/OvQd6HVfLb5V6HtQqrsX5V6DtQAu9P76/nVXUrdr7Tp7WK6SBpV2eYUD4B68ZH86t7F/ur+VVr+f7FYT3SwLKYkL7M7cgdecGgFuZGqaNdX8xlg1CKKZoBbyyYZeMhg6bWyrAjpkg55qKTQ719PaxM+mvGtxJNDI3mrIhdmbOVYYYbu3Xn1q5qWsJp14YBBCx2CaWSaYQpGmQo5IPJJ4Ht1qO68QxW+lRXwtExJcvb/AL2QRom1mG53wdoO3jjqQKGNXLctnI6WgS/23dtHhbl0D7jjaxZcjOevXrWgjAKoaUOwABYkDJ9ao3N28TWqwWqTT3C/JH5gVRgZJ3YPb0HNXYgWiRpIVjcjLJwdp9M96BCROvkp8y9PWo7sGWAxxTJG7AhXI3Bcg84yM/nUsSr5KfKOnpTLj93HvSNWZckKeM4B4zQCM6HSCn2Lzb9ZPs6RpJiIL5ojJKdztwTz1z7VJc2N3cWiRf2qgkW5E3mNbqflDblTAI6cDPU0g1ZS9mPsg2zxxPIdw/d+YcKMY+bnOelW7yb7IkLC3Vw8yRHnG0McZ6c9elPUCt9juRc6hMmpohukCxYgGYSBgHlsN9CBUdzpk13fJLNqatbLEYzb+SOpUqzBs8E59DjGB1q9BN5t7dW7QKvkFMMDneGGemOKrXuoGxvEjezDQNGzmVXG4bVLH5MdOMZyOSKQ9blV9HuWSJV1dFxL5swNuCspAULxu4wFHqCecVatNPjsnuJPtAkDIUjXAGxMlsZz8xyx54qA6vKIEf8As1S/niGVBMMrkKRt4+ckMDjjoeantdQS9e4j+zhAqF42znemWXJGODlTxzTDoU7nQje295FdX8UiXE6XCL5AAQqAAGG75xgDI4rQjt54Rtj1AeWtuIkRo1IVx/HnOT6benFVbrWYrG0upp7cAwTrbooOfNZgpXouRnd0APTvWlE3m2aTCKMs6BgoOVzjpnH64/CkGpkx6RdJHp0TawjQ2YG6P7MMSkHg/e4OOO/r1qa+sLy8s3txrCx75mck26sDGekZAIyB65570v8AajmHTZlsAY7zbu/eDchbsBj5sdSeOB+FWNTuXsLJriO0SfbyVMgTj2ODknoBjkmgNSnJpMu6Z7fVPIkdW8t1iBMbNt3nrznaMDjGaLfRhDJas96jiLaXVYgokZSxQjk7cbjnrn1qT+1GaeaKOxUlVfy98gTcybd4bj5QNw556HimW+sieS1VrHyxKE3ksPkZywXAx8wO0nPHBHFPUNS4+ROkqAPsZwRvAPOPX6UjFpLhJXQRhFK8uDnJX0+lErSCZIYfLUuzks6bsYx249aTM0dwsMxhcOu4FY9uMEe59aQDoXkt1ZBCHG9mDCRRnJJ7moliYW6p8pdXWTbvH94nGfxp8f2q43OkkEa72UKYcng465qMXEhtlkCxCV3WPO3gfMRnH4UASytJOYwYggRw5YyKen0NCM8M0jrGJFkVORIoxgY7mmyfaYGj8x4JEdwhCxbTz3zmlHnyzPHE0Maxqn3o9xORn1FADoMi5klcKnmNkLuBxhQO1Wt6f31/OqtuztcPHMI2aNsblTAOVB6Vb2L/AHV/KgQyN12n5l+8e/vTt6f31/Omxqu0/Kv3j296fsX+6v5UAMkdfKf5l+6e9ODpgfOvT1psir5T/Kv3T2pwVcD5V6elABvT++v50b0/vr+dLsX+6v5UbF/ur+VACb0/vr+dG9P76/nS7F/ur+VGxf7q/lQAm9P76/nWc2npLqQu/tAVQ4Z4sA7mXO05zxjceMc1pbF/ur+VZragsWpC0+zhkLhXkz91nztAGOfunJyMe9AGgzKQAGB+Yd/cVZqs6qACFA+YdvcVZpMaCiiikMKKKKACiiigAooooAKVfvr9aSlX76/WkMtis1P+P26+qfyNaQrNT/j9uvqn8jREciaiiimSFKPvCkpR94UAY18CdXnwjtwPujOOBVa5VhaykRSj5TyV4FWr1iuq3GO4H8hVW4c/ZpR6qaAJk0XTUWcLaS/vzmT94553bsr83yndzlcVJDpWn298L2K1lScKF3B3xgDaPlzjp7Vhya9cRxatJb6hHdmGVY0jKohtwW2s7HHCjp82fuk9KuWermbXLWzGpLIzW4aW3eNVbOzIIIAJJ68ALj3qkJ3ND7BZS3BupLVnmKshJyRg5H3c4zjjOM4pV02xQQBbWT9w26MlmJznPJJ+bnn5s9BWde6pdW2q+RbTJLi3lc22zLBgCVbpnB9c47YzzUaavdlrULdrLG8pWOUIv+ljeBgYGBhSx+X+79aEBqHStPMUkRtH2SPvbDMDn2OcgcngYHJ45p7afZNJLIbRt0qeW/XGPYZwDwORg8D0rEOs3n2WV2u1jAcCSXy1/wBHbDnyumOqoOefn+lSvrF+JrgFgjrFuaDYP3A+T94e5zufrx8v1oCxqrp9kjwOtq+6AYjJLH8+fmPJOTk8mmf2Vp/kCH7G/lh/MA3NnP1znGONvTHGMVnR6teGa0UTLJvH7tdg/wBLXc4LjHTCqrfLgfN6UyO91K701pYNRIdZkRWSBG3s4XKHI4CEkHvxyaYWNqGztbe7muorZ1mm++3J754BOBzzxirPmf7D/wDfNZmn308+r3cEkgZY92YwoHk4fCjPU7l+bn8K1qQhnmf7D/8AfNHmf7D/APfNPooAZ5n+w/8A3zTIZP3S/I//AHzU3emQ/wCqX/PegDMOj6dPukmtGeR5TKzkck7du3PXbt429KjTQLaOWGWO61ZJIVMaOLk5CHHyc9vlFUDr722syJc3Jjt4pzCLdET7oiMm9yTuwecFeBt5qkviLVW0ovcSG1uIZme4BijjmEJQumxJDhsdD3O3jrS0Kszo7bR9PtJLeWC1dZLfdsfHzHdnO4/xfeOM9M1oeZ/sP/3zXH3viO+ihmuob2IsJpYVsmiXcqLEzLKf4s8BjnjBxUms67fRz6aum6jbbrmBS0e1HDOZIl69Rw56e1MVmdZ5n+w//fNHmf7D/wDfNcd/wlt2/kyxoxijvJjdhYd3lwK+wBj/AAkHJ3f7B9ateJta1bTdQnh09VdBpzSL+73eXKWbbI3+wApyOnNFw5Xex0/mf7D/APfNHmf7D/8AfNctb63fTXVuxvYw0t4tobIRruCGPPm565/i/u44xSQ3+po3lXGsEJJqUtn9okgiURKgJHYDc2AOcj2oCx1Xmf7D/wDfNHmf7D/981xeneJNVutZs4pJ0FqzJG8nlIIpMtKM5+8GcIpXHy/mK1vFmpX2m21obBpA8skgfyo0dsLGzdG4wCATjnGcUX0uFtbG95n+w/8A3zR5n+w//fNcWniLUmi1K4+2xssEnloyCEwKDsBfGfNIG4tzxgeldFo2oLc2Uplu2kaK4khMk3lqWK46bDtI56j8aBWNBH+/8j/eP8NJK/7s/I/Ufw+9Pj6v/vmiX/VH6j+dAB5n+w//AHzR5n+w/wD3zT+9FADPM/2H/wC+aPM/2H/75p9FAFOSztJr+C+ktC11bhhFLt5UMMH68etVm0PS2jtUNnKFtd3khZZBtycno3OT65pt1fzReJLKzjuUMcqt5lvtG4cEhumcZHUHA6EHNV9T1qUQ6fdaU4uIZ5CoRCoaXBAwA/OBznaM8DtQM0E06xT7RttH/wBI/wBbksdwznHJ4GSTgYHNBsLdru8uJI5na7jSKRWztCLnAA7dSaxF1i8U38c1+gWO4Cm5RVKW8ZLYBBUYbhQQ2eua1Tq8A06Yz3KW11DaJcXAKFvIDDgkfUHj2o6XDW49dJ09HtnW2mDWzFoiJZOCepPzfMT3LZqxcxxXSLDNC7RtnIwR+RHIPuKxrHW/MbSBLqcMhupJkIwgMgGdvTgMDgHbxmtTV55La0WSOTyvnCvNtDeUp6vg8cD14oYiP+x9N3o/2J9yJsBLOcjnrzyeTyckZPNTWFlaaXb+RZwSxxZztZmfsB1Yk9AOKxRrEyXiKNWjmj+UoptwPPjIJaXI7Ljtxx7itDw9qB1Kwkm+2peIJSqShVU7cAjcF4B56ehGec0IDSeT923yP0P8NKsnyL8j9B/DTn/1bf7ppV+4v0FADfM/2H/75qC8t4L+0ktbmGV4ZBhlBZcj6qQatVn63efYNFu7oXC27RxkrIwBG7sOeOelALcr3ei2N+QsqXS+Wnk5jkYF4yBlGPVgcDrz70g0K2WKWKO51WOKR2cxpcEKNxJYAY6EseKoa3rr2d2phu/Ktfs32rfEkbtPyo2rvOMAHJA5ORimz65dvoazw3kCzLdTJOEaISCNGcDarnbu+Vcg9RnHNJ26jVzaksLOWCKza2cQRRhY1UspQDgYIII4461cjKxoqJE6qoAAC9BWRe6gVtLG4W9+y288YaS7eMfKNuRkNwuTxz06Vr25Jt4i0nmkqCX27d3vjt9KYhsT/ul+R+n92mXKpcReTJHKY3yrAEqSMHuDkfhU0P8AqU+lQ38qwWkkzTCEIrN5hxhflPPPFALcgh0yxg+y+XayD7KNsOWZto7Zyecds5x2psmkafJbC3a1mEQmNwFWR1/eE5LZDZ6846VQg1ma4fSWjuY3W4iiYqqg+ezHEmD22Yzx681Z1DW7WKzguYb+KOP7YsDswADYfa6/N6c8j0p9QJ20uxd7x2tpmN6my4zI5DrjGMbsD8MUHStPa+W8NpKZ1QRg73xtAIAK52ngnqO9QxaxbpqGrxz30TRWapIyjGYl25bOOTzVe+1kx61FbWl9G8jQGT7G0Y+f5GZcH7xYkDgcAA57Uh6ll9D0txAGs5v3BLRkSyAgnGckNz0HXPAx0q1HbW9sbiSG3dHmyXPJ9emTwOScDA5rAk1547e1B1eJZJLjbE7RLtnX5N2T2Clivy8kge9aem31xd3F9HK4cIDlNoHktuYbDjr8oDc88+lAdCUaTp+y4Btpj9pYSS5lc5YdCPm+Uj/Zx0qX7BZh2dbaRWaAW5KlgfLHIAweOvUc+9Y91r0sVlqhtbmK4lt7pIgQyjyEYLlmOMYBLckH8cVrQ6jbm3Ecl3suFtRcOXUAqh43njb1B/woDUhTQtLja1ZbScG1G2H99J8ozux97kZ7HNOn0XTbmExS2kpQztcfLI6nzG6tkMDznp0rLTxAJY9DKatB510qGSPYu2XkBjnsc8AL39hVvWtct7fTWmt9TS3dZ2gDNGCDIoOUO7gAdz6DjmgNS3NpGnXCzLLZyMsyhJAGcZAwex46DJHJwM5p0Om2MDwPHbS7oARGWZmxkk85PzHk8nJGeKy5takhkvDPfpBFHGSxWIN5IyoRwDyd+44zxx9aLHV7uefTla6ilEqrkIq4mBLBmyP7m1c7eMk9sUwtobLIzyCRC6OjNjMe4YOPf2pCknmCWVmYqNqgRbepHv7U2ZDLdRRFnCFpCwRiucYx0+tIYfs95GqPKUdCWDuW5DLjr9aQEixzR7hFIwUsWAMOcZOfWmCDEflAvuUq4bZ3yT09OaS3tVuFeSV5ixlccSsBgMQOAahUyNZopkfLSqhO47iu9h169KALLxzOVMrsyo2/AhxyPfNCpIGMkTMu9V3Axbugx60ya2Fs0LxPNkyhTulZgQc54JoSAXFzMJHl2oqBQshUDK5PSgCSNWjmLvvd3JJITHYDpmrHmf7D/wDfNVbZTHdTRbnZEb5d7FiMqD1NXaBEUcnyn5H+8f4feneZ/sP/AN80R/dP+8f50+gCKST90/yP90/w04ScD5H/AO+aWT/VP/umlHQfSgBvmf7D/wDfNHmf7D/980+igBnmf7D/APfNHmf7D/8AfNPooAZ5n+w//fNVfs1vJdrdvbuZ4yQrc/qM4J68npnirtY0t9cR69FarIBGzDEW0ZkB3bmz1+XC9PXmgDVZ87RscfMOo96tVXfoP94fzFWKTGgooopDCiiigAooooAKKKKAClX76/WkpV++v1pDLYrNT/j9uvqn8jWkKzU/4/br6p/I0RHImooopkhSj7wpKUfeFAGPeozatcEFBgDO7PoPSq1zG/2WX5ovunoDmrF8T/a1xj0H8hVW4LfZpMk/dNAG1+/wvC8jjrR++7hOPrXJvpl+0WrG10+W0muZVJfzEcSxBuQo3feIyfmwOQO1XrSy1OLxBYSvDELGOyaIhHx5TfLwV6EkjqOlUhM24vO8rgJjJ9fWn4m54Tjr1rn72wvbjVfOtYnjIt5Y/P8ANG05BwMZ3Ag9sY75zTI9MvA1oUtXijSUtDGZF/0UbwcnnnKhhxn71CA6PE2Rwvt1o/fY6J7da5g6VffZZle1eRTIDJEJVzO+HBkHzdMlDzg/L0qR9M1EzXBKs8jRYeYSDEy/JiMc5BGH6gD5utAWR0f77nhOOvWjE2eidPeuej02+E9mywtHsH7pi4/0VdzkoeecqUXjP3ar/wBk3/2EILVwN5xF5q5WTYB52d2MbwW6556Z4pgdT++wOEx260n730T8zWXY2lxH4hvrloHjhljC7mkBEjA/eABz09cY6DitekIZ+99E/M0fvfRPzNPooAZ+99E/M0yHzPLXGz9am70yH/VL/nvQBAtusgWV7e3dwCodky2PTOOntUklmJyDNaW8pUgjfHuxjoeRXM3lrrkmrzX1mm2MwvZRDewIypIkx93Akxz1/CqD6ahv9OeHRbyK3SFluFns5J8y5j5wHHOA3z8g89aQ7Ham3BlaVre3MpXYzlPmK+hOM49qijsLeIhorGyjI6FIQCPpgVy2h6PrFrqmlzXRl+yxNcnYXJKGTJO8emQu3rjPau0pgyHyvvfuoPn+98v3vr607YxySkRyNpyOo9Pp7VJRQIgEAE3nCC3EoXYJAnzbfTOM49qV4RJG0ckNu8bnLIy5VvqMc1NRQBD5XGPJgxxxt9Onbt29KcQ5IJWIkdCc8VJRQBVWygjkMiWdmshG0usQBI9M46UotIljWMWtqI1+6gjG1c9cDHFWaKAIk8z5/ufePrSS+Z5Zzs6j19afH1f/AHzRL/qj9R/OgA/e+ifmaP3von5mn96KAGfvfRPzNH730T8zT6KAG/vcdEx+NH7454Q+vWsi6ttRbxXp9yiI+nxxSK5DkGMkdSv8WTjHpg1HqkN9qNpYuNOliuVmD7fPQ+Thv4jnoR3XJHTuaANzE/HC89OtRrEySvIscSySY3sActjgZ+lc/f6HNHBqP9mQiEXEse5EIZpYxy/3jjcSx6ntWlBNL5U9i+nSbbe2j5UgLIzA5RM46YGTnHNAzR/fc8Jx160w+b5seAmcnGM+lYEFjfvHpBe0ljeCKNDvkU+Qyt85OGOdy/Lxn3xWprEElzaLGkZlG8F4g20yIPvLn3FDEX/3/ovH1pD52eQn45rmhplwl7HNDpcsQAVoj9qH7lADvixu6t7ZHPUbRWh4dt5bawlWayksi0pYQNIHCggfdIY8fU8nJ4zQgNJ/M8tuE6HuaVfN2LwnQdzTn/1bf7ppV+4v0FADf3von5mlHm54CZ/GnVn65FLPot3FDbvcSvGVSNGCknsckgDHXrQCLBg+0Owlggl2MGG9N2046jI4PvTDp1u7sTYWTM53MTACWPqeOTXPeIIb24uo7hNOluVFv+6gZS6xz5U5cKwx8uQGyQOaguYbmfRPsctlqJngvJpdj2jSxTAvIVBwwLLgggg8HFIaR1w83z8AJnZ7+tP/AHueifrWNfW01xaWPm2BmWOMGeySUcnbgAEkA7T6n3rXt0EVvFGE8sKoGzdu2+2e/wBaYhsXmeUuNnT3pW83dHwn3uOvoadD/qU+lQ34LWkiiFpiVYCNSAW+U8ckD9aAJ/33PCe/Wj99/sfmawILK+d9JeS1ljaGKJCXkU+QVP7zOGOdy4HGffFWdRa8uLSBxpcxmjvFYRpKhIRX+/ksByO3XnmmBrfvuOE9utH77GcJj8ayojdQahq80emzMGVHhzKgE7KuCB83y59SBVa+try51qKWGwliYQEC8Ey4VijDaRuzgEjOFOTg9qQ7G/ifnhffrTJPN8pshMbT61zEmn3Yt7WJdInKC48xdk6BrYDbnHz4yxDHPOATxk4rT020ube4vnmQoHB3OWBEz7mO8c8DaVHOOnSgRqjzsLwnTjrS/vumE/WuburTUp7LVIba0mt/NukkBJjbzo8KHCjdgE4PDYHNa0JnithbPp5MaWoOY3XDN0MYXPHHfpzQMvfvueE469aB5xPAQ/nXMpa3rx6GkmkXKvbKgkm89Mw4IBGN/IIGSRkkcd6t62t3faY0X9jyyt57IqrOmQoBxKPmA57Ang8npQBt/vuMBPbrR++54Tjr1rnZrK9WW9l/s+S63xkFDOo88ErsTO4fdw2emc8ZzRY6deRz6czW8yCJVG6SRT5KgtvUgMfvArjGcAYJ4pga83lBd1w8SAOdrNIV/Wmxm3YloJYZHGAcSlyBkeppZTGl5C8pVUBkGW6ZOKR3ilvYmhZGCowbb2yy0gGyNZpIweeBGzll89lwfpmpNsIhOTCIAqkNvOOp5z9aS1ltokdJZI1cSuSGIB+8arqFFlGTjYJlYk9Mb2OfpQBLGbR3AjnhkkHKjz2bn6Zp0ptlZTNLDHIVHWYqSO3Q0XEtvK0CxPGzCZThSM45ojeGK6nMzou5Y8bz1+WgB8GzKtbtE6knLBy2Tgd6s/vfRPzNVbUo15O8ZBRn4K9D8oq7QIij8zaeE+8fX1p3730T8zRH90/7x/nT6AIpPM8p+E+6fWnDzcDhPzNLJ/qn/wB00o6D6UAN/e+ifmaP3von5mn0UAM/e+ifmaP3von5mn0UAM/e+ifmabH5u18BMbznrUtY0tpcvr8VwsbGNWGJdwxGo3b1xnPzZXoD07UAareZ8udmNw6Z9RVqq79B/vD+YqxSY0FFFFIYUUUUAFFFFABRRRQAUq/fX60lKv31+tIZbFZqf8ft19U/ka0hWan/AB+3X1T+RoiORNRRRTJClH3hSUo+8KAMe8VTq1wWZxgDG1sdhVe5RPssvzyn5T1f/wCtU1//AMhecZA4HU+wqrc4FtIdyn5T0NAFyPVNPlNwqXxLWo/fDBGzkj055BHGamS6tpJoYVum82aIzRoeGZBgFsEZHUdayp9BubyC8iur+GRZ5VmTELKQVbKq5D/MoAC4G3ue9TwaI0GtW2oi/kYR25hkibBVzgAEdxjHTmqXmJlsXlpHP9me82TBWcoTj5Rkk5xjpzjrSJqNi625W9JFwxWLqNx/Lj8cVVutIOoXYmluUWERSRBFj+cbsg/NnGO+MZyOuKBo0hdJJLuMyO+65KxkB/nDgKN3y8qOueM0INCydTsFiklN98kT+W554b06c/UccH0p7X1msssbXuHhTzJBnovrnGD9BzyKoDQpFjOy9jEiYSFjFkLGA64YbuTiRueO3FKdBXLqt0BEFzCpTLK/yck55H7teMDvzTDQvJf2bvAi3pLXC7oh/eH5cfjioJNb0uKFZX1EiNnKBtrHkdei9ORz0qJdEPmRs92pVjvuAExvYMzgrz8oy54OeMU+DSDHZyQS3SuZHj3FU2gpHgKuMnkhRk/pQGhdiuLee4lt4rpmlh/1ig/d/Tn8Km2H/no/51StNP8As1/LcGdXQ7xEgXBXe29snPPPTgcetX8j1H50hDdh/wCej/nRsP8Az0f86dkeo/OjI9R+dADfLP8Az0f86ZCh8tf3j/nUuRnqPzpkJHlLyPz96AKcd/Zi8Sw+2H7Wf+WQycZyRk4wDgZwTTH1nS0tRdHUgYGkaIOpLZdchhgAnjBz6YrOfR9SF7JPZX8UMMszXBy7htxj2bWUfKy5CsCeRjioP+EWuLW1NvY3iuAweGaeZ0lgfZsZlaMDOcDg8HnNLUdkbL6vpkdy9u+pKsqKXZSegC7jzjGQOcZzjtRdavpljLFHdaiIWlQPHvJwykgA5xjqwH4ism78N3t1bS2JvLY2rTSXQlKnzTK6MuCOm3LE5HOOMUXehalqUth9sfTlht4xHIsbu28B427qOojI/GmGhttf2SyRxtfAPLO1tGC33pVySg46jB/KkutRsLKSSO6v1heKBrlw7Y2xKcFzx0BrAXwldbCH1X54ZZJrZk4+dpA4MmQc4CqOMd/Wrmu+Gl1y8kuHuBFm08hVXucsSG9UORkdeKQWVzQGracbsWo1AGcruCAnnjdjOMZxzjrjtUEfiHR5YpJY9SYpG/lsdjjDf3QCuSfYZNVbfQbqGW3ga5tjZRXa3pYbvNMgXG30255znOOMd6mOkXUTrc29xA1xFqEt3GspYIVkBUqSOQQD1ANMCyms6XLcw28epq8s6q0SqSQwbOOcYycHjOeDU1/f2elxpJfXjQo7FVJBOSASegPYE/hWDZeFJ7O/ivftsUkqSJI0Z3CJjukZ/l6ZHmfKeox71p6/o39tpaxi6a3ELuxaNiG+aNlHTtk8g8EZFHQNLkg1vSjJMg1L/UgtI2DsUAZOWxt6Ed+9W7S4gvoPPtriSSMkjOCvI68EA1zcXhrUBFeRST2iCeQTJ5c8pjRgUIHkn5NuU69cGtmwg1O0tpBNNBPNJO8p3zuwjU4wisRkgc9cdaBF9EPz/vH+8e9JKh8s/vH6jv709CMvyPvnvSSkeWeR1Hf3oAXyz/z0f86Nh/56P+dOyM9R+dGR6j86AG7D/wA9H/OjYf8Ano/507I9R+dGR6j86AKzXVsl4lm10wuJBlY88kflj8PalnuLe2khjmuWR5m2xr1LH8Bx9TxUE9g8+r2t4biMRW+SqeX8+SCCN2eh4OMZ461WvdGk1K1tYr28R5ImJlljRoy4znACtgDgZB3A46UAWf7UsPKnl+2t5cD+XI21sBs4wPl+bkHpmrLvHHbmd7hhCq7y+4Y2+tZK6FJHNcTw3cEcjzCWMLCQgb5sll3fMxDkZG3oKsx2l/DFPbQXcMUCW8cVmxj3srgEM7cjPbA9qOg9Lk8N/Z3PkeTeF/P3eV1G7b94cjgj0PNPupYrVBPPOyRJksxPT8hVC30u9hawLX1qwtpJHlxA2ZS+QeS5wcHqc5P5Vdv7f7UkSpKI5EkEkbkbgGXkZHcUCIY9X02WaOJNRBkkBZVJI4GeuRx0PBweDU9ndW2oQma0umljDbSRxg+mCM1RfSrySfzX1GI7ykkoFv1kQHaR83C9Mg5Jx15NWtKtLiyt5Fu7qK5mkk3tKkZTccAc5Y88flgY4oQFp0Plt+8foe9KqHYv7x+g70rkeW3I+6e9KpGxeR0HegBNh/56P+dRXEsVpbvPcXDxxIMs55AH4Cp8j1H51V1O3lvdNuLWCeOGSVCm903gA9eAR/OgERXV/Z6fKFu7wxNKfkXklsAZOADwMjnpSzanYW9oLqW+xAXMYcZbLAkEAAZJGD+RrN1PSNQvLjz7S+ihuWtxbSyBnj28ht6FSSDkfdJwR1NQtompGwNmDYER3Es1vOJ5Y5ELs5zlRwRuxwSDzQM2bi7tbVUuJ7pkidRtbk7s9MADP6VZiKTRJLFM7xuAysDwR+VUZrO4ZbMx3ifbLaPieSPcrkjaxKgjr14NaKZCKHcMwAy2MZPrigRHEh8pf3j9PWmz7YkEkkrhFyWPXAAPtUkRHkpyOnrUd2HkgKQyIkjAhWcbgCQeSARn86AI/ttpvt0+2HdcruhGfvjGQenH41JNLFb+X51w6eY4jTPdj0HTvWdDo8qfYvNvIn8hI0l2RFfM8skpj5jt5PPXPtUt1Z6hcWiRDULfzVuRNva3ONgbcqYDDkcAnPPpTAuRyxSzTRR3DtJCQJF7qSMjt6VHJe2kV4tnJebbhl3BCe3J64x0B/I1CLS+W61GZL63Q3KKIf3BJiZRgE5bDfTAqK70y6vL1Gmv4TZiIo0Pk/NuKlWYNuwCc9wcDjvSHoTf2tpwjhkOoYSZykZORlh+HHUcnA5HrUyXEFx9ojhuWd4crIoPQ/lz+FZr6RflI1XUrcAy+bcK1uSsuAoUY38ABRwcgnn2q3aad9ie4kM4kUoUiULgqm5mwTnk5Y88cdqAJvtdqIZpDdMEt22Snn5WwDjGOTyOnrUysjQCcTSeWV3g4xx9MZrHudDnvre8iubyBlnuEuIwsTKFKgAK/wA+WBCjOMVoxwXcQ2pexsi24jRXiyRIP4yc5I6fL+tADTqViDag33/H2AYOfvg9O3Gc98VJeXVtp8Imu7pooydoY88/gKzo9J1BYtNhbUrZobQL5ifZjiUqeD9/ggeuRnmpr6x1K7s3gTU4ELysSWtyQYj0jOGB+pzzQGhYfULKNple+wYEDyc52g9O3PUcDJ5HrRFqFlM8CRXu9rhd0QB+8Py46Hg4PBqo+k3SvNJa6hHDIwbyW8nPls5Xefvcj5eBxjPei20V4ZLVnuoiI9pkVIiu9kLFSMscffOc5J9RQGhdeUQsExPI7u2FTGeMZPP1pBPvfymS4iYjcA+3kAjPT60rhhcRzKhcIzghSM849fpSOWluElMTRqilTuI5yV9D7UAH2kszeXDdyKGK7l24JBweppPtKeV54MxDbVCjG4nJGPzp0LvbqyGB2/eM2VZcHJJ9aiWFxbqu3LLIshXIzjcT9M80AP8AtJ3KskV1HvO0M23GfwNKbja3lJHcysiru2bcDI460szPOYx5DoFkDksy4wM+hoQvDNI4iZ1kVMFSvYY7mgBYZBPJj98jISGV8ZHAParGw/8APR/zqvAG+0ySsuzzGyASM8KB2q1keo/OgRHGh2n94/3j396dsP8Az0f86IyNp5H3j396dkeo/OgCORD5T/vH+6e9OCHA/eP09aJCPKfkfdPenAjA5HT1oAbsP/PR/wA6Nh/56P8AnTsj1H50ZHqPzoAbsP8Az0f86Nh/56P+dOyPUfnRkeo/OgBuw/8APR/zqsLi3S6W1a5KzyFiiZ5I/LFW8j1H51mtp3m6mLsTqsYkVnj28sybtuDngfMc8HPHSgC+yEbTvc/MOCfcVaqs5GByPvD+YqzSY0FFFFIYUUUUAFFFFABRRRQAUq/fX60lKv31+tIZbFZqf8ft19U/ka0hWan/AB+3X1T+RoiORNRRRTJClH3hSUo+8KAMe8KjVrjcqtwMZUHsKr3DR/ZZf3aD5DyEFT3wJ1efCu3A+6uewqrcqwtpD5cv3e6HFABLrsVpHfSXdh5MVoyRq5kVhK7dF4+6ehxz1H0qW11eO41VbBrNYy0CzCQuCGyM4Xj5sdzn8KVNF09VmGy7ImbewM0h2tu3bk5+U55yMVPFp9nFcx3CRz74l2oCzlRxjO0nG7HGcZql5idivcarDY3Qt5rRthhkmEoxg7eSMf5/rSDWI90aPYlJN+2ddynyfmC5z/Fyw6VOdPs55/tE0UruQy7SzlOcgnb0zjjOM0Lplioh/dTkwtuDM7kuc5+c5+fkA855AoQFX+3ImjLJYFnJBiTco8xCGO7PbhG4PoPWnNrdqGcralogv7t+B5jfL8uO3315PqfSpjpNgYpI/KnCu+4kO4K9eFOcqvJ4HHJ9ae2m2LSSuYJP3ibCoLBQOOVHRTwORzwPSgNCuuswGSNXsyoztmOVPktuZQP9rlGGRUf9uw+RvNgQ4y5j3LxEFD78/wC6QdvXtVxdNsUeBxDKTCMLksd3JOW/vHJJyc8k0z+yNP8AIEXkz7Q+/O989Mbc5ztxgbemBinoGg+C9jn1S5sTaGNoUWQOcEOp9u3+elXvLT+4v/fIqrDaWsF5LdJHN50owSzOwUZyQoPCgnnirPmD+6//AHyaQhfLT+4v/fIo8tP7i/8AfIpPMH91/wDvk0eYP7r/APfJoAXy0/uL/wB8imQxp5S/Iv5e9O8wZ+6//fJpsMgEa/K//fJoAypdbsbPUHsZ4iPLtWuXlwCBtydmOu7aCarS+I2gubW3uNJjt5LpDJH9ovYkBUbe5/i+YfL7VabQtMuWaee1Z5pJC7yFPmIKlCmcZ2beNtMXQYVmgmXUNV82BDHG7MrEIdvy8oePlHPX3paj0IdO8U2OpXtnaR2ciS3DTghtv7ryu7f7w5FdB5af3F/75FZdpoem2U1vPBBIs0G7EmDufdkfMcc43HHpWn5g/uv/AN8mmJ+Qvlp/cX/vkUeWn9xf++RSeYP7r/8AfJo8wf3X/wC+TQAvlp/cX/vkUeWn9xf++RSeYP7r/wDfJo8wf3X/AO+TQAvlp/cX/vkUeWn9xf8AvkUnmD+6/wD3yaPMH91/++TQAvlp/cX/AL5FHlp/cX/vkUnmD+6//fJo8wf3X/75NADUjTL/ACL949qJY08s/IvUdvehJBl/lf7x/hNJLIPLPyv1H8J9aAJPLT+4v/fIo8tP7i/98ik8wZ+6/wD3yaPMH91/++TQAvlp/cX/AL5FHlp/cX/vkUnmD+6//fJo8wf3X/75NAFKW/to9Yt9N8oNLKjOWGMJgZAI65POPpS6leJpqwM1oZEklWJmXA2ZOAff/PNLLYWM2p2+ovbE3luGWOUIQQCMEH149elRHSbA20FuY7kxQElVMsh3ZOcNz8wz2OelAFa411LKO7a+08W/kMioDKreYXJCjgfKTjPfg1qoQ9os4gTcybggIIzjON39ahuLK0uUlWSKX97IJWZSysHGMMCOQRjtUcenQRTXMivdATwpAEDMBGig/dx0JyST1oGRDVoSLNvsZ23EccjnK/ug52rn+983HH1qzfzJZxxyC3Ers+xIxgb2PAGT0+tRQ6VYwpaosdwRajEe+R24ByA2T8wB5Gc4qxdRw3SLFKkhQnPAIII6EEcgj1FDEUhqrC5EMukyRgMscr70YI7fdA9c8c9sirOnXQvoZGez+zvHIY2QsrjIx0YcHrj2IIqH+xtP8xXMVyWVduTLId3XDNzywycMeRmptPsrbS7b7PbC48vOcSu8hHAHBYnjjpQgLTxp5bfIvQ9qVY02L8i9B2pryDy2+V+h/hNKsg2L8r9B/CaAHeWn9xf++RVe+mSysZroW4l8pC5QYBIHXk1P5g/uv/3yagvbeC/s5LWcT+VIMN5bMhI9Mrg0AihqGrQ6fe/ZxapK7IJXZ5UiSNMhQSzcZJOAO9R3PiC2t9NivBaAiW5e3USSJGoZSwJZzwoOw4z6gU+90Sy1H5ZmvF2x+QzIxzJGcEq5IORkZz196T+woVt5rdL/AFNIJXdjEpXaN5JYDKdCWPXNDuPQtXNz5DW4ishNPOvyQh1Xtk5bpwPzq5EoeJGeARsRkowBKn04qnJYWkkEFp5cyRQRhYjGzI6AcDDDkccVdjKRoqKjhVAAG0nigQkUaeSvyL09KZcBY496wq5XJC8DOAeM06KQCJflfp/dNMuQlxF5LiYK+VJTcrYIPQjkfhQBTGqQl7MC0+W4jjd2yP3XmcIPfJyOOlW7yVbRYmNuHEkyRHGBt3HAPv1qCHTLKD7LsjuD9lULHvd24HTdk/NjtnOO1Nk0qylthbkXixic3A2TSKd5O7OQc4z0HQUwLMEqTXl1bG3CmAp83B3hhkH2qveX6WN2kUtkTCyMxmUrxtUsfl64wOvqRStplm8l67fayb1Nkw86TBGMfKM/Lx3GKa2lWL3y3jJcmURiLaZZNjKARgrnB4J6ikPQhOr7YEkOlsT5wilQSJlCdpXH94kMDge/pU9tfQ3r3Ea2+wIpaNjg+YuSu725U8VE2h6c/kZW8BhYsjLPKCScZyQfm4AHPYYq1Fa21qbiSGOQNKCWzuIHU4AP3Rkk4HGSaAKtzrFtY2d3PcW6p9nmWAAsP3jMFK4PbO6tCMiW0ScQJuZAwUEEZxnG7H61SGk2RW4DC7b7Q6yuTNISrjoyc/IRgdMdKmFjaq7OiXCMYBb5R3GEHIxzwefvdfegCD+0x5OnzDT2MV5syQ65jLdBjq2Opx0AJqxqVx/Z9m1ytkJwvLKGVMD1yf0HcmqqaHp8bWjKL3Nou2LNxLwM5wefmGfXtx0p1xo1hcw+VIt2F89rjKTyqd7dTkHOOenQdqA0D+01eeaKKwZ2RW8vLKvmMuNynP3cbhyff0plvrENw9qv2JkEwXczFf3bMWCj/aB2nkdsHvUk+kafcLOskVxiZQr7ZHXjg8YPBOBkjrjmnxabZQyQOqXDNAMKXd2z1ILZPzEZOCemeKA0JJS6zJFCkIaRnO51yABj0+tNzKk6wzLAQ67gY0Ixgj1J9akZWaRZIyVdGYfNGSMHH+FNKyGRZZWyVG0BYiOpHqfagBsf2mfc8a2qIHZQGjJPBx60wTsbZZBFF5rusfK/KDuIz+lTos0W5YnXYWLDdCxPJz61GIcR+UGbcrK4byzjO4np6c0AD/aIWj81bZkdwh2RkEZ79aAZpJnjhW3VY1XJdCSSRnsRT3WaQqZWBVG34WJgSR+NCrKrtJEwG9VyGiJ6DHY0AJblnneOZIt0bYyi4ByAeh+tW/LT+4v/AHyKrRAxzl3JZpCSdsZA4AFWPMH91/8Avk0CGxxptPyL949ven+Wn9xf++RTI5BtPyv94/wn1p3mD+6//fJoASSNPKf5F+6e1KI0wPkX8hTZJB5T/K/3T/CacJBgfK//AHyaAF8tP7i/98ijy0/uL/3yKTzB/df/AL5NHmD+6/8A3yaAF8tP7i/98ijy0/uL/wB8ik8wf3X/AO+TR5g/uv8A98mgBfLT+4v/AHyKzmvootRFmbfcC4VpeMIzZ2jHU52n6VoeYP7r/wDfJqp9ltpLxbt45DMjHGN2D6EjoSMnBPTJoAtMiAAhFB3DoPcVaqqzg7RhvvDqp9RVqkxoKKKKQwooooAKKKKACiiigApV++v1pKVfvr9aQy2KzU/4/br6p/I1pCs1P+P26+qfyNERyJqKKKZIUo+8KSlH3hQBj3rFdVuPcD+QqtcSE20o9VNWb1WbV7grs4AzuJ9B6Cq1zG/2WX/VfdPQnP8AKgDOk8Q3EUWqSQ31teeTKkUUaKimHLbWZ/m+6DxlsdCelW7HVrqXXYLaW5jkglt1ZEUIH3bclmA5A9CPlrcETY4gj+cc8fe+vHNLtkB3eXHkcZz+nSqQmYN7q9xaan5EEsMq+RK5twBvDAFgTznB9cY7daams3W62UXMEqmUqsqoMXY3quE5wMAk8Z+7W7EH2bhGmckbs89enSn7HGB5UY29B/d/TihAc3/bl2baRjcwR/ON0pQYgJDnym5+9lVHPPz/AEqR9bvBLP8A6tCseTCV5gHyfvG7kHc3Xj5frXQbHPHlR/Mckevv0oxJkny4/m4Jz19ulAXMCPWbozWq+bFJu4CqozdDc67154AChuM/epialqd1pzTW9/CHWVEBW3VxIzhf3fXjaSQT147Gui2uMHyoxt4HPT9OKAsg4EaDvgH9elArmbYahNcatdW7ujIm/wDdqoBh2vtAY9TuHzDP4Vq0zEg+by0Gepz1/SjMn91P++j/AIUAPopmZP7qf99H/CjMn91P++j/AIUAP70yH/VL/nvRmT+6n/fR/wAKbCZPKXCp/wB9H/CgDnhr0kGryJcTiK0iuDb+UsIYnEXmbnYnKg84wCPl561Sj8SarNpJmZfs80MzNcn7NiSOAoXQiOQjdjoSP7pIrphZQTMtxLZWskoUoJHQFtvPGcdOvFPn06G6YG40+1mKkEGSMNjHTqKVh3RzV54kvobeW+huLZo/Plt0tTF8w2xswkJznsCRjG01Lret6laz6cLCe2JuYFYxPGGDOZIl65yOJD+ldC1lC1w9w1lamZk8tpCg3FT/AAk4zj2qGLSbCB1aHS7CNk+6UhUFfpheOg/Kmguc7/wl87fZ5I0BhF5KLnELN5cCvsGSPukEkknj5DVjxLr+paTfzQWcUcif2e0iZjLbJizbWbH8GFOf510Itox5mLW3Hm58z5R8+eTnjnqetOMe4sTDCSyeWxPdf7p46e1AXVznINcv5preX7RAElvFsvsoiG8ZTd5uc5/2sYxtpLfUNXMggl1OEmXUZLNZ2tVURhATnGcFmxjniuhFpCtyLlbO1FwF2CUKN4X0zjOPaiW1imheGW0tpIpG3PG6gqx9SCOTQByen+J9UvNatLdmhFuzLG7iICOT5pQWD5yCwjBUYweRmtXxXq17pNtatZEhpZHDlYRKQFjZuhI4yBk9cZrX+yxbdv2W22jaANox8v3e3bt6VIyF2VniiZlJKknOMjBxx6UdAur3ORXxDqvlajctJH5cEvkoyxIbdSSg3b928gbiemCBXRaPetdWk3nTtLJDcPA7vEsRJXHZSR36g06PSrGKRpItMsEkZSpZYlBKkYIJ29McYp66fbJCkKWFmsSZ2RiMBVz1wMYGaBFmPq/++aJf9UfqP501DJl/lT7x/iP+FJKZPLOVTqP4j6/SgCbvRTMyf3U/76P+FGZP7qf99H/CgB9FMzJ/dT/vo/4UZk/up/30f8KAMy61CWLxFZWSXEJjlBEkGB5g+UkN1zjjqBgd+SKr6nrjxw2F1pjpdW88hXERUmXkDA3EcdckZIx0rbxJndsjyBjOf/rUbXOCIo/l6c9P0oA5pNbvN19FLe2ymO4CidQjRwRktjdz975QCGx1rV/taD+zZJJrqC1uIrVLiYSc+QGHDMPTIP5VobHOR5UZ3ckev6c1GsAWaWVYIRJNgSN3fHAzx2o6WH1MWx1sytpQl1G0kN1JMhAKAyBc7SME4bgAgZ54rS1a4ktbVJI5FiJcKZXXKxA8FyPQe/FWvKIxiCH5enHT9OKG8wugKIc5GM9ePpQI54a3Ol6qHVbOaMFcARAGdCCTKCD0XHOOOD6itHQNQbUrKSY3kF4qylUmhAXK4BGQCcHn64xmtLY4/wCWUY2jA9h6dKQK8YwsUa98Dj+lCAc/+rb/AHTSr9xfoKY5k8tvlTof4j/hQpk2L8qdB/Ef8KAJKoa1eHT9GursXEUDRRlleXG3PYc+vSrmZP7qf99H/Cgh3G1o42HoTn+lAI53WdcltLvEFysVsLb7W8qRLM0qgquFBYDABySDnpiibWdQfQ0urd4xILmZJjGis6RIzjKozAMflXPPTJraks4rtts9nbTCNgyCRAwQ4HIyOKjbRrCR3ZtJsHaRt7kwKSx9T8vJ560D0Kt5qJW2sJ472K3huEDNeSxjao27hwxAG736fWtW3Zmt4maRZGKgl1XaG9wO1NKu0uwxxkbPu9R1+lSZlz91P++j/hQISH/Up9KhvpRDavKZUhCKzeY+ML8p5OeKfEZPKXCp0/vH/CiQOxRSiEFuhOc8H2oAxYdalnfSzHcQOtxFExCAHzyxw+0542YycZ681av9ZtYrSG5g1C2WM3i27s7DBO/a65JGCOfpitIIwxiKMbemO36UFGYYMUTAc4PP9KYGdHq9ul9qsdxfW3k2SpI3zAGJSuW3YOcA9zVa+1ow6vFb217bSMYDIbMgb2GxmUg5ySSBgAdMk1tbGBJ8qIFup9f0o2Nu3+VFuHG7uPxxSGc2+vyJBb51ayEj3GxGdFC3C/KTg7sKF3EEjJyB3zWjp2oT3k97HKyMEUnYqgGE7mXY3vgBueea0/KbgGCL5eQMdP0pHDiNzsQbgSSD14+lAjAu9fkgstSNvPBcS290kC7GQeSrBeXycAAk8nHStWHUbd7dY3vI1uBbCdy+FKoeN5HQDIPtVpYyFwIYvmHP+19eOacQ5yDHGc8EE/8A1qBnOp4g82LRSmqWXm3aoZIsL+9yQGIO7jngAZOeKtazrlvb6c01rqlrDIszQBpAGBkUHMfJAB9T2Ga1vKPGIIfl6cdP04pSjOMGGJh1wef6UAYMuuSRS3Zmvra3ijjYligbyMFArnnLB9xxnHT60WWs3U8+no1xbyeaq7ljAPnZLAspB427RnGRk/St7Y56xRndwc9/0oCOuMRRjbwMdv0oArSq0lzFEJJERmkLbG2k4xjn8aaY2gu40Eszo6EkSOW5DLjr9afIEI3TMke1zhvNKde2aagiJLxSJKwwM+eXwMigAgtzcK8klxcAmRxhZSAAGIHAqFWlazQGV9zSrGXB+bbvYdfpUriBHYG4SM5JKi5K4J9qd5cflFT5YiAVg3mkY5Jzu+tADZoGt2hZJ5zmQKweQsCDnsaEia4uJQ00yqioFEchUcrk9KFEDsNs6SsvKr9pLc+uKVxEpVpJUidlGf35TPHpQAtsGS6liMjuqN8pdskZUHrV2qkIUMrQlHDEkt5pbJwO9WMyf3U/76P+FAgj+6f94/zp9RRmTaflT7x/iPr9KdmT+6n/AH0f8KAFk/1T/wC6aUdB9KjkMnlP8qfdP8R/wpwMmB8qdP7x/wAKAH0UzMn91P8Avo/4UZk/up/30f8ACgB9FMzJ/dT/AL6P+FGZP7qf99H/AAoAfWPLqE8Wux2iugjZwPKIG6QNuywPXC4GcevNauZP7qf99H/CmRh/mbYhIYjOen6UASP0H+8P5irFVWL/AC5Vcbh0PuParVJjQUUUUhhRRRQAUUUUAFFFFABSr99frSUq/fX60hlsVmp/x+3X1T+RrSFZqf8AH7dfVP5GiI5E1FFFMkKUfeFJSj7woAxr4katcY9B/IVVuGb7NJ/umrd4oOrXBLOuAPukeg9RVe5RTay/vJT8p4JH+FAFCLTTcf2v5umXyNId0ayTkJIVztwQ+eSdx6DGB2q5DZXEGu2OyO5MMFt5UsrSZjcbeP4s5z2x75qw2taWgm3arEPIYJL8w+RjkAHj1B/KrEV7aTTxwxXyPLJGJURWBLJ6jjpVITMq9tb6XVfMs47hCLeVDKXAjJIO3HzdQe233zUcdnehrQpb3McSykwI0nNuN4OZPm5+XcP4utbC3Vsk32ZrxVn2tJ5ZYZ2gnJoS/s5Ft2S/RluDthII+c+g4oQGGbHUPssyyW906lx5sayfNLJh8uvzfd3GM9R908esr2eqGa4JWZpTFiSRX+WVfkwi88NxJ2H3hz6azajYrFLK2oRiOJ/LkbcMK3p0609ru1WWWJr1RJCnmSKWHyr6nigLsx47PUBPZlYp02j9yWfiBNzkq/PJKlB/F061X+waj9hCi3ugN52xmT5hLsAEhO77m/Ldeh6dq30vbSRrdUvlLXCloQCPnHqOKhk1nTIollk1SJY3cxqxYYLDqOnancLkVjBcp4hvpmiuEgeMDdI4Ks4PVfmPGPYY6c1r1Wjnhmnlgjug8sOPMQEZXPTPFTbG/wCejfp/hSEPopmxv+ejfp/hRsb/AJ6N+n+FAD+9Mh/1S/570bG/56N+n+FMhRvLX9436f4UAczeLrp1ea8so3EPkvZwr5jD5ipYSbMYxvwN2f0rPktUN/pxgs9QW2ELfaBdQXUgM2U5wpznG75vu9a61L60W6jsTfILtxlYNw3Hr2x7Gkk1bTorUXUmqQrbmRohJvBBdSQV6dRg59MUh3Ob0Ow1yHVNLku2uPsaNcnazsT8+T+8B7Agbc+tdpVBtT09Ll7Z9TiWZEMjIXXIUDJP5c/SkuNU0+0ljiudTihklUPGruBuUkAEcdMkD8RTB66mhRVQ3dqrxob5A0kxgQFly0gySg/2hg8e1JPe2lq7pcX8cTxwm4dXdQVjBwXP+yPWgRcoqh/adh9q+y/2lF9o2eZ5e4Z24znp6c/SoI9f0eaGWWPWIWjiIV2DD5SeAOnX2oA1qKzl1XTnuYbZNUhaadQ8SB1JdTnBHHfB/I1Je31ppsayX18tujttVpCACcZx09ATQBdorNGsaYZ5YRqkPmQqWkG4fIAMkk4x0qza3EF9AJ7W786IkgOmMZHUdKAJo+r/AO+aJf8AVH6j+dMRD8/7xvvH0/wolQ+Wf3jdR6ev0oAm70UzY3/PRv0/wo2N/wA9G/T/AAoAfRTNjf8APRv0/wAKNjf89G/T/CgDJuo9SPivT5Uj3acsUiuyyEbGI6svQ5OMenNQam11ex6ew0rUEkMm5jHKubfDDqA4BJH1AGe/Fa7XECXaWjXYFw6lliJG4j6YqO6v7Oxlhjur9YXmOI1cgFuQOOPUj86BnPXNldXkWpAWOqW6vMjhA4fzNrN8wBkGc8ZAK8Y6kGtuC7keKe0msZvMt7aMymP7ruynKIc8kY9e45qf7babLh/ty7bZtsxyMRn0PFTB0a3E4uCYSu8Pxjb1z0oWwdTnkS7ddDV9N1JZIUTzZfMH7vBAIYb8HOOSc8e5rX1eKSa0VI0dxvBkjjbazp/EoORyR7in/b7PzLaP7eu+6XfAoIJkX1HHTmpLmSO2QTT3HlxJks7YAHH0oYjBFlcpexyw2GoIoCtFm5yIo8HfGRu+83br1HIxWh4djlisJRLa3NrulLLDcPuKAgcA7mJHXknrnjFTx6pp8sscUepxNJKpZFDrlgOvb2P5GprS5t76HzrS8E8eSu5CCMjt0oQFh/8AVt/umlX7i/QVG6N5bfvG6H0/wpVRti/vG6D0/wAKAJKz9cWR9Fu0hgmmlaMhEhOH3diDkfzq7sb/AJ6N+n+FRzyR2sDTT3PlxIMs7YAH6UAtzmvEP2yS6jnSyuZ4xb5hgAfAnyvEnlnIO3IBJ2g5zUF01xPon2WRNQ+0QXkztG9rOyTLvk2qWTB24KkFTgYGeK6S5vrTT3/0y+SDzG2pvIBY4HTiln1GytrX7VNqCR2+8p5hYY3AkEdOuQfyNJjTKV9FNPaWJls53jWMNcWkUv7zO3gZyN2G68+9a9snl28SBWXaoG123EexPc+9Vp7u2tUW4nvFjhZRtkYjBz0xxViIrNGksU5eNxlWXBBHqOKYh0P+pT6VDf8A/HpIPKklyrDy4/vN8p4HI5/EU+JD5S/vG6e3+FNnIiUSSTFUUksxxwMHnpQCMaCC/kfSXe3uo2jiiU+Yw/dFT+834bncuAOv4VZ1Ca5mtIJF0y982O8X93Gyltivy/DAbSO3vyKu/a7bfbp9tXdcLuhGR+8GM5HHpUkskcGzzrnZ5jhE3Y+Zj0HTqaYGfFLcQahq8q6feOu1HiGVxMwXBCZbgk464FV76O8n1qJ7eyvInEBxciQeWGKNhSN2AAcZO0knGOBWxHJHLLLFHc7pISBIoxlSRkZ49Kje7to7xbN71VuWXesRYbiPXpSHc5+S2uhb2sQ03Udv2jehSX5rcDbnI38ljuIySACfpWnptvdxXF806SKGB3M7ZEj7mO5eTgbSo7dOlWP7U0/y4ZP7Si2TuUiYsMOw7Diplnhn+0Rw3QkeHKyKpGVOOh4oAw7qPUpbLVIrS1uoS90jAuAfMiwofyxv68HjK9fetaGSWO2FtJp82xLUMWRgQzdDGPmzu+vHPWpftVsIZpTeKI4DtlbIwhABwePcfnUiujQCdbgmIrvD8Yx1z0oA55I7t49DR9N1JZIVTzJfMH7rBAIYb8HPcnPy+5q3rb3N3pjRrpV87+eyKIpACAAcS8OMj0BPXGRWgdQsg1sp1CMG6GYBuH7wdscU+7urewiEt3eLBGW2hpCAM+nSgDFmt71Jb2RrK8uQ0ZDIs20zKSuxQdwwV+fdjHXvmixtL5Z9OLQ3aiNVAaV/9WoLb1Ybj1BTHXgdRWu99ZxNMsl+imBA8oLD5FPQniljvbSVoFjv0drhS8IVgd6juOKAuMm8v7ZA0uwIDJ9/GM8etI3kG+iaAxnCMG2Y/vL1xUkkqwna3myM7ttVEDE46mmrMjt5YWeJzhgHjC5AI9PrQAlqbVUcSmAP5rk7yM/ePrVdVT7DGDt8sTKTnpje36VZNyjO22K5kwxUssSkEjg0faI/KM26Uo21QoQZJyRjH1oAbcfZmaDyTCXEyn5CM459KI/s63c5nMQJWPG/H933pRcJuVTHcRFztDPEoGfTNK06K3l7J5WVV3bI1IGRx1oALUJ9snMW0oX429Puir1VIZFmcBDKhQkMrqARwDVjY3/PRv0/woEEf3T/ALx/nT6hjRtp/eN94+nr9Kfsb/no36f4UALJ/qn/AN00o6D6VHIjeU/7xvun0/wpwRsD9436f4UAPopmxv8Ano36f4UbG/56N+n+FAD6KZsb/no36f4UbG/56N+n+FAD6xpbe6bX4pkSUxhhtkDfIi/NvUjPVsrjg9O1a2xv+ejfp/hVcTwpcrbNdBZ5CzJGSMsB1PSgCy/Qf7w/mKsVUZSNp3sfmHBx61bpMaCiiikMKKKKACiiigAooooAKVfvr9aSlX76/WkMtis1P+P26+qfyNaQrNT/AI/br6p/I0RHImooopkhSj7wpKUfeFAGNfAnVpwPQfyFVblSLaUnptNW73Z/a1xvRW4GNyg44FVrjyvssuIowdhwQgFAD7fT9QX+0POurUm5B8qSONg6dQM5OMBeMDHOT3qQaZINXtblZYlt7aIxogQ7zlcYJztx3zjPbOK1RDFgfu06elL5MX/PJP8AvmncVjCu9Hl1C78154kgEUkYCod/zAg5OduO+cZ7ZxSDRblpElkuYfMkfdc7UOCN6uNnPHKjrnvW1FDF5fMadT29zUnkxf8APNPyovYDnxoVykfyXUPmx4SEsjbfLAdfm55bEjcjjgUraA+XRblfJVcw5U7g/wAn3ueV/djpzya3/Ji/55p+VHkxf880/KjmHqYS6JMZI2kuYyrnfcBVOSwd3GzngZc9c8AU+30iVLKSCW4QtI8YYopAMaAALyepCjPatryYv+eaflR5MX/PNPyo5hWZmWmnSW1/NO0qNGd4iUKQRvfe27seemO1aFP8mL/nmn5UeTF/zzT8qLhYZRT/ACYv+eaflR5MX/PNPyouFhnemQ/6pf8APephDFn/AFSf980yGGIxLmNPy96LhY5ptJ1ZL6aawuYo4Zp2uCTIykkx7NjKAQwBCsDkY5GKrjwte2Vr9nsrgSlX8yC4kmMMsEhj2sw2JhgcAkEc85NdZDDEYVJjTv296k8mL/nmn5UtB6nJXnhzULq2lsTNamFp5boXGSJGkeNl2lcYAyx5z04xRe6HqmqyWC3UNlHBBGscqrcM+4CSNuPkHURn8xXW+TF/zzT8qPJi/wCeaflTuGpxo8KaiU+fUUElvNJPbMoGGdpAwL5UkfKqgleeW9aua/4ZbXL2ScziJTZm3Cj+IksSrf7ByPfium8mL/nmn5UeTF/zzT8qLhre5zFvoV9FLbQM9sbSK9W+MwY+aWC42YxjGf4s9OMVOdJvYZFuYWglni1GW8SORyqsrgrgnBwwBznBroPJi/55p+VHkxf880/Ki4HH2PhS7s7+G8a5idkkSRrfcwiJ3SM2BjqvmfKfbnGa1PEGjS60lqkV01t5TyMzoxDfNGyge4yRkdxmtzyYv+eaflR5MX/PNPyovpYNb3ONi8N6n5F7A5t40nkEyIl07QqQUYL5RUDGUxnOcGtvT4tVtrWT7QY55pJ3kw9wzeWhxtUMVy2OewrX8mL/AJ5p+VHkxf8APNPyouFiGPq/++aJf9UfqP50+OGLMn7tPvntSSwxCI4jTqO3vRcVhe9FP8mL/nkn/fNHkxf880/Ki4WGUU/yYv8Anmn5UeTF/wA80/Ki4WMu4sJp9YtbvzYhDb5IXYd5JBBGc4xz6ZGODyak+y3U1pbx3dxE8qSq8zRRlVcKcgAEnH8Pc9K0PJi/55p+VHkxf880/Ki4WOYuPC7T/a2F0UaWVHjjEknlqFcvg/NkZJOdpFasKamjzxtJA0SQIlu7glmkwdzPz06YHXrzWl5MX/PNPyo8mL/nmn5UJ2VhnPx6JdgaWZLi2EtmgjeWJZFZlBBwvzYwcYIYH2rR1C2a6jiWN1SVJBLGWGV3LyMj0q/5MX/PNPypjQxeZH+7Tqe3tRcVjFfSb+S4Mr3Vp+8KSygQH/WIDt28/d5Gc88H1q1pNpd2lvIL6aCa4kk3tJCjKG4A5yT6duAMDtWn5MX/ADzT8qPJi/55p+VCYWIn/wBW3+6aVfuL9BTnhi8tv3afdPahYYti/u06DtRcLCVU1S3nvNMuLa2kijllQoGlUlQD14BBq95MX/PNPyo8mL/nmn5UXCxzWqaVqlzdfabK4hiumtvs0jq7R+Wcq29Dg5GRgqeoxzULaNqn9n/ZBDa74bmWe3uY7x43QuzkNwnBAfBHIPNdQkMXmSfu06jt7Cn+TF/zzT8qLjMmazvGWyeO5hN9bR/6ySM7HYjaxIBBHrxWjGCsaqxBYAAlRgE+w7U7yYvPx5afc9PeniGLP+qT/vmi4rEMP+pT6VHdrK8BWBkErAhDICVBweuOamhhiMKExp09KV4Yt8f7tPvensaLhYxoNHul+w+dcQHyY4km8tGG7y2LJtyeM55zn2qW7tNTuLRIxc2ZmW5Eu5omC7Fbcq4DdeACf0rX8mL/AJ5p+VHkxf8APNPyo5gsZQtdRW71GZLi0X7Qii3zExMbKMAtz8w9hiobzTL69vUMtzbfYhEVZBEwcOUKlgc4zzxnoM+ua2/Ji/55p+VHkxf880/Ki49TnpNI1No41W7siHl8y5VoXKvgKFA+bOMICQep9uKt2enPZyXEjzK6FCkQUEELuZ/m9Tlj07VreTF/zzT8qbJDF5T/ALtPunt7UXFboYFzot7fW97HNc26ia4juIvLEi42gDa5DZIIUfdxWlHDfxDaLmB0W3CKHjO4yj+InPK4xx196vCGLaP3adPSl8mL/nmn5UXHY5+PStUWHTYHurFobUL5yiF/3hUggj5uwHQ8Z5qfULLVruyeCO8swzytkvC2DCRwnDZz6kdRnpWz5MX/ADzT8qPJi/55p+VFwMJ9Jvo3mktLu2jkwxgLREhGcruyM9Bs+X0zznFJa6LPDLas88G1NrSrGjfMyFiu0knrvOc5JNb3kxf880/KjyYv+eaflRzBqUHDLcxzCN3CNICE684/wpHLS3McvlSIqKQS4A6svv7Vdjhi+f8Adp989qSWGIR8Rp1Hb3FFxWKsDvbq0Zt5m/eM2VAIOST61CsMgtlXy2LLIshQYzjex/PmtTyYv+eSf980wQxec/7tPujt9aLjsU5me4MQEEq7ZA5LgAADPvRGXhnkfyZHWRUIKAHouPWrrQxbG/dp0PahIYvLT92n3R2ouKxTgDfapJGRkEjZAbrwoFW6RoYvNjHlp0PapPJi/wCeaflRcLEMf3T/ALx/nT6SKGIqf3afebt71J5MX/PNPyouFiGT/VP/ALppw6D6UssMQhf92n3T29qcIYsD92nT0ouFhtFP8mL/AJ5p+VHkxf8APNPyouFhlFP8mL/nmn5UeTF/zzT8qLhYZWW2nSS6qLoSoIfMV5EIO4sm7bg9MfMc1r+TF/zzT8qZHDF8/wC7T757UXCw1+g/3h/MVYqGSKNVBEaghl5A9xU1JsaCiiigAooooAKKKKACiiigApV++v1pKVfvr9aQy2KzU/4/br6p/I1pCs1P+P26+qfyNERyJqKKKZIUo+8KSlH3hQBi33/IXn4Y8D7qk9h6VVuf+PWXCyfdPWNh/Srl65XVbjHcD+QqtcSH7LL/ALhoA3BKmB97p/cP+FL5qf7X/fB/wp4+6PpRQBBFKvl/xdT/AAn1NSean+1/3wf8KIf9X+J/mafQAzzU/wBr/vg/4Uean+1/3wf8KfRQAzzU/wBr/vg/4Uean+1/3wf8KfRQAzzU/wBr/vg/4Uean+1/3wf8KfRQAzzU/wBr/vg/4Uean+1/3wf8KfRQAwTJn+L/AL4P+FMhlQRL97/vk+tTjrUcH+qT/PegCOGVRCv3u/8ACfWpPNT/AGv++D/hRD/qV/H+dPoAZ5qf7X/fB/wo81P9r/vg/wCFPooAZ5qf7X/fB/wo81P9r/vg/wCFPooAZ5qf7X/fB/wo81P9r/vg/wCFPooAZ5qf7X/fB/wo81P9r/vg/wCFPooAZ5qf7X/fB/wo81P9r/vg/wCFPooAhjlXMn3vvn+E0ksq+UfvdR/CfWpI+sn++f6UTf6o/UfzFAB5qf7X/fB/wo81P9r/AL4P+FP70UAM81P9r/vg/wCFHmp/tf8AfB/wp9FADPNT/a/74P8AhR5qf7X/AHwf8KfRQAzzU/2v++D/AIUean+1/wB8H/Cn0UAM81P9r/vg/wCFMaVfMj+91P8ACfSpqY/+ti+p/lQAean+1/3wf8KPNT/a/wC+D/hT6KAInlTy2+990/wmhZU2L97oP4DT5P8AVv8A7p/lSp9xfoKAG+an+1/3wf8ACjzU/wBr/vg/4U+igCFJV8yT73Ufwn0FP81P9r/vg/4UJ/rJfqP5Cn0AQ+avn5+b7n90+tPEyZ/i/wC+D/hR/wAvH/AP61IOtAFeGVRCn3un900ryrvj+997+6fQ0+H/AFCfSh/vxf739DQAean+1/3wf8KPNT/a/wC+D/hT6KAGean+1/3wf8KPNT/a/wC+D/hT6KAGean+1/3wf8KZJKnlP977p/hPpU1Nk/1T/wC6f5UANEqbR97p/cP+FL5qf7X/AHwf8KcPuj6UtADPNT/a/wC+D/hR5qf7X/fB/wAKfRQAzzU/2v8Avg/4Uean+1/3wf8ACn0UAQxyp8/3vvn+E0ksq+X/ABdR/CfUVJH/AB/75om/1f4j+YoAPNT/AGv++D/hTBKnnP8Ae+6P4T71NTB/rn/3V/rQA1pU2N97of4DQkqeWn3vuj+E1I33G+hpI/8AVJ/uj+VAETSr5sf3uh/hNSean+1/3wf8KG/10f0b+lPoAgilXafvfeb+E+tSean+1/3wf8KIvuH/AHm/nT6AIZZU8l/vfdP8J9KcJUwPvdP7h/wpZf8AUyf7p/lTx0H0oAZ5qf7X/fB/wo81P9r/AL4P+FPooAZ5qf7X/fB/wo81P9r/AL4P+FPooAZ5qf7X/fB/wpkcq/P9775/hNTUyPo/++aAGSSKVAG7ll/hPqKmpkv+r/4Ev8xT6ACiiigAooooAKKKKACiiigApV++v1pKVfvr9aQy2KzU/wCP26+qfyNaQrNT/j9uvqn8jREciaiiimSFKPvCkpR94UAY96rNq1xtCkADO5sdh7VWuUf7LL8sY+U9HJ/pVi+JGrXGPQfyFVbhj9ml/wB00AbwaTA/dr0/v/8A1qXdJ/zzX/vv/wCtTh90fSloAhiaTy/9WvU/x+59qfuk/wCea/8Aff8A9aiH/V/if5mn0AM3Sf8APNf++/8A61G6T/nmv/ff/wBan0UAM3Sf881/77/+tRuk/wCea/8Aff8A9an0UAM3Sf8APNf++/8A61G6T/nmv/ff/wBan0UAM3Sf881/77/+tRuk/wCea/8Aff8A9an0UAMDS5/1a/8Aff8A9amQtJ5S4jX/AL79/pUw60yD/VJ/nvQBHCZPJX92vf8Aj9/pUm6T/nmv/ff/ANakh/1K/j/OpKAGbpP+ea/99/8A1qN0n/PNf++//rU+igBm6T/nmv8A33/9ajdJ/wA81/77/wDrU+igBm6T/nmv/ff/ANajdJ/zzX/vv/61PooAZuk/55r/AN9//Wo3Sf8APNf++/8A61PooAZuk/55r/33/wDWo3Sf881/77/+tT6KAIY2kzJ+7X75/j/+tRK0nlH92vUfx+/0p8fWT/fNE3+qP1H8xQAbpf8Anmv/AH3/APWo3Sf881/77/8ArU/vRQAzdJ/zzX/vv/61G6T/AJ5r/wB9/wD1qfRQAzdJ/wA81/77/wDrUbpP+ea/99//AFqfRQAzdJ/zzX/vv/61G6T/AJ5r/wB9/wD1qfRQAzdJ/wA81/77/wDrUxmk8yP92vU/x+30qamP/rYvqf5UAG6T/nmv/ff/ANajdJ/zzX/vv/61PooAidpPLb92v3T/AB//AFqFaTYv7teg/j/+tT3/ANW/+6f5UqfcX6CgBu6T/nmv/ff/ANajdJ/zzX/vv/61PooAhRpPMk/dr1H8fsPan7pP+ea/99//AFqE/wBZL9R/IU+gCHdJ5/8Aq1+5/f8Af6U8NLn/AFa/99//AFqP+Xj/AIB/WnjrQBBCZPJTEa9P7/8A9aldpN0f7tfvf3/Y+1Oh/wBQn0pX+/H/AL39DQAbpP8Anmv/AH3/APWo3Sf881/77/8ArU+igBm6T/nmv/ff/wBajdJ/zzX/AL7/APrU+igBm6T/AJ5r/wB9/wD1qbI0nlP+7X7p/j9vpUtNk/1T/wC6f5UANDSbR+7Xp/f/APrUu6T/AJ5r/wB9/wD1qcPuj6UtADN0n/PNf++//rUbpP8Anmv/AH3/APWp9FADN0n/ADzX/vv/AOtRuk/55r/33/8AWp9FAEMbSfP+7X75/j/+tRK0nl/6teo/j9x7U+P+P/fNE3+r/EfzFABuk/55r/33/wDWpgaTzn/dr90fx/X2qamD/XP/ALq/1oARmk2N+7Xof4//AK1IjSeWn7tfuj+P/wCtUjfcb6Gkj/1Sf7o/lQBGzSebH+7Xof4//rU/dJ/zzX/vv/61Df66P6N/Sn0AQxNJtP7tfvN/H7/Sn7pP+ea/99//AFqIvuH/AHm/nT6AIZWk8l/3a/dP8ft9KcGkwP3a9P7/AP8AWpZf9TJ/un+VOHQfSgBu6T/nmv8A33/9ajdJ/wA81/77/wDrU+igBm6T/nmv/ff/ANajdJ/zzX/vv/61PooAZuk/55r/AN9//WpkbSfP+7X75/j/APrVNTI/4/8AfNADJDJtGUAG5ed3uPapqZL9z/gS/wAxT6ACiiigAooooAKKKKACiiigApV++PrSUq/eH1pDLIdf7w/Os+P/AI/Lr6p/I1UtNU1CfXJrSbRLmCyUYiu2xhiOuRngHtVuP/j8uv8AgH8qEgbJqKKKYgpR94UlKPvCgDHvFzq1wd7LgDoBzwPWq90g+yy/vXPyk4IXn9KsXqFtXnA9Af0FVrqNltZTkfdNAG4EfA/enp/dFLsf/nqf++RUgU7R9KXaaAK8Sv5f+tPU/wAI9TT9j/8APU/98ilhU+X+J/maftNAEex/+ep/75FGx/8Anqf++RUm00bTQBHsf/nqf++RRsf/AJ6n/vkVJtNG00AR7H/56n/vkUbH/wCep/75FSbTRtNAEex/+ep/75FGx/8Anqf++RUm00bTQBGEfP8ArT/3yKZCr+Uv70j/AICPWrAU5qOBT5Sf570ARQq/kr+9Pf8AhHrUmx/+ep/75FLCp8lfx/nT9poAj2P/AM9T/wB8ijY//PU/98ipNpo2mgCPY/8Az1P/AHyKNj/89T/3yKk2mjaaAI9j/wDPU/8AfIo2P/z1P/fIqTaaNpoAj2P/AM9T/wB8ijY//PU/98ipNpo2mgCPY/8Az1P/AHyKNj/89T/3yKk2mjaaAII1fMn70/fP8IolV/KP709R/CPWpI1OZP8AfP8ASiZT5R+o/mKAE2P/AM9T/wB8ijY//PU/98ipdpzSbTQBHsf/AJ6n/vkUbH/56n/vkVJtNG00AR7H/wCep/75FGx/+ep/75FSbTRtNAEex/8Anqf++RRsf/nqf++RUm00bTQBHsf/AJ6n/vkUxlfzY/3p6n+EelT7TTHU+bF9T/KgBNj/APPU/wDfIo2P/wA9T/3yKk2mjaaAIXR/Lb96fun+EUqo+xf3p6D+EVJIp8t/90/yoRTsX6CgBmx/+ep/75FGx/8Anqf++RUm00bTQBAiv5kn709R/CPQU/Y//PU/98ilRT5kv1H8hT9poAg2v5/+tP3P7o9aeEfP+tP/AHyKXaftH/AP61IFOaAK0Kv5KfvT0/uildX3x/vT97+6PQ1JCp8hPpQ6nfF/vf0NACbH/wCep/75FGx/+ep/75FSbTRtNAEex/8Anqf++RRsf/nqf++RUm00bTQBHsf/AJ6n/vkU2RH8p/3p+6f4R6VNtNNkU+U/+6f5UAMCPtH709P7opdj/wDPU/8AfIqQKdo+lG00AR7H/wCep/75FGx/+ep/75FSbTRtNAEex/8Anqf++RRsf/nqf++RUm00bTQBBGr/AD/vT98/wiiVX8v/AFp6j+EeoqSNT8/++aJlPl/iP5igBNj/APPU/wDfIpgV/Of96fuj+Ee9WNpqMKfPf/dX+tADWR9jfvT0P8IpER/LT96fuj+EVKynY30NJGp8pP8AdH8qAImV/Nj/AHp6H+EU/Y//AD1P/fIpWU+dH9G/pT9poAgiV9p/en7zfwj1p+x/+ep/75FLEp2H/eb+dP2mgCCVX8l/3p+6f4R6U4I+B+9PT+6KfKp8mT/dP8qcFOB9KAI9j/8APU/98ijY/wDz1P8A3yKk2mjaaAI9j/8APU/98ijY/wDz1P8A3yKk2mjaaAI9j/8APU/98imRq/z/AL0/fP8ACKn2mmRKfn/3zQBHIrBQTISNy8YHqKmpsqny/wDgS/zFSbTQA2il2mjaaAEopdpo2mgBKKXaaNpoASil2mjaaAEpRncMdaNppyqQwPvSGNW4jdwi3ELMTgKGBP5VBH/x93X/AAD+VRW3h/SrTWJ9Vgs40vZxh5APzIHYnuR1qaNT9suv+AfypoGS0Uu00bTQISlH3hRtNKFO4UAf/9k=">
          <a:extLst>
            <a:ext uri="{FF2B5EF4-FFF2-40B4-BE49-F238E27FC236}">
              <a16:creationId xmlns:a16="http://schemas.microsoft.com/office/drawing/2014/main" id="{00000000-0008-0000-0900-000003A40000}"/>
            </a:ext>
          </a:extLst>
        </xdr:cNvPr>
        <xdr:cNvSpPr>
          <a:spLocks noChangeAspect="1" noChangeArrowheads="1"/>
        </xdr:cNvSpPr>
      </xdr:nvSpPr>
      <xdr:spPr bwMode="auto">
        <a:xfrm>
          <a:off x="10925175" y="451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4</xdr:row>
      <xdr:rowOff>179293</xdr:rowOff>
    </xdr:from>
    <xdr:to>
      <xdr:col>16</xdr:col>
      <xdr:colOff>256324</xdr:colOff>
      <xdr:row>7</xdr:row>
      <xdr:rowOff>216085</xdr:rowOff>
    </xdr:to>
    <xdr:pic>
      <xdr:nvPicPr>
        <xdr:cNvPr id="2" name="Imagen 1">
          <a:extLst>
            <a:ext uri="{FF2B5EF4-FFF2-40B4-BE49-F238E27FC236}">
              <a16:creationId xmlns:a16="http://schemas.microsoft.com/office/drawing/2014/main" id="{6E10DF10-FE53-471B-91E7-864CDD9EE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0" y="1449293"/>
          <a:ext cx="4056799" cy="1372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xdr:row>
      <xdr:rowOff>0</xdr:rowOff>
    </xdr:from>
    <xdr:to>
      <xdr:col>16</xdr:col>
      <xdr:colOff>247650</xdr:colOff>
      <xdr:row>14</xdr:row>
      <xdr:rowOff>152400</xdr:rowOff>
    </xdr:to>
    <xdr:pic>
      <xdr:nvPicPr>
        <xdr:cNvPr id="3" name="Imagen 2">
          <a:extLst>
            <a:ext uri="{FF2B5EF4-FFF2-40B4-BE49-F238E27FC236}">
              <a16:creationId xmlns:a16="http://schemas.microsoft.com/office/drawing/2014/main" id="{090279D0-2AEA-489C-9B85-8B9895E0D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2905125"/>
          <a:ext cx="40481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504265</xdr:colOff>
      <xdr:row>8</xdr:row>
      <xdr:rowOff>268942</xdr:rowOff>
    </xdr:from>
    <xdr:to>
      <xdr:col>16</xdr:col>
      <xdr:colOff>220383</xdr:colOff>
      <xdr:row>16</xdr:row>
      <xdr:rowOff>21852</xdr:rowOff>
    </xdr:to>
    <xdr:pic>
      <xdr:nvPicPr>
        <xdr:cNvPr id="6" name="Imagen 5">
          <a:extLst>
            <a:ext uri="{FF2B5EF4-FFF2-40B4-BE49-F238E27FC236}">
              <a16:creationId xmlns:a16="http://schemas.microsoft.com/office/drawing/2014/main" id="{985F83C8-7A34-6E3C-8458-4943EE333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83" y="3160060"/>
          <a:ext cx="4012826" cy="2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xdr:row>
      <xdr:rowOff>0</xdr:rowOff>
    </xdr:from>
    <xdr:to>
      <xdr:col>16</xdr:col>
      <xdr:colOff>28575</xdr:colOff>
      <xdr:row>7</xdr:row>
      <xdr:rowOff>190500</xdr:rowOff>
    </xdr:to>
    <xdr:pic>
      <xdr:nvPicPr>
        <xdr:cNvPr id="7" name="Imagen 6">
          <a:extLst>
            <a:ext uri="{FF2B5EF4-FFF2-40B4-BE49-F238E27FC236}">
              <a16:creationId xmlns:a16="http://schemas.microsoft.com/office/drawing/2014/main" id="{C730EBCD-B995-3493-1D10-E84E506944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45850" y="1435100"/>
          <a:ext cx="38544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16</xdr:col>
      <xdr:colOff>247650</xdr:colOff>
      <xdr:row>16</xdr:row>
      <xdr:rowOff>95250</xdr:rowOff>
    </xdr:to>
    <xdr:pic>
      <xdr:nvPicPr>
        <xdr:cNvPr id="5" name="Imagen 4">
          <a:extLst>
            <a:ext uri="{FF2B5EF4-FFF2-40B4-BE49-F238E27FC236}">
              <a16:creationId xmlns:a16="http://schemas.microsoft.com/office/drawing/2014/main" id="{45A1F762-6BCF-8D37-4CED-12DC99605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5850" y="3238500"/>
          <a:ext cx="4070350"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xdr:row>
      <xdr:rowOff>0</xdr:rowOff>
    </xdr:from>
    <xdr:to>
      <xdr:col>16</xdr:col>
      <xdr:colOff>255641</xdr:colOff>
      <xdr:row>7</xdr:row>
      <xdr:rowOff>27267</xdr:rowOff>
    </xdr:to>
    <xdr:pic>
      <xdr:nvPicPr>
        <xdr:cNvPr id="7" name="Imagen 6">
          <a:extLst>
            <a:ext uri="{FF2B5EF4-FFF2-40B4-BE49-F238E27FC236}">
              <a16:creationId xmlns:a16="http://schemas.microsoft.com/office/drawing/2014/main" id="{E5F9F638-5820-D3D8-620A-BB6903F1F3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1266265"/>
          <a:ext cx="4020817" cy="1367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16</xdr:col>
      <xdr:colOff>25400</xdr:colOff>
      <xdr:row>8</xdr:row>
      <xdr:rowOff>25400</xdr:rowOff>
    </xdr:to>
    <xdr:pic>
      <xdr:nvPicPr>
        <xdr:cNvPr id="4" name="Imagen 3">
          <a:extLst>
            <a:ext uri="{FF2B5EF4-FFF2-40B4-BE49-F238E27FC236}">
              <a16:creationId xmlns:a16="http://schemas.microsoft.com/office/drawing/2014/main" id="{EE0BB61A-9A53-33AB-8A99-7CCB98D55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5850" y="1619250"/>
          <a:ext cx="38544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16</xdr:col>
      <xdr:colOff>56030</xdr:colOff>
      <xdr:row>15</xdr:row>
      <xdr:rowOff>183247</xdr:rowOff>
    </xdr:to>
    <xdr:pic>
      <xdr:nvPicPr>
        <xdr:cNvPr id="5" name="Imagen 4">
          <a:extLst>
            <a:ext uri="{FF2B5EF4-FFF2-40B4-BE49-F238E27FC236}">
              <a16:creationId xmlns:a16="http://schemas.microsoft.com/office/drawing/2014/main" id="{CB596D66-033A-ADAD-DCFF-DBF34D37B8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0" y="3238500"/>
          <a:ext cx="3821206" cy="226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0992869\precios\DOCUME~1\e0939709\CONFIG~1\Temp\precios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992774a\PRECIOS\DOCUME~1\e0939709\CONFIG~1\Temp\precios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0992869\precios\Constancita\HOJA%20DIARIA\HD%202003\Hoja%20Diaria%20Nue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0992774a\PRECIOS\Constancita\HOJA%20DIARIA\HD%202003\Hoja%20Diaria%20Nuev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0992869\precios\MERYVENT\ZZZ.MERCA.GQ\MERCADEO\POLITICA%20DE%20PRECIOS\PRECIOS%20MARZO%202003\precios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0992774a\PRECIOS\MERYVENT\ZZZ.MERCA.GQ\MERCADEO\POLITICA%20DE%20PRECIOS\PRECIOS%20MARZO%202003\precios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0992869\precios\DOCUME~1\e0448394\CONFIG~1\Temp\precios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0992774a\PRECIOS\DOCUME~1\e0448394\CONFIG~1\Temp\precios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 val="DATOS"/>
      <sheetName val="ENE_JUN"/>
      <sheetName val="Puntos"/>
      <sheetName val="General"/>
      <sheetName val="Enero-2010"/>
      <sheetName val="Febrero-2010"/>
      <sheetName val="Marzo-2010"/>
      <sheetName val="PYGUPT"/>
      <sheetName val="TABLAS"/>
      <sheetName val="TABLA #13"/>
      <sheetName val="Enero"/>
      <sheetName val="desglose"/>
      <sheetName val="Enero2010"/>
      <sheetName val="Inputs"/>
      <sheetName val="P50_JUL"/>
      <sheetName val="VENTAS"/>
      <sheetName val="PRECIOS DE COMPRA VENTA"/>
      <sheetName val="CRUDOS MES EVALUADO"/>
      <sheetName val="COMPRA MATERIA PRIMA"/>
      <sheetName val="COSTOS DE TRANSPORTE"/>
      <sheetName val="TRANSFERENCIAS"/>
      <sheetName val="INGJUL09"/>
      <sheetName val="Material"/>
      <sheetName val="ENERO-2013"/>
      <sheetName val="ENERO-2013 (PRUEB EXTENSAS)"/>
      <sheetName val="EP RUs"/>
      <sheetName val="Synth.  zone &quot;E0&quot; 02"/>
      <sheetName val="Z_mantto"/>
      <sheetName val="Aviso_1"/>
      <sheetName val="Aviso_2"/>
      <sheetName val="Factor_A"/>
      <sheetName val="San_Andrés"/>
      <sheetName val="Vol Lub Mes"/>
      <sheetName val="Vol Avi Mes"/>
      <sheetName val="DATOS_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sheetName val="WS CLEAN"/>
      <sheetName val="RICS NUEVA HOJA DIARIA"/>
      <sheetName val="HOJA DIARIA NUEVA"/>
    </sheetNames>
    <sheetDataSet>
      <sheetData sheetId="0" refreshError="1"/>
      <sheetData sheetId="1" refreshError="1"/>
      <sheetData sheetId="2"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U2" t="str">
            <v>REUTERS</v>
          </cell>
          <cell r="V2" t="str">
            <v>REUTERS</v>
          </cell>
        </row>
        <row r="3">
          <cell r="B3" t="str">
            <v>PROPANO</v>
          </cell>
          <cell r="C3" t="str">
            <v>BUTANO</v>
          </cell>
          <cell r="D3" t="str">
            <v>UNL87</v>
          </cell>
          <cell r="E3" t="str">
            <v>UNL93</v>
          </cell>
          <cell r="F3" t="str">
            <v>WS</v>
          </cell>
          <cell r="G3" t="str">
            <v>NAFTA</v>
          </cell>
          <cell r="H3" t="str">
            <v>JET54</v>
          </cell>
          <cell r="I3" t="str">
            <v>DIESEL</v>
          </cell>
          <cell r="J3" t="str">
            <v xml:space="preserve">FUEL OIL </v>
          </cell>
          <cell r="K3" t="str">
            <v>Cusiana</v>
          </cell>
          <cell r="L3" t="str">
            <v>WTI mes1</v>
          </cell>
          <cell r="M3" t="str">
            <v>WTI mes1</v>
          </cell>
          <cell r="N3" t="str">
            <v>CAÑO</v>
          </cell>
          <cell r="O3" t="str">
            <v>Dated</v>
          </cell>
          <cell r="P3" t="str">
            <v>WTI 2nd</v>
          </cell>
          <cell r="Q3" t="str">
            <v>Vasconia</v>
          </cell>
          <cell r="R3" t="str">
            <v>No. 2 USGC</v>
          </cell>
          <cell r="S3" t="str">
            <v>No.6 1% S</v>
          </cell>
          <cell r="T3" t="str">
            <v xml:space="preserve">No.6 3%S </v>
          </cell>
          <cell r="U3" t="str">
            <v>FLETE 70 DWT</v>
          </cell>
          <cell r="V3" t="str">
            <v>FLETE 50 DWT</v>
          </cell>
          <cell r="W3" t="str">
            <v xml:space="preserve">NO.6  0.3% S </v>
          </cell>
          <cell r="X3" t="str">
            <v>UNL87</v>
          </cell>
          <cell r="Y3" t="str">
            <v>UNL93</v>
          </cell>
        </row>
        <row r="4">
          <cell r="B4" t="str">
            <v>Mt.Belvieu</v>
          </cell>
          <cell r="C4" t="str">
            <v>Mt.Belvieu</v>
          </cell>
          <cell r="D4" t="str">
            <v>USGC</v>
          </cell>
          <cell r="E4" t="str">
            <v>USGC</v>
          </cell>
          <cell r="F4" t="str">
            <v>CLEAN</v>
          </cell>
          <cell r="G4" t="str">
            <v>USGC</v>
          </cell>
          <cell r="H4" t="str">
            <v>USGC</v>
          </cell>
          <cell r="I4" t="str">
            <v>USGC</v>
          </cell>
          <cell r="J4" t="str">
            <v xml:space="preserve"> NY 1%S</v>
          </cell>
          <cell r="L4" t="str">
            <v>Cushing</v>
          </cell>
          <cell r="M4" t="str">
            <v xml:space="preserve"> NYMEX</v>
          </cell>
          <cell r="N4" t="str">
            <v>LIMON</v>
          </cell>
          <cell r="O4" t="str">
            <v>Brent</v>
          </cell>
          <cell r="P4" t="str">
            <v>Month</v>
          </cell>
          <cell r="R4" t="str">
            <v>LS</v>
          </cell>
          <cell r="S4" t="str">
            <v>USGC</v>
          </cell>
          <cell r="T4" t="str">
            <v>USGC</v>
          </cell>
          <cell r="U4" t="str">
            <v>USGC</v>
          </cell>
          <cell r="V4" t="str">
            <v>USAC</v>
          </cell>
          <cell r="W4" t="str">
            <v>NY</v>
          </cell>
          <cell r="X4" t="str">
            <v>9 RVP USGC</v>
          </cell>
          <cell r="Y4" t="str">
            <v>9 RVP USGC</v>
          </cell>
        </row>
        <row r="5">
          <cell r="B5" t="str">
            <v>PMAAY00</v>
          </cell>
          <cell r="C5" t="str">
            <v>PMAAI00</v>
          </cell>
          <cell r="D5" t="str">
            <v>PGACU00</v>
          </cell>
          <cell r="E5" t="str">
            <v>PGAIX00</v>
          </cell>
          <cell r="F5" t="str">
            <v>PFACC10</v>
          </cell>
          <cell r="G5" t="str">
            <v>PAAAC00</v>
          </cell>
          <cell r="H5" t="str">
            <v>PJABM00</v>
          </cell>
          <cell r="I5" t="str">
            <v>POAEE00</v>
          </cell>
          <cell r="J5" t="str">
            <v>PUAAO00</v>
          </cell>
          <cell r="K5" t="str">
            <v>PCAGL00</v>
          </cell>
          <cell r="L5" t="str">
            <v>PCACG00</v>
          </cell>
          <cell r="M5" t="str">
            <v>CLc1</v>
          </cell>
          <cell r="N5" t="str">
            <v>PCADM00</v>
          </cell>
          <cell r="O5" t="str">
            <v>PCAAS00</v>
          </cell>
          <cell r="P5" t="str">
            <v>PCACH00</v>
          </cell>
          <cell r="Q5" t="str">
            <v>PCAGI00</v>
          </cell>
          <cell r="R5" t="str">
            <v>POAES00</v>
          </cell>
          <cell r="S5" t="str">
            <v>PUAAI00</v>
          </cell>
          <cell r="T5" t="str">
            <v>PUAFZ00</v>
          </cell>
          <cell r="U5" t="str">
            <v>PFALU10</v>
          </cell>
          <cell r="V5" t="str">
            <v>DFRT-CAR-US-FO</v>
          </cell>
          <cell r="W5" t="str">
            <v>PUAAE00</v>
          </cell>
          <cell r="X5" t="str">
            <v>PGAAC00</v>
          </cell>
          <cell r="Y5" t="str">
            <v>PGAJF00</v>
          </cell>
        </row>
        <row r="6">
          <cell r="A6" t="str">
            <v>Time stamp</v>
          </cell>
          <cell r="B6" t="str">
            <v>CLOSE</v>
          </cell>
          <cell r="C6" t="str">
            <v>CLOSE</v>
          </cell>
          <cell r="D6" t="str">
            <v>CLOSE</v>
          </cell>
          <cell r="E6" t="str">
            <v>CLOSE</v>
          </cell>
          <cell r="F6" t="str">
            <v>CLOSE</v>
          </cell>
          <cell r="G6" t="str">
            <v>CLOSE</v>
          </cell>
          <cell r="H6" t="str">
            <v>CLOSE</v>
          </cell>
          <cell r="I6" t="str">
            <v>CLOSE</v>
          </cell>
          <cell r="J6" t="str">
            <v>CLOSE</v>
          </cell>
          <cell r="K6" t="str">
            <v>CLOSE</v>
          </cell>
          <cell r="L6" t="str">
            <v>CLOSE</v>
          </cell>
          <cell r="M6" t="str">
            <v>CLOSE</v>
          </cell>
          <cell r="N6" t="str">
            <v>CLOSE</v>
          </cell>
          <cell r="O6" t="str">
            <v>CLOSE</v>
          </cell>
          <cell r="P6" t="str">
            <v>CLOSE</v>
          </cell>
          <cell r="Q6" t="str">
            <v>CLOSE</v>
          </cell>
          <cell r="R6" t="str">
            <v>CLOSE</v>
          </cell>
          <cell r="S6" t="str">
            <v>CLOSE</v>
          </cell>
          <cell r="T6" t="str">
            <v>CLOSE</v>
          </cell>
          <cell r="U6" t="str">
            <v>CLOSE</v>
          </cell>
          <cell r="V6" t="str">
            <v>CLOSE</v>
          </cell>
          <cell r="W6" t="str">
            <v>CLOSE</v>
          </cell>
          <cell r="X6" t="str">
            <v>CLOSE</v>
          </cell>
          <cell r="Y6" t="str">
            <v>CLOSE</v>
          </cell>
        </row>
        <row r="7">
          <cell r="A7">
            <v>37642</v>
          </cell>
          <cell r="B7">
            <v>59.625</v>
          </cell>
          <cell r="C7">
            <v>76.75</v>
          </cell>
          <cell r="D7">
            <v>87.625</v>
          </cell>
          <cell r="E7">
            <v>92</v>
          </cell>
          <cell r="F7">
            <v>245</v>
          </cell>
          <cell r="G7">
            <v>88.125</v>
          </cell>
          <cell r="H7">
            <v>87.724999999999895</v>
          </cell>
          <cell r="I7">
            <v>87.4</v>
          </cell>
          <cell r="J7">
            <v>32.274999999999999</v>
          </cell>
          <cell r="K7">
            <v>34.185000000000002</v>
          </cell>
          <cell r="L7">
            <v>34.31</v>
          </cell>
          <cell r="M7">
            <v>34.61</v>
          </cell>
          <cell r="N7">
            <v>31.635000000000002</v>
          </cell>
          <cell r="O7">
            <v>31.54</v>
          </cell>
          <cell r="P7">
            <v>32.96</v>
          </cell>
          <cell r="Q7">
            <v>31.234999999999999</v>
          </cell>
          <cell r="R7">
            <v>87.5</v>
          </cell>
          <cell r="S7">
            <v>31.75</v>
          </cell>
          <cell r="T7">
            <v>31.25</v>
          </cell>
          <cell r="U7">
            <v>105</v>
          </cell>
          <cell r="V7">
            <v>181.5</v>
          </cell>
          <cell r="W7">
            <v>38.375</v>
          </cell>
        </row>
        <row r="8">
          <cell r="A8">
            <v>37638</v>
          </cell>
          <cell r="B8">
            <v>60.125</v>
          </cell>
          <cell r="C8">
            <v>77.5</v>
          </cell>
          <cell r="D8">
            <v>88.724999999999895</v>
          </cell>
          <cell r="E8">
            <v>92.349999999999895</v>
          </cell>
          <cell r="F8">
            <v>240</v>
          </cell>
          <cell r="G8">
            <v>90.724999999999895</v>
          </cell>
          <cell r="H8">
            <v>88.15</v>
          </cell>
          <cell r="I8">
            <v>87.55</v>
          </cell>
          <cell r="J8">
            <v>32.274999999999999</v>
          </cell>
          <cell r="K8">
            <v>34.56</v>
          </cell>
          <cell r="L8">
            <v>34.1</v>
          </cell>
          <cell r="M8">
            <v>33.909999999999997</v>
          </cell>
          <cell r="N8">
            <v>31.96</v>
          </cell>
          <cell r="O8">
            <v>32.33</v>
          </cell>
          <cell r="P8">
            <v>33.284999999999997</v>
          </cell>
          <cell r="Q8">
            <v>31.56</v>
          </cell>
          <cell r="R8">
            <v>87.7</v>
          </cell>
          <cell r="S8">
            <v>32.25</v>
          </cell>
          <cell r="T8">
            <v>31.75</v>
          </cell>
          <cell r="U8">
            <v>105</v>
          </cell>
          <cell r="V8">
            <v>181.5</v>
          </cell>
          <cell r="W8">
            <v>37.5</v>
          </cell>
          <cell r="X8">
            <v>90.15</v>
          </cell>
          <cell r="Y8">
            <v>102.9</v>
          </cell>
        </row>
        <row r="9">
          <cell r="A9">
            <v>37637</v>
          </cell>
          <cell r="B9">
            <v>60.25</v>
          </cell>
          <cell r="C9">
            <v>77.25</v>
          </cell>
          <cell r="D9">
            <v>87.875</v>
          </cell>
          <cell r="E9">
            <v>91.5</v>
          </cell>
          <cell r="F9">
            <v>240</v>
          </cell>
          <cell r="G9">
            <v>89.875</v>
          </cell>
          <cell r="H9">
            <v>88.174999999999997</v>
          </cell>
          <cell r="I9">
            <v>87.025000000000006</v>
          </cell>
          <cell r="J9">
            <v>32.4</v>
          </cell>
          <cell r="K9">
            <v>33.99</v>
          </cell>
          <cell r="L9">
            <v>33.594999999999999</v>
          </cell>
          <cell r="M9">
            <v>33.659999999999997</v>
          </cell>
          <cell r="N9">
            <v>31.39</v>
          </cell>
          <cell r="O9">
            <v>31.984999999999999</v>
          </cell>
          <cell r="P9">
            <v>32.715000000000003</v>
          </cell>
          <cell r="Q9">
            <v>30.99</v>
          </cell>
          <cell r="R9">
            <v>87.4</v>
          </cell>
          <cell r="S9">
            <v>32.35</v>
          </cell>
          <cell r="T9">
            <v>32.25</v>
          </cell>
          <cell r="U9">
            <v>105</v>
          </cell>
          <cell r="V9">
            <v>182</v>
          </cell>
          <cell r="W9">
            <v>37.5</v>
          </cell>
          <cell r="X9">
            <v>91.15</v>
          </cell>
          <cell r="Y9">
            <v>102.15</v>
          </cell>
        </row>
        <row r="10">
          <cell r="A10">
            <v>37636</v>
          </cell>
          <cell r="B10">
            <v>58.625</v>
          </cell>
          <cell r="C10">
            <v>74.5</v>
          </cell>
          <cell r="D10">
            <v>87.45</v>
          </cell>
          <cell r="E10">
            <v>91.2</v>
          </cell>
          <cell r="F10">
            <v>240</v>
          </cell>
          <cell r="G10">
            <v>89.45</v>
          </cell>
          <cell r="H10">
            <v>89.15</v>
          </cell>
          <cell r="I10">
            <v>88.375</v>
          </cell>
          <cell r="J10">
            <v>31.925000000000001</v>
          </cell>
          <cell r="K10">
            <v>33.53</v>
          </cell>
          <cell r="L10">
            <v>33.075000000000003</v>
          </cell>
          <cell r="M10">
            <v>33.21</v>
          </cell>
          <cell r="N10">
            <v>30.93</v>
          </cell>
          <cell r="O10">
            <v>32.174999999999997</v>
          </cell>
          <cell r="P10">
            <v>32.255000000000003</v>
          </cell>
          <cell r="Q10">
            <v>30.53</v>
          </cell>
          <cell r="R10">
            <v>88.924999999999997</v>
          </cell>
          <cell r="S10">
            <v>32</v>
          </cell>
          <cell r="T10">
            <v>31.6</v>
          </cell>
          <cell r="U10">
            <v>112</v>
          </cell>
          <cell r="V10">
            <v>180</v>
          </cell>
          <cell r="W10">
            <v>36.875</v>
          </cell>
          <cell r="X10">
            <v>90.724999999999895</v>
          </cell>
          <cell r="Y10">
            <v>100.72499999999999</v>
          </cell>
        </row>
        <row r="11">
          <cell r="A11">
            <v>37635</v>
          </cell>
          <cell r="B11">
            <v>57.5</v>
          </cell>
          <cell r="C11">
            <v>74</v>
          </cell>
          <cell r="D11">
            <v>86.4</v>
          </cell>
          <cell r="E11">
            <v>90.275000000000006</v>
          </cell>
          <cell r="F11">
            <v>240</v>
          </cell>
          <cell r="G11">
            <v>88.4</v>
          </cell>
          <cell r="H11">
            <v>87.849999999999895</v>
          </cell>
          <cell r="I11">
            <v>86.9</v>
          </cell>
          <cell r="J11">
            <v>30.875</v>
          </cell>
          <cell r="K11">
            <v>33.005000000000003</v>
          </cell>
          <cell r="L11">
            <v>32.369999999999997</v>
          </cell>
          <cell r="M11">
            <v>32.369999999999997</v>
          </cell>
          <cell r="N11">
            <v>30.454999999999998</v>
          </cell>
          <cell r="O11">
            <v>32.034999999999997</v>
          </cell>
          <cell r="P11">
            <v>31.78</v>
          </cell>
          <cell r="Q11">
            <v>30.055</v>
          </cell>
          <cell r="R11">
            <v>87.5</v>
          </cell>
          <cell r="S11">
            <v>31.125</v>
          </cell>
          <cell r="T11">
            <v>31</v>
          </cell>
          <cell r="U11">
            <v>112</v>
          </cell>
          <cell r="V11">
            <v>180</v>
          </cell>
          <cell r="W11">
            <v>36.125</v>
          </cell>
          <cell r="X11">
            <v>87.349999999999895</v>
          </cell>
          <cell r="Y11">
            <v>99.349999999999895</v>
          </cell>
        </row>
        <row r="12">
          <cell r="A12">
            <v>37634</v>
          </cell>
          <cell r="B12">
            <v>56.5</v>
          </cell>
          <cell r="C12">
            <v>71.75</v>
          </cell>
          <cell r="D12">
            <v>87.15</v>
          </cell>
          <cell r="E12">
            <v>91.15</v>
          </cell>
          <cell r="F12">
            <v>240</v>
          </cell>
          <cell r="G12">
            <v>89.15</v>
          </cell>
          <cell r="H12">
            <v>87.05</v>
          </cell>
          <cell r="I12">
            <v>86.224999999999895</v>
          </cell>
          <cell r="J12">
            <v>30.125</v>
          </cell>
          <cell r="K12">
            <v>32.659999999999997</v>
          </cell>
          <cell r="L12">
            <v>32.134999999999998</v>
          </cell>
          <cell r="M12">
            <v>32.26</v>
          </cell>
          <cell r="N12">
            <v>30.11</v>
          </cell>
          <cell r="O12">
            <v>31.76</v>
          </cell>
          <cell r="P12">
            <v>31.434999999999999</v>
          </cell>
          <cell r="Q12">
            <v>29.71</v>
          </cell>
          <cell r="R12">
            <v>86.775000000000006</v>
          </cell>
          <cell r="S12">
            <v>30.75</v>
          </cell>
          <cell r="T12">
            <v>30.75</v>
          </cell>
          <cell r="U12">
            <v>110</v>
          </cell>
          <cell r="V12">
            <v>180</v>
          </cell>
          <cell r="W12">
            <v>36.125</v>
          </cell>
          <cell r="X12">
            <v>84.45</v>
          </cell>
          <cell r="Y12">
            <v>93.45</v>
          </cell>
        </row>
        <row r="13">
          <cell r="A13">
            <v>37631</v>
          </cell>
          <cell r="B13">
            <v>55.375</v>
          </cell>
          <cell r="C13">
            <v>71</v>
          </cell>
          <cell r="D13">
            <v>83.55</v>
          </cell>
          <cell r="E13">
            <v>86.3</v>
          </cell>
          <cell r="F13">
            <v>235</v>
          </cell>
          <cell r="G13">
            <v>85.55</v>
          </cell>
          <cell r="H13">
            <v>84.724999999999895</v>
          </cell>
          <cell r="I13">
            <v>84.275000000000006</v>
          </cell>
          <cell r="J13">
            <v>29.4</v>
          </cell>
          <cell r="K13">
            <v>32.28</v>
          </cell>
          <cell r="L13">
            <v>31.805</v>
          </cell>
          <cell r="M13">
            <v>31.68</v>
          </cell>
          <cell r="N13">
            <v>29.68</v>
          </cell>
          <cell r="O13">
            <v>30.954999999999998</v>
          </cell>
          <cell r="P13">
            <v>31.004999999999999</v>
          </cell>
          <cell r="Q13">
            <v>29.28</v>
          </cell>
          <cell r="R13">
            <v>84.625</v>
          </cell>
          <cell r="S13">
            <v>30.25</v>
          </cell>
          <cell r="T13">
            <v>29.75</v>
          </cell>
          <cell r="U13">
            <v>135</v>
          </cell>
          <cell r="V13">
            <v>185</v>
          </cell>
          <cell r="W13">
            <v>35.5</v>
          </cell>
          <cell r="X13">
            <v>83.599999999999895</v>
          </cell>
          <cell r="Y13">
            <v>92.599999999999895</v>
          </cell>
        </row>
        <row r="14">
          <cell r="A14">
            <v>37630</v>
          </cell>
          <cell r="B14">
            <v>55.5</v>
          </cell>
          <cell r="C14">
            <v>71.25</v>
          </cell>
          <cell r="D14">
            <v>85.25</v>
          </cell>
          <cell r="E14">
            <v>87.875</v>
          </cell>
          <cell r="F14">
            <v>235</v>
          </cell>
          <cell r="G14">
            <v>87.25</v>
          </cell>
          <cell r="H14">
            <v>85.15</v>
          </cell>
          <cell r="I14">
            <v>84.7</v>
          </cell>
          <cell r="J14">
            <v>28.9</v>
          </cell>
          <cell r="K14">
            <v>32.715000000000003</v>
          </cell>
          <cell r="L14">
            <v>32.090000000000003</v>
          </cell>
          <cell r="M14">
            <v>31.99</v>
          </cell>
          <cell r="N14">
            <v>30.114999999999998</v>
          </cell>
          <cell r="O14">
            <v>30.745000000000001</v>
          </cell>
          <cell r="P14">
            <v>31.44</v>
          </cell>
          <cell r="Q14">
            <v>29.715</v>
          </cell>
          <cell r="R14">
            <v>85.025000000000006</v>
          </cell>
          <cell r="S14">
            <v>29.25</v>
          </cell>
          <cell r="T14">
            <v>28.75</v>
          </cell>
          <cell r="U14">
            <v>135</v>
          </cell>
          <cell r="V14">
            <v>182.5</v>
          </cell>
          <cell r="W14">
            <v>35.774999999999999</v>
          </cell>
          <cell r="X14">
            <v>82.224999999999895</v>
          </cell>
          <cell r="Y14">
            <v>91.224999999999895</v>
          </cell>
        </row>
        <row r="15">
          <cell r="A15">
            <v>37629</v>
          </cell>
          <cell r="B15">
            <v>54.5</v>
          </cell>
          <cell r="C15">
            <v>68.625</v>
          </cell>
          <cell r="D15">
            <v>79.375</v>
          </cell>
          <cell r="E15">
            <v>81.875</v>
          </cell>
          <cell r="F15">
            <v>235</v>
          </cell>
          <cell r="G15">
            <v>81.375</v>
          </cell>
          <cell r="H15">
            <v>81.150000000000006</v>
          </cell>
          <cell r="I15">
            <v>80.424999999999997</v>
          </cell>
          <cell r="J15">
            <v>28.1</v>
          </cell>
          <cell r="K15">
            <v>31.515000000000001</v>
          </cell>
          <cell r="L15">
            <v>30.71</v>
          </cell>
          <cell r="M15">
            <v>30.56</v>
          </cell>
          <cell r="N15">
            <v>28.864999999999998</v>
          </cell>
          <cell r="O15">
            <v>30.23</v>
          </cell>
          <cell r="P15">
            <v>30.19</v>
          </cell>
          <cell r="Q15">
            <v>28.465</v>
          </cell>
          <cell r="R15">
            <v>81.075000000000003</v>
          </cell>
          <cell r="S15">
            <v>28.75</v>
          </cell>
          <cell r="T15">
            <v>27.5</v>
          </cell>
          <cell r="U15">
            <v>155</v>
          </cell>
          <cell r="V15">
            <v>182.5</v>
          </cell>
          <cell r="W15">
            <v>34.875</v>
          </cell>
          <cell r="X15">
            <v>84</v>
          </cell>
          <cell r="Y15">
            <v>93</v>
          </cell>
        </row>
        <row r="16">
          <cell r="A16">
            <v>37628</v>
          </cell>
          <cell r="B16">
            <v>55</v>
          </cell>
          <cell r="C16">
            <v>69</v>
          </cell>
          <cell r="D16">
            <v>80.775000000000006</v>
          </cell>
          <cell r="E16">
            <v>82.15</v>
          </cell>
          <cell r="F16">
            <v>220</v>
          </cell>
          <cell r="G16">
            <v>82.775000000000006</v>
          </cell>
          <cell r="H16">
            <v>84.275000000000006</v>
          </cell>
          <cell r="I16">
            <v>82.55</v>
          </cell>
          <cell r="J16">
            <v>28.5</v>
          </cell>
          <cell r="K16">
            <v>31.745000000000001</v>
          </cell>
          <cell r="L16">
            <v>31.15</v>
          </cell>
          <cell r="M16">
            <v>31.08</v>
          </cell>
          <cell r="N16">
            <v>29.295000000000002</v>
          </cell>
          <cell r="O16">
            <v>29.49</v>
          </cell>
          <cell r="P16">
            <v>30.62</v>
          </cell>
          <cell r="Q16">
            <v>28.895</v>
          </cell>
          <cell r="R16">
            <v>83.375</v>
          </cell>
          <cell r="S16">
            <v>28.75</v>
          </cell>
          <cell r="T16">
            <v>27.5</v>
          </cell>
          <cell r="U16">
            <v>160</v>
          </cell>
          <cell r="V16">
            <v>180</v>
          </cell>
          <cell r="W16">
            <v>35.75</v>
          </cell>
          <cell r="X16">
            <v>93.174999999999997</v>
          </cell>
          <cell r="Y16">
            <v>102.175</v>
          </cell>
        </row>
        <row r="17">
          <cell r="A17">
            <v>37627</v>
          </cell>
          <cell r="B17">
            <v>55.875</v>
          </cell>
          <cell r="C17">
            <v>70.5</v>
          </cell>
          <cell r="D17">
            <v>84.95</v>
          </cell>
          <cell r="E17">
            <v>86.325000000000003</v>
          </cell>
          <cell r="F17">
            <v>220</v>
          </cell>
          <cell r="G17">
            <v>86.45</v>
          </cell>
          <cell r="H17">
            <v>88.674999999999997</v>
          </cell>
          <cell r="I17">
            <v>86.7</v>
          </cell>
          <cell r="J17">
            <v>29.074999999999999</v>
          </cell>
          <cell r="K17">
            <v>32.534999999999997</v>
          </cell>
          <cell r="L17">
            <v>32.1</v>
          </cell>
          <cell r="M17">
            <v>32.1</v>
          </cell>
          <cell r="N17">
            <v>30.085000000000001</v>
          </cell>
          <cell r="O17">
            <v>30.87</v>
          </cell>
          <cell r="P17">
            <v>31.41</v>
          </cell>
          <cell r="Q17">
            <v>29.684999999999999</v>
          </cell>
          <cell r="R17">
            <v>87.674999999999997</v>
          </cell>
          <cell r="S17">
            <v>29.125</v>
          </cell>
          <cell r="T17">
            <v>29</v>
          </cell>
          <cell r="U17">
            <v>160</v>
          </cell>
          <cell r="V17">
            <v>180</v>
          </cell>
          <cell r="W17">
            <v>36.75</v>
          </cell>
          <cell r="X17">
            <v>91.424999999999997</v>
          </cell>
          <cell r="Y17">
            <v>99.424999999999997</v>
          </cell>
        </row>
        <row r="18">
          <cell r="A18">
            <v>37624</v>
          </cell>
          <cell r="B18">
            <v>57.25</v>
          </cell>
          <cell r="C18">
            <v>72</v>
          </cell>
          <cell r="D18">
            <v>88.7</v>
          </cell>
          <cell r="E18">
            <v>90.7</v>
          </cell>
          <cell r="F18">
            <v>220</v>
          </cell>
          <cell r="G18">
            <v>89.7</v>
          </cell>
          <cell r="H18">
            <v>92.424999999999997</v>
          </cell>
          <cell r="I18">
            <v>89.7</v>
          </cell>
          <cell r="J18">
            <v>29.15</v>
          </cell>
          <cell r="K18">
            <v>33.284999999999997</v>
          </cell>
          <cell r="L18">
            <v>33.28</v>
          </cell>
          <cell r="M18">
            <v>33.08</v>
          </cell>
          <cell r="N18">
            <v>30.434999999999999</v>
          </cell>
          <cell r="O18">
            <v>31.975000000000001</v>
          </cell>
          <cell r="P18">
            <v>32.409999999999997</v>
          </cell>
          <cell r="Q18">
            <v>30.385000000000002</v>
          </cell>
          <cell r="R18">
            <v>91.099999999999895</v>
          </cell>
          <cell r="S18">
            <v>29.125</v>
          </cell>
          <cell r="T18">
            <v>28.875</v>
          </cell>
          <cell r="U18">
            <v>160</v>
          </cell>
          <cell r="V18">
            <v>180</v>
          </cell>
          <cell r="W18">
            <v>36.875</v>
          </cell>
          <cell r="X18">
            <v>89.825000000000003</v>
          </cell>
          <cell r="Y18">
            <v>97.825000000000003</v>
          </cell>
        </row>
        <row r="19">
          <cell r="A19">
            <v>37623</v>
          </cell>
          <cell r="B19">
            <v>55.75</v>
          </cell>
          <cell r="C19">
            <v>69.75</v>
          </cell>
          <cell r="D19">
            <v>85.875</v>
          </cell>
          <cell r="E19">
            <v>88.75</v>
          </cell>
          <cell r="F19">
            <v>220</v>
          </cell>
          <cell r="G19">
            <v>86.875</v>
          </cell>
          <cell r="H19">
            <v>89.075000000000003</v>
          </cell>
          <cell r="I19">
            <v>86.125</v>
          </cell>
          <cell r="J19">
            <v>28.7</v>
          </cell>
          <cell r="K19">
            <v>32.045000000000002</v>
          </cell>
          <cell r="L19">
            <v>32</v>
          </cell>
          <cell r="M19">
            <v>31.85</v>
          </cell>
          <cell r="N19">
            <v>29.245000000000001</v>
          </cell>
          <cell r="O19">
            <v>32.479999999999997</v>
          </cell>
          <cell r="P19">
            <v>31.22</v>
          </cell>
          <cell r="Q19">
            <v>29.195</v>
          </cell>
          <cell r="R19">
            <v>88.525000000000006</v>
          </cell>
          <cell r="S19">
            <v>29.125</v>
          </cell>
          <cell r="T19">
            <v>27.375</v>
          </cell>
          <cell r="U19">
            <v>160</v>
          </cell>
          <cell r="V19">
            <v>180</v>
          </cell>
          <cell r="W19">
            <v>36.75</v>
          </cell>
          <cell r="X19">
            <v>94.375</v>
          </cell>
          <cell r="Y19">
            <v>102.875</v>
          </cell>
        </row>
        <row r="20">
          <cell r="A20">
            <v>37621</v>
          </cell>
          <cell r="B20">
            <v>54.25</v>
          </cell>
          <cell r="C20">
            <v>68.75</v>
          </cell>
          <cell r="D20">
            <v>84.625</v>
          </cell>
          <cell r="E20">
            <v>87.625</v>
          </cell>
          <cell r="F20">
            <v>220</v>
          </cell>
          <cell r="G20">
            <v>85.625</v>
          </cell>
          <cell r="H20">
            <v>88.724999999999895</v>
          </cell>
          <cell r="I20">
            <v>85.075000000000003</v>
          </cell>
          <cell r="J20">
            <v>28.2</v>
          </cell>
          <cell r="K20">
            <v>31.395</v>
          </cell>
          <cell r="L20">
            <v>31.25</v>
          </cell>
          <cell r="M20">
            <v>31.2</v>
          </cell>
          <cell r="N20">
            <v>28.594999999999999</v>
          </cell>
          <cell r="O20">
            <v>31.07</v>
          </cell>
          <cell r="P20">
            <v>30.57</v>
          </cell>
          <cell r="Q20">
            <v>28.545000000000002</v>
          </cell>
          <cell r="R20">
            <v>87.599999999999895</v>
          </cell>
          <cell r="S20">
            <v>29.125</v>
          </cell>
          <cell r="T20">
            <v>26.5</v>
          </cell>
          <cell r="U20">
            <v>155</v>
          </cell>
          <cell r="V20">
            <v>191</v>
          </cell>
          <cell r="W20">
            <v>35</v>
          </cell>
          <cell r="X20">
            <v>100.22499999999999</v>
          </cell>
          <cell r="Y20">
            <v>108.22499999999999</v>
          </cell>
        </row>
        <row r="21">
          <cell r="A21">
            <v>37620</v>
          </cell>
          <cell r="B21">
            <v>55.25</v>
          </cell>
          <cell r="C21">
            <v>70</v>
          </cell>
          <cell r="D21">
            <v>86.05</v>
          </cell>
          <cell r="E21">
            <v>89.424999999999997</v>
          </cell>
          <cell r="F21">
            <v>220</v>
          </cell>
          <cell r="G21">
            <v>87.05</v>
          </cell>
          <cell r="H21">
            <v>88.775000000000006</v>
          </cell>
          <cell r="I21">
            <v>85.474999999999895</v>
          </cell>
          <cell r="J21">
            <v>28.3</v>
          </cell>
          <cell r="K21">
            <v>31.344999999999999</v>
          </cell>
          <cell r="L21">
            <v>31.3</v>
          </cell>
          <cell r="M21">
            <v>31.37</v>
          </cell>
          <cell r="N21">
            <v>28.545000000000002</v>
          </cell>
          <cell r="O21">
            <v>30.375</v>
          </cell>
          <cell r="P21">
            <v>30.52</v>
          </cell>
          <cell r="Q21">
            <v>28.495000000000001</v>
          </cell>
          <cell r="R21">
            <v>87.474999999999895</v>
          </cell>
          <cell r="S21">
            <v>29.125</v>
          </cell>
          <cell r="T21">
            <v>26.5</v>
          </cell>
          <cell r="U21">
            <v>155</v>
          </cell>
          <cell r="V21">
            <v>191</v>
          </cell>
          <cell r="W21">
            <v>35</v>
          </cell>
          <cell r="X21">
            <v>106.625</v>
          </cell>
          <cell r="Y21">
            <v>116.125</v>
          </cell>
        </row>
        <row r="22">
          <cell r="A22">
            <v>37617</v>
          </cell>
          <cell r="B22">
            <v>55.75</v>
          </cell>
          <cell r="C22">
            <v>70</v>
          </cell>
          <cell r="D22">
            <v>91.325000000000003</v>
          </cell>
          <cell r="E22">
            <v>94.575000000000003</v>
          </cell>
          <cell r="F22">
            <v>220</v>
          </cell>
          <cell r="G22">
            <v>92.325000000000003</v>
          </cell>
          <cell r="H22">
            <v>92.825000000000003</v>
          </cell>
          <cell r="I22">
            <v>89.625</v>
          </cell>
          <cell r="J22">
            <v>29</v>
          </cell>
          <cell r="K22">
            <v>32.695</v>
          </cell>
          <cell r="L22">
            <v>32.619999999999997</v>
          </cell>
          <cell r="M22">
            <v>32.72</v>
          </cell>
          <cell r="N22">
            <v>29.895</v>
          </cell>
          <cell r="O22">
            <v>30.37</v>
          </cell>
          <cell r="P22">
            <v>31.87</v>
          </cell>
          <cell r="Q22">
            <v>29.844999999999999</v>
          </cell>
          <cell r="R22">
            <v>91.775000000000006</v>
          </cell>
          <cell r="S22">
            <v>29.125</v>
          </cell>
          <cell r="T22">
            <v>26.5</v>
          </cell>
          <cell r="U22">
            <v>140</v>
          </cell>
          <cell r="V22">
            <v>191</v>
          </cell>
          <cell r="W22">
            <v>35.125</v>
          </cell>
          <cell r="X22">
            <v>109.825</v>
          </cell>
          <cell r="Y22">
            <v>118.325</v>
          </cell>
        </row>
        <row r="23">
          <cell r="A23">
            <v>37616</v>
          </cell>
          <cell r="B23">
            <v>56.125</v>
          </cell>
          <cell r="C23">
            <v>70.25</v>
          </cell>
          <cell r="D23">
            <v>90.55</v>
          </cell>
          <cell r="E23">
            <v>93.3</v>
          </cell>
          <cell r="F23">
            <v>220</v>
          </cell>
          <cell r="G23">
            <v>90.65</v>
          </cell>
          <cell r="H23">
            <v>92.875</v>
          </cell>
          <cell r="I23">
            <v>88.75</v>
          </cell>
          <cell r="J23">
            <v>29.1</v>
          </cell>
          <cell r="K23">
            <v>32.24</v>
          </cell>
          <cell r="L23">
            <v>32.39</v>
          </cell>
          <cell r="M23">
            <v>32.49</v>
          </cell>
          <cell r="N23">
            <v>29.44</v>
          </cell>
          <cell r="O23">
            <v>31.754999999999999</v>
          </cell>
          <cell r="P23">
            <v>31.414999999999999</v>
          </cell>
          <cell r="Q23">
            <v>29.39</v>
          </cell>
          <cell r="R23">
            <v>91.599999999999895</v>
          </cell>
          <cell r="S23">
            <v>29.125</v>
          </cell>
          <cell r="T23">
            <v>26.25</v>
          </cell>
          <cell r="U23">
            <v>140</v>
          </cell>
          <cell r="V23">
            <v>191</v>
          </cell>
          <cell r="W23">
            <v>35.125</v>
          </cell>
          <cell r="X23">
            <v>102.35</v>
          </cell>
          <cell r="Y23">
            <v>110.35</v>
          </cell>
        </row>
        <row r="24">
          <cell r="A24">
            <v>37614</v>
          </cell>
          <cell r="B24">
            <v>55.625</v>
          </cell>
          <cell r="C24">
            <v>69.75</v>
          </cell>
          <cell r="D24">
            <v>90.15</v>
          </cell>
          <cell r="E24">
            <v>92.525000000000006</v>
          </cell>
          <cell r="F24">
            <v>220</v>
          </cell>
          <cell r="G24">
            <v>90.65</v>
          </cell>
          <cell r="H24">
            <v>91.75</v>
          </cell>
          <cell r="I24">
            <v>88.5</v>
          </cell>
          <cell r="J24">
            <v>29.1</v>
          </cell>
          <cell r="K24">
            <v>32.494999999999997</v>
          </cell>
          <cell r="L24">
            <v>32.57</v>
          </cell>
          <cell r="M24">
            <v>31.97</v>
          </cell>
          <cell r="N24">
            <v>30.295000000000002</v>
          </cell>
          <cell r="O24">
            <v>31.844999999999999</v>
          </cell>
          <cell r="P24">
            <v>32.270000000000003</v>
          </cell>
          <cell r="Q24">
            <v>30.245000000000001</v>
          </cell>
          <cell r="R24">
            <v>90.825000000000003</v>
          </cell>
          <cell r="S24">
            <v>27.875</v>
          </cell>
          <cell r="T24">
            <v>25.625</v>
          </cell>
          <cell r="U24">
            <v>140</v>
          </cell>
          <cell r="V24">
            <v>191</v>
          </cell>
          <cell r="W24">
            <v>34.875</v>
          </cell>
          <cell r="X24">
            <v>105.25</v>
          </cell>
          <cell r="Y24">
            <v>112.25</v>
          </cell>
        </row>
        <row r="25">
          <cell r="A25">
            <v>37613</v>
          </cell>
          <cell r="B25">
            <v>55.625</v>
          </cell>
          <cell r="C25">
            <v>69.75</v>
          </cell>
          <cell r="D25">
            <v>89</v>
          </cell>
          <cell r="E25">
            <v>91.375</v>
          </cell>
          <cell r="F25">
            <v>220</v>
          </cell>
          <cell r="G25">
            <v>89.5</v>
          </cell>
          <cell r="H25">
            <v>90.375</v>
          </cell>
          <cell r="I25">
            <v>87.174999999999997</v>
          </cell>
          <cell r="J25">
            <v>29</v>
          </cell>
          <cell r="K25">
            <v>32.1</v>
          </cell>
          <cell r="L25">
            <v>32.225000000000001</v>
          </cell>
          <cell r="M25">
            <v>31.75</v>
          </cell>
          <cell r="N25">
            <v>29.4</v>
          </cell>
          <cell r="O25">
            <v>31.545000000000002</v>
          </cell>
          <cell r="P25">
            <v>31.875</v>
          </cell>
          <cell r="Q25">
            <v>29.25</v>
          </cell>
          <cell r="R25">
            <v>89.4</v>
          </cell>
          <cell r="S25">
            <v>27.375</v>
          </cell>
          <cell r="T25">
            <v>25.5</v>
          </cell>
          <cell r="U25">
            <v>140</v>
          </cell>
          <cell r="V25">
            <v>191</v>
          </cell>
          <cell r="W25">
            <v>34.875</v>
          </cell>
          <cell r="X25">
            <v>104.175</v>
          </cell>
          <cell r="Y25">
            <v>110.55</v>
          </cell>
        </row>
        <row r="26">
          <cell r="A26">
            <v>37610</v>
          </cell>
          <cell r="B26">
            <v>54.125</v>
          </cell>
          <cell r="C26">
            <v>68.375</v>
          </cell>
          <cell r="D26">
            <v>82.875</v>
          </cell>
          <cell r="E26">
            <v>85</v>
          </cell>
          <cell r="F26">
            <v>220</v>
          </cell>
          <cell r="G26">
            <v>83.875</v>
          </cell>
          <cell r="H26">
            <v>86.8</v>
          </cell>
          <cell r="I26">
            <v>83.45</v>
          </cell>
          <cell r="J26">
            <v>28.225000000000001</v>
          </cell>
          <cell r="K26">
            <v>30.925000000000001</v>
          </cell>
          <cell r="L26">
            <v>31.05</v>
          </cell>
          <cell r="M26">
            <v>30.3</v>
          </cell>
          <cell r="N26">
            <v>28.225000000000001</v>
          </cell>
          <cell r="O26">
            <v>31.66</v>
          </cell>
          <cell r="P26">
            <v>30.7</v>
          </cell>
          <cell r="Q26">
            <v>28.074999999999999</v>
          </cell>
          <cell r="R26">
            <v>83.75</v>
          </cell>
          <cell r="S26">
            <v>26.875</v>
          </cell>
          <cell r="T26">
            <v>23.824999999999999</v>
          </cell>
          <cell r="U26">
            <v>140</v>
          </cell>
          <cell r="V26">
            <v>191</v>
          </cell>
          <cell r="W26">
            <v>34.5</v>
          </cell>
          <cell r="X26">
            <v>104.45</v>
          </cell>
          <cell r="Y26">
            <v>112.45</v>
          </cell>
        </row>
        <row r="27">
          <cell r="A27">
            <v>37609</v>
          </cell>
          <cell r="B27">
            <v>53.75</v>
          </cell>
          <cell r="C27">
            <v>68.5</v>
          </cell>
          <cell r="D27">
            <v>82.575000000000003</v>
          </cell>
          <cell r="E27">
            <v>84.575000000000003</v>
          </cell>
          <cell r="F27">
            <v>220</v>
          </cell>
          <cell r="G27">
            <v>83.575000000000003</v>
          </cell>
          <cell r="H27">
            <v>85.349999999999895</v>
          </cell>
          <cell r="I27">
            <v>83.25</v>
          </cell>
          <cell r="J27">
            <v>28.324999999999999</v>
          </cell>
          <cell r="K27">
            <v>30.414999999999999</v>
          </cell>
          <cell r="L27">
            <v>30.26</v>
          </cell>
          <cell r="M27">
            <v>30.56</v>
          </cell>
          <cell r="N27">
            <v>27.465</v>
          </cell>
          <cell r="O27">
            <v>30.42</v>
          </cell>
          <cell r="P27">
            <v>30.19</v>
          </cell>
          <cell r="Q27">
            <v>27.265000000000001</v>
          </cell>
          <cell r="R27">
            <v>84.05</v>
          </cell>
          <cell r="S27">
            <v>26.875</v>
          </cell>
          <cell r="T27">
            <v>24.125</v>
          </cell>
          <cell r="U27">
            <v>137</v>
          </cell>
          <cell r="V27">
            <v>191</v>
          </cell>
          <cell r="W27">
            <v>34.125</v>
          </cell>
          <cell r="X27">
            <v>100.9</v>
          </cell>
          <cell r="Y27">
            <v>106.9</v>
          </cell>
        </row>
        <row r="28">
          <cell r="A28">
            <v>37608</v>
          </cell>
          <cell r="B28">
            <v>53.875</v>
          </cell>
          <cell r="C28">
            <v>68</v>
          </cell>
          <cell r="D28">
            <v>81.125</v>
          </cell>
          <cell r="E28">
            <v>83.5</v>
          </cell>
          <cell r="F28">
            <v>220</v>
          </cell>
          <cell r="G28">
            <v>81.625</v>
          </cell>
          <cell r="H28">
            <v>83.45</v>
          </cell>
          <cell r="I28">
            <v>82.15</v>
          </cell>
          <cell r="J28">
            <v>27.8</v>
          </cell>
          <cell r="K28">
            <v>30.53</v>
          </cell>
          <cell r="L28">
            <v>30.434999999999999</v>
          </cell>
          <cell r="M28">
            <v>30.44</v>
          </cell>
          <cell r="N28">
            <v>27.68</v>
          </cell>
          <cell r="O28">
            <v>30.16</v>
          </cell>
          <cell r="P28">
            <v>30.405000000000001</v>
          </cell>
          <cell r="Q28">
            <v>27.43</v>
          </cell>
          <cell r="R28">
            <v>82.3</v>
          </cell>
          <cell r="S28">
            <v>27</v>
          </cell>
          <cell r="T28">
            <v>23.425000000000001</v>
          </cell>
          <cell r="U28">
            <v>132</v>
          </cell>
          <cell r="V28">
            <v>180</v>
          </cell>
          <cell r="W28">
            <v>34.125</v>
          </cell>
          <cell r="X28">
            <v>98.474999999999895</v>
          </cell>
          <cell r="Y28">
            <v>104.47499999999999</v>
          </cell>
        </row>
        <row r="29">
          <cell r="A29">
            <v>37607</v>
          </cell>
          <cell r="B29">
            <v>53.625</v>
          </cell>
          <cell r="C29">
            <v>68.125</v>
          </cell>
          <cell r="D29">
            <v>78.650000000000006</v>
          </cell>
          <cell r="E29">
            <v>81.2</v>
          </cell>
          <cell r="F29">
            <v>220</v>
          </cell>
          <cell r="G29">
            <v>79.2</v>
          </cell>
          <cell r="H29">
            <v>81.599999999999895</v>
          </cell>
          <cell r="I29">
            <v>80.7</v>
          </cell>
          <cell r="J29">
            <v>27.375</v>
          </cell>
          <cell r="K29">
            <v>30.03</v>
          </cell>
          <cell r="L29">
            <v>30.015000000000001</v>
          </cell>
          <cell r="M29">
            <v>30.1</v>
          </cell>
          <cell r="N29">
            <v>27.13</v>
          </cell>
          <cell r="O29">
            <v>29.875</v>
          </cell>
          <cell r="P29">
            <v>29.855</v>
          </cell>
          <cell r="Q29">
            <v>26.78</v>
          </cell>
          <cell r="R29">
            <v>80.849999999999895</v>
          </cell>
          <cell r="S29">
            <v>27</v>
          </cell>
          <cell r="T29">
            <v>22.675000000000001</v>
          </cell>
          <cell r="U29">
            <v>132</v>
          </cell>
          <cell r="V29">
            <v>177</v>
          </cell>
          <cell r="W29">
            <v>33.75</v>
          </cell>
          <cell r="X29">
            <v>95.8</v>
          </cell>
          <cell r="Y29">
            <v>101.3</v>
          </cell>
        </row>
        <row r="30">
          <cell r="A30">
            <v>37606</v>
          </cell>
          <cell r="B30">
            <v>54.1875</v>
          </cell>
          <cell r="C30">
            <v>68.25</v>
          </cell>
          <cell r="D30">
            <v>81.875</v>
          </cell>
          <cell r="E30">
            <v>84.875</v>
          </cell>
          <cell r="F30">
            <v>220</v>
          </cell>
          <cell r="G30">
            <v>82.375</v>
          </cell>
          <cell r="H30">
            <v>83.875</v>
          </cell>
          <cell r="I30">
            <v>82.674999999999997</v>
          </cell>
          <cell r="J30">
            <v>27.425000000000001</v>
          </cell>
          <cell r="K30">
            <v>30.26</v>
          </cell>
          <cell r="L30">
            <v>30.12</v>
          </cell>
          <cell r="M30">
            <v>30.1</v>
          </cell>
          <cell r="N30">
            <v>27.31</v>
          </cell>
          <cell r="O30">
            <v>28.95</v>
          </cell>
          <cell r="P30">
            <v>30.035</v>
          </cell>
          <cell r="Q30">
            <v>26.71</v>
          </cell>
          <cell r="R30">
            <v>83.025000000000006</v>
          </cell>
          <cell r="S30">
            <v>27</v>
          </cell>
          <cell r="T30">
            <v>22.125</v>
          </cell>
          <cell r="U30">
            <v>130</v>
          </cell>
          <cell r="V30">
            <v>180</v>
          </cell>
          <cell r="W30">
            <v>33.75</v>
          </cell>
          <cell r="X30">
            <v>92.825000000000003</v>
          </cell>
          <cell r="Y30">
            <v>98.375</v>
          </cell>
        </row>
        <row r="31">
          <cell r="A31">
            <v>37603</v>
          </cell>
          <cell r="B31">
            <v>52.125</v>
          </cell>
          <cell r="C31">
            <v>64</v>
          </cell>
          <cell r="D31">
            <v>78.325000000000003</v>
          </cell>
          <cell r="E31">
            <v>82.075000000000003</v>
          </cell>
          <cell r="F31">
            <v>220</v>
          </cell>
          <cell r="G31">
            <v>78.825000000000003</v>
          </cell>
          <cell r="H31">
            <v>79.275000000000006</v>
          </cell>
          <cell r="I31">
            <v>78.375</v>
          </cell>
          <cell r="J31">
            <v>26.15</v>
          </cell>
          <cell r="K31">
            <v>28.475000000000001</v>
          </cell>
          <cell r="L31">
            <v>28.465</v>
          </cell>
          <cell r="M31">
            <v>28.44</v>
          </cell>
          <cell r="N31">
            <v>25.7</v>
          </cell>
          <cell r="O31">
            <v>29.42</v>
          </cell>
          <cell r="P31">
            <v>28.425000000000001</v>
          </cell>
          <cell r="Q31">
            <v>25.1</v>
          </cell>
          <cell r="R31">
            <v>78.875</v>
          </cell>
          <cell r="S31">
            <v>26.375</v>
          </cell>
          <cell r="T31">
            <v>20.824999999999999</v>
          </cell>
          <cell r="U31">
            <v>105</v>
          </cell>
          <cell r="V31">
            <v>177</v>
          </cell>
          <cell r="W31">
            <v>32.75</v>
          </cell>
          <cell r="X31">
            <v>93.875</v>
          </cell>
          <cell r="Y31">
            <v>99.424999999999997</v>
          </cell>
        </row>
        <row r="32">
          <cell r="A32">
            <v>37602</v>
          </cell>
          <cell r="B32">
            <v>51.75</v>
          </cell>
          <cell r="C32">
            <v>62.5</v>
          </cell>
          <cell r="D32">
            <v>74.7</v>
          </cell>
          <cell r="E32">
            <v>78.825000000000003</v>
          </cell>
          <cell r="F32">
            <v>220</v>
          </cell>
          <cell r="G32">
            <v>74.7</v>
          </cell>
          <cell r="H32">
            <v>76.400000000000006</v>
          </cell>
          <cell r="I32">
            <v>75.7</v>
          </cell>
          <cell r="J32">
            <v>25.8</v>
          </cell>
          <cell r="K32">
            <v>27.635000000000002</v>
          </cell>
          <cell r="L32">
            <v>28</v>
          </cell>
          <cell r="M32">
            <v>28.01</v>
          </cell>
          <cell r="N32">
            <v>25.11</v>
          </cell>
          <cell r="O32">
            <v>27.885000000000002</v>
          </cell>
          <cell r="P32">
            <v>27.934999999999999</v>
          </cell>
          <cell r="Q32">
            <v>24.51</v>
          </cell>
          <cell r="R32">
            <v>75.775000000000006</v>
          </cell>
          <cell r="S32">
            <v>26</v>
          </cell>
          <cell r="T32">
            <v>19.975000000000001</v>
          </cell>
          <cell r="U32">
            <v>102</v>
          </cell>
          <cell r="V32">
            <v>177</v>
          </cell>
          <cell r="W32">
            <v>32.125</v>
          </cell>
          <cell r="X32">
            <v>97.099999999999895</v>
          </cell>
          <cell r="Y32">
            <v>102.65</v>
          </cell>
        </row>
        <row r="33">
          <cell r="A33">
            <v>37601</v>
          </cell>
          <cell r="B33">
            <v>49.875</v>
          </cell>
          <cell r="C33">
            <v>60.25</v>
          </cell>
          <cell r="D33">
            <v>71.474999999999895</v>
          </cell>
          <cell r="E33">
            <v>75.599999999999895</v>
          </cell>
          <cell r="F33">
            <v>220</v>
          </cell>
          <cell r="G33">
            <v>72.474999999999895</v>
          </cell>
          <cell r="H33">
            <v>74.099999999999895</v>
          </cell>
          <cell r="I33">
            <v>73.474999999999895</v>
          </cell>
          <cell r="J33">
            <v>24.8</v>
          </cell>
          <cell r="K33">
            <v>27.204999999999998</v>
          </cell>
          <cell r="L33">
            <v>27.5</v>
          </cell>
          <cell r="M33">
            <v>27.4</v>
          </cell>
          <cell r="N33">
            <v>24.68</v>
          </cell>
          <cell r="O33">
            <v>27.6</v>
          </cell>
          <cell r="P33">
            <v>27.504999999999999</v>
          </cell>
          <cell r="Q33">
            <v>24.08</v>
          </cell>
          <cell r="R33">
            <v>73.8</v>
          </cell>
          <cell r="S33">
            <v>24.625</v>
          </cell>
          <cell r="T33">
            <v>19.375</v>
          </cell>
          <cell r="U33">
            <v>105</v>
          </cell>
          <cell r="V33">
            <v>177</v>
          </cell>
          <cell r="W33">
            <v>31.375</v>
          </cell>
          <cell r="X33">
            <v>95.7</v>
          </cell>
          <cell r="Y33">
            <v>102.45</v>
          </cell>
        </row>
        <row r="34">
          <cell r="A34">
            <v>37600</v>
          </cell>
          <cell r="B34">
            <v>49.75</v>
          </cell>
          <cell r="C34">
            <v>60.375</v>
          </cell>
          <cell r="D34">
            <v>73.724999999999895</v>
          </cell>
          <cell r="E34">
            <v>78.599999999999895</v>
          </cell>
          <cell r="F34">
            <v>220</v>
          </cell>
          <cell r="G34">
            <v>75.224999999999895</v>
          </cell>
          <cell r="H34">
            <v>73.900000000000006</v>
          </cell>
          <cell r="I34">
            <v>73.45</v>
          </cell>
          <cell r="J34">
            <v>24.625</v>
          </cell>
          <cell r="K34">
            <v>27.305</v>
          </cell>
          <cell r="L34">
            <v>27.64</v>
          </cell>
          <cell r="M34">
            <v>27.74</v>
          </cell>
          <cell r="N34">
            <v>24.805</v>
          </cell>
          <cell r="O34">
            <v>26.98</v>
          </cell>
          <cell r="P34">
            <v>27.63</v>
          </cell>
          <cell r="Q34">
            <v>24.204999999999998</v>
          </cell>
          <cell r="R34">
            <v>73.650000000000006</v>
          </cell>
          <cell r="S34">
            <v>24.375</v>
          </cell>
          <cell r="T34">
            <v>19.625</v>
          </cell>
          <cell r="U34">
            <v>130</v>
          </cell>
          <cell r="V34">
            <v>177</v>
          </cell>
          <cell r="W34">
            <v>31.125</v>
          </cell>
          <cell r="X34">
            <v>96.4</v>
          </cell>
          <cell r="Y34">
            <v>102.65</v>
          </cell>
        </row>
        <row r="35">
          <cell r="A35">
            <v>37599</v>
          </cell>
          <cell r="B35">
            <v>49.375</v>
          </cell>
          <cell r="C35">
            <v>59.125</v>
          </cell>
          <cell r="D35">
            <v>70.900000000000006</v>
          </cell>
          <cell r="E35">
            <v>75.525000000000006</v>
          </cell>
          <cell r="F35">
            <v>220</v>
          </cell>
          <cell r="G35">
            <v>68.900000000000006</v>
          </cell>
          <cell r="H35">
            <v>72.8</v>
          </cell>
          <cell r="I35">
            <v>72.3</v>
          </cell>
          <cell r="J35">
            <v>24.5</v>
          </cell>
          <cell r="K35">
            <v>26.885000000000002</v>
          </cell>
          <cell r="L35">
            <v>27.27</v>
          </cell>
          <cell r="M35">
            <v>27.2</v>
          </cell>
          <cell r="N35">
            <v>24.385000000000002</v>
          </cell>
          <cell r="O35">
            <v>27.015000000000001</v>
          </cell>
          <cell r="P35">
            <v>27.21</v>
          </cell>
          <cell r="Q35">
            <v>23.785</v>
          </cell>
          <cell r="R35">
            <v>72.125</v>
          </cell>
          <cell r="S35">
            <v>24.125</v>
          </cell>
          <cell r="T35">
            <v>19.399999999999999</v>
          </cell>
          <cell r="U35">
            <v>140</v>
          </cell>
          <cell r="V35">
            <v>177.5</v>
          </cell>
          <cell r="W35">
            <v>30.5</v>
          </cell>
          <cell r="X35">
            <v>93.9</v>
          </cell>
          <cell r="Y35">
            <v>99.775000000000006</v>
          </cell>
        </row>
        <row r="36">
          <cell r="A36">
            <v>37596</v>
          </cell>
          <cell r="B36">
            <v>49.1875</v>
          </cell>
          <cell r="C36">
            <v>58.625</v>
          </cell>
          <cell r="D36">
            <v>68.525000000000006</v>
          </cell>
          <cell r="E36">
            <v>73.400000000000006</v>
          </cell>
          <cell r="F36">
            <v>220</v>
          </cell>
          <cell r="G36">
            <v>66.525000000000006</v>
          </cell>
          <cell r="H36">
            <v>72.3</v>
          </cell>
          <cell r="I36">
            <v>71.45</v>
          </cell>
          <cell r="J36">
            <v>24.5</v>
          </cell>
          <cell r="K36">
            <v>26.504999999999999</v>
          </cell>
          <cell r="L36">
            <v>26.96</v>
          </cell>
          <cell r="M36">
            <v>26.93</v>
          </cell>
          <cell r="N36">
            <v>24.004999999999999</v>
          </cell>
          <cell r="O36">
            <v>26.504999999999999</v>
          </cell>
          <cell r="P36">
            <v>26.88</v>
          </cell>
          <cell r="Q36">
            <v>23.405000000000001</v>
          </cell>
          <cell r="R36">
            <v>71.900000000000006</v>
          </cell>
          <cell r="S36">
            <v>23.875</v>
          </cell>
          <cell r="T36">
            <v>19.475000000000001</v>
          </cell>
          <cell r="U36">
            <v>140</v>
          </cell>
          <cell r="V36">
            <v>177.5</v>
          </cell>
          <cell r="W36">
            <v>30.5</v>
          </cell>
          <cell r="X36">
            <v>93.849999999999895</v>
          </cell>
          <cell r="Y36">
            <v>99.349999999999895</v>
          </cell>
        </row>
        <row r="37">
          <cell r="A37">
            <v>37876</v>
          </cell>
          <cell r="B37">
            <v>52.875</v>
          </cell>
          <cell r="C37">
            <v>61.5</v>
          </cell>
          <cell r="D37">
            <v>86.75</v>
          </cell>
          <cell r="E37">
            <v>99.75</v>
          </cell>
          <cell r="F37">
            <v>270</v>
          </cell>
          <cell r="G37">
            <v>79.75</v>
          </cell>
          <cell r="H37">
            <v>74.150000000000006</v>
          </cell>
          <cell r="I37">
            <v>71.8</v>
          </cell>
          <cell r="J37">
            <v>24.875</v>
          </cell>
          <cell r="K37">
            <v>27.63</v>
          </cell>
          <cell r="L37">
            <v>28.13</v>
          </cell>
          <cell r="M37">
            <v>28.27</v>
          </cell>
          <cell r="N37">
            <v>25.83</v>
          </cell>
          <cell r="O37">
            <v>26.7</v>
          </cell>
          <cell r="P37">
            <v>28.254999999999999</v>
          </cell>
          <cell r="Q37">
            <v>25.23</v>
          </cell>
          <cell r="R37">
            <v>74.150000000000006</v>
          </cell>
          <cell r="S37">
            <v>25.5</v>
          </cell>
          <cell r="T37">
            <v>21.65</v>
          </cell>
          <cell r="U37">
            <v>310</v>
          </cell>
          <cell r="V37">
            <v>285</v>
          </cell>
          <cell r="W37">
            <v>28.375</v>
          </cell>
          <cell r="X37">
            <v>87.55</v>
          </cell>
          <cell r="Y37">
            <v>93.05</v>
          </cell>
        </row>
        <row r="41">
          <cell r="B41" t="str">
            <v>Para sacar diferenciales</v>
          </cell>
        </row>
        <row r="42">
          <cell r="B42" t="str">
            <v>Para sacar diferenciales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sheetName val="WS CLEAN"/>
      <sheetName val="RICS NUEVA HOJA DIARIA"/>
      <sheetName val="HOJA DIARIA NUEVA"/>
      <sheetName val="Informe Semanal 1"/>
      <sheetName val="Informe Semanal"/>
      <sheetName val="BASE"/>
      <sheetName val="PRECIOS"/>
      <sheetName val="MARGEN"/>
      <sheetName val="Tabla"/>
      <sheetName val="PRE"/>
      <sheetName val="VOL"/>
      <sheetName val="Index"/>
      <sheetName val="Hoja3"/>
      <sheetName val="Variables"/>
      <sheetName val="Equipment List Oficial"/>
      <sheetName val="BD_Consolidada_OK."/>
      <sheetName val="PYGMIL1Q"/>
      <sheetName val="Hoja1"/>
      <sheetName val="CALIDAD"/>
      <sheetName val="TABLA 6"/>
      <sheetName val="Hoja 1 "/>
      <sheetName val="Recursos"/>
      <sheetName val="DATOS"/>
      <sheetName val="EQUIPOS"/>
      <sheetName val="WRut"/>
      <sheetName val="Evaluadores"/>
      <sheetName val="TARIF2002"/>
      <sheetName val="WS_CLEAN"/>
      <sheetName val="RICS_NUEVA_HOJA_DIARIA"/>
      <sheetName val="HOJA_DIARIA_NUEVA"/>
      <sheetName val="Prog"/>
      <sheetName val="VTAEXGRIN"/>
      <sheetName val="VTASGRINNAL"/>
      <sheetName val="Datos de entrada"/>
      <sheetName val="Supuestos"/>
    </sheetNames>
    <sheetDataSet>
      <sheetData sheetId="0"/>
      <sheetData sheetId="1"/>
      <sheetData sheetId="2"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U2" t="str">
            <v>REUTERS</v>
          </cell>
          <cell r="V2" t="str">
            <v>REUTERS</v>
          </cell>
        </row>
        <row r="3">
          <cell r="B3" t="str">
            <v>PROPANO</v>
          </cell>
          <cell r="C3" t="str">
            <v>BUTANO</v>
          </cell>
          <cell r="D3" t="str">
            <v>UNL87</v>
          </cell>
          <cell r="E3" t="str">
            <v>UNL93</v>
          </cell>
          <cell r="F3" t="str">
            <v>WS</v>
          </cell>
          <cell r="G3" t="str">
            <v>NAFTA</v>
          </cell>
          <cell r="H3" t="str">
            <v>JET54</v>
          </cell>
          <cell r="I3" t="str">
            <v>DIESEL</v>
          </cell>
          <cell r="J3" t="str">
            <v xml:space="preserve">FUEL OIL </v>
          </cell>
          <cell r="K3" t="str">
            <v>Cusiana</v>
          </cell>
          <cell r="L3" t="str">
            <v>WTI mes1</v>
          </cell>
          <cell r="M3" t="str">
            <v>WTI mes1</v>
          </cell>
          <cell r="N3" t="str">
            <v>CAÑO</v>
          </cell>
          <cell r="O3" t="str">
            <v>Dated</v>
          </cell>
          <cell r="P3" t="str">
            <v>WTI 2nd</v>
          </cell>
          <cell r="Q3" t="str">
            <v>Vasconia</v>
          </cell>
          <cell r="R3" t="str">
            <v>No. 2 USGC</v>
          </cell>
          <cell r="S3" t="str">
            <v>No.6 1% S</v>
          </cell>
          <cell r="T3" t="str">
            <v xml:space="preserve">No.6 3%S </v>
          </cell>
          <cell r="U3" t="str">
            <v>FLETE 70 DWT</v>
          </cell>
          <cell r="V3" t="str">
            <v>FLETE 50 DWT</v>
          </cell>
          <cell r="W3" t="str">
            <v xml:space="preserve">NO.6  0.3% S </v>
          </cell>
          <cell r="X3" t="str">
            <v>UNL87</v>
          </cell>
          <cell r="Y3" t="str">
            <v>UNL93</v>
          </cell>
        </row>
        <row r="4">
          <cell r="B4" t="str">
            <v>Mt.Belvieu</v>
          </cell>
          <cell r="C4" t="str">
            <v>Mt.Belvieu</v>
          </cell>
          <cell r="D4" t="str">
            <v>USGC</v>
          </cell>
          <cell r="E4" t="str">
            <v>USGC</v>
          </cell>
          <cell r="F4" t="str">
            <v>CLEAN</v>
          </cell>
          <cell r="G4" t="str">
            <v>USGC</v>
          </cell>
          <cell r="H4" t="str">
            <v>USGC</v>
          </cell>
          <cell r="I4" t="str">
            <v>USGC</v>
          </cell>
          <cell r="J4" t="str">
            <v xml:space="preserve"> NY 1%S</v>
          </cell>
          <cell r="L4" t="str">
            <v>Cushing</v>
          </cell>
          <cell r="M4" t="str">
            <v xml:space="preserve"> NYMEX</v>
          </cell>
          <cell r="N4" t="str">
            <v>LIMON</v>
          </cell>
          <cell r="O4" t="str">
            <v>Brent</v>
          </cell>
          <cell r="P4" t="str">
            <v>Month</v>
          </cell>
          <cell r="R4" t="str">
            <v>LS</v>
          </cell>
          <cell r="S4" t="str">
            <v>USGC</v>
          </cell>
          <cell r="T4" t="str">
            <v>USGC</v>
          </cell>
          <cell r="U4" t="str">
            <v>USGC</v>
          </cell>
          <cell r="V4" t="str">
            <v>USAC</v>
          </cell>
          <cell r="W4" t="str">
            <v>NY</v>
          </cell>
          <cell r="X4" t="str">
            <v>9 RVP USGC</v>
          </cell>
          <cell r="Y4" t="str">
            <v>9 RVP USGC</v>
          </cell>
        </row>
        <row r="5">
          <cell r="B5" t="str">
            <v>PMAAY00</v>
          </cell>
          <cell r="C5" t="str">
            <v>PMAAI00</v>
          </cell>
          <cell r="D5" t="str">
            <v>PGACU00</v>
          </cell>
          <cell r="E5" t="str">
            <v>PGAIX00</v>
          </cell>
          <cell r="F5" t="str">
            <v>PFACC10</v>
          </cell>
          <cell r="G5" t="str">
            <v>PAAAC00</v>
          </cell>
          <cell r="H5" t="str">
            <v>PJABM00</v>
          </cell>
          <cell r="I5" t="str">
            <v>POAEE00</v>
          </cell>
          <cell r="J5" t="str">
            <v>PUAAO00</v>
          </cell>
          <cell r="K5" t="str">
            <v>PCAGL00</v>
          </cell>
          <cell r="L5" t="str">
            <v>PCACG00</v>
          </cell>
          <cell r="M5" t="str">
            <v>CLc1</v>
          </cell>
          <cell r="N5" t="str">
            <v>PCADM00</v>
          </cell>
          <cell r="O5" t="str">
            <v>PCAAS00</v>
          </cell>
          <cell r="P5" t="str">
            <v>PCACH00</v>
          </cell>
          <cell r="Q5" t="str">
            <v>PCAGI00</v>
          </cell>
          <cell r="R5" t="str">
            <v>POAES00</v>
          </cell>
          <cell r="S5" t="str">
            <v>PUAAI00</v>
          </cell>
          <cell r="T5" t="str">
            <v>PUAFZ00</v>
          </cell>
          <cell r="U5" t="str">
            <v>DFRT-CAR-US-FO</v>
          </cell>
          <cell r="V5" t="str">
            <v>DFRT-CAR-US</v>
          </cell>
          <cell r="W5" t="str">
            <v>PUAAE00</v>
          </cell>
          <cell r="X5" t="str">
            <v>PGAAC00</v>
          </cell>
          <cell r="Y5" t="str">
            <v>PGAJF00</v>
          </cell>
        </row>
        <row r="6">
          <cell r="A6" t="str">
            <v>Time stamp</v>
          </cell>
          <cell r="B6" t="str">
            <v>CLOSE</v>
          </cell>
          <cell r="C6" t="str">
            <v>CLOSE</v>
          </cell>
          <cell r="D6" t="str">
            <v>CLOSE</v>
          </cell>
          <cell r="E6" t="str">
            <v>CLOSE</v>
          </cell>
          <cell r="F6" t="str">
            <v>CLOSE</v>
          </cell>
          <cell r="G6" t="str">
            <v>CLOSE</v>
          </cell>
          <cell r="H6" t="str">
            <v>CLOSE</v>
          </cell>
          <cell r="I6" t="str">
            <v>CLOSE</v>
          </cell>
          <cell r="J6" t="str">
            <v>CLOSE</v>
          </cell>
          <cell r="K6" t="str">
            <v>CLOSE</v>
          </cell>
          <cell r="L6" t="str">
            <v>CLOSE</v>
          </cell>
          <cell r="M6" t="str">
            <v>CLOSE</v>
          </cell>
          <cell r="N6" t="str">
            <v>CLOSE</v>
          </cell>
          <cell r="O6" t="str">
            <v>CLOSE</v>
          </cell>
          <cell r="P6" t="str">
            <v>CLOSE</v>
          </cell>
          <cell r="Q6" t="str">
            <v>CLOSE</v>
          </cell>
          <cell r="R6" t="str">
            <v>CLOSE</v>
          </cell>
          <cell r="S6" t="str">
            <v>CLOSE</v>
          </cell>
          <cell r="T6" t="str">
            <v>CLOSE</v>
          </cell>
          <cell r="U6" t="str">
            <v>CLOSE</v>
          </cell>
          <cell r="V6" t="str">
            <v>CLOSE</v>
          </cell>
          <cell r="W6" t="str">
            <v>CLOSE</v>
          </cell>
          <cell r="X6" t="str">
            <v>CLOSE</v>
          </cell>
          <cell r="Y6" t="str">
            <v>CLOSE</v>
          </cell>
        </row>
        <row r="7">
          <cell r="A7">
            <v>37642</v>
          </cell>
          <cell r="B7">
            <v>59.625</v>
          </cell>
          <cell r="C7">
            <v>76.75</v>
          </cell>
          <cell r="D7">
            <v>87.625</v>
          </cell>
          <cell r="E7">
            <v>92</v>
          </cell>
          <cell r="F7">
            <v>245</v>
          </cell>
          <cell r="G7">
            <v>88.125</v>
          </cell>
          <cell r="H7">
            <v>87.724999999999895</v>
          </cell>
          <cell r="I7">
            <v>87.4</v>
          </cell>
          <cell r="J7">
            <v>32.274999999999999</v>
          </cell>
          <cell r="K7">
            <v>34.185000000000002</v>
          </cell>
          <cell r="L7">
            <v>34.31</v>
          </cell>
          <cell r="M7">
            <v>34.61</v>
          </cell>
          <cell r="N7">
            <v>31.635000000000002</v>
          </cell>
          <cell r="O7">
            <v>31.54</v>
          </cell>
          <cell r="P7">
            <v>32.96</v>
          </cell>
          <cell r="Q7">
            <v>31.234999999999999</v>
          </cell>
          <cell r="R7">
            <v>87.5</v>
          </cell>
          <cell r="S7">
            <v>31.75</v>
          </cell>
          <cell r="T7">
            <v>31.25</v>
          </cell>
          <cell r="U7">
            <v>105</v>
          </cell>
          <cell r="V7">
            <v>181.5</v>
          </cell>
          <cell r="W7">
            <v>38.375</v>
          </cell>
        </row>
        <row r="8">
          <cell r="A8">
            <v>37917</v>
          </cell>
          <cell r="B8">
            <v>55.25</v>
          </cell>
          <cell r="C8">
            <v>71.5</v>
          </cell>
          <cell r="D8">
            <v>82.2</v>
          </cell>
          <cell r="E8">
            <v>88.2</v>
          </cell>
          <cell r="F8">
            <v>240</v>
          </cell>
          <cell r="G8">
            <v>80.2</v>
          </cell>
          <cell r="H8">
            <v>82.849999999999895</v>
          </cell>
          <cell r="I8">
            <v>80.349999999999895</v>
          </cell>
          <cell r="J8">
            <v>25.824999999999999</v>
          </cell>
          <cell r="K8">
            <v>30.385000000000002</v>
          </cell>
          <cell r="L8">
            <v>30.13</v>
          </cell>
          <cell r="M8">
            <v>30.3</v>
          </cell>
          <cell r="N8">
            <v>28.085000000000001</v>
          </cell>
          <cell r="O8">
            <v>29.45</v>
          </cell>
          <cell r="P8">
            <v>30.31</v>
          </cell>
          <cell r="Q8">
            <v>27.385000000000002</v>
          </cell>
          <cell r="R8">
            <v>81.75</v>
          </cell>
          <cell r="S8">
            <v>28.625</v>
          </cell>
          <cell r="T8">
            <v>23.9</v>
          </cell>
          <cell r="U8">
            <v>155</v>
          </cell>
          <cell r="V8">
            <v>350</v>
          </cell>
          <cell r="W8">
            <v>30.375</v>
          </cell>
          <cell r="X8">
            <v>90.15</v>
          </cell>
          <cell r="Y8">
            <v>102.9</v>
          </cell>
        </row>
        <row r="9">
          <cell r="A9">
            <v>37916</v>
          </cell>
          <cell r="B9">
            <v>55</v>
          </cell>
          <cell r="C9">
            <v>71.125</v>
          </cell>
          <cell r="D9">
            <v>79.400000000000006</v>
          </cell>
          <cell r="E9">
            <v>85.4</v>
          </cell>
          <cell r="F9">
            <v>240</v>
          </cell>
          <cell r="G9">
            <v>79.400000000000006</v>
          </cell>
          <cell r="H9">
            <v>81.599999999999895</v>
          </cell>
          <cell r="I9">
            <v>79.099999999999895</v>
          </cell>
          <cell r="J9">
            <v>25.625</v>
          </cell>
          <cell r="K9">
            <v>29.965</v>
          </cell>
          <cell r="L9">
            <v>29.704999999999998</v>
          </cell>
          <cell r="M9">
            <v>29.92</v>
          </cell>
          <cell r="N9">
            <v>27.69</v>
          </cell>
          <cell r="O9">
            <v>29.395</v>
          </cell>
          <cell r="P9">
            <v>29.89</v>
          </cell>
          <cell r="Q9">
            <v>26.965</v>
          </cell>
          <cell r="R9">
            <v>80.5</v>
          </cell>
          <cell r="S9">
            <v>28.5</v>
          </cell>
          <cell r="T9">
            <v>23.875</v>
          </cell>
          <cell r="U9">
            <v>155</v>
          </cell>
          <cell r="V9">
            <v>375</v>
          </cell>
          <cell r="W9">
            <v>30.375</v>
          </cell>
          <cell r="X9">
            <v>91.15</v>
          </cell>
          <cell r="Y9">
            <v>102.15</v>
          </cell>
        </row>
        <row r="10">
          <cell r="A10">
            <v>37915</v>
          </cell>
          <cell r="B10">
            <v>55.125</v>
          </cell>
          <cell r="C10">
            <v>71</v>
          </cell>
          <cell r="D10">
            <v>82.775000000000006</v>
          </cell>
          <cell r="E10">
            <v>89.525000000000006</v>
          </cell>
          <cell r="F10">
            <v>240</v>
          </cell>
          <cell r="G10">
            <v>82.775000000000006</v>
          </cell>
          <cell r="H10">
            <v>82.674999999999997</v>
          </cell>
          <cell r="I10">
            <v>79.875</v>
          </cell>
          <cell r="J10">
            <v>25.625</v>
          </cell>
          <cell r="K10">
            <v>30.454999999999998</v>
          </cell>
          <cell r="L10">
            <v>30.08</v>
          </cell>
          <cell r="M10">
            <v>30.18</v>
          </cell>
          <cell r="N10">
            <v>28.105</v>
          </cell>
          <cell r="O10">
            <v>29.684999999999999</v>
          </cell>
          <cell r="P10">
            <v>30.28</v>
          </cell>
          <cell r="Q10">
            <v>27.655000000000001</v>
          </cell>
          <cell r="R10">
            <v>81.424999999999997</v>
          </cell>
          <cell r="S10">
            <v>28.5</v>
          </cell>
          <cell r="T10">
            <v>24.625</v>
          </cell>
          <cell r="U10">
            <v>170</v>
          </cell>
          <cell r="V10">
            <v>360</v>
          </cell>
          <cell r="W10">
            <v>30.5</v>
          </cell>
          <cell r="X10">
            <v>90.724999999999895</v>
          </cell>
          <cell r="Y10">
            <v>100.72499999999999</v>
          </cell>
        </row>
        <row r="11">
          <cell r="A11">
            <v>37914</v>
          </cell>
          <cell r="B11">
            <v>54.875</v>
          </cell>
          <cell r="C11">
            <v>70.25</v>
          </cell>
          <cell r="D11">
            <v>83.5</v>
          </cell>
          <cell r="E11">
            <v>91</v>
          </cell>
          <cell r="F11">
            <v>240</v>
          </cell>
          <cell r="G11">
            <v>83.5</v>
          </cell>
          <cell r="H11">
            <v>82.3</v>
          </cell>
          <cell r="I11">
            <v>79.5</v>
          </cell>
          <cell r="J11">
            <v>25.625</v>
          </cell>
          <cell r="K11">
            <v>30.55</v>
          </cell>
          <cell r="L11">
            <v>30.324999999999999</v>
          </cell>
          <cell r="M11">
            <v>30.35</v>
          </cell>
          <cell r="N11">
            <v>28.3</v>
          </cell>
          <cell r="O11">
            <v>29.785</v>
          </cell>
          <cell r="P11">
            <v>30.375</v>
          </cell>
          <cell r="Q11">
            <v>27.85</v>
          </cell>
          <cell r="R11">
            <v>81.075000000000003</v>
          </cell>
          <cell r="S11">
            <v>28.5</v>
          </cell>
          <cell r="T11">
            <v>24.75</v>
          </cell>
          <cell r="U11">
            <v>215</v>
          </cell>
          <cell r="V11">
            <v>365</v>
          </cell>
          <cell r="W11">
            <v>30.5</v>
          </cell>
          <cell r="X11">
            <v>87.349999999999895</v>
          </cell>
          <cell r="Y11">
            <v>99.349999999999895</v>
          </cell>
        </row>
        <row r="12">
          <cell r="A12">
            <v>37911</v>
          </cell>
          <cell r="B12">
            <v>55.875</v>
          </cell>
          <cell r="C12">
            <v>71.125</v>
          </cell>
          <cell r="D12">
            <v>82.95</v>
          </cell>
          <cell r="E12">
            <v>90.2</v>
          </cell>
          <cell r="F12">
            <v>240</v>
          </cell>
          <cell r="G12">
            <v>82.95</v>
          </cell>
          <cell r="H12">
            <v>83.075000000000003</v>
          </cell>
          <cell r="I12">
            <v>80.349999999999895</v>
          </cell>
          <cell r="J12">
            <v>25.95</v>
          </cell>
          <cell r="K12">
            <v>30.835000000000001</v>
          </cell>
          <cell r="L12">
            <v>30.63</v>
          </cell>
          <cell r="M12">
            <v>30.68</v>
          </cell>
          <cell r="N12">
            <v>28.585000000000001</v>
          </cell>
          <cell r="O12">
            <v>29.704999999999998</v>
          </cell>
          <cell r="P12">
            <v>30.66</v>
          </cell>
          <cell r="Q12">
            <v>28.135000000000002</v>
          </cell>
          <cell r="R12">
            <v>82.075000000000003</v>
          </cell>
          <cell r="S12">
            <v>28.5</v>
          </cell>
          <cell r="T12">
            <v>24.75</v>
          </cell>
          <cell r="U12">
            <v>245</v>
          </cell>
          <cell r="V12">
            <v>365</v>
          </cell>
          <cell r="W12">
            <v>30.625</v>
          </cell>
          <cell r="X12">
            <v>84.45</v>
          </cell>
          <cell r="Y12">
            <v>93.45</v>
          </cell>
        </row>
        <row r="13">
          <cell r="A13">
            <v>37910</v>
          </cell>
          <cell r="B13">
            <v>57.625</v>
          </cell>
          <cell r="C13">
            <v>72.625</v>
          </cell>
          <cell r="D13">
            <v>85.474999999999895</v>
          </cell>
          <cell r="E13">
            <v>92.974999999999895</v>
          </cell>
          <cell r="F13">
            <v>240</v>
          </cell>
          <cell r="G13">
            <v>83.474999999999895</v>
          </cell>
          <cell r="H13">
            <v>86.125</v>
          </cell>
          <cell r="I13">
            <v>83.5</v>
          </cell>
          <cell r="J13">
            <v>26.975000000000001</v>
          </cell>
          <cell r="K13">
            <v>31.695</v>
          </cell>
          <cell r="L13">
            <v>31.45</v>
          </cell>
          <cell r="M13">
            <v>31.54</v>
          </cell>
          <cell r="N13">
            <v>29.445</v>
          </cell>
          <cell r="O13">
            <v>31.094999999999999</v>
          </cell>
          <cell r="P13">
            <v>31.52</v>
          </cell>
          <cell r="Q13">
            <v>29.045000000000002</v>
          </cell>
          <cell r="R13">
            <v>85.125</v>
          </cell>
          <cell r="S13">
            <v>28.5</v>
          </cell>
          <cell r="T13">
            <v>25.5</v>
          </cell>
          <cell r="U13">
            <v>280</v>
          </cell>
          <cell r="V13">
            <v>365</v>
          </cell>
          <cell r="W13">
            <v>30.975000000000001</v>
          </cell>
          <cell r="X13">
            <v>83.599999999999895</v>
          </cell>
          <cell r="Y13">
            <v>92.599999999999895</v>
          </cell>
        </row>
        <row r="14">
          <cell r="A14">
            <v>37909</v>
          </cell>
          <cell r="B14">
            <v>57.75</v>
          </cell>
          <cell r="C14">
            <v>72</v>
          </cell>
          <cell r="D14">
            <v>86.775000000000006</v>
          </cell>
          <cell r="E14">
            <v>95.025000000000006</v>
          </cell>
          <cell r="F14">
            <v>240</v>
          </cell>
          <cell r="G14">
            <v>84.775000000000006</v>
          </cell>
          <cell r="H14">
            <v>86.775000000000006</v>
          </cell>
          <cell r="I14">
            <v>84.25</v>
          </cell>
          <cell r="J14">
            <v>27.324999999999999</v>
          </cell>
          <cell r="K14">
            <v>31.914999999999999</v>
          </cell>
          <cell r="L14">
            <v>31.73</v>
          </cell>
          <cell r="M14">
            <v>31.77</v>
          </cell>
          <cell r="N14">
            <v>29.715</v>
          </cell>
          <cell r="O14">
            <v>31.225000000000001</v>
          </cell>
          <cell r="P14">
            <v>31.79</v>
          </cell>
          <cell r="Q14">
            <v>29.265000000000001</v>
          </cell>
          <cell r="R14">
            <v>85.825000000000003</v>
          </cell>
          <cell r="S14">
            <v>28.125</v>
          </cell>
          <cell r="T14">
            <v>25.75</v>
          </cell>
          <cell r="U14">
            <v>302</v>
          </cell>
          <cell r="V14">
            <v>390</v>
          </cell>
          <cell r="W14">
            <v>31.125</v>
          </cell>
          <cell r="X14">
            <v>82.224999999999895</v>
          </cell>
          <cell r="Y14">
            <v>91.224999999999895</v>
          </cell>
        </row>
        <row r="15">
          <cell r="A15">
            <v>37908</v>
          </cell>
          <cell r="B15">
            <v>57.75</v>
          </cell>
          <cell r="C15">
            <v>72.125</v>
          </cell>
          <cell r="D15">
            <v>88.325000000000003</v>
          </cell>
          <cell r="E15">
            <v>96.575000000000003</v>
          </cell>
          <cell r="F15">
            <v>240</v>
          </cell>
          <cell r="G15">
            <v>86.325000000000003</v>
          </cell>
          <cell r="H15">
            <v>87.099999999999895</v>
          </cell>
          <cell r="I15">
            <v>84.575000000000003</v>
          </cell>
          <cell r="J15">
            <v>27.475000000000001</v>
          </cell>
          <cell r="K15">
            <v>31.925000000000001</v>
          </cell>
          <cell r="L15">
            <v>31.75</v>
          </cell>
          <cell r="M15">
            <v>31.82</v>
          </cell>
          <cell r="N15">
            <v>29.725000000000001</v>
          </cell>
          <cell r="O15">
            <v>31.53</v>
          </cell>
          <cell r="P15">
            <v>31.8</v>
          </cell>
          <cell r="Q15">
            <v>29.274999999999999</v>
          </cell>
          <cell r="R15">
            <v>86.375</v>
          </cell>
          <cell r="S15">
            <v>28.125</v>
          </cell>
          <cell r="T15">
            <v>25.75</v>
          </cell>
          <cell r="U15">
            <v>325</v>
          </cell>
          <cell r="V15">
            <v>390</v>
          </cell>
          <cell r="W15">
            <v>31.125</v>
          </cell>
          <cell r="X15">
            <v>84</v>
          </cell>
          <cell r="Y15">
            <v>93</v>
          </cell>
        </row>
        <row r="16">
          <cell r="A16">
            <v>37907</v>
          </cell>
          <cell r="B16">
            <v>57.875</v>
          </cell>
          <cell r="C16">
            <v>72.25</v>
          </cell>
          <cell r="D16">
            <v>87.7</v>
          </cell>
          <cell r="E16">
            <v>95.95</v>
          </cell>
          <cell r="F16">
            <v>240</v>
          </cell>
          <cell r="G16">
            <v>83.7</v>
          </cell>
          <cell r="H16">
            <v>87.099999999999895</v>
          </cell>
          <cell r="I16">
            <v>84.45</v>
          </cell>
          <cell r="J16">
            <v>27.475000000000001</v>
          </cell>
          <cell r="K16">
            <v>32.145000000000003</v>
          </cell>
          <cell r="L16">
            <v>31.91</v>
          </cell>
          <cell r="M16">
            <v>31.95</v>
          </cell>
          <cell r="N16">
            <v>29.795000000000002</v>
          </cell>
          <cell r="O16">
            <v>31.234999999999999</v>
          </cell>
          <cell r="P16">
            <v>32.020000000000003</v>
          </cell>
          <cell r="Q16">
            <v>29.495000000000001</v>
          </cell>
          <cell r="R16">
            <v>86.424999999999997</v>
          </cell>
          <cell r="S16">
            <v>28.125</v>
          </cell>
          <cell r="T16">
            <v>25.625</v>
          </cell>
          <cell r="U16">
            <v>340</v>
          </cell>
          <cell r="V16">
            <v>390</v>
          </cell>
          <cell r="W16">
            <v>30.875</v>
          </cell>
          <cell r="X16">
            <v>93.174999999999997</v>
          </cell>
          <cell r="Y16">
            <v>102.175</v>
          </cell>
        </row>
        <row r="17">
          <cell r="A17">
            <v>37904</v>
          </cell>
          <cell r="B17">
            <v>58.625</v>
          </cell>
          <cell r="C17">
            <v>73.75</v>
          </cell>
          <cell r="D17">
            <v>89.55</v>
          </cell>
          <cell r="E17">
            <v>97.8</v>
          </cell>
          <cell r="F17">
            <v>235</v>
          </cell>
          <cell r="G17">
            <v>87.55</v>
          </cell>
          <cell r="H17">
            <v>88.025000000000006</v>
          </cell>
          <cell r="I17">
            <v>85.4</v>
          </cell>
          <cell r="J17">
            <v>27.375</v>
          </cell>
          <cell r="K17">
            <v>31.95</v>
          </cell>
          <cell r="L17">
            <v>32.045000000000002</v>
          </cell>
          <cell r="M17">
            <v>31.97</v>
          </cell>
          <cell r="N17">
            <v>29.8</v>
          </cell>
          <cell r="O17">
            <v>32.090000000000003</v>
          </cell>
          <cell r="P17">
            <v>32.024999999999999</v>
          </cell>
          <cell r="Q17">
            <v>29.45</v>
          </cell>
          <cell r="R17">
            <v>87.45</v>
          </cell>
          <cell r="S17">
            <v>28.125</v>
          </cell>
          <cell r="T17">
            <v>26</v>
          </cell>
          <cell r="U17">
            <v>340</v>
          </cell>
          <cell r="V17">
            <v>400</v>
          </cell>
          <cell r="W17">
            <v>30.375</v>
          </cell>
          <cell r="X17">
            <v>91.424999999999997</v>
          </cell>
          <cell r="Y17">
            <v>99.424999999999997</v>
          </cell>
        </row>
        <row r="18">
          <cell r="A18">
            <v>37903</v>
          </cell>
          <cell r="B18">
            <v>58</v>
          </cell>
          <cell r="C18">
            <v>72.125</v>
          </cell>
          <cell r="D18">
            <v>89.65</v>
          </cell>
          <cell r="E18">
            <v>98.275000000000006</v>
          </cell>
          <cell r="F18">
            <v>235</v>
          </cell>
          <cell r="G18">
            <v>86.65</v>
          </cell>
          <cell r="H18">
            <v>85.525000000000006</v>
          </cell>
          <cell r="I18">
            <v>82.525000000000006</v>
          </cell>
          <cell r="J18">
            <v>26.25</v>
          </cell>
          <cell r="K18">
            <v>30.934999999999999</v>
          </cell>
          <cell r="L18">
            <v>31.01</v>
          </cell>
          <cell r="M18">
            <v>31.01</v>
          </cell>
          <cell r="N18">
            <v>28.835000000000001</v>
          </cell>
          <cell r="O18">
            <v>30.36</v>
          </cell>
          <cell r="P18">
            <v>31.06</v>
          </cell>
          <cell r="Q18">
            <v>28.434999999999999</v>
          </cell>
          <cell r="R18">
            <v>84.599999999999895</v>
          </cell>
          <cell r="S18">
            <v>26.875</v>
          </cell>
          <cell r="T18">
            <v>24.75</v>
          </cell>
          <cell r="U18">
            <v>365</v>
          </cell>
          <cell r="V18">
            <v>400</v>
          </cell>
          <cell r="W18">
            <v>30.125</v>
          </cell>
          <cell r="X18">
            <v>89.825000000000003</v>
          </cell>
          <cell r="Y18">
            <v>97.825000000000003</v>
          </cell>
        </row>
        <row r="19">
          <cell r="A19">
            <v>37902</v>
          </cell>
          <cell r="B19">
            <v>56.75</v>
          </cell>
          <cell r="C19">
            <v>68.625</v>
          </cell>
          <cell r="D19">
            <v>83.849999999999895</v>
          </cell>
          <cell r="E19">
            <v>91.724999999999895</v>
          </cell>
          <cell r="F19">
            <v>235</v>
          </cell>
          <cell r="G19">
            <v>81.849999999999895</v>
          </cell>
          <cell r="H19">
            <v>81.325000000000003</v>
          </cell>
          <cell r="I19">
            <v>78.5</v>
          </cell>
          <cell r="J19">
            <v>25.75</v>
          </cell>
          <cell r="K19">
            <v>29.68</v>
          </cell>
          <cell r="L19">
            <v>29.77</v>
          </cell>
          <cell r="M19">
            <v>29.81</v>
          </cell>
          <cell r="N19">
            <v>27.63</v>
          </cell>
          <cell r="O19">
            <v>29.18</v>
          </cell>
          <cell r="P19">
            <v>29.855</v>
          </cell>
          <cell r="Q19">
            <v>27.13</v>
          </cell>
          <cell r="R19">
            <v>80.7</v>
          </cell>
          <cell r="S19">
            <v>26.375</v>
          </cell>
          <cell r="T19">
            <v>23.875</v>
          </cell>
          <cell r="U19">
            <v>380</v>
          </cell>
          <cell r="V19">
            <v>400</v>
          </cell>
          <cell r="W19">
            <v>29.375</v>
          </cell>
          <cell r="X19">
            <v>94.375</v>
          </cell>
          <cell r="Y19">
            <v>102.875</v>
          </cell>
        </row>
        <row r="20">
          <cell r="A20">
            <v>37901</v>
          </cell>
          <cell r="B20">
            <v>54.75</v>
          </cell>
          <cell r="C20">
            <v>67.25</v>
          </cell>
          <cell r="D20">
            <v>84.724999999999895</v>
          </cell>
          <cell r="E20">
            <v>91.474999999999895</v>
          </cell>
          <cell r="F20">
            <v>235</v>
          </cell>
          <cell r="G20">
            <v>79.724999999999895</v>
          </cell>
          <cell r="H20">
            <v>82.025000000000006</v>
          </cell>
          <cell r="I20">
            <v>79.3</v>
          </cell>
          <cell r="J20">
            <v>25.75</v>
          </cell>
          <cell r="K20">
            <v>30.15</v>
          </cell>
          <cell r="L20">
            <v>30.37</v>
          </cell>
          <cell r="M20">
            <v>30.41</v>
          </cell>
          <cell r="N20">
            <v>28.1</v>
          </cell>
          <cell r="O20">
            <v>29.545000000000002</v>
          </cell>
          <cell r="P20">
            <v>30.324999999999999</v>
          </cell>
          <cell r="Q20">
            <v>27.6</v>
          </cell>
          <cell r="R20">
            <v>81</v>
          </cell>
          <cell r="S20">
            <v>26.375</v>
          </cell>
          <cell r="T20">
            <v>24.15</v>
          </cell>
          <cell r="U20">
            <v>385</v>
          </cell>
          <cell r="V20">
            <v>400</v>
          </cell>
          <cell r="W20">
            <v>29.375</v>
          </cell>
          <cell r="X20">
            <v>100.22499999999999</v>
          </cell>
          <cell r="Y20">
            <v>108.22499999999999</v>
          </cell>
        </row>
        <row r="21">
          <cell r="A21">
            <v>37900</v>
          </cell>
          <cell r="B21">
            <v>54.375</v>
          </cell>
          <cell r="C21">
            <v>66.125</v>
          </cell>
          <cell r="D21">
            <v>87.625</v>
          </cell>
          <cell r="E21">
            <v>95.625</v>
          </cell>
          <cell r="F21">
            <v>235</v>
          </cell>
          <cell r="G21">
            <v>82.625</v>
          </cell>
          <cell r="H21">
            <v>81.75</v>
          </cell>
          <cell r="I21">
            <v>78.75</v>
          </cell>
          <cell r="J21">
            <v>25.75</v>
          </cell>
          <cell r="K21">
            <v>30.094999999999999</v>
          </cell>
          <cell r="L21">
            <v>30.405000000000001</v>
          </cell>
          <cell r="M21">
            <v>30.47</v>
          </cell>
          <cell r="N21">
            <v>28.03</v>
          </cell>
          <cell r="O21">
            <v>29.4</v>
          </cell>
          <cell r="P21">
            <v>30.204999999999998</v>
          </cell>
          <cell r="Q21">
            <v>27.43</v>
          </cell>
          <cell r="R21">
            <v>81.075000000000003</v>
          </cell>
          <cell r="S21">
            <v>26.375</v>
          </cell>
          <cell r="T21">
            <v>24.55</v>
          </cell>
          <cell r="U21">
            <v>385</v>
          </cell>
          <cell r="V21">
            <v>380</v>
          </cell>
          <cell r="W21">
            <v>29.375</v>
          </cell>
          <cell r="X21">
            <v>106.625</v>
          </cell>
          <cell r="Y21">
            <v>116.125</v>
          </cell>
        </row>
        <row r="22">
          <cell r="A22">
            <v>37897</v>
          </cell>
          <cell r="B22">
            <v>53.25</v>
          </cell>
          <cell r="C22">
            <v>65.125</v>
          </cell>
          <cell r="D22">
            <v>88.349999999999895</v>
          </cell>
          <cell r="E22">
            <v>96.599999999999895</v>
          </cell>
          <cell r="F22">
            <v>240</v>
          </cell>
          <cell r="G22">
            <v>84.349999999999895</v>
          </cell>
          <cell r="H22">
            <v>81.924999999999997</v>
          </cell>
          <cell r="I22">
            <v>79.400000000000006</v>
          </cell>
          <cell r="J22">
            <v>25.7</v>
          </cell>
          <cell r="K22">
            <v>29.664999999999999</v>
          </cell>
          <cell r="L22">
            <v>30.34</v>
          </cell>
          <cell r="M22">
            <v>30.4</v>
          </cell>
          <cell r="N22">
            <v>27.815000000000001</v>
          </cell>
          <cell r="O22">
            <v>29.26</v>
          </cell>
          <cell r="P22">
            <v>30.04</v>
          </cell>
          <cell r="Q22">
            <v>27.215</v>
          </cell>
          <cell r="R22">
            <v>81.349999999999895</v>
          </cell>
          <cell r="S22">
            <v>26.375</v>
          </cell>
          <cell r="T22">
            <v>24.55</v>
          </cell>
          <cell r="U22">
            <v>390</v>
          </cell>
          <cell r="V22">
            <v>355</v>
          </cell>
          <cell r="W22">
            <v>28.875</v>
          </cell>
          <cell r="X22">
            <v>109.825</v>
          </cell>
          <cell r="Y22">
            <v>118.325</v>
          </cell>
        </row>
        <row r="23">
          <cell r="A23">
            <v>37896</v>
          </cell>
          <cell r="B23">
            <v>53.125</v>
          </cell>
          <cell r="C23">
            <v>64.25</v>
          </cell>
          <cell r="D23">
            <v>81.8</v>
          </cell>
          <cell r="E23">
            <v>90.55</v>
          </cell>
          <cell r="F23">
            <v>247</v>
          </cell>
          <cell r="G23">
            <v>77.825000000000003</v>
          </cell>
          <cell r="H23">
            <v>80.7</v>
          </cell>
          <cell r="I23">
            <v>78.349999999999895</v>
          </cell>
          <cell r="J23">
            <v>24.75</v>
          </cell>
          <cell r="K23">
            <v>29.114999999999998</v>
          </cell>
          <cell r="L23">
            <v>29.78</v>
          </cell>
          <cell r="M23">
            <v>29.84</v>
          </cell>
          <cell r="N23">
            <v>27.065000000000001</v>
          </cell>
          <cell r="O23">
            <v>28.925000000000001</v>
          </cell>
          <cell r="P23">
            <v>29.49</v>
          </cell>
          <cell r="Q23">
            <v>26.465</v>
          </cell>
          <cell r="R23">
            <v>80.224999999999895</v>
          </cell>
          <cell r="S23">
            <v>25.875</v>
          </cell>
          <cell r="T23">
            <v>24.125</v>
          </cell>
          <cell r="U23">
            <v>390</v>
          </cell>
          <cell r="V23">
            <v>355</v>
          </cell>
          <cell r="W23">
            <v>28.375</v>
          </cell>
          <cell r="X23">
            <v>102.35</v>
          </cell>
          <cell r="Y23">
            <v>110.35</v>
          </cell>
        </row>
        <row r="24">
          <cell r="A24">
            <v>37895</v>
          </cell>
          <cell r="B24">
            <v>52.25</v>
          </cell>
          <cell r="C24">
            <v>63</v>
          </cell>
          <cell r="D24">
            <v>79</v>
          </cell>
          <cell r="E24">
            <v>88</v>
          </cell>
          <cell r="F24">
            <v>247</v>
          </cell>
          <cell r="G24">
            <v>73.75</v>
          </cell>
          <cell r="H24">
            <v>79.7</v>
          </cell>
          <cell r="I24">
            <v>77.275000000000006</v>
          </cell>
          <cell r="J24">
            <v>24.35</v>
          </cell>
          <cell r="K24">
            <v>28.785</v>
          </cell>
          <cell r="L24">
            <v>29.41</v>
          </cell>
          <cell r="M24">
            <v>29.39</v>
          </cell>
          <cell r="N24">
            <v>26.734999999999999</v>
          </cell>
          <cell r="O24">
            <v>28.24</v>
          </cell>
          <cell r="P24">
            <v>29.16</v>
          </cell>
          <cell r="Q24">
            <v>26.135000000000002</v>
          </cell>
          <cell r="R24">
            <v>79.05</v>
          </cell>
          <cell r="S24">
            <v>25.625</v>
          </cell>
          <cell r="T24">
            <v>23.6</v>
          </cell>
          <cell r="U24">
            <v>395</v>
          </cell>
          <cell r="V24">
            <v>365</v>
          </cell>
          <cell r="W24">
            <v>27.75</v>
          </cell>
          <cell r="X24">
            <v>105.25</v>
          </cell>
          <cell r="Y24">
            <v>112.25</v>
          </cell>
        </row>
        <row r="25">
          <cell r="A25">
            <v>37894</v>
          </cell>
          <cell r="B25">
            <v>52</v>
          </cell>
          <cell r="C25">
            <v>63</v>
          </cell>
          <cell r="D25">
            <v>78.349999999999895</v>
          </cell>
          <cell r="E25">
            <v>86.775000000000006</v>
          </cell>
          <cell r="F25">
            <v>247</v>
          </cell>
          <cell r="G25">
            <v>74.349999999999895</v>
          </cell>
          <cell r="H25">
            <v>78.3</v>
          </cell>
          <cell r="I25">
            <v>75.875</v>
          </cell>
          <cell r="J25">
            <v>24.35</v>
          </cell>
          <cell r="K25">
            <v>28.39</v>
          </cell>
          <cell r="L25">
            <v>29.105</v>
          </cell>
          <cell r="M25">
            <v>29.2</v>
          </cell>
          <cell r="N25">
            <v>26.39</v>
          </cell>
          <cell r="O25">
            <v>28.175000000000001</v>
          </cell>
          <cell r="P25">
            <v>28.815000000000001</v>
          </cell>
          <cell r="Q25">
            <v>25.79</v>
          </cell>
          <cell r="R25">
            <v>77.724999999999895</v>
          </cell>
          <cell r="S25">
            <v>25.25</v>
          </cell>
          <cell r="T25">
            <v>23.75</v>
          </cell>
          <cell r="U25">
            <v>395</v>
          </cell>
          <cell r="V25">
            <v>365</v>
          </cell>
          <cell r="W25">
            <v>27.75</v>
          </cell>
          <cell r="X25">
            <v>104.175</v>
          </cell>
          <cell r="Y25">
            <v>110.55</v>
          </cell>
        </row>
        <row r="26">
          <cell r="A26">
            <v>37893</v>
          </cell>
          <cell r="B26">
            <v>51.75</v>
          </cell>
          <cell r="C26">
            <v>62.1875</v>
          </cell>
          <cell r="D26">
            <v>75.150000000000006</v>
          </cell>
          <cell r="E26">
            <v>83.65</v>
          </cell>
          <cell r="F26">
            <v>247</v>
          </cell>
          <cell r="G26">
            <v>69.150000000000006</v>
          </cell>
          <cell r="H26">
            <v>75.5</v>
          </cell>
          <cell r="I26">
            <v>73.150000000000006</v>
          </cell>
          <cell r="J26">
            <v>24.05</v>
          </cell>
          <cell r="K26">
            <v>27.66</v>
          </cell>
          <cell r="L26">
            <v>28.35</v>
          </cell>
          <cell r="M26">
            <v>28.4</v>
          </cell>
          <cell r="N26">
            <v>25.66</v>
          </cell>
          <cell r="O26">
            <v>27.495000000000001</v>
          </cell>
          <cell r="P26">
            <v>28.085000000000001</v>
          </cell>
          <cell r="Q26">
            <v>25.06</v>
          </cell>
          <cell r="R26">
            <v>75.05</v>
          </cell>
          <cell r="S26">
            <v>24.125</v>
          </cell>
          <cell r="T26">
            <v>22.925000000000001</v>
          </cell>
          <cell r="U26">
            <v>395</v>
          </cell>
          <cell r="V26">
            <v>365</v>
          </cell>
          <cell r="W26">
            <v>27.75</v>
          </cell>
          <cell r="X26">
            <v>104.45</v>
          </cell>
          <cell r="Y26">
            <v>112.45</v>
          </cell>
        </row>
        <row r="27">
          <cell r="A27">
            <v>37890</v>
          </cell>
          <cell r="B27">
            <v>50.75</v>
          </cell>
          <cell r="C27">
            <v>62</v>
          </cell>
          <cell r="D27">
            <v>76.099999999999895</v>
          </cell>
          <cell r="E27">
            <v>83.849999999999895</v>
          </cell>
          <cell r="F27">
            <v>247</v>
          </cell>
          <cell r="G27">
            <v>70.099999999999895</v>
          </cell>
          <cell r="H27">
            <v>74.474999999999895</v>
          </cell>
          <cell r="I27">
            <v>72.224999999999895</v>
          </cell>
          <cell r="J27">
            <v>24.15</v>
          </cell>
          <cell r="K27">
            <v>27.414999999999999</v>
          </cell>
          <cell r="L27">
            <v>28.19</v>
          </cell>
          <cell r="M27">
            <v>28.16</v>
          </cell>
          <cell r="N27">
            <v>25.515000000000001</v>
          </cell>
          <cell r="O27">
            <v>27.094999999999999</v>
          </cell>
          <cell r="P27">
            <v>27.94</v>
          </cell>
          <cell r="Q27">
            <v>24.914999999999999</v>
          </cell>
          <cell r="R27">
            <v>73.974999999999895</v>
          </cell>
          <cell r="S27">
            <v>23.625</v>
          </cell>
          <cell r="T27">
            <v>22.675000000000001</v>
          </cell>
          <cell r="U27">
            <v>390</v>
          </cell>
          <cell r="V27">
            <v>355</v>
          </cell>
          <cell r="W27">
            <v>27.875</v>
          </cell>
          <cell r="X27">
            <v>100.9</v>
          </cell>
          <cell r="Y27">
            <v>106.9</v>
          </cell>
        </row>
        <row r="28">
          <cell r="A28">
            <v>37889</v>
          </cell>
          <cell r="B28">
            <v>51.125</v>
          </cell>
          <cell r="C28">
            <v>62</v>
          </cell>
          <cell r="D28">
            <v>75.2</v>
          </cell>
          <cell r="E28">
            <v>82.95</v>
          </cell>
          <cell r="F28">
            <v>247</v>
          </cell>
          <cell r="G28">
            <v>69.2</v>
          </cell>
          <cell r="H28">
            <v>74.125</v>
          </cell>
          <cell r="I28">
            <v>72.125</v>
          </cell>
          <cell r="J28">
            <v>24.324999999999999</v>
          </cell>
          <cell r="K28">
            <v>27.734999999999999</v>
          </cell>
          <cell r="L28">
            <v>28.13</v>
          </cell>
          <cell r="M28">
            <v>28.29</v>
          </cell>
          <cell r="N28">
            <v>25.835000000000001</v>
          </cell>
          <cell r="O28">
            <v>27.265000000000001</v>
          </cell>
          <cell r="P28">
            <v>28.26</v>
          </cell>
          <cell r="Q28">
            <v>25.234999999999999</v>
          </cell>
          <cell r="R28">
            <v>73.7</v>
          </cell>
          <cell r="S28">
            <v>23.85</v>
          </cell>
          <cell r="T28">
            <v>22.875</v>
          </cell>
          <cell r="U28">
            <v>390</v>
          </cell>
          <cell r="V28">
            <v>355</v>
          </cell>
          <cell r="W28">
            <v>28.125</v>
          </cell>
          <cell r="X28">
            <v>98.474999999999895</v>
          </cell>
          <cell r="Y28">
            <v>104.47499999999999</v>
          </cell>
        </row>
        <row r="29">
          <cell r="A29">
            <v>37888</v>
          </cell>
          <cell r="B29">
            <v>51</v>
          </cell>
          <cell r="C29">
            <v>61.5</v>
          </cell>
          <cell r="D29">
            <v>75.474999999999895</v>
          </cell>
          <cell r="E29">
            <v>83.599999999999895</v>
          </cell>
          <cell r="F29">
            <v>245</v>
          </cell>
          <cell r="G29">
            <v>69.474999999999895</v>
          </cell>
          <cell r="H29">
            <v>74.8</v>
          </cell>
          <cell r="I29">
            <v>72.174999999999997</v>
          </cell>
          <cell r="J29">
            <v>24.475000000000001</v>
          </cell>
          <cell r="K29">
            <v>27.684999999999999</v>
          </cell>
          <cell r="L29">
            <v>28.02</v>
          </cell>
          <cell r="M29">
            <v>28.24</v>
          </cell>
          <cell r="N29">
            <v>25.734999999999999</v>
          </cell>
          <cell r="O29">
            <v>26.965</v>
          </cell>
          <cell r="P29">
            <v>28.16</v>
          </cell>
          <cell r="Q29">
            <v>25.085000000000001</v>
          </cell>
          <cell r="R29">
            <v>73.924999999999997</v>
          </cell>
          <cell r="S29">
            <v>24</v>
          </cell>
          <cell r="T29">
            <v>22.774999999999999</v>
          </cell>
          <cell r="U29">
            <v>390</v>
          </cell>
          <cell r="V29">
            <v>355</v>
          </cell>
          <cell r="W29">
            <v>28.125</v>
          </cell>
          <cell r="X29">
            <v>95.8</v>
          </cell>
          <cell r="Y29">
            <v>101.3</v>
          </cell>
        </row>
        <row r="30">
          <cell r="A30">
            <v>37887</v>
          </cell>
          <cell r="B30">
            <v>50</v>
          </cell>
          <cell r="C30">
            <v>60.25</v>
          </cell>
          <cell r="D30">
            <v>72.7</v>
          </cell>
          <cell r="E30">
            <v>79.7</v>
          </cell>
          <cell r="F30">
            <v>245</v>
          </cell>
          <cell r="G30">
            <v>66.7</v>
          </cell>
          <cell r="H30">
            <v>71.325000000000003</v>
          </cell>
          <cell r="I30">
            <v>68.825000000000003</v>
          </cell>
          <cell r="J30">
            <v>24</v>
          </cell>
          <cell r="K30">
            <v>26.635000000000002</v>
          </cell>
          <cell r="L30">
            <v>26.94</v>
          </cell>
          <cell r="M30">
            <v>27.13</v>
          </cell>
          <cell r="N30">
            <v>24.684999999999999</v>
          </cell>
          <cell r="O30">
            <v>26.08</v>
          </cell>
          <cell r="P30">
            <v>27.11</v>
          </cell>
          <cell r="Q30">
            <v>23.984999999999999</v>
          </cell>
          <cell r="R30">
            <v>70.5</v>
          </cell>
          <cell r="S30">
            <v>23.25</v>
          </cell>
          <cell r="T30">
            <v>21.9</v>
          </cell>
          <cell r="U30">
            <v>340</v>
          </cell>
          <cell r="V30">
            <v>305</v>
          </cell>
          <cell r="W30">
            <v>27.625</v>
          </cell>
          <cell r="X30">
            <v>92.825000000000003</v>
          </cell>
          <cell r="Y30">
            <v>98.375</v>
          </cell>
        </row>
        <row r="31">
          <cell r="A31">
            <v>37886</v>
          </cell>
          <cell r="B31">
            <v>50.125</v>
          </cell>
          <cell r="C31">
            <v>60.25</v>
          </cell>
          <cell r="D31">
            <v>74.875</v>
          </cell>
          <cell r="E31">
            <v>82.25</v>
          </cell>
          <cell r="F31">
            <v>245</v>
          </cell>
          <cell r="G31">
            <v>68.625</v>
          </cell>
          <cell r="H31">
            <v>70.625</v>
          </cell>
          <cell r="I31">
            <v>67.825000000000003</v>
          </cell>
          <cell r="J31">
            <v>23.774999999999999</v>
          </cell>
          <cell r="K31">
            <v>26.625</v>
          </cell>
          <cell r="L31">
            <v>26.93</v>
          </cell>
          <cell r="M31">
            <v>26.96</v>
          </cell>
          <cell r="N31">
            <v>24.725000000000001</v>
          </cell>
          <cell r="O31">
            <v>25.73</v>
          </cell>
          <cell r="P31">
            <v>27.15</v>
          </cell>
          <cell r="Q31">
            <v>24.125</v>
          </cell>
          <cell r="R31">
            <v>69.25</v>
          </cell>
          <cell r="S31">
            <v>23.5</v>
          </cell>
          <cell r="T31">
            <v>21.5</v>
          </cell>
          <cell r="U31">
            <v>340</v>
          </cell>
          <cell r="V31">
            <v>300</v>
          </cell>
          <cell r="W31">
            <v>27.125</v>
          </cell>
          <cell r="X31">
            <v>93.875</v>
          </cell>
          <cell r="Y31">
            <v>99.424999999999997</v>
          </cell>
        </row>
        <row r="32">
          <cell r="A32">
            <v>37883</v>
          </cell>
          <cell r="B32">
            <v>50.5</v>
          </cell>
          <cell r="C32">
            <v>59.75</v>
          </cell>
          <cell r="D32">
            <v>74.575000000000003</v>
          </cell>
          <cell r="E32">
            <v>81.45</v>
          </cell>
          <cell r="F32">
            <v>245</v>
          </cell>
          <cell r="G32">
            <v>67.575000000000003</v>
          </cell>
          <cell r="H32">
            <v>70.575000000000003</v>
          </cell>
          <cell r="I32">
            <v>67.400000000000006</v>
          </cell>
          <cell r="J32">
            <v>23.725000000000001</v>
          </cell>
          <cell r="K32">
            <v>26.545000000000002</v>
          </cell>
          <cell r="L32">
            <v>26.94</v>
          </cell>
          <cell r="M32">
            <v>27.03</v>
          </cell>
          <cell r="N32">
            <v>24.645</v>
          </cell>
          <cell r="O32">
            <v>25.28</v>
          </cell>
          <cell r="P32">
            <v>27.07</v>
          </cell>
          <cell r="Q32">
            <v>24.045000000000002</v>
          </cell>
          <cell r="R32">
            <v>69.099999999999895</v>
          </cell>
          <cell r="S32">
            <v>23.5</v>
          </cell>
          <cell r="T32">
            <v>21.125</v>
          </cell>
          <cell r="U32">
            <v>310</v>
          </cell>
          <cell r="V32">
            <v>300</v>
          </cell>
          <cell r="W32">
            <v>27.125</v>
          </cell>
          <cell r="X32">
            <v>97.099999999999895</v>
          </cell>
          <cell r="Y32">
            <v>102.65</v>
          </cell>
        </row>
        <row r="33">
          <cell r="A33">
            <v>37882</v>
          </cell>
          <cell r="B33">
            <v>50.5</v>
          </cell>
          <cell r="C33">
            <v>60.125</v>
          </cell>
          <cell r="D33">
            <v>76.400000000000006</v>
          </cell>
          <cell r="E33">
            <v>83.65</v>
          </cell>
          <cell r="F33">
            <v>240</v>
          </cell>
          <cell r="G33">
            <v>69.400000000000006</v>
          </cell>
          <cell r="H33">
            <v>70.599999999999895</v>
          </cell>
          <cell r="I33">
            <v>67.974999999999895</v>
          </cell>
          <cell r="J33">
            <v>24.024999999999999</v>
          </cell>
          <cell r="K33">
            <v>26.565000000000001</v>
          </cell>
          <cell r="L33">
            <v>27.13</v>
          </cell>
          <cell r="M33">
            <v>27.17</v>
          </cell>
          <cell r="N33">
            <v>24.765000000000001</v>
          </cell>
          <cell r="O33">
            <v>25.63</v>
          </cell>
          <cell r="P33">
            <v>27.19</v>
          </cell>
          <cell r="Q33">
            <v>24.164999999999999</v>
          </cell>
          <cell r="R33">
            <v>69.825000000000003</v>
          </cell>
          <cell r="S33">
            <v>23.5</v>
          </cell>
          <cell r="T33">
            <v>21.125</v>
          </cell>
          <cell r="U33">
            <v>310</v>
          </cell>
          <cell r="V33">
            <v>280</v>
          </cell>
          <cell r="W33">
            <v>27.875</v>
          </cell>
          <cell r="X33">
            <v>95.7</v>
          </cell>
          <cell r="Y33">
            <v>102.45</v>
          </cell>
        </row>
        <row r="34">
          <cell r="A34">
            <v>37881</v>
          </cell>
          <cell r="B34">
            <v>51.125</v>
          </cell>
          <cell r="C34">
            <v>60.375</v>
          </cell>
          <cell r="D34">
            <v>76.25</v>
          </cell>
          <cell r="E34">
            <v>83.5</v>
          </cell>
          <cell r="F34">
            <v>240</v>
          </cell>
          <cell r="G34">
            <v>70.25</v>
          </cell>
          <cell r="H34">
            <v>70.7</v>
          </cell>
          <cell r="I34">
            <v>68.349999999999895</v>
          </cell>
          <cell r="J34">
            <v>24.024999999999999</v>
          </cell>
          <cell r="K34">
            <v>26.465</v>
          </cell>
          <cell r="L34">
            <v>26.98</v>
          </cell>
          <cell r="M34">
            <v>27.03</v>
          </cell>
          <cell r="N34">
            <v>24.664999999999999</v>
          </cell>
          <cell r="O34">
            <v>25.954999999999998</v>
          </cell>
          <cell r="P34">
            <v>27.09</v>
          </cell>
          <cell r="Q34">
            <v>24.065000000000001</v>
          </cell>
          <cell r="R34">
            <v>70.2</v>
          </cell>
          <cell r="S34">
            <v>23.5</v>
          </cell>
          <cell r="T34">
            <v>21.2</v>
          </cell>
          <cell r="U34">
            <v>300</v>
          </cell>
          <cell r="V34">
            <v>280</v>
          </cell>
          <cell r="W34">
            <v>27.875</v>
          </cell>
          <cell r="X34">
            <v>96.4</v>
          </cell>
          <cell r="Y34">
            <v>102.65</v>
          </cell>
        </row>
        <row r="35">
          <cell r="A35">
            <v>37880</v>
          </cell>
          <cell r="B35">
            <v>52</v>
          </cell>
          <cell r="C35">
            <v>61.25</v>
          </cell>
          <cell r="D35">
            <v>82.95</v>
          </cell>
          <cell r="E35">
            <v>91.45</v>
          </cell>
          <cell r="F35">
            <v>255</v>
          </cell>
          <cell r="G35">
            <v>75.95</v>
          </cell>
          <cell r="H35">
            <v>72.974999999999895</v>
          </cell>
          <cell r="I35">
            <v>70.75</v>
          </cell>
          <cell r="J35">
            <v>24.024999999999999</v>
          </cell>
          <cell r="K35">
            <v>27.08</v>
          </cell>
          <cell r="L35">
            <v>27.56</v>
          </cell>
          <cell r="M35">
            <v>27.56</v>
          </cell>
          <cell r="N35">
            <v>25.28</v>
          </cell>
          <cell r="O35">
            <v>26.195</v>
          </cell>
          <cell r="P35">
            <v>27.704999999999998</v>
          </cell>
          <cell r="Q35">
            <v>24.68</v>
          </cell>
          <cell r="R35">
            <v>72.5</v>
          </cell>
          <cell r="S35">
            <v>24</v>
          </cell>
          <cell r="T35">
            <v>21.7</v>
          </cell>
          <cell r="U35">
            <v>310</v>
          </cell>
          <cell r="V35">
            <v>285</v>
          </cell>
          <cell r="W35">
            <v>27.875</v>
          </cell>
          <cell r="X35">
            <v>93.9</v>
          </cell>
          <cell r="Y35">
            <v>99.775000000000006</v>
          </cell>
        </row>
        <row r="36">
          <cell r="A36">
            <v>37879</v>
          </cell>
          <cell r="B36">
            <v>52.5</v>
          </cell>
          <cell r="C36">
            <v>61.625</v>
          </cell>
          <cell r="D36">
            <v>88.075000000000003</v>
          </cell>
          <cell r="E36">
            <v>100.575</v>
          </cell>
          <cell r="F36">
            <v>265</v>
          </cell>
          <cell r="G36">
            <v>80.575000000000003</v>
          </cell>
          <cell r="H36">
            <v>74</v>
          </cell>
          <cell r="I36">
            <v>71.825000000000003</v>
          </cell>
          <cell r="J36">
            <v>24.324999999999999</v>
          </cell>
          <cell r="K36">
            <v>27.565000000000001</v>
          </cell>
          <cell r="L36">
            <v>28.1</v>
          </cell>
          <cell r="M36">
            <v>28.14</v>
          </cell>
          <cell r="N36">
            <v>25.765000000000001</v>
          </cell>
          <cell r="O36">
            <v>26.68</v>
          </cell>
          <cell r="P36">
            <v>28.19</v>
          </cell>
          <cell r="Q36">
            <v>25.164999999999999</v>
          </cell>
          <cell r="R36">
            <v>73.900000000000006</v>
          </cell>
          <cell r="S36">
            <v>25</v>
          </cell>
          <cell r="T36">
            <v>22.074999999999999</v>
          </cell>
          <cell r="U36">
            <v>310</v>
          </cell>
          <cell r="V36">
            <v>285</v>
          </cell>
          <cell r="W36">
            <v>28.125</v>
          </cell>
          <cell r="X36">
            <v>93.849999999999895</v>
          </cell>
          <cell r="Y36">
            <v>99.349999999999895</v>
          </cell>
        </row>
        <row r="37">
          <cell r="A37">
            <v>37876</v>
          </cell>
          <cell r="B37">
            <v>52.875</v>
          </cell>
          <cell r="C37">
            <v>61.5</v>
          </cell>
          <cell r="D37">
            <v>86.75</v>
          </cell>
          <cell r="E37">
            <v>99.75</v>
          </cell>
          <cell r="F37">
            <v>270</v>
          </cell>
          <cell r="G37">
            <v>79.75</v>
          </cell>
          <cell r="H37">
            <v>74.150000000000006</v>
          </cell>
          <cell r="I37">
            <v>71.8</v>
          </cell>
          <cell r="J37">
            <v>24.875</v>
          </cell>
          <cell r="K37">
            <v>27.63</v>
          </cell>
          <cell r="L37">
            <v>28.13</v>
          </cell>
          <cell r="M37">
            <v>28.27</v>
          </cell>
          <cell r="N37">
            <v>25.83</v>
          </cell>
          <cell r="O37">
            <v>26.7</v>
          </cell>
          <cell r="P37">
            <v>28.254999999999999</v>
          </cell>
          <cell r="Q37">
            <v>25.23</v>
          </cell>
          <cell r="R37">
            <v>74.150000000000006</v>
          </cell>
          <cell r="S37">
            <v>25.5</v>
          </cell>
          <cell r="T37">
            <v>21.65</v>
          </cell>
          <cell r="U37">
            <v>310</v>
          </cell>
          <cell r="V37">
            <v>285</v>
          </cell>
          <cell r="W37">
            <v>28.375</v>
          </cell>
          <cell r="X37">
            <v>87.55</v>
          </cell>
          <cell r="Y37">
            <v>93.05</v>
          </cell>
        </row>
        <row r="41">
          <cell r="B41" t="str">
            <v>Para sacar diferenciales</v>
          </cell>
        </row>
        <row r="42">
          <cell r="B42" t="str">
            <v>Para sacar diferenciales</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
          <cell r="A1">
            <v>1</v>
          </cell>
        </row>
      </sheetData>
      <sheetData sheetId="29">
        <row r="1">
          <cell r="A1">
            <v>1</v>
          </cell>
        </row>
      </sheetData>
      <sheetData sheetId="30">
        <row r="1">
          <cell r="A1">
            <v>1</v>
          </cell>
        </row>
      </sheetData>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 val="DATOS_PIMS"/>
      <sheetName val="PYGUPT"/>
      <sheetName val="LINEA BASE COMPROMISOS"/>
      <sheetName val="VR"/>
      <sheetName val="PTOS"/>
      <sheetName val="Sheet1"/>
      <sheetName val="LISTAS"/>
      <sheetName val="#¡REF"/>
      <sheetName val="UnitRanges"/>
      <sheetName val="Conv"/>
      <sheetName val="RICS NUEVA HOJA DIARIA"/>
      <sheetName val="EJE_PXQ _2000"/>
      <sheetName val="调整"/>
      <sheetName val="Info"/>
      <sheetName val="Z_mantto"/>
      <sheetName val="Aviso_1"/>
      <sheetName val="Aviso_2"/>
      <sheetName val="Factor_A"/>
      <sheetName val="San_Andrés"/>
      <sheetName val="Vol Lub Me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
      <sheetName val="Evolución"/>
      <sheetName val="TARIF2002"/>
      <sheetName val="Produccion"/>
      <sheetName val="Transporte"/>
      <sheetName val="Z mantto"/>
      <sheetName val="Aviso 1"/>
      <sheetName val="Aviso 2"/>
      <sheetName val="Factor A"/>
      <sheetName val="San André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nrep.gov.co/es/junta-directiva-del-banco-republica-mantiene-meta-inflacion-3-para-202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K1:AQ167"/>
  <sheetViews>
    <sheetView showGridLines="0" topLeftCell="J119" zoomScale="115" zoomScaleNormal="115" workbookViewId="0">
      <selection activeCell="V37" sqref="V37"/>
    </sheetView>
  </sheetViews>
  <sheetFormatPr baseColWidth="10" defaultRowHeight="12.75"/>
  <cols>
    <col min="11" max="11" width="24.85546875" bestFit="1" customWidth="1"/>
    <col min="12" max="12" width="34.7109375" customWidth="1"/>
    <col min="20" max="21" width="12.7109375" customWidth="1"/>
    <col min="22" max="22" width="18.42578125" bestFit="1" customWidth="1"/>
    <col min="23" max="30" width="12.7109375" customWidth="1"/>
  </cols>
  <sheetData>
    <row r="1" spans="12:43">
      <c r="AQ1">
        <v>2018</v>
      </c>
    </row>
    <row r="2" spans="12:43">
      <c r="L2" s="350" t="s">
        <v>404</v>
      </c>
      <c r="AQ2">
        <f>+AQ1+1</f>
        <v>2019</v>
      </c>
    </row>
    <row r="3" spans="12:43">
      <c r="AQ3">
        <f t="shared" ref="AQ3:AQ13" si="0">+AQ2+1</f>
        <v>2020</v>
      </c>
    </row>
    <row r="4" spans="12:43">
      <c r="AQ4">
        <f t="shared" si="0"/>
        <v>2021</v>
      </c>
    </row>
    <row r="5" spans="12:43">
      <c r="AQ5">
        <f t="shared" si="0"/>
        <v>2022</v>
      </c>
    </row>
    <row r="6" spans="12:43">
      <c r="AQ6">
        <f t="shared" si="0"/>
        <v>2023</v>
      </c>
    </row>
    <row r="7" spans="12:43">
      <c r="AQ7">
        <f t="shared" si="0"/>
        <v>2024</v>
      </c>
    </row>
    <row r="8" spans="12:43">
      <c r="AF8" s="355">
        <v>2022</v>
      </c>
      <c r="AQ8">
        <f t="shared" si="0"/>
        <v>2025</v>
      </c>
    </row>
    <row r="9" spans="12:43">
      <c r="AQ9">
        <f t="shared" si="0"/>
        <v>2026</v>
      </c>
    </row>
    <row r="10" spans="12:43">
      <c r="AQ10">
        <f t="shared" si="0"/>
        <v>2027</v>
      </c>
    </row>
    <row r="11" spans="12:43">
      <c r="AQ11">
        <f t="shared" si="0"/>
        <v>2028</v>
      </c>
    </row>
    <row r="12" spans="12:43">
      <c r="AQ12">
        <f t="shared" si="0"/>
        <v>2029</v>
      </c>
    </row>
    <row r="13" spans="12:43">
      <c r="AQ13">
        <f t="shared" si="0"/>
        <v>2030</v>
      </c>
    </row>
    <row r="26" spans="12:22" ht="18" customHeight="1">
      <c r="M26" s="353">
        <v>2017</v>
      </c>
      <c r="N26" s="353">
        <v>2018</v>
      </c>
      <c r="O26" s="353">
        <v>2019</v>
      </c>
      <c r="P26" s="353">
        <v>2020</v>
      </c>
      <c r="Q26" s="353">
        <v>2021</v>
      </c>
      <c r="R26" s="353">
        <v>2022</v>
      </c>
      <c r="S26" s="353">
        <v>2023</v>
      </c>
    </row>
    <row r="27" spans="12:22" ht="15" customHeight="1" thickBot="1">
      <c r="L27" s="352" t="s">
        <v>284</v>
      </c>
      <c r="M27" s="354">
        <v>4.0899999999999999E-2</v>
      </c>
      <c r="N27" s="354">
        <v>3.1800000000000002E-2</v>
      </c>
      <c r="O27" s="354">
        <v>3.7999999999999999E-2</v>
      </c>
      <c r="P27" s="354">
        <v>1.61E-2</v>
      </c>
      <c r="Q27" s="354">
        <v>5.62E-2</v>
      </c>
      <c r="R27" s="354">
        <v>0.13120000000000001</v>
      </c>
      <c r="S27" s="354">
        <f>9.28%</f>
        <v>9.2799999999999994E-2</v>
      </c>
      <c r="V27" s="491" t="s">
        <v>405</v>
      </c>
    </row>
    <row r="28" spans="12:22" ht="13.5" thickBot="1">
      <c r="V28" s="486">
        <v>2024</v>
      </c>
    </row>
    <row r="29" spans="12:22">
      <c r="L29" s="356" t="s">
        <v>295</v>
      </c>
      <c r="M29" s="357"/>
      <c r="N29" s="357"/>
      <c r="O29" s="357"/>
      <c r="P29" s="357"/>
      <c r="Q29" s="383" t="s">
        <v>299</v>
      </c>
    </row>
    <row r="30" spans="12:22">
      <c r="L30" s="355"/>
    </row>
    <row r="31" spans="12:22" ht="13.5" thickBot="1">
      <c r="L31" s="660"/>
      <c r="M31" s="660"/>
      <c r="N31" s="659" t="s">
        <v>288</v>
      </c>
      <c r="O31" s="659"/>
      <c r="P31" s="659"/>
    </row>
    <row r="32" spans="12:22" ht="14.25" customHeight="1" thickBot="1">
      <c r="L32" s="359" t="s">
        <v>290</v>
      </c>
      <c r="M32" s="364" t="s">
        <v>289</v>
      </c>
      <c r="N32" s="364">
        <v>2018</v>
      </c>
      <c r="O32" s="364">
        <v>2019</v>
      </c>
      <c r="P32" s="364">
        <v>2020</v>
      </c>
      <c r="Q32" s="364">
        <v>2021</v>
      </c>
      <c r="R32" s="364">
        <v>2022</v>
      </c>
      <c r="S32" s="479">
        <v>2023</v>
      </c>
      <c r="T32" s="481">
        <v>2024</v>
      </c>
      <c r="V32" s="481">
        <f t="shared" ref="V32:V38" si="1">+_xlfn.XLOOKUP($V$28,$N$32:$T$32,N32:T32,"-",0)</f>
        <v>2024</v>
      </c>
    </row>
    <row r="33" spans="12:22" ht="13.7" customHeight="1">
      <c r="L33" s="360" t="s">
        <v>285</v>
      </c>
      <c r="M33" s="365">
        <v>490</v>
      </c>
      <c r="N33" s="363">
        <f>+M33*(1+$M$27)</f>
        <v>510.041</v>
      </c>
      <c r="O33" s="363">
        <f>+N33*(1+$N$27)</f>
        <v>526.26030379999997</v>
      </c>
      <c r="P33" s="392">
        <f>+O33*(1+$O$27)</f>
        <v>546.25819534439995</v>
      </c>
      <c r="Q33" s="363">
        <f t="shared" ref="Q33:Q38" si="2">+P33*(1+$P$27)</f>
        <v>555.05295228944476</v>
      </c>
      <c r="R33" s="363">
        <f t="shared" ref="R33:R37" si="3">+Q33*(1+$Q$27)</f>
        <v>586.24692820811163</v>
      </c>
      <c r="S33" s="480">
        <f>+ROUND(R33*(1+$R$27),2)</f>
        <v>663.16</v>
      </c>
      <c r="T33" s="484">
        <f>+ROUND(S33*(1+$S$27),2)</f>
        <v>724.7</v>
      </c>
      <c r="V33" s="488">
        <f t="shared" si="1"/>
        <v>724.7</v>
      </c>
    </row>
    <row r="34" spans="12:22" ht="13.7" customHeight="1">
      <c r="L34" s="360" t="s">
        <v>286</v>
      </c>
      <c r="M34" s="365">
        <v>930</v>
      </c>
      <c r="N34" s="363">
        <f>+M34*(1+$M$27)</f>
        <v>968.03699999999992</v>
      </c>
      <c r="O34" s="363">
        <f>+N34*(1+$N$27)</f>
        <v>998.82057659999998</v>
      </c>
      <c r="P34" s="392">
        <f>+O34*(1+$O$27)</f>
        <v>1036.7757585108</v>
      </c>
      <c r="Q34" s="363">
        <f t="shared" si="2"/>
        <v>1053.4678482228239</v>
      </c>
      <c r="R34" s="363">
        <f t="shared" si="3"/>
        <v>1112.6727412929467</v>
      </c>
      <c r="S34" s="480">
        <f>+ROUND(R34*(1+$R$27),2)</f>
        <v>1258.6600000000001</v>
      </c>
      <c r="T34" s="484">
        <f t="shared" ref="T34:T36" si="4">+ROUND(S34*(1+$S$27),2)</f>
        <v>1375.46</v>
      </c>
      <c r="V34" s="489">
        <f t="shared" si="1"/>
        <v>1375.46</v>
      </c>
    </row>
    <row r="35" spans="12:22" ht="13.7" customHeight="1">
      <c r="L35" s="360" t="s">
        <v>16</v>
      </c>
      <c r="M35" s="365">
        <v>469</v>
      </c>
      <c r="N35" s="363">
        <f>+M35*(1+$M$27)</f>
        <v>488.18209999999999</v>
      </c>
      <c r="O35" s="363">
        <f>+N35*(1+$N$27)</f>
        <v>503.70629078000002</v>
      </c>
      <c r="P35" s="392">
        <f>+O35*(1+$O$27)</f>
        <v>522.84712982964004</v>
      </c>
      <c r="Q35" s="363">
        <v>531.27</v>
      </c>
      <c r="R35" s="363">
        <v>561.12</v>
      </c>
      <c r="S35" s="480">
        <f>+ROUND(R35*(1+R27),2)</f>
        <v>634.74</v>
      </c>
      <c r="T35" s="484">
        <f>+ROUND(S35*(1+$S$27)+0.01,2)</f>
        <v>693.65</v>
      </c>
      <c r="V35" s="489">
        <f t="shared" si="1"/>
        <v>693.65</v>
      </c>
    </row>
    <row r="36" spans="12:22" ht="13.7" customHeight="1">
      <c r="L36" s="360" t="s">
        <v>287</v>
      </c>
      <c r="M36" s="365">
        <v>490</v>
      </c>
      <c r="N36" s="363">
        <f>+M36*(1+$M$27)</f>
        <v>510.041</v>
      </c>
      <c r="O36" s="363">
        <f>+N36*(1+$N$27)</f>
        <v>526.26030379999997</v>
      </c>
      <c r="P36" s="392">
        <f>+O36*(1+$O$27)</f>
        <v>546.25819534439995</v>
      </c>
      <c r="Q36" s="363">
        <f t="shared" si="2"/>
        <v>555.05295228944476</v>
      </c>
      <c r="R36" s="363">
        <f t="shared" si="3"/>
        <v>586.24692820811163</v>
      </c>
      <c r="S36" s="480">
        <f>+ROUND(R36*(1+$R$27),2)</f>
        <v>663.16</v>
      </c>
      <c r="T36" s="484">
        <f t="shared" si="4"/>
        <v>724.7</v>
      </c>
      <c r="V36" s="489">
        <f t="shared" si="1"/>
        <v>724.7</v>
      </c>
    </row>
    <row r="37" spans="12:22" ht="13.7" customHeight="1">
      <c r="L37" s="360" t="s">
        <v>246</v>
      </c>
      <c r="M37" s="365"/>
      <c r="N37" s="363">
        <v>478.42</v>
      </c>
      <c r="O37" s="363">
        <v>493.63</v>
      </c>
      <c r="P37" s="392">
        <v>512.39</v>
      </c>
      <c r="Q37" s="363">
        <f t="shared" si="2"/>
        <v>520.63947899999994</v>
      </c>
      <c r="R37" s="363">
        <f t="shared" si="3"/>
        <v>549.8994177198</v>
      </c>
      <c r="S37" s="480">
        <f>+ROUND(R37*(1+$R$27),2)</f>
        <v>622.04999999999995</v>
      </c>
      <c r="T37" s="484">
        <f>+ROUND(S37*(1+$S$27)-0.01,2)</f>
        <v>679.77</v>
      </c>
      <c r="V37" s="489">
        <f t="shared" si="1"/>
        <v>679.77</v>
      </c>
    </row>
    <row r="38" spans="12:22" ht="13.7" customHeight="1" thickBot="1">
      <c r="L38" s="360" t="s">
        <v>292</v>
      </c>
      <c r="M38" s="365"/>
      <c r="N38" s="363">
        <v>622.20000000000005</v>
      </c>
      <c r="O38" s="363">
        <v>641.99</v>
      </c>
      <c r="P38" s="392">
        <v>666.38</v>
      </c>
      <c r="Q38" s="363">
        <f t="shared" si="2"/>
        <v>677.10871799999995</v>
      </c>
      <c r="R38" s="363">
        <f>+Q38*(1+$Q$27)+0.01</f>
        <v>715.17222795160001</v>
      </c>
      <c r="S38" s="480">
        <f>+ROUND(R38*(1+$R$27),0)</f>
        <v>809</v>
      </c>
      <c r="T38" s="485">
        <f>+ROUND(S38*(1+$S$27)-0.01,2)</f>
        <v>884.07</v>
      </c>
      <c r="V38" s="490">
        <f t="shared" si="1"/>
        <v>884.07</v>
      </c>
    </row>
    <row r="39" spans="12:22">
      <c r="O39" s="363"/>
    </row>
    <row r="40" spans="12:22">
      <c r="O40" s="482"/>
    </row>
    <row r="41" spans="12:22">
      <c r="O41" s="482"/>
    </row>
    <row r="42" spans="12:22">
      <c r="O42" s="482"/>
    </row>
    <row r="43" spans="12:22">
      <c r="O43" s="482"/>
    </row>
    <row r="44" spans="12:22">
      <c r="O44" s="482"/>
    </row>
    <row r="45" spans="12:22">
      <c r="O45" s="482"/>
    </row>
    <row r="46" spans="12:22">
      <c r="O46" s="482"/>
    </row>
    <row r="47" spans="12:22">
      <c r="O47" s="482"/>
    </row>
    <row r="48" spans="12:22">
      <c r="O48" s="482"/>
    </row>
    <row r="49" spans="12:17">
      <c r="O49" s="482"/>
    </row>
    <row r="50" spans="12:17">
      <c r="O50" s="482"/>
    </row>
    <row r="51" spans="12:17">
      <c r="O51" s="482"/>
    </row>
    <row r="52" spans="12:17">
      <c r="O52" s="482"/>
    </row>
    <row r="53" spans="12:17">
      <c r="O53" s="482"/>
    </row>
    <row r="54" spans="12:17">
      <c r="O54" s="482"/>
    </row>
    <row r="55" spans="12:17">
      <c r="O55" s="482"/>
    </row>
    <row r="56" spans="12:17">
      <c r="O56" s="482"/>
    </row>
    <row r="57" spans="12:17">
      <c r="O57" s="482"/>
    </row>
    <row r="58" spans="12:17">
      <c r="O58" s="482"/>
    </row>
    <row r="59" spans="12:17">
      <c r="O59" s="482"/>
    </row>
    <row r="60" spans="12:17">
      <c r="L60" s="390"/>
      <c r="M60" s="390"/>
      <c r="N60" s="390"/>
      <c r="O60" s="390"/>
      <c r="P60" s="391"/>
    </row>
    <row r="61" spans="12:17">
      <c r="P61" s="351"/>
    </row>
    <row r="62" spans="12:17">
      <c r="L62" s="356" t="s">
        <v>297</v>
      </c>
      <c r="M62" s="357"/>
      <c r="N62" s="357"/>
      <c r="O62" s="357"/>
      <c r="P62" s="358"/>
      <c r="Q62" s="383" t="s">
        <v>299</v>
      </c>
    </row>
    <row r="63" spans="12:17">
      <c r="P63" s="351"/>
    </row>
    <row r="64" spans="12:17" ht="13.5" thickBot="1">
      <c r="L64" s="368" t="s">
        <v>291</v>
      </c>
      <c r="M64" s="661" t="s">
        <v>288</v>
      </c>
      <c r="N64" s="659"/>
      <c r="O64" s="659"/>
      <c r="P64" s="659"/>
    </row>
    <row r="65" spans="12:22">
      <c r="L65" s="367" t="s">
        <v>290</v>
      </c>
      <c r="M65" s="361">
        <v>2017</v>
      </c>
      <c r="N65" s="361">
        <v>2018</v>
      </c>
      <c r="O65" s="361">
        <v>2019</v>
      </c>
      <c r="P65" s="361">
        <v>2020</v>
      </c>
      <c r="Q65" s="364">
        <v>2021</v>
      </c>
      <c r="R65" s="364">
        <v>2022</v>
      </c>
      <c r="S65" s="364">
        <v>2023</v>
      </c>
      <c r="T65" s="364">
        <v>2024</v>
      </c>
      <c r="V65" s="481">
        <f>+_xlfn.XLOOKUP($V$28,$N$32:$T$32,N65:T65,"-",0)</f>
        <v>2024</v>
      </c>
    </row>
    <row r="66" spans="12:22">
      <c r="L66" s="360" t="s">
        <v>285</v>
      </c>
      <c r="M66" s="362">
        <v>965.24</v>
      </c>
      <c r="N66" s="363">
        <f>+M66*(1+$M$27)</f>
        <v>1004.718316</v>
      </c>
      <c r="O66" s="363">
        <f>+N66*(1+$N$27)</f>
        <v>1036.6683584488001</v>
      </c>
      <c r="P66" s="363">
        <f>+O66*(1+$O$27)</f>
        <v>1076.0617560698545</v>
      </c>
      <c r="Q66" s="363">
        <v>1093.3800000000001</v>
      </c>
      <c r="R66" s="363">
        <v>1154.83</v>
      </c>
      <c r="S66" s="363">
        <f>+R66*(1+$R$27)</f>
        <v>1306.3436959999999</v>
      </c>
      <c r="T66" s="435">
        <f>+S66*(1+$S$27)</f>
        <v>1427.5723909888</v>
      </c>
      <c r="V66" s="487">
        <f>+_xlfn.XLOOKUP($V$28,$N$65:$T$65,N66:T66,"-",0)</f>
        <v>1427.5723909888</v>
      </c>
    </row>
    <row r="67" spans="12:22">
      <c r="L67" s="360" t="s">
        <v>286</v>
      </c>
      <c r="M67" s="362">
        <v>1021.31</v>
      </c>
      <c r="N67" s="378">
        <f>+M67*(1+$M$27)</f>
        <v>1063.0815789999999</v>
      </c>
      <c r="O67" s="363">
        <f>+N67*(1+$N$27)</f>
        <v>1096.8875732121999</v>
      </c>
      <c r="P67" s="363">
        <f>+O67*(1+$O$27)</f>
        <v>1138.5693009942636</v>
      </c>
      <c r="Q67" s="363">
        <f>+P67*(1+$P$27)</f>
        <v>1156.9002667402713</v>
      </c>
      <c r="R67" s="363">
        <v>1221.92</v>
      </c>
      <c r="S67" s="363">
        <f>+R67*(1+$R$27)</f>
        <v>1382.2359040000001</v>
      </c>
      <c r="T67" s="435">
        <f t="shared" ref="T67:T68" si="5">+S67*(1+$S$27)</f>
        <v>1510.5073958912001</v>
      </c>
      <c r="V67" s="487">
        <f t="shared" ref="V67:V68" si="6">+_xlfn.XLOOKUP($V$28,$N$65:$T$65,N67:T67,"-",0)</f>
        <v>1510.5073958912001</v>
      </c>
    </row>
    <row r="68" spans="12:22">
      <c r="L68" s="360" t="s">
        <v>16</v>
      </c>
      <c r="M68" s="362">
        <v>639.51</v>
      </c>
      <c r="N68" s="363">
        <f>+M68*(1+$M$27)</f>
        <v>665.66595899999993</v>
      </c>
      <c r="O68" s="363">
        <f>+N68*(1+$N$27)+0.006</f>
        <v>686.84013649619999</v>
      </c>
      <c r="P68" s="363">
        <f>+O68*(1+$O$27)</f>
        <v>712.94006168305566</v>
      </c>
      <c r="Q68" s="363">
        <f>+P68*(1+$P$27)</f>
        <v>724.41839667615284</v>
      </c>
      <c r="R68" s="363">
        <v>765.13</v>
      </c>
      <c r="S68" s="363">
        <v>865.51</v>
      </c>
      <c r="T68" s="435">
        <f t="shared" si="5"/>
        <v>945.82932800000003</v>
      </c>
      <c r="V68" s="487">
        <f t="shared" si="6"/>
        <v>945.82932800000003</v>
      </c>
    </row>
    <row r="82" spans="12:22">
      <c r="L82" s="356" t="s">
        <v>296</v>
      </c>
      <c r="M82" s="357"/>
      <c r="N82" s="357"/>
      <c r="O82" s="357"/>
      <c r="P82" s="357"/>
      <c r="Q82" s="383" t="s">
        <v>307</v>
      </c>
    </row>
    <row r="83" spans="12:22">
      <c r="L83" t="s">
        <v>341</v>
      </c>
    </row>
    <row r="84" spans="12:22">
      <c r="M84" s="657" t="s">
        <v>288</v>
      </c>
      <c r="N84" s="657"/>
      <c r="O84" s="657"/>
      <c r="P84" s="658"/>
    </row>
    <row r="85" spans="12:22" ht="13.5" thickBot="1">
      <c r="N85" s="369"/>
      <c r="O85" s="370"/>
      <c r="P85" s="366"/>
    </row>
    <row r="86" spans="12:22">
      <c r="L86" s="359" t="s">
        <v>290</v>
      </c>
      <c r="M86" s="376">
        <v>2017</v>
      </c>
      <c r="N86" s="377">
        <v>2018</v>
      </c>
      <c r="O86" s="377">
        <v>2019</v>
      </c>
      <c r="P86" s="377">
        <v>2020</v>
      </c>
      <c r="Q86" s="364">
        <v>2021</v>
      </c>
      <c r="R86" s="364">
        <v>2022</v>
      </c>
      <c r="S86" s="364">
        <v>2023</v>
      </c>
      <c r="T86" s="461">
        <v>2024</v>
      </c>
      <c r="V86" s="481">
        <f>+_xlfn.XLOOKUP($V$28,$N$32:$T$32,N86:T86,"-",0)</f>
        <v>2024</v>
      </c>
    </row>
    <row r="87" spans="12:22">
      <c r="L87" s="360" t="s">
        <v>293</v>
      </c>
      <c r="M87" s="373">
        <v>29</v>
      </c>
      <c r="N87" s="373">
        <v>30</v>
      </c>
      <c r="O87" s="373">
        <v>32</v>
      </c>
      <c r="P87" s="373">
        <v>33</v>
      </c>
      <c r="Q87" s="373">
        <v>34</v>
      </c>
      <c r="R87" s="373">
        <v>36</v>
      </c>
      <c r="S87" s="373"/>
      <c r="T87" s="373"/>
      <c r="U87" t="str">
        <f>+L87</f>
        <v>Gas Natural</v>
      </c>
      <c r="V87" s="487">
        <f>+_xlfn.XLOOKUP($V$28,$M$86:$T$86,M87:T87,"-",0)</f>
        <v>0</v>
      </c>
    </row>
    <row r="88" spans="12:22">
      <c r="L88" s="360" t="s">
        <v>294</v>
      </c>
      <c r="M88" s="373">
        <v>95</v>
      </c>
      <c r="N88" s="373">
        <v>100</v>
      </c>
      <c r="O88" s="373">
        <v>104</v>
      </c>
      <c r="P88" s="373">
        <v>109</v>
      </c>
      <c r="Q88" s="373">
        <v>112</v>
      </c>
      <c r="R88" s="373">
        <v>119</v>
      </c>
      <c r="S88" s="373">
        <v>152.91999999999999</v>
      </c>
      <c r="T88" s="373"/>
      <c r="U88" t="str">
        <f>+L88</f>
        <v>GLP</v>
      </c>
      <c r="V88" s="487">
        <f t="shared" ref="V88:V92" si="7">+_xlfn.XLOOKUP($V$28,$M$86:$T$86,M88:T88,"-",0)</f>
        <v>0</v>
      </c>
    </row>
    <row r="89" spans="12:22">
      <c r="L89" s="360" t="s">
        <v>285</v>
      </c>
      <c r="M89" s="375">
        <v>135</v>
      </c>
      <c r="N89" s="375">
        <v>142</v>
      </c>
      <c r="O89" s="375">
        <v>148</v>
      </c>
      <c r="P89" s="375">
        <v>155</v>
      </c>
      <c r="Q89" s="375">
        <v>159</v>
      </c>
      <c r="R89" s="492">
        <v>169</v>
      </c>
      <c r="S89" s="492">
        <v>169</v>
      </c>
      <c r="T89" s="492">
        <f>+ROUND(S89*(1+$S$27+1%),2)</f>
        <v>186.37</v>
      </c>
      <c r="U89" t="str">
        <f t="shared" ref="U89:U93" si="8">+L89</f>
        <v>GMC</v>
      </c>
      <c r="V89" s="487">
        <f t="shared" si="7"/>
        <v>186.37</v>
      </c>
    </row>
    <row r="90" spans="12:22">
      <c r="L90" s="360" t="s">
        <v>342</v>
      </c>
      <c r="M90" s="373">
        <v>148</v>
      </c>
      <c r="N90" s="373">
        <v>156</v>
      </c>
      <c r="O90" s="373">
        <v>162</v>
      </c>
      <c r="P90" s="373">
        <v>170</v>
      </c>
      <c r="Q90" s="373">
        <v>174</v>
      </c>
      <c r="R90" s="373">
        <v>186</v>
      </c>
      <c r="S90" s="373">
        <v>230.52</v>
      </c>
      <c r="T90" s="373">
        <v>254.22</v>
      </c>
      <c r="U90" t="str">
        <f t="shared" si="8"/>
        <v>Jet</v>
      </c>
      <c r="V90" s="487">
        <f t="shared" si="7"/>
        <v>254.22</v>
      </c>
    </row>
    <row r="91" spans="12:22">
      <c r="L91" s="360" t="s">
        <v>16</v>
      </c>
      <c r="M91" s="375">
        <v>152</v>
      </c>
      <c r="N91" s="375">
        <v>160</v>
      </c>
      <c r="O91" s="375">
        <v>166</v>
      </c>
      <c r="P91" s="375">
        <v>174</v>
      </c>
      <c r="Q91" s="375">
        <v>179</v>
      </c>
      <c r="R91" s="492">
        <v>191</v>
      </c>
      <c r="S91" s="492">
        <v>191</v>
      </c>
      <c r="T91" s="492">
        <f>+ROUND(S91*(1+$S$27+1%),2)</f>
        <v>210.63</v>
      </c>
      <c r="U91" t="str">
        <f t="shared" si="8"/>
        <v>ACPM</v>
      </c>
      <c r="V91" s="487">
        <f t="shared" si="7"/>
        <v>210.63</v>
      </c>
    </row>
    <row r="92" spans="12:22">
      <c r="L92" s="360" t="s">
        <v>238</v>
      </c>
      <c r="M92" s="373">
        <v>177</v>
      </c>
      <c r="N92" s="373">
        <v>186</v>
      </c>
      <c r="O92" s="373">
        <v>194</v>
      </c>
      <c r="P92" s="373">
        <v>203</v>
      </c>
      <c r="Q92" s="373">
        <v>208</v>
      </c>
      <c r="R92" s="373">
        <v>222</v>
      </c>
      <c r="S92" s="373">
        <v>271.61</v>
      </c>
      <c r="T92" s="373">
        <v>299.52999999999997</v>
      </c>
      <c r="U92" t="str">
        <f t="shared" si="8"/>
        <v>Fuel Oil</v>
      </c>
      <c r="V92" s="487">
        <f t="shared" si="7"/>
        <v>299.52999999999997</v>
      </c>
    </row>
    <row r="93" spans="12:22">
      <c r="L93" s="371" t="s">
        <v>298</v>
      </c>
      <c r="M93" s="372">
        <v>15000</v>
      </c>
      <c r="N93" s="372">
        <v>15764</v>
      </c>
      <c r="O93" s="372">
        <v>16422</v>
      </c>
      <c r="P93" s="372">
        <v>17211</v>
      </c>
      <c r="Q93" s="372">
        <v>17660</v>
      </c>
      <c r="R93" s="372">
        <v>18829</v>
      </c>
      <c r="S93" s="372">
        <v>23394.6</v>
      </c>
      <c r="T93" s="372">
        <f>+ROUND(S93*(1+$S$27+1%),2)</f>
        <v>25799.56</v>
      </c>
      <c r="U93" t="str">
        <f t="shared" si="8"/>
        <v>Tarifa $/ton CO2</v>
      </c>
      <c r="V93" s="487"/>
    </row>
    <row r="94" spans="12:22">
      <c r="N94" s="379">
        <f>+N93/M93</f>
        <v>1.0509333333333333</v>
      </c>
      <c r="O94" s="379">
        <f>+O93/N93</f>
        <v>1.0417406749555951</v>
      </c>
      <c r="P94" s="379">
        <f>+P93/O93</f>
        <v>1.0480453050785532</v>
      </c>
      <c r="Q94" s="379">
        <f>+Q93/P93</f>
        <v>1.0260879669978502</v>
      </c>
      <c r="R94" s="379">
        <f>+R93/Q93</f>
        <v>1.0661947904869762</v>
      </c>
      <c r="T94" s="379"/>
      <c r="U94" s="388"/>
    </row>
    <row r="95" spans="12:22">
      <c r="N95" s="483"/>
      <c r="O95" s="483"/>
      <c r="P95" s="483"/>
      <c r="Q95" s="483"/>
      <c r="R95" s="379"/>
      <c r="S95" s="379"/>
      <c r="T95" s="379"/>
    </row>
    <row r="96" spans="12:22">
      <c r="L96" s="351"/>
      <c r="S96" s="379"/>
    </row>
    <row r="97" spans="12:12">
      <c r="L97" s="351"/>
    </row>
    <row r="98" spans="12:12">
      <c r="L98" s="351"/>
    </row>
    <row r="99" spans="12:12">
      <c r="L99" s="351"/>
    </row>
    <row r="100" spans="12:12">
      <c r="L100" s="351"/>
    </row>
    <row r="126" spans="12:16">
      <c r="L126" s="356" t="s">
        <v>301</v>
      </c>
      <c r="M126" s="357"/>
      <c r="N126" s="357"/>
      <c r="O126" s="357"/>
      <c r="P126" s="357"/>
    </row>
    <row r="128" spans="12:16">
      <c r="L128" s="351" t="s">
        <v>321</v>
      </c>
    </row>
    <row r="145" spans="11:22">
      <c r="L145" s="356" t="s">
        <v>302</v>
      </c>
      <c r="M145" s="357"/>
      <c r="N145" s="357"/>
      <c r="O145" s="357"/>
      <c r="P145" s="357"/>
    </row>
    <row r="147" spans="11:22">
      <c r="L147" s="351" t="s">
        <v>303</v>
      </c>
    </row>
    <row r="149" spans="11:22" ht="13.5" thickBot="1"/>
    <row r="150" spans="11:22">
      <c r="K150" s="359" t="s">
        <v>290</v>
      </c>
      <c r="L150" s="376">
        <v>2014</v>
      </c>
      <c r="M150" s="377">
        <v>2017</v>
      </c>
      <c r="N150" s="377">
        <v>2018</v>
      </c>
      <c r="O150" s="377">
        <v>2019</v>
      </c>
      <c r="P150" s="361">
        <v>2020</v>
      </c>
      <c r="Q150" s="361">
        <v>2021</v>
      </c>
      <c r="R150" s="361">
        <v>2022</v>
      </c>
      <c r="S150" s="361">
        <v>2023</v>
      </c>
      <c r="T150" s="432">
        <v>2024</v>
      </c>
      <c r="V150" s="481">
        <f>+_xlfn.XLOOKUP($V$28,$N$32:$T$32,N150:T150,"-",0)</f>
        <v>2024</v>
      </c>
    </row>
    <row r="151" spans="11:22">
      <c r="K151" s="360" t="s">
        <v>304</v>
      </c>
      <c r="L151" s="385">
        <v>6.82</v>
      </c>
      <c r="M151" s="373"/>
      <c r="N151" s="373"/>
      <c r="O151" s="374"/>
      <c r="P151" s="374"/>
      <c r="Q151" s="374"/>
      <c r="R151" s="374"/>
      <c r="S151" s="423"/>
      <c r="T151" s="433"/>
      <c r="V151" s="487"/>
    </row>
    <row r="152" spans="11:22">
      <c r="K152" s="360" t="s">
        <v>305</v>
      </c>
      <c r="L152" s="385">
        <v>3.7</v>
      </c>
      <c r="M152" s="386"/>
      <c r="N152" s="386"/>
      <c r="O152" s="387"/>
      <c r="P152" s="387"/>
      <c r="Q152" s="387"/>
      <c r="R152" s="387"/>
      <c r="S152" s="424"/>
      <c r="T152" s="434"/>
      <c r="V152" s="487"/>
    </row>
    <row r="153" spans="11:22">
      <c r="K153" s="360" t="s">
        <v>306</v>
      </c>
      <c r="L153" s="386"/>
      <c r="M153" s="386">
        <v>7.45</v>
      </c>
      <c r="N153" s="386">
        <f>7.45*(1+3%)</f>
        <v>7.6735000000000007</v>
      </c>
      <c r="O153" s="386">
        <f>+N153*(1+3%)</f>
        <v>7.9037050000000013</v>
      </c>
      <c r="P153" s="389">
        <f>+O153*(1+3%)</f>
        <v>8.1408161500000009</v>
      </c>
      <c r="Q153" s="386">
        <f>+ROUND(ROUND(P153,2)*(1+3%),4)</f>
        <v>8.3841999999999999</v>
      </c>
      <c r="R153" s="386">
        <f>+ROUND(Q153,2)*(1+3%)</f>
        <v>8.6314000000000011</v>
      </c>
      <c r="S153" s="422">
        <v>8.89</v>
      </c>
      <c r="T153" s="422">
        <v>9.16</v>
      </c>
      <c r="V153" s="487">
        <f>+_xlfn.XLOOKUP($V$28,$L$150:$T$150,L153:T153,"-",0)</f>
        <v>9.16</v>
      </c>
    </row>
    <row r="154" spans="11:22">
      <c r="K154" s="360"/>
      <c r="L154" s="385"/>
      <c r="M154" s="386"/>
      <c r="N154" s="386"/>
      <c r="O154" s="386"/>
      <c r="P154" s="387"/>
      <c r="Q154" s="387"/>
      <c r="R154" s="387"/>
      <c r="S154" s="424"/>
      <c r="T154" s="422"/>
    </row>
    <row r="155" spans="11:22">
      <c r="Q155" s="388"/>
    </row>
    <row r="156" spans="11:22">
      <c r="L156" s="350" t="s">
        <v>328</v>
      </c>
      <c r="N156" s="388"/>
    </row>
    <row r="159" spans="11:22">
      <c r="L159" s="355" t="s">
        <v>310</v>
      </c>
    </row>
    <row r="160" spans="11:22">
      <c r="L160" s="400" t="s">
        <v>309</v>
      </c>
    </row>
    <row r="167" spans="11:11">
      <c r="K167" s="351" t="s">
        <v>407</v>
      </c>
    </row>
  </sheetData>
  <mergeCells count="4">
    <mergeCell ref="M84:P84"/>
    <mergeCell ref="N31:P31"/>
    <mergeCell ref="L31:M31"/>
    <mergeCell ref="M64:P64"/>
  </mergeCells>
  <dataValidations count="1">
    <dataValidation type="list" allowBlank="1" showInputMessage="1" showErrorMessage="1" sqref="V28" xr:uid="{AB220424-2014-4962-871E-63662D2B12E0}">
      <formula1>$AQ$1:$AQ$13</formula1>
    </dataValidation>
  </dataValidations>
  <hyperlinks>
    <hyperlink ref="L156" r:id="rId1" xr:uid="{2ACC0BBF-1320-49F0-94C1-0D77CE3EE7A3}"/>
  </hyperlinks>
  <pageMargins left="0.7" right="0.7" top="0.75" bottom="0.75" header="0.3" footer="0.3"/>
  <pageSetup orientation="portrait" verticalDpi="300" r:id="rId2"/>
  <ignoredErrors>
    <ignoredError sqref="V86" formulaRange="1"/>
  </ignoredError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EAF8-67C4-44FB-B70C-9085861E669B}">
  <sheetPr codeName="Hoja9">
    <pageSetUpPr fitToPage="1"/>
  </sheetPr>
  <dimension ref="A1:AW46"/>
  <sheetViews>
    <sheetView showGridLines="0" zoomScale="85" zoomScaleNormal="85" workbookViewId="0">
      <selection sqref="A1:I1"/>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14" width="7.85546875" style="5"/>
    <col min="15" max="15" width="13.85546875" style="5" bestFit="1" customWidth="1"/>
    <col min="16" max="16" width="9.5703125" style="5" bestFit="1" customWidth="1"/>
    <col min="17" max="26" width="7.85546875" style="5"/>
    <col min="27" max="27" width="18.28515625" style="5" bestFit="1" customWidth="1"/>
    <col min="28" max="28" width="18" style="5" bestFit="1" customWidth="1"/>
    <col min="29" max="29" width="22.140625" style="5" bestFit="1" customWidth="1"/>
    <col min="30" max="30" width="20" style="5" bestFit="1" customWidth="1"/>
    <col min="31" max="31" width="6.5703125" style="5" bestFit="1" customWidth="1"/>
    <col min="32" max="32" width="7.140625" style="5" bestFit="1" customWidth="1"/>
    <col min="33" max="33" width="5.28515625" style="5" bestFit="1" customWidth="1"/>
    <col min="34" max="34" width="18.140625" style="5" bestFit="1" customWidth="1"/>
    <col min="35" max="35" width="11.85546875" style="5" bestFit="1" customWidth="1"/>
    <col min="36" max="36" width="15.42578125" style="5" bestFit="1" customWidth="1"/>
    <col min="37" max="37" width="17.7109375" style="5" bestFit="1" customWidth="1"/>
    <col min="38" max="38" width="7.42578125" style="5" bestFit="1" customWidth="1"/>
    <col min="39" max="39" width="10.140625" style="5" bestFit="1" customWidth="1"/>
    <col min="40" max="40" width="24.5703125" style="5" bestFit="1" customWidth="1"/>
    <col min="41" max="41" width="12.42578125" style="5" bestFit="1" customWidth="1"/>
    <col min="42" max="42" width="10.85546875" style="5" bestFit="1" customWidth="1"/>
    <col min="43" max="43" width="20" style="5" bestFit="1" customWidth="1"/>
    <col min="44" max="44" width="14.28515625" style="5" bestFit="1" customWidth="1"/>
    <col min="45" max="45" width="17.28515625" style="5" bestFit="1" customWidth="1"/>
    <col min="46" max="46" width="16.42578125" style="5" bestFit="1" customWidth="1"/>
    <col min="47" max="47" width="11" style="5" bestFit="1" customWidth="1"/>
    <col min="48" max="48" width="9.85546875" style="5" customWidth="1"/>
    <col min="49" max="16384" width="7.85546875" style="5"/>
  </cols>
  <sheetData>
    <row r="1" spans="1:49"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9"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10128.02</v>
      </c>
      <c r="AQ2" s="576" t="s">
        <v>378</v>
      </c>
      <c r="AR2" s="572">
        <v>1</v>
      </c>
      <c r="AS2" s="572" t="s">
        <v>379</v>
      </c>
      <c r="AT2" s="576" t="s">
        <v>400</v>
      </c>
      <c r="AU2" s="574" t="str">
        <f t="shared" ref="AU2:AU7" si="0">+TEXT($B$4,"DD.MM.YYYY")</f>
        <v>31.08.2024</v>
      </c>
      <c r="AV2" s="574" t="str">
        <f t="shared" ref="AV2:AV7" si="1">+TEXT($G$4,"DD.MM.YYYY")</f>
        <v>02.09.2024</v>
      </c>
      <c r="AW2" s="5"/>
    </row>
    <row r="3" spans="1:49"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10510.3</v>
      </c>
      <c r="AQ3" s="576" t="s">
        <v>378</v>
      </c>
      <c r="AR3" s="572">
        <v>1</v>
      </c>
      <c r="AS3" s="572" t="s">
        <v>379</v>
      </c>
      <c r="AT3" s="576" t="s">
        <v>400</v>
      </c>
      <c r="AU3" s="574" t="str">
        <f t="shared" si="0"/>
        <v>31.08.2024</v>
      </c>
      <c r="AV3" s="574" t="str">
        <f t="shared" si="1"/>
        <v>02.09.2024</v>
      </c>
    </row>
    <row r="4" spans="1:49" ht="18.75">
      <c r="A4" s="600" t="s">
        <v>426</v>
      </c>
      <c r="B4" s="599">
        <v>45535</v>
      </c>
      <c r="C4" s="585"/>
      <c r="D4" s="598"/>
      <c r="F4" s="579" t="s">
        <v>427</v>
      </c>
      <c r="G4" s="599">
        <v>45537</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10043.719999999999</v>
      </c>
      <c r="AQ4" s="576" t="s">
        <v>378</v>
      </c>
      <c r="AR4" s="572">
        <v>1</v>
      </c>
      <c r="AS4" s="572" t="s">
        <v>379</v>
      </c>
      <c r="AT4" s="576" t="s">
        <v>400</v>
      </c>
      <c r="AU4" s="574" t="str">
        <f t="shared" si="0"/>
        <v>31.08.2024</v>
      </c>
      <c r="AV4" s="574" t="str">
        <f t="shared" si="1"/>
        <v>02.09.2024</v>
      </c>
    </row>
    <row r="5" spans="1:49" ht="15.75" thickBot="1">
      <c r="A5" s="597"/>
      <c r="B5" s="596">
        <v>0</v>
      </c>
      <c r="C5" s="596">
        <v>0.02</v>
      </c>
      <c r="D5" s="596">
        <v>0</v>
      </c>
      <c r="E5" s="596">
        <v>0.02</v>
      </c>
      <c r="F5" s="596">
        <v>0</v>
      </c>
      <c r="G5" s="595">
        <v>0.02</v>
      </c>
      <c r="H5" s="595">
        <v>0</v>
      </c>
      <c r="I5" s="595">
        <v>0.02</v>
      </c>
      <c r="J5" s="596">
        <v>0</v>
      </c>
      <c r="K5" s="584">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10128.02</v>
      </c>
      <c r="AQ5" s="592" t="s">
        <v>378</v>
      </c>
      <c r="AR5" s="594">
        <v>1</v>
      </c>
      <c r="AS5" s="594" t="s">
        <v>379</v>
      </c>
      <c r="AT5" s="592" t="s">
        <v>400</v>
      </c>
      <c r="AU5" s="591" t="str">
        <f t="shared" si="0"/>
        <v>31.08.2024</v>
      </c>
      <c r="AV5" s="591" t="str">
        <f t="shared" si="1"/>
        <v>02.09.2024</v>
      </c>
    </row>
    <row r="6" spans="1:49"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10510.3</v>
      </c>
      <c r="AQ6" s="592" t="s">
        <v>378</v>
      </c>
      <c r="AR6" s="594">
        <v>1</v>
      </c>
      <c r="AS6" s="594" t="s">
        <v>379</v>
      </c>
      <c r="AT6" s="592" t="s">
        <v>400</v>
      </c>
      <c r="AU6" s="591" t="str">
        <f t="shared" si="0"/>
        <v>31.08.2024</v>
      </c>
      <c r="AV6" s="591" t="str">
        <f t="shared" si="1"/>
        <v>02.09.2024</v>
      </c>
    </row>
    <row r="7" spans="1:49" ht="27.6" customHeight="1">
      <c r="A7" s="70" t="s">
        <v>200</v>
      </c>
      <c r="B7" s="562">
        <v>10248.69</v>
      </c>
      <c r="C7" s="565">
        <f>+B7</f>
        <v>10248.69</v>
      </c>
      <c r="D7" s="562">
        <v>10248.69</v>
      </c>
      <c r="E7" s="565">
        <f>+D7</f>
        <v>10248.69</v>
      </c>
      <c r="F7" s="562">
        <v>10334.709999999999</v>
      </c>
      <c r="G7" s="565">
        <f>+F7</f>
        <v>10334.709999999999</v>
      </c>
      <c r="H7" s="562">
        <v>10724.8</v>
      </c>
      <c r="I7" s="565">
        <f>+H7</f>
        <v>10724.8</v>
      </c>
      <c r="J7" s="565">
        <f>+B7</f>
        <v>10248.69</v>
      </c>
      <c r="K7" s="564">
        <f>+J7</f>
        <v>10248.69</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10043.719999999999</v>
      </c>
      <c r="AQ7" s="592" t="s">
        <v>378</v>
      </c>
      <c r="AR7" s="594">
        <v>1</v>
      </c>
      <c r="AS7" s="594" t="s">
        <v>379</v>
      </c>
      <c r="AT7" s="592" t="s">
        <v>400</v>
      </c>
      <c r="AU7" s="591" t="str">
        <f t="shared" si="0"/>
        <v>31.08.2024</v>
      </c>
      <c r="AV7" s="591" t="str">
        <f t="shared" si="1"/>
        <v>02.09.2024</v>
      </c>
    </row>
    <row r="8" spans="1:49" ht="27.6" customHeight="1">
      <c r="A8" s="232" t="s">
        <v>412</v>
      </c>
      <c r="B8" s="349">
        <f>+D8</f>
        <v>0</v>
      </c>
      <c r="C8" s="224">
        <f>+BIODIESEL!$B$7</f>
        <v>19836.599999999999</v>
      </c>
      <c r="D8" s="246">
        <v>0</v>
      </c>
      <c r="E8" s="224">
        <f>+BIODIESEL!$B$7</f>
        <v>19836.599999999999</v>
      </c>
      <c r="F8" s="349">
        <v>0</v>
      </c>
      <c r="G8" s="224">
        <f>+BIODIESEL!$B$7</f>
        <v>19836.599999999999</v>
      </c>
      <c r="H8" s="349">
        <v>0</v>
      </c>
      <c r="I8" s="224">
        <v>17266.965714285714</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ref="AU8:AU11" si="2">+TEXT($B$4,"DD.MM.YYYY")</f>
        <v>31.08.2024</v>
      </c>
      <c r="AV8" s="574" t="str">
        <f t="shared" ref="AV8:AV11" si="3">+TEXT($G$4,"DD.MM.YYYY")</f>
        <v>02.09.2024</v>
      </c>
    </row>
    <row r="9" spans="1:49" ht="35.450000000000003" customHeight="1">
      <c r="A9" s="248" t="s">
        <v>139</v>
      </c>
      <c r="B9" s="224">
        <f>+ROUND(B8*B5,2)+B7*(1-B5)</f>
        <v>10248.69</v>
      </c>
      <c r="C9" s="224">
        <f>+ROUND(C8*C5,2)+C7*(1-C5)</f>
        <v>10440.4462</v>
      </c>
      <c r="D9" s="247">
        <f>+D8*D5+D7*(1-D5)</f>
        <v>10248.69</v>
      </c>
      <c r="E9" s="224">
        <f>+ROUND(E8*E5,2)+E7*(1-E5)</f>
        <v>10440.4462</v>
      </c>
      <c r="F9" s="224">
        <f>+ROUND(F8*F5,2)+F7*(1-F5)</f>
        <v>10334.709999999999</v>
      </c>
      <c r="G9" s="224">
        <f>ROUND((G8*G5),2)+ROUND(G7*(1-G5),2)</f>
        <v>10524.75</v>
      </c>
      <c r="H9" s="224">
        <f>+ROUND(H8*H5,2)+H7*(1-H5)</f>
        <v>10724.8</v>
      </c>
      <c r="I9" s="224">
        <f>+ROUND(I8*I5,2)+I7*(1-I5)</f>
        <v>10855.643999999998</v>
      </c>
      <c r="J9" s="318">
        <f>+J7</f>
        <v>10248.69</v>
      </c>
      <c r="K9" s="291">
        <f>+K7</f>
        <v>10248.69</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345.34</v>
      </c>
      <c r="AQ9" s="576" t="s">
        <v>378</v>
      </c>
      <c r="AR9" s="572">
        <v>1</v>
      </c>
      <c r="AS9" s="572" t="s">
        <v>379</v>
      </c>
      <c r="AT9" s="576" t="s">
        <v>400</v>
      </c>
      <c r="AU9" s="574" t="str">
        <f t="shared" si="2"/>
        <v>31.08.2024</v>
      </c>
      <c r="AV9" s="574" t="str">
        <f t="shared" si="3"/>
        <v>02.09.2024</v>
      </c>
    </row>
    <row r="10" spans="1:49"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2"/>
        <v>31.08.2024</v>
      </c>
      <c r="AV10" s="574" t="str">
        <f t="shared" si="3"/>
        <v>02.09.2024</v>
      </c>
    </row>
    <row r="11" spans="1:49"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4">+(S10-S9)/S9</f>
        <v>0</v>
      </c>
      <c r="T11" s="330">
        <f t="shared" si="4"/>
        <v>-8.6521733848730145E-2</v>
      </c>
      <c r="U11" s="330">
        <f t="shared" si="4"/>
        <v>0</v>
      </c>
      <c r="V11" s="330">
        <f t="shared" si="4"/>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2"/>
        <v>31.08.2024</v>
      </c>
      <c r="AV11" s="591" t="str">
        <f t="shared" si="3"/>
        <v>02.09.2024</v>
      </c>
    </row>
    <row r="12" spans="1:49"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9"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9"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9"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10043.719999999999</v>
      </c>
      <c r="AQ15" s="576" t="s">
        <v>378</v>
      </c>
      <c r="AR15" s="572">
        <v>1</v>
      </c>
      <c r="AS15" s="572" t="s">
        <v>379</v>
      </c>
      <c r="AT15" s="576" t="s">
        <v>400</v>
      </c>
      <c r="AU15" s="574" t="str">
        <f t="shared" ref="AU15:AU17" si="5">+TEXT($B$4,"DD.MM.YYYY")</f>
        <v>31.08.2024</v>
      </c>
      <c r="AV15" s="574" t="str">
        <f t="shared" ref="AV15:AV17" si="6">+TEXT($G$4,"DD.MM.YYYY")</f>
        <v>02.09.2024</v>
      </c>
    </row>
    <row r="16" spans="1:49"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10248.69</v>
      </c>
      <c r="AQ16" s="576" t="s">
        <v>378</v>
      </c>
      <c r="AR16" s="572">
        <v>1</v>
      </c>
      <c r="AS16" s="572" t="s">
        <v>379</v>
      </c>
      <c r="AT16" s="576" t="s">
        <v>400</v>
      </c>
      <c r="AU16" s="574" t="str">
        <f t="shared" si="5"/>
        <v>31.08.2024</v>
      </c>
      <c r="AV16" s="574" t="str">
        <f t="shared" si="6"/>
        <v>02.09.2024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5"/>
        <v>31.08.2024</v>
      </c>
      <c r="AV17" s="574" t="str">
        <f t="shared" si="6"/>
        <v>02.09.2024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7">+E18</f>
        <v>(5)</v>
      </c>
      <c r="I18" s="411" t="str">
        <f t="shared" si="7"/>
        <v>(5)</v>
      </c>
      <c r="J18" s="411" t="str">
        <f t="shared" si="7"/>
        <v>(5)</v>
      </c>
      <c r="K18" s="561" t="str">
        <f t="shared" si="7"/>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YPjLanY0aywoQALLs6GlqnTM/LCLr4+mT/aVBuIT+5TlG69hD9LiBBleJ4Va9IuxneR1NPpctn8aFw/nGbMJCw==" saltValue="e/r548xY5+DCV3oMuDIBpw=="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84" priority="10" operator="containsText" text="Seleccione...">
      <formula>NOT(ISERROR(SEARCH("Seleccione...",AA2)))</formula>
    </cfRule>
  </conditionalFormatting>
  <conditionalFormatting sqref="AA15:AV17">
    <cfRule type="containsText" dxfId="83"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56" orientation="landscape"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1AF412F-2723-48BB-A350-C8D6FCD3D13C}">
          <x14:formula1>
            <xm:f>Fechas!$A$2:$A$831</xm:f>
          </x14:formula1>
          <xm:sqref>B4 G4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EE6E-2832-42FA-A215-331F639784AE}">
  <sheetPr codeName="Hoja10"/>
  <dimension ref="A1:AV106"/>
  <sheetViews>
    <sheetView showGridLines="0" zoomScale="85" zoomScaleNormal="85" workbookViewId="0">
      <selection sqref="A1:I1"/>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14" width="7.85546875" style="5"/>
    <col min="15" max="15" width="12.7109375" style="5" bestFit="1" customWidth="1"/>
    <col min="16" max="16" width="13.85546875" style="5" bestFit="1" customWidth="1"/>
    <col min="17"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10207.59</v>
      </c>
      <c r="AQ2" s="576" t="s">
        <v>378</v>
      </c>
      <c r="AR2" s="572">
        <v>1</v>
      </c>
      <c r="AS2" s="572" t="s">
        <v>379</v>
      </c>
      <c r="AT2" s="576" t="s">
        <v>400</v>
      </c>
      <c r="AU2" s="574" t="str">
        <f t="shared" ref="AU2:AU7" si="0">+TEXT($B$4,"DD.MM.YYYY")</f>
        <v>03.09.2024</v>
      </c>
      <c r="AV2" s="574" t="str">
        <f t="shared" ref="AV2:AV7" si="1">+TEXT($G$4,"DD.MM.YYYY")</f>
        <v>09.09.2024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10592.72</v>
      </c>
      <c r="AQ3" s="576" t="s">
        <v>378</v>
      </c>
      <c r="AR3" s="572">
        <v>1</v>
      </c>
      <c r="AS3" s="572" t="s">
        <v>379</v>
      </c>
      <c r="AT3" s="576" t="s">
        <v>400</v>
      </c>
      <c r="AU3" s="574" t="str">
        <f t="shared" si="0"/>
        <v>03.09.2024</v>
      </c>
      <c r="AV3" s="574" t="str">
        <f t="shared" si="1"/>
        <v>09.09.2024</v>
      </c>
    </row>
    <row r="4" spans="1:48" ht="18.75">
      <c r="A4" s="600" t="s">
        <v>426</v>
      </c>
      <c r="B4" s="599">
        <v>45538</v>
      </c>
      <c r="C4" s="585"/>
      <c r="D4" s="598"/>
      <c r="F4" s="579" t="s">
        <v>427</v>
      </c>
      <c r="G4" s="599">
        <v>45544</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10123.290000000001</v>
      </c>
      <c r="AQ4" s="576" t="s">
        <v>378</v>
      </c>
      <c r="AR4" s="572">
        <v>1</v>
      </c>
      <c r="AS4" s="572" t="s">
        <v>379</v>
      </c>
      <c r="AT4" s="576" t="s">
        <v>400</v>
      </c>
      <c r="AU4" s="574" t="str">
        <f t="shared" si="0"/>
        <v>03.09.2024</v>
      </c>
      <c r="AV4" s="574" t="str">
        <f t="shared" si="1"/>
        <v>09.09.2024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10207.59</v>
      </c>
      <c r="AQ5" s="592" t="s">
        <v>378</v>
      </c>
      <c r="AR5" s="594">
        <v>1</v>
      </c>
      <c r="AS5" s="594" t="s">
        <v>379</v>
      </c>
      <c r="AT5" s="592" t="s">
        <v>400</v>
      </c>
      <c r="AU5" s="591" t="str">
        <f t="shared" si="0"/>
        <v>03.09.2024</v>
      </c>
      <c r="AV5" s="591" t="str">
        <f t="shared" si="1"/>
        <v>09.09.2024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10592.72</v>
      </c>
      <c r="AQ6" s="592" t="s">
        <v>378</v>
      </c>
      <c r="AR6" s="594">
        <v>1</v>
      </c>
      <c r="AS6" s="594" t="s">
        <v>379</v>
      </c>
      <c r="AT6" s="592" t="s">
        <v>400</v>
      </c>
      <c r="AU6" s="591" t="str">
        <f t="shared" si="0"/>
        <v>03.09.2024</v>
      </c>
      <c r="AV6" s="591" t="str">
        <f t="shared" si="1"/>
        <v>09.09.2024</v>
      </c>
    </row>
    <row r="7" spans="1:48" ht="27.6" customHeight="1">
      <c r="A7" s="70" t="s">
        <v>200</v>
      </c>
      <c r="B7" s="562">
        <v>10329.89</v>
      </c>
      <c r="C7" s="565">
        <f>+B7</f>
        <v>10329.89</v>
      </c>
      <c r="D7" s="562">
        <v>10329.89</v>
      </c>
      <c r="E7" s="565">
        <f>+D7</f>
        <v>10329.89</v>
      </c>
      <c r="F7" s="562">
        <v>10415.91</v>
      </c>
      <c r="G7" s="565">
        <f>+F7</f>
        <v>10415.91</v>
      </c>
      <c r="H7" s="562">
        <v>10808.9</v>
      </c>
      <c r="I7" s="565">
        <f>+H7</f>
        <v>10808.9</v>
      </c>
      <c r="J7" s="565">
        <f>+B7</f>
        <v>10329.89</v>
      </c>
      <c r="K7" s="564">
        <f>+J7</f>
        <v>10329.89</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10123.290000000001</v>
      </c>
      <c r="AQ7" s="592" t="s">
        <v>378</v>
      </c>
      <c r="AR7" s="594">
        <v>1</v>
      </c>
      <c r="AS7" s="594" t="s">
        <v>379</v>
      </c>
      <c r="AT7" s="592" t="s">
        <v>400</v>
      </c>
      <c r="AU7" s="591" t="str">
        <f t="shared" si="0"/>
        <v>03.09.2024</v>
      </c>
      <c r="AV7" s="591" t="str">
        <f t="shared" si="1"/>
        <v>09.09.2024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224">
        <v>17266.965714285714</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ref="AU8:AU11" si="2">+TEXT($B$4,"DD.MM.YYYY")</f>
        <v>03.09.2024</v>
      </c>
      <c r="AV8" s="574" t="str">
        <f t="shared" ref="AV8:AV11" si="3">+TEXT($G$4,"DD.MM.YYYY")</f>
        <v>09.09.2024</v>
      </c>
    </row>
    <row r="9" spans="1:48" ht="35.450000000000003" customHeight="1">
      <c r="A9" s="248" t="s">
        <v>139</v>
      </c>
      <c r="B9" s="224">
        <f>+ROUND(B8*B5,2)+B7*(1-B5)</f>
        <v>10329.89</v>
      </c>
      <c r="C9" s="224">
        <f>+ROUND(C8*C5,2)+C7*(1-C5)</f>
        <v>10520.022199999999</v>
      </c>
      <c r="D9" s="247">
        <f>+D8*D5+D7*(1-D5)</f>
        <v>10329.89</v>
      </c>
      <c r="E9" s="224">
        <f>+ROUND(E8*E5,2)+E7*(1-E5)</f>
        <v>10520.022199999999</v>
      </c>
      <c r="F9" s="224">
        <f>+ROUND(F8*F5,2)+F7*(1-F5)</f>
        <v>10415.91</v>
      </c>
      <c r="G9" s="224">
        <f>ROUND((G8*G5),2)+ROUND(G7*(1-G5),2)</f>
        <v>10604.32</v>
      </c>
      <c r="H9" s="224">
        <f>+ROUND(H8*H5,2)+H7*(1-H5)</f>
        <v>10808.9</v>
      </c>
      <c r="I9" s="224">
        <f>+ROUND(I8*I5,2)+I7*(1-I5)</f>
        <v>10938.062</v>
      </c>
      <c r="J9" s="318">
        <f>+J7</f>
        <v>10329.89</v>
      </c>
      <c r="K9" s="291">
        <f>+K7</f>
        <v>10329.89</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345.34</v>
      </c>
      <c r="AQ9" s="576" t="s">
        <v>378</v>
      </c>
      <c r="AR9" s="572">
        <v>1</v>
      </c>
      <c r="AS9" s="572" t="s">
        <v>379</v>
      </c>
      <c r="AT9" s="576" t="s">
        <v>400</v>
      </c>
      <c r="AU9" s="574" t="str">
        <f t="shared" si="2"/>
        <v>03.09.2024</v>
      </c>
      <c r="AV9" s="574" t="str">
        <f t="shared" si="3"/>
        <v>09.09.2024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2"/>
        <v>03.09.2024</v>
      </c>
      <c r="AV10" s="574" t="str">
        <f t="shared" si="3"/>
        <v>09.09.2024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4">+(S10-S9)/S9</f>
        <v>0</v>
      </c>
      <c r="T11" s="330">
        <f t="shared" si="4"/>
        <v>-8.6521733848730145E-2</v>
      </c>
      <c r="U11" s="330">
        <f t="shared" si="4"/>
        <v>0</v>
      </c>
      <c r="V11" s="330">
        <f t="shared" si="4"/>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2"/>
        <v>03.09.2024</v>
      </c>
      <c r="AV11" s="591" t="str">
        <f t="shared" si="3"/>
        <v>09.09.2024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10123.290000000001</v>
      </c>
      <c r="AQ15" s="576" t="s">
        <v>378</v>
      </c>
      <c r="AR15" s="572">
        <v>1</v>
      </c>
      <c r="AS15" s="572" t="s">
        <v>379</v>
      </c>
      <c r="AT15" s="576" t="s">
        <v>400</v>
      </c>
      <c r="AU15" s="574" t="str">
        <f t="shared" ref="AU15:AU17" si="5">+TEXT($B$4,"DD.MM.YYYY")</f>
        <v>03.09.2024</v>
      </c>
      <c r="AV15" s="574" t="str">
        <f t="shared" ref="AV15:AV17" si="6">+TEXT($G$4,"DD.MM.YYYY")</f>
        <v>09.09.2024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10329.89</v>
      </c>
      <c r="AQ16" s="576" t="s">
        <v>378</v>
      </c>
      <c r="AR16" s="572">
        <v>1</v>
      </c>
      <c r="AS16" s="572" t="s">
        <v>379</v>
      </c>
      <c r="AT16" s="576" t="s">
        <v>400</v>
      </c>
      <c r="AU16" s="574" t="str">
        <f t="shared" si="5"/>
        <v>03.09.2024</v>
      </c>
      <c r="AV16" s="574" t="str">
        <f t="shared" si="6"/>
        <v>09.09.2024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5"/>
        <v>03.09.2024</v>
      </c>
      <c r="AV17" s="574" t="str">
        <f t="shared" si="6"/>
        <v>09.09.2024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7">+E18</f>
        <v>(5)</v>
      </c>
      <c r="I18" s="411" t="str">
        <f t="shared" si="7"/>
        <v>(5)</v>
      </c>
      <c r="J18" s="411" t="str">
        <f t="shared" si="7"/>
        <v>(5)</v>
      </c>
      <c r="K18" s="561" t="str">
        <f t="shared" si="7"/>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row r="100" spans="1:22" ht="15" thickBot="1">
      <c r="A100" s="5" t="s">
        <v>354</v>
      </c>
      <c r="B100" s="5" t="s">
        <v>355</v>
      </c>
      <c r="C100" s="5" t="s">
        <v>356</v>
      </c>
      <c r="D100" s="5" t="s">
        <v>357</v>
      </c>
      <c r="E100" s="5" t="s">
        <v>358</v>
      </c>
      <c r="F100" s="5" t="s">
        <v>359</v>
      </c>
      <c r="G100" s="5" t="s">
        <v>360</v>
      </c>
      <c r="H100" s="5" t="s">
        <v>361</v>
      </c>
      <c r="I100" s="5" t="s">
        <v>362</v>
      </c>
      <c r="J100" s="5" t="s">
        <v>363</v>
      </c>
      <c r="K100" s="5" t="s">
        <v>364</v>
      </c>
      <c r="L100" s="5" t="s">
        <v>365</v>
      </c>
      <c r="M100" s="5" t="s">
        <v>366</v>
      </c>
      <c r="N100" s="5" t="s">
        <v>367</v>
      </c>
      <c r="O100" s="5" t="s">
        <v>368</v>
      </c>
      <c r="P100" s="5" t="s">
        <v>369</v>
      </c>
      <c r="Q100" s="5" t="s">
        <v>370</v>
      </c>
      <c r="R100" s="5" t="s">
        <v>371</v>
      </c>
      <c r="S100" s="5" t="s">
        <v>372</v>
      </c>
      <c r="T100" s="5" t="s">
        <v>373</v>
      </c>
      <c r="U100" s="5" t="s">
        <v>374</v>
      </c>
      <c r="V100" s="5" t="s">
        <v>375</v>
      </c>
    </row>
    <row r="101" spans="1:22" ht="15.75" thickBot="1">
      <c r="A101" s="469" t="s">
        <v>376</v>
      </c>
      <c r="B101" s="470">
        <v>929</v>
      </c>
      <c r="C101" s="471" t="s">
        <v>377</v>
      </c>
      <c r="D101" s="471"/>
      <c r="E101" s="471"/>
      <c r="F101" s="469">
        <v>2000</v>
      </c>
      <c r="G101" s="471"/>
      <c r="H101" s="471"/>
      <c r="I101" s="471"/>
      <c r="J101" s="471"/>
      <c r="K101" s="471"/>
      <c r="L101" s="471"/>
      <c r="M101" s="471" t="s">
        <v>398</v>
      </c>
      <c r="N101" s="471"/>
      <c r="O101" s="471">
        <v>30000002129</v>
      </c>
      <c r="P101" s="472">
        <f>+ROUND($F$7*98%,2)</f>
        <v>10207.59</v>
      </c>
      <c r="Q101" s="471" t="s">
        <v>378</v>
      </c>
      <c r="R101" s="471">
        <v>1</v>
      </c>
      <c r="S101" s="471" t="s">
        <v>379</v>
      </c>
      <c r="T101" s="471" t="s">
        <v>400</v>
      </c>
      <c r="U101" s="473" t="s">
        <v>424</v>
      </c>
      <c r="V101" s="473" t="s">
        <v>425</v>
      </c>
    </row>
    <row r="102" spans="1:22" ht="15.75" thickBot="1">
      <c r="A102" s="474" t="s">
        <v>376</v>
      </c>
      <c r="B102" s="442">
        <v>929</v>
      </c>
      <c r="C102" s="445" t="s">
        <v>377</v>
      </c>
      <c r="D102" s="445"/>
      <c r="E102" s="445"/>
      <c r="F102" s="474">
        <v>3010</v>
      </c>
      <c r="G102" s="443"/>
      <c r="H102" s="443"/>
      <c r="I102" s="443"/>
      <c r="J102" s="443"/>
      <c r="K102" s="443"/>
      <c r="L102" s="443"/>
      <c r="M102" s="445" t="s">
        <v>398</v>
      </c>
      <c r="N102" s="443"/>
      <c r="O102" s="443">
        <v>30000002129</v>
      </c>
      <c r="P102" s="472">
        <f>+ROUND($I$7*98%,2)</f>
        <v>10592.72</v>
      </c>
      <c r="Q102" s="443" t="s">
        <v>378</v>
      </c>
      <c r="R102" s="443">
        <v>1</v>
      </c>
      <c r="S102" s="443" t="s">
        <v>379</v>
      </c>
      <c r="T102" s="445" t="s">
        <v>400</v>
      </c>
      <c r="U102" s="571" t="str">
        <f>+U101</f>
        <v>03.09.2024</v>
      </c>
      <c r="V102" s="571" t="str">
        <f>+V101</f>
        <v>09.09.2024</v>
      </c>
    </row>
    <row r="103" spans="1:22" ht="15.75" thickBot="1">
      <c r="A103" s="475" t="s">
        <v>376</v>
      </c>
      <c r="B103" s="476">
        <v>929</v>
      </c>
      <c r="C103" s="477" t="s">
        <v>377</v>
      </c>
      <c r="D103" s="477"/>
      <c r="E103" s="477"/>
      <c r="F103" s="475">
        <v>4502</v>
      </c>
      <c r="G103" s="477"/>
      <c r="H103" s="477"/>
      <c r="I103" s="477"/>
      <c r="J103" s="477"/>
      <c r="K103" s="477"/>
      <c r="L103" s="477"/>
      <c r="M103" s="477" t="s">
        <v>398</v>
      </c>
      <c r="N103" s="477"/>
      <c r="O103" s="477">
        <v>30000002129</v>
      </c>
      <c r="P103" s="472">
        <f>+ROUND($D$7*98%,2)</f>
        <v>10123.290000000001</v>
      </c>
      <c r="Q103" s="477" t="s">
        <v>378</v>
      </c>
      <c r="R103" s="477">
        <v>1</v>
      </c>
      <c r="S103" s="477" t="s">
        <v>379</v>
      </c>
      <c r="T103" s="477" t="s">
        <v>400</v>
      </c>
      <c r="U103" s="571" t="str">
        <f t="shared" ref="U103:U106" si="8">+U102</f>
        <v>03.09.2024</v>
      </c>
      <c r="V103" s="571" t="str">
        <f t="shared" ref="V103:V106" si="9">+V102</f>
        <v>09.09.2024</v>
      </c>
    </row>
    <row r="104" spans="1:22" ht="15.75" thickBot="1">
      <c r="A104" s="469" t="s">
        <v>376</v>
      </c>
      <c r="B104" s="470">
        <v>929</v>
      </c>
      <c r="C104" s="471" t="s">
        <v>377</v>
      </c>
      <c r="D104" s="471"/>
      <c r="E104" s="471"/>
      <c r="F104" s="469">
        <v>2000</v>
      </c>
      <c r="G104" s="471"/>
      <c r="H104" s="471"/>
      <c r="I104" s="471"/>
      <c r="J104" s="471"/>
      <c r="K104" s="471"/>
      <c r="L104" s="471"/>
      <c r="M104" s="471" t="s">
        <v>398</v>
      </c>
      <c r="N104" s="471"/>
      <c r="O104" s="471">
        <v>30000009291</v>
      </c>
      <c r="P104" s="472">
        <f>+ROUND($F$7*98%,2)</f>
        <v>10207.59</v>
      </c>
      <c r="Q104" s="471" t="s">
        <v>378</v>
      </c>
      <c r="R104" s="471">
        <v>1</v>
      </c>
      <c r="S104" s="471" t="s">
        <v>379</v>
      </c>
      <c r="T104" s="471" t="s">
        <v>400</v>
      </c>
      <c r="U104" s="571" t="str">
        <f t="shared" si="8"/>
        <v>03.09.2024</v>
      </c>
      <c r="V104" s="571" t="str">
        <f t="shared" si="9"/>
        <v>09.09.2024</v>
      </c>
    </row>
    <row r="105" spans="1:22" ht="15.75" thickBot="1">
      <c r="A105" s="474" t="s">
        <v>376</v>
      </c>
      <c r="B105" s="442">
        <v>929</v>
      </c>
      <c r="C105" s="445" t="s">
        <v>377</v>
      </c>
      <c r="D105" s="445"/>
      <c r="E105" s="445"/>
      <c r="F105" s="474">
        <v>3010</v>
      </c>
      <c r="G105" s="443"/>
      <c r="H105" s="443"/>
      <c r="I105" s="443"/>
      <c r="J105" s="443"/>
      <c r="K105" s="443"/>
      <c r="L105" s="443"/>
      <c r="M105" s="445" t="s">
        <v>398</v>
      </c>
      <c r="N105" s="443"/>
      <c r="O105" s="471">
        <v>30000009291</v>
      </c>
      <c r="P105" s="472">
        <f>+ROUND($I$7*98%,2)</f>
        <v>10592.72</v>
      </c>
      <c r="Q105" s="443" t="s">
        <v>378</v>
      </c>
      <c r="R105" s="443">
        <v>1</v>
      </c>
      <c r="S105" s="443" t="s">
        <v>379</v>
      </c>
      <c r="T105" s="445" t="s">
        <v>400</v>
      </c>
      <c r="U105" s="571" t="str">
        <f t="shared" si="8"/>
        <v>03.09.2024</v>
      </c>
      <c r="V105" s="571" t="str">
        <f t="shared" si="9"/>
        <v>09.09.2024</v>
      </c>
    </row>
    <row r="106" spans="1:22" ht="15.75" thickBot="1">
      <c r="A106" s="475" t="s">
        <v>376</v>
      </c>
      <c r="B106" s="476">
        <v>929</v>
      </c>
      <c r="C106" s="477" t="s">
        <v>377</v>
      </c>
      <c r="D106" s="477"/>
      <c r="E106" s="477"/>
      <c r="F106" s="475">
        <v>4502</v>
      </c>
      <c r="G106" s="477"/>
      <c r="H106" s="477"/>
      <c r="I106" s="477"/>
      <c r="J106" s="477"/>
      <c r="K106" s="477"/>
      <c r="L106" s="477"/>
      <c r="M106" s="477" t="s">
        <v>398</v>
      </c>
      <c r="N106" s="477"/>
      <c r="O106" s="471">
        <v>30000009291</v>
      </c>
      <c r="P106" s="472">
        <f>+ROUND($D$7*98%,2)</f>
        <v>10123.290000000001</v>
      </c>
      <c r="Q106" s="477" t="s">
        <v>378</v>
      </c>
      <c r="R106" s="477">
        <v>1</v>
      </c>
      <c r="S106" s="477" t="s">
        <v>379</v>
      </c>
      <c r="T106" s="477" t="s">
        <v>400</v>
      </c>
      <c r="U106" s="571" t="str">
        <f t="shared" si="8"/>
        <v>03.09.2024</v>
      </c>
      <c r="V106" s="571" t="str">
        <f t="shared" si="9"/>
        <v>09.09.2024</v>
      </c>
    </row>
  </sheetData>
  <sheetProtection algorithmName="SHA-512" hashValue="FOQKskInkHvHzX2GYxQvGFpCoNcfwhOD3/bWzcvYOxJP17MkB138sVsz9hVaJjLdG8D1DqtW4HnzGRqo94hhFw==" saltValue="4Z+RtLihOjaK0s32nqpyeA==" spinCount="100000" sheet="1" objects="1" scenarios="1"/>
  <mergeCells count="9">
    <mergeCell ref="A32:H32"/>
    <mergeCell ref="A33:H33"/>
    <mergeCell ref="A34:E34"/>
    <mergeCell ref="A1:I1"/>
    <mergeCell ref="A2:I2"/>
    <mergeCell ref="A3:I3"/>
    <mergeCell ref="A26:I26"/>
    <mergeCell ref="A28:I28"/>
    <mergeCell ref="A30:I31"/>
  </mergeCells>
  <conditionalFormatting sqref="A101:V106">
    <cfRule type="containsText" dxfId="82" priority="28" operator="containsText" text="Seleccione...">
      <formula>NOT(ISERROR(SEARCH("Seleccione...",A101)))</formula>
    </cfRule>
  </conditionalFormatting>
  <conditionalFormatting sqref="AA2:AV11">
    <cfRule type="containsText" dxfId="81" priority="9" operator="containsText" text="Seleccione...">
      <formula>NOT(ISERROR(SEARCH("Seleccione...",AA2)))</formula>
    </cfRule>
  </conditionalFormatting>
  <conditionalFormatting sqref="AA15:AV17">
    <cfRule type="containsText" dxfId="80"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5017D0-AD5D-4F74-95AA-CD7952BD7F03}">
          <x14:formula1>
            <xm:f>Fechas!$A$2:$A$831</xm:f>
          </x14:formula1>
          <xm:sqref>B4 G4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ED1F-35F4-49CD-8657-418E2CB7D41E}">
  <sheetPr codeName="Hoja11"/>
  <dimension ref="A1:AV46"/>
  <sheetViews>
    <sheetView showGridLines="0" zoomScale="85" zoomScaleNormal="85" workbookViewId="0">
      <selection sqref="A1:I1"/>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3" width="20" style="5" bestFit="1" customWidth="1"/>
    <col min="44" max="44" width="14.28515625" style="5" bestFit="1" customWidth="1"/>
    <col min="45" max="45" width="17.28515625" style="5" bestFit="1" customWidth="1"/>
    <col min="46" max="46" width="16.42578125" style="5" bestFit="1" customWidth="1"/>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10481.33</v>
      </c>
      <c r="AQ2" s="576" t="s">
        <v>378</v>
      </c>
      <c r="AR2" s="572">
        <v>1</v>
      </c>
      <c r="AS2" s="572" t="s">
        <v>379</v>
      </c>
      <c r="AT2" s="576" t="s">
        <v>400</v>
      </c>
      <c r="AU2" s="574" t="str">
        <f t="shared" ref="AU2:AU7" si="0">+TEXT($B$4,"DD.MM.YYYY")</f>
        <v>10.09.2024</v>
      </c>
      <c r="AV2" s="574" t="str">
        <f t="shared" ref="AV2:AV7" si="1">+TEXT($G$4,"DD.MM.YYYY")</f>
        <v>16.09.2024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10876.26</v>
      </c>
      <c r="AQ3" s="576" t="s">
        <v>378</v>
      </c>
      <c r="AR3" s="572">
        <v>1</v>
      </c>
      <c r="AS3" s="572" t="s">
        <v>379</v>
      </c>
      <c r="AT3" s="576" t="s">
        <v>400</v>
      </c>
      <c r="AU3" s="574" t="str">
        <f t="shared" si="0"/>
        <v>10.09.2024</v>
      </c>
      <c r="AV3" s="574" t="str">
        <f t="shared" si="1"/>
        <v>16.09.2024</v>
      </c>
    </row>
    <row r="4" spans="1:48" ht="18.75">
      <c r="A4" s="600" t="s">
        <v>426</v>
      </c>
      <c r="B4" s="599">
        <v>45545</v>
      </c>
      <c r="C4" s="585"/>
      <c r="D4" s="598"/>
      <c r="F4" s="579" t="s">
        <v>427</v>
      </c>
      <c r="G4" s="599">
        <v>45551</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10397.030000000001</v>
      </c>
      <c r="AQ4" s="576" t="s">
        <v>378</v>
      </c>
      <c r="AR4" s="572">
        <v>1</v>
      </c>
      <c r="AS4" s="572" t="s">
        <v>379</v>
      </c>
      <c r="AT4" s="576" t="s">
        <v>400</v>
      </c>
      <c r="AU4" s="574" t="str">
        <f t="shared" si="0"/>
        <v>10.09.2024</v>
      </c>
      <c r="AV4" s="574" t="str">
        <f t="shared" si="1"/>
        <v>16.09.2024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10481.33</v>
      </c>
      <c r="AQ5" s="592" t="s">
        <v>378</v>
      </c>
      <c r="AR5" s="594">
        <v>1</v>
      </c>
      <c r="AS5" s="594" t="s">
        <v>379</v>
      </c>
      <c r="AT5" s="592" t="s">
        <v>400</v>
      </c>
      <c r="AU5" s="591" t="str">
        <f t="shared" si="0"/>
        <v>10.09.2024</v>
      </c>
      <c r="AV5" s="591" t="str">
        <f t="shared" si="1"/>
        <v>16.09.2024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10876.26</v>
      </c>
      <c r="AQ6" s="592" t="s">
        <v>378</v>
      </c>
      <c r="AR6" s="594">
        <v>1</v>
      </c>
      <c r="AS6" s="594" t="s">
        <v>379</v>
      </c>
      <c r="AT6" s="592" t="s">
        <v>400</v>
      </c>
      <c r="AU6" s="591" t="str">
        <f t="shared" si="0"/>
        <v>10.09.2024</v>
      </c>
      <c r="AV6" s="591" t="str">
        <f t="shared" si="1"/>
        <v>16.09.2024</v>
      </c>
    </row>
    <row r="7" spans="1:48" ht="27.6" customHeight="1">
      <c r="A7" s="70" t="s">
        <v>200</v>
      </c>
      <c r="B7" s="562">
        <v>10609.21</v>
      </c>
      <c r="C7" s="565">
        <f>+B7</f>
        <v>10609.21</v>
      </c>
      <c r="D7" s="562">
        <v>10609.21</v>
      </c>
      <c r="E7" s="565">
        <f>+D7</f>
        <v>10609.21</v>
      </c>
      <c r="F7" s="562">
        <v>10695.23</v>
      </c>
      <c r="G7" s="565">
        <f>+F7</f>
        <v>10695.23</v>
      </c>
      <c r="H7" s="562">
        <v>11098.22</v>
      </c>
      <c r="I7" s="565">
        <f>+H7</f>
        <v>11098.22</v>
      </c>
      <c r="J7" s="565">
        <f>+B7</f>
        <v>10609.21</v>
      </c>
      <c r="K7" s="564">
        <f>+J7</f>
        <v>10609.21</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10397.030000000001</v>
      </c>
      <c r="AQ7" s="592" t="s">
        <v>378</v>
      </c>
      <c r="AR7" s="594">
        <v>1</v>
      </c>
      <c r="AS7" s="594" t="s">
        <v>379</v>
      </c>
      <c r="AT7" s="592" t="s">
        <v>400</v>
      </c>
      <c r="AU7" s="591" t="str">
        <f t="shared" si="0"/>
        <v>10.09.2024</v>
      </c>
      <c r="AV7" s="591" t="str">
        <f t="shared" si="1"/>
        <v>16.09.2024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224">
        <v>17266.965714285714</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ref="AU8:AU11" si="2">+TEXT($B$4,"DD.MM.YYYY")</f>
        <v>10.09.2024</v>
      </c>
      <c r="AV8" s="574" t="str">
        <f t="shared" ref="AV8:AV11" si="3">+TEXT($G$4,"DD.MM.YYYY")</f>
        <v>16.09.2024</v>
      </c>
    </row>
    <row r="9" spans="1:48" ht="35.450000000000003" customHeight="1">
      <c r="A9" s="248" t="s">
        <v>139</v>
      </c>
      <c r="B9" s="224">
        <f>+ROUND(B8*B5,2)+B7*(1-B5)</f>
        <v>10609.21</v>
      </c>
      <c r="C9" s="224">
        <f>+ROUND(C8*C5,2)+C7*(1-C5)</f>
        <v>10793.755799999999</v>
      </c>
      <c r="D9" s="247">
        <f>+D8*D5+D7*(1-D5)</f>
        <v>10609.21</v>
      </c>
      <c r="E9" s="224">
        <f>+ROUND(E8*E5,2)+E7*(1-E5)</f>
        <v>10793.755799999999</v>
      </c>
      <c r="F9" s="224">
        <f>+ROUND(F8*F5,2)+F7*(1-F5)</f>
        <v>10695.23</v>
      </c>
      <c r="G9" s="224">
        <f>ROUND((G8*G5),2)+ROUND(G7*(1-G5),2)</f>
        <v>10878.06</v>
      </c>
      <c r="H9" s="224">
        <f>+ROUND(H8*H5,2)+H7*(1-H5)</f>
        <v>11098.22</v>
      </c>
      <c r="I9" s="224">
        <f>+ROUND(I8*I5,2)+I7*(1-I5)</f>
        <v>11221.595599999999</v>
      </c>
      <c r="J9" s="318">
        <f>+J7</f>
        <v>10609.21</v>
      </c>
      <c r="K9" s="291">
        <f>+K7</f>
        <v>10609.21</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345.34</v>
      </c>
      <c r="AQ9" s="576" t="s">
        <v>378</v>
      </c>
      <c r="AR9" s="572">
        <v>1</v>
      </c>
      <c r="AS9" s="572" t="s">
        <v>379</v>
      </c>
      <c r="AT9" s="576" t="s">
        <v>400</v>
      </c>
      <c r="AU9" s="574" t="str">
        <f t="shared" si="2"/>
        <v>10.09.2024</v>
      </c>
      <c r="AV9" s="574" t="str">
        <f t="shared" si="3"/>
        <v>16.09.2024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2"/>
        <v>10.09.2024</v>
      </c>
      <c r="AV10" s="574" t="str">
        <f t="shared" si="3"/>
        <v>16.09.2024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4">+(S10-S9)/S9</f>
        <v>0</v>
      </c>
      <c r="T11" s="330">
        <f t="shared" si="4"/>
        <v>-8.6521733848730145E-2</v>
      </c>
      <c r="U11" s="330">
        <f t="shared" si="4"/>
        <v>0</v>
      </c>
      <c r="V11" s="330">
        <f t="shared" si="4"/>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2"/>
        <v>10.09.2024</v>
      </c>
      <c r="AV11" s="591" t="str">
        <f t="shared" si="3"/>
        <v>16.09.2024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10397.030000000001</v>
      </c>
      <c r="AQ15" s="576" t="s">
        <v>378</v>
      </c>
      <c r="AR15" s="572">
        <v>1</v>
      </c>
      <c r="AS15" s="572" t="s">
        <v>379</v>
      </c>
      <c r="AT15" s="576" t="s">
        <v>400</v>
      </c>
      <c r="AU15" s="574" t="str">
        <f t="shared" ref="AU15:AU17" si="5">+TEXT($B$4,"DD.MM.YYYY")</f>
        <v>10.09.2024</v>
      </c>
      <c r="AV15" s="574" t="str">
        <f t="shared" ref="AV15:AV17" si="6">+TEXT($G$4,"DD.MM.YYYY")</f>
        <v>16.09.2024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10609.21</v>
      </c>
      <c r="AQ16" s="576" t="s">
        <v>378</v>
      </c>
      <c r="AR16" s="572">
        <v>1</v>
      </c>
      <c r="AS16" s="572" t="s">
        <v>379</v>
      </c>
      <c r="AT16" s="576" t="s">
        <v>400</v>
      </c>
      <c r="AU16" s="574" t="str">
        <f t="shared" si="5"/>
        <v>10.09.2024</v>
      </c>
      <c r="AV16" s="574" t="str">
        <f t="shared" si="6"/>
        <v>16.09.2024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5"/>
        <v>10.09.2024</v>
      </c>
      <c r="AV17" s="574" t="str">
        <f t="shared" si="6"/>
        <v>16.09.2024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7">+E18</f>
        <v>(5)</v>
      </c>
      <c r="I18" s="411" t="str">
        <f t="shared" si="7"/>
        <v>(5)</v>
      </c>
      <c r="J18" s="411" t="str">
        <f t="shared" si="7"/>
        <v>(5)</v>
      </c>
      <c r="K18" s="561" t="str">
        <f t="shared" si="7"/>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6wV3abJ+SK8o8xFpF7Fenj9bG/rgwNCJ6OO11GquiGk9A3zFhj+FtLzAJfUVmKiuXKqc08qmKoANei9MxHVGkw==" saltValue="8o7D26KDawEJKMDIDUOTIg=="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79" priority="5" operator="containsText" text="Seleccione...">
      <formula>NOT(ISERROR(SEARCH("Seleccione...",AA2)))</formula>
    </cfRule>
  </conditionalFormatting>
  <conditionalFormatting sqref="AA15:AV17">
    <cfRule type="containsText" dxfId="78"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AAB226F-9E63-406C-9151-59E7658DC7DB}">
          <x14:formula1>
            <xm:f>Fechas!$A$2:$A$831</xm:f>
          </x14:formula1>
          <xm:sqref>B4 G4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0C49-1F8E-48E9-98E9-9BDD0F45191F}">
  <sheetPr codeName="Hoja12"/>
  <dimension ref="A1:AV46"/>
  <sheetViews>
    <sheetView showGridLines="0" zoomScale="85" zoomScaleNormal="85" workbookViewId="0">
      <selection sqref="A1:I1"/>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customWidth="1"/>
    <col min="43" max="43" width="20" style="5" bestFit="1" customWidth="1"/>
    <col min="44"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10629.12</v>
      </c>
      <c r="AQ2" s="576" t="s">
        <v>378</v>
      </c>
      <c r="AR2" s="572">
        <v>1</v>
      </c>
      <c r="AS2" s="572" t="s">
        <v>379</v>
      </c>
      <c r="AT2" s="576" t="s">
        <v>400</v>
      </c>
      <c r="AU2" s="574" t="str">
        <f t="shared" ref="AU2:AU7" si="0">+TEXT($B$4,"DD.MM.YYYY")</f>
        <v>17.09.2024</v>
      </c>
      <c r="AV2" s="574" t="str">
        <f t="shared" ref="AV2:AV7" si="1">+TEXT($G$4,"DD.MM.YYYY")</f>
        <v>23.09.2024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11029.35</v>
      </c>
      <c r="AQ3" s="576" t="s">
        <v>378</v>
      </c>
      <c r="AR3" s="572">
        <v>1</v>
      </c>
      <c r="AS3" s="572" t="s">
        <v>379</v>
      </c>
      <c r="AT3" s="576" t="s">
        <v>400</v>
      </c>
      <c r="AU3" s="574" t="str">
        <f t="shared" si="0"/>
        <v>17.09.2024</v>
      </c>
      <c r="AV3" s="574" t="str">
        <f t="shared" si="1"/>
        <v>23.09.2024</v>
      </c>
    </row>
    <row r="4" spans="1:48" ht="18.75">
      <c r="A4" s="600" t="s">
        <v>426</v>
      </c>
      <c r="B4" s="599">
        <v>45552</v>
      </c>
      <c r="C4" s="585"/>
      <c r="D4" s="598"/>
      <c r="F4" s="579" t="s">
        <v>427</v>
      </c>
      <c r="G4" s="599">
        <v>45558</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10544.82</v>
      </c>
      <c r="AQ4" s="576" t="s">
        <v>378</v>
      </c>
      <c r="AR4" s="572">
        <v>1</v>
      </c>
      <c r="AS4" s="572" t="s">
        <v>379</v>
      </c>
      <c r="AT4" s="576" t="s">
        <v>400</v>
      </c>
      <c r="AU4" s="574" t="str">
        <f t="shared" si="0"/>
        <v>17.09.2024</v>
      </c>
      <c r="AV4" s="574" t="str">
        <f t="shared" si="1"/>
        <v>23.09.2024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10629.12</v>
      </c>
      <c r="AQ5" s="592" t="s">
        <v>378</v>
      </c>
      <c r="AR5" s="594">
        <v>1</v>
      </c>
      <c r="AS5" s="594" t="s">
        <v>379</v>
      </c>
      <c r="AT5" s="592" t="s">
        <v>400</v>
      </c>
      <c r="AU5" s="591" t="str">
        <f t="shared" si="0"/>
        <v>17.09.2024</v>
      </c>
      <c r="AV5" s="591" t="str">
        <f t="shared" si="1"/>
        <v>23.09.2024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11029.35</v>
      </c>
      <c r="AQ6" s="592" t="s">
        <v>378</v>
      </c>
      <c r="AR6" s="594">
        <v>1</v>
      </c>
      <c r="AS6" s="594" t="s">
        <v>379</v>
      </c>
      <c r="AT6" s="592" t="s">
        <v>400</v>
      </c>
      <c r="AU6" s="591" t="str">
        <f t="shared" si="0"/>
        <v>17.09.2024</v>
      </c>
      <c r="AV6" s="591" t="str">
        <f t="shared" si="1"/>
        <v>23.09.2024</v>
      </c>
    </row>
    <row r="7" spans="1:48" ht="27.6" customHeight="1">
      <c r="A7" s="70" t="s">
        <v>200</v>
      </c>
      <c r="B7" s="562">
        <v>10760.02</v>
      </c>
      <c r="C7" s="565">
        <f>+B7</f>
        <v>10760.02</v>
      </c>
      <c r="D7" s="562">
        <v>10760.02</v>
      </c>
      <c r="E7" s="565">
        <f>+D7</f>
        <v>10760.02</v>
      </c>
      <c r="F7" s="562">
        <v>10846.04</v>
      </c>
      <c r="G7" s="565">
        <f>+F7</f>
        <v>10846.04</v>
      </c>
      <c r="H7" s="562">
        <v>11254.44</v>
      </c>
      <c r="I7" s="565">
        <f>+H7</f>
        <v>11254.44</v>
      </c>
      <c r="J7" s="565">
        <f>+B7</f>
        <v>10760.02</v>
      </c>
      <c r="K7" s="564">
        <f>+J7</f>
        <v>10760.02</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10544.82</v>
      </c>
      <c r="AQ7" s="592" t="s">
        <v>378</v>
      </c>
      <c r="AR7" s="594">
        <v>1</v>
      </c>
      <c r="AS7" s="594" t="s">
        <v>379</v>
      </c>
      <c r="AT7" s="592" t="s">
        <v>400</v>
      </c>
      <c r="AU7" s="591" t="str">
        <f t="shared" si="0"/>
        <v>17.09.2024</v>
      </c>
      <c r="AV7" s="591" t="str">
        <f t="shared" si="1"/>
        <v>23.09.2024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224">
        <v>17266.965714285714</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ref="AU8:AU11" si="2">+TEXT($B$4,"DD.MM.YYYY")</f>
        <v>17.09.2024</v>
      </c>
      <c r="AV8" s="574" t="str">
        <f t="shared" ref="AV8:AV11" si="3">+TEXT($G$4,"DD.MM.YYYY")</f>
        <v>23.09.2024</v>
      </c>
    </row>
    <row r="9" spans="1:48" ht="35.450000000000003" customHeight="1">
      <c r="A9" s="248" t="s">
        <v>139</v>
      </c>
      <c r="B9" s="224">
        <f>+ROUND(B8*B5,2)+B7*(1-B5)</f>
        <v>10760.02</v>
      </c>
      <c r="C9" s="224">
        <f>+ROUND(C8*C5,2)+C7*(1-C5)</f>
        <v>10941.5496</v>
      </c>
      <c r="D9" s="247">
        <f>+D8*D5+D7*(1-D5)</f>
        <v>10760.02</v>
      </c>
      <c r="E9" s="224">
        <f>+ROUND(E8*E5,2)+E7*(1-E5)</f>
        <v>10941.5496</v>
      </c>
      <c r="F9" s="224">
        <f>+ROUND(F8*F5,2)+F7*(1-F5)</f>
        <v>10846.04</v>
      </c>
      <c r="G9" s="224">
        <f>ROUND((G8*G5),2)+ROUND(G7*(1-G5),2)</f>
        <v>11025.85</v>
      </c>
      <c r="H9" s="224">
        <f>+ROUND(H8*H5,2)+H7*(1-H5)</f>
        <v>11254.44</v>
      </c>
      <c r="I9" s="224">
        <f>+ROUND(I8*I5,2)+I7*(1-I5)</f>
        <v>11374.691200000001</v>
      </c>
      <c r="J9" s="318">
        <f>+J7</f>
        <v>10760.02</v>
      </c>
      <c r="K9" s="291">
        <f>+K7</f>
        <v>10760.02</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345.34</v>
      </c>
      <c r="AQ9" s="576" t="s">
        <v>378</v>
      </c>
      <c r="AR9" s="572">
        <v>1</v>
      </c>
      <c r="AS9" s="572" t="s">
        <v>379</v>
      </c>
      <c r="AT9" s="576" t="s">
        <v>400</v>
      </c>
      <c r="AU9" s="574" t="str">
        <f t="shared" si="2"/>
        <v>17.09.2024</v>
      </c>
      <c r="AV9" s="574" t="str">
        <f t="shared" si="3"/>
        <v>23.09.2024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2"/>
        <v>17.09.2024</v>
      </c>
      <c r="AV10" s="574" t="str">
        <f t="shared" si="3"/>
        <v>23.09.2024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4">+(S10-S9)/S9</f>
        <v>0</v>
      </c>
      <c r="T11" s="330">
        <f t="shared" si="4"/>
        <v>-8.6521733848730145E-2</v>
      </c>
      <c r="U11" s="330">
        <f t="shared" si="4"/>
        <v>0</v>
      </c>
      <c r="V11" s="330">
        <f t="shared" si="4"/>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2"/>
        <v>17.09.2024</v>
      </c>
      <c r="AV11" s="591" t="str">
        <f t="shared" si="3"/>
        <v>23.09.2024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10544.82</v>
      </c>
      <c r="AQ15" s="576" t="s">
        <v>378</v>
      </c>
      <c r="AR15" s="572">
        <v>1</v>
      </c>
      <c r="AS15" s="572" t="s">
        <v>379</v>
      </c>
      <c r="AT15" s="576" t="s">
        <v>400</v>
      </c>
      <c r="AU15" s="574" t="str">
        <f t="shared" ref="AU15:AU17" si="5">+TEXT($B$4,"DD.MM.YYYY")</f>
        <v>17.09.2024</v>
      </c>
      <c r="AV15" s="574" t="str">
        <f t="shared" ref="AV15:AV17" si="6">+TEXT($G$4,"DD.MM.YYYY")</f>
        <v>23.09.2024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10760.02</v>
      </c>
      <c r="AQ16" s="576" t="s">
        <v>378</v>
      </c>
      <c r="AR16" s="572">
        <v>1</v>
      </c>
      <c r="AS16" s="572" t="s">
        <v>379</v>
      </c>
      <c r="AT16" s="576" t="s">
        <v>400</v>
      </c>
      <c r="AU16" s="574" t="str">
        <f t="shared" si="5"/>
        <v>17.09.2024</v>
      </c>
      <c r="AV16" s="574" t="str">
        <f t="shared" si="6"/>
        <v>23.09.2024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5"/>
        <v>17.09.2024</v>
      </c>
      <c r="AV17" s="574" t="str">
        <f t="shared" si="6"/>
        <v>23.09.2024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7">+E18</f>
        <v>(5)</v>
      </c>
      <c r="I18" s="411" t="str">
        <f t="shared" si="7"/>
        <v>(5)</v>
      </c>
      <c r="J18" s="411" t="str">
        <f t="shared" si="7"/>
        <v>(5)</v>
      </c>
      <c r="K18" s="561" t="str">
        <f t="shared" si="7"/>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a+wT98GMPgQIUnr68/w3GIr03rRJftyMfO0tN9wkzEjAbmfgy0eIv5kQkRfH3BhnWuiJJbxrfH8Hwo+vAR0CBQ==" saltValue="hbjS/DKZjXQhpBR7ySZ6cg=="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77" priority="5" operator="containsText" text="Seleccione...">
      <formula>NOT(ISERROR(SEARCH("Seleccione...",AA2)))</formula>
    </cfRule>
  </conditionalFormatting>
  <conditionalFormatting sqref="AA15:AV17">
    <cfRule type="containsText" dxfId="76"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E71E3B-3B96-4D60-9703-7D6D0A6EE044}">
          <x14:formula1>
            <xm:f>Fechas!$A$2:$A$831</xm:f>
          </x14:formula1>
          <xm:sqref>B4 G4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6BEA-787D-4C7E-85F2-B3CC93554577}">
  <sheetPr codeName="Hoja13"/>
  <dimension ref="A1:AV46"/>
  <sheetViews>
    <sheetView showGridLines="0" zoomScale="85" zoomScaleNormal="85" workbookViewId="0">
      <selection sqref="A1:I1"/>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10544.96</v>
      </c>
      <c r="AQ2" s="576" t="s">
        <v>378</v>
      </c>
      <c r="AR2" s="572">
        <v>1</v>
      </c>
      <c r="AS2" s="572" t="s">
        <v>379</v>
      </c>
      <c r="AT2" s="576" t="s">
        <v>400</v>
      </c>
      <c r="AU2" s="574" t="str">
        <f t="shared" ref="AU2:AU7" si="0">+TEXT($B$4,"DD.MM.YYYY")</f>
        <v>24.09.2024</v>
      </c>
      <c r="AV2" s="574" t="str">
        <f t="shared" ref="AV2:AV7" si="1">+TEXT($G$4,"DD.MM.YYYY")</f>
        <v>30.09.2024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10942.17</v>
      </c>
      <c r="AQ3" s="576" t="s">
        <v>378</v>
      </c>
      <c r="AR3" s="572">
        <v>1</v>
      </c>
      <c r="AS3" s="572" t="s">
        <v>379</v>
      </c>
      <c r="AT3" s="576" t="s">
        <v>400</v>
      </c>
      <c r="AU3" s="574" t="str">
        <f t="shared" si="0"/>
        <v>24.09.2024</v>
      </c>
      <c r="AV3" s="574" t="str">
        <f t="shared" si="1"/>
        <v>30.09.2024</v>
      </c>
    </row>
    <row r="4" spans="1:48" ht="18.75">
      <c r="A4" s="600" t="s">
        <v>426</v>
      </c>
      <c r="B4" s="599">
        <v>45559</v>
      </c>
      <c r="C4" s="585"/>
      <c r="D4" s="598"/>
      <c r="F4" s="579" t="s">
        <v>427</v>
      </c>
      <c r="G4" s="599">
        <v>45565</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10460.66</v>
      </c>
      <c r="AQ4" s="576" t="s">
        <v>378</v>
      </c>
      <c r="AR4" s="572">
        <v>1</v>
      </c>
      <c r="AS4" s="572" t="s">
        <v>379</v>
      </c>
      <c r="AT4" s="576" t="s">
        <v>400</v>
      </c>
      <c r="AU4" s="574" t="str">
        <f t="shared" si="0"/>
        <v>24.09.2024</v>
      </c>
      <c r="AV4" s="574" t="str">
        <f t="shared" si="1"/>
        <v>30.09.2024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10544.96</v>
      </c>
      <c r="AQ5" s="592" t="s">
        <v>378</v>
      </c>
      <c r="AR5" s="594">
        <v>1</v>
      </c>
      <c r="AS5" s="594" t="s">
        <v>379</v>
      </c>
      <c r="AT5" s="592" t="s">
        <v>400</v>
      </c>
      <c r="AU5" s="591" t="str">
        <f t="shared" si="0"/>
        <v>24.09.2024</v>
      </c>
      <c r="AV5" s="591" t="str">
        <f t="shared" si="1"/>
        <v>30.09.2024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10942.17</v>
      </c>
      <c r="AQ6" s="592" t="s">
        <v>378</v>
      </c>
      <c r="AR6" s="594">
        <v>1</v>
      </c>
      <c r="AS6" s="594" t="s">
        <v>379</v>
      </c>
      <c r="AT6" s="592" t="s">
        <v>400</v>
      </c>
      <c r="AU6" s="591" t="str">
        <f t="shared" si="0"/>
        <v>24.09.2024</v>
      </c>
      <c r="AV6" s="591" t="str">
        <f t="shared" si="1"/>
        <v>30.09.2024</v>
      </c>
    </row>
    <row r="7" spans="1:48" ht="27.6" customHeight="1">
      <c r="A7" s="70" t="s">
        <v>200</v>
      </c>
      <c r="B7" s="562">
        <v>10674.14</v>
      </c>
      <c r="C7" s="565">
        <f>+B7</f>
        <v>10674.14</v>
      </c>
      <c r="D7" s="562">
        <v>10674.14</v>
      </c>
      <c r="E7" s="565">
        <f>+D7</f>
        <v>10674.14</v>
      </c>
      <c r="F7" s="562">
        <v>10760.16</v>
      </c>
      <c r="G7" s="565">
        <f>+F7</f>
        <v>10760.16</v>
      </c>
      <c r="H7" s="562">
        <v>11165.48</v>
      </c>
      <c r="I7" s="565">
        <f>+H7</f>
        <v>11165.48</v>
      </c>
      <c r="J7" s="565">
        <f>+B7</f>
        <v>10674.14</v>
      </c>
      <c r="K7" s="564">
        <f>+J7</f>
        <v>10674.14</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10460.66</v>
      </c>
      <c r="AQ7" s="592" t="s">
        <v>378</v>
      </c>
      <c r="AR7" s="594">
        <v>1</v>
      </c>
      <c r="AS7" s="594" t="s">
        <v>379</v>
      </c>
      <c r="AT7" s="592" t="s">
        <v>400</v>
      </c>
      <c r="AU7" s="591" t="str">
        <f t="shared" si="0"/>
        <v>24.09.2024</v>
      </c>
      <c r="AV7" s="591" t="str">
        <f t="shared" si="1"/>
        <v>30.09.2024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224">
        <v>17266.965714285714</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ref="AU8:AU11" si="2">+TEXT($B$4,"DD.MM.YYYY")</f>
        <v>24.09.2024</v>
      </c>
      <c r="AV8" s="574" t="str">
        <f t="shared" ref="AV8:AV11" si="3">+TEXT($G$4,"DD.MM.YYYY")</f>
        <v>30.09.2024</v>
      </c>
    </row>
    <row r="9" spans="1:48" ht="35.450000000000003" customHeight="1">
      <c r="A9" s="248" t="s">
        <v>139</v>
      </c>
      <c r="B9" s="224">
        <f>+ROUND(B8*B5,2)+B7*(1-B5)</f>
        <v>10674.14</v>
      </c>
      <c r="C9" s="224">
        <f>+ROUND(C8*C5,2)+C7*(1-C5)</f>
        <v>10857.387199999999</v>
      </c>
      <c r="D9" s="247">
        <f>+D8*D5+D7*(1-D5)</f>
        <v>10674.14</v>
      </c>
      <c r="E9" s="224">
        <f>+ROUND(E8*E5,2)+E7*(1-E5)</f>
        <v>10857.387199999999</v>
      </c>
      <c r="F9" s="224">
        <f>+ROUND(F8*F5,2)+F7*(1-F5)</f>
        <v>10760.16</v>
      </c>
      <c r="G9" s="224">
        <f>ROUND((G8*G5),2)+ROUND(G7*(1-G5),2)</f>
        <v>10941.689999999999</v>
      </c>
      <c r="H9" s="224">
        <f>+ROUND(H8*H5,2)+H7*(1-H5)</f>
        <v>11165.48</v>
      </c>
      <c r="I9" s="224">
        <f>+ROUND(I8*I5,2)+I7*(1-I5)</f>
        <v>11287.510399999999</v>
      </c>
      <c r="J9" s="318">
        <f>+J7</f>
        <v>10674.14</v>
      </c>
      <c r="K9" s="291">
        <f>+K7</f>
        <v>10674.14</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345.34</v>
      </c>
      <c r="AQ9" s="576" t="s">
        <v>378</v>
      </c>
      <c r="AR9" s="572">
        <v>1</v>
      </c>
      <c r="AS9" s="572" t="s">
        <v>379</v>
      </c>
      <c r="AT9" s="576" t="s">
        <v>400</v>
      </c>
      <c r="AU9" s="574" t="str">
        <f t="shared" si="2"/>
        <v>24.09.2024</v>
      </c>
      <c r="AV9" s="574" t="str">
        <f t="shared" si="3"/>
        <v>30.09.2024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2"/>
        <v>24.09.2024</v>
      </c>
      <c r="AV10" s="574" t="str">
        <f t="shared" si="3"/>
        <v>30.09.2024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4">+(S10-S9)/S9</f>
        <v>0</v>
      </c>
      <c r="T11" s="330">
        <f t="shared" si="4"/>
        <v>-8.6521733848730145E-2</v>
      </c>
      <c r="U11" s="330">
        <f t="shared" si="4"/>
        <v>0</v>
      </c>
      <c r="V11" s="330">
        <f t="shared" si="4"/>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2"/>
        <v>24.09.2024</v>
      </c>
      <c r="AV11" s="591" t="str">
        <f t="shared" si="3"/>
        <v>30.09.2024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10460.66</v>
      </c>
      <c r="AQ15" s="576" t="s">
        <v>378</v>
      </c>
      <c r="AR15" s="572">
        <v>1</v>
      </c>
      <c r="AS15" s="572" t="s">
        <v>379</v>
      </c>
      <c r="AT15" s="576" t="s">
        <v>400</v>
      </c>
      <c r="AU15" s="574" t="str">
        <f t="shared" ref="AU15:AU17" si="5">+TEXT($B$4,"DD.MM.YYYY")</f>
        <v>24.09.2024</v>
      </c>
      <c r="AV15" s="574" t="str">
        <f t="shared" ref="AV15:AV17" si="6">+TEXT($G$4,"DD.MM.YYYY")</f>
        <v>30.09.2024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10674.14</v>
      </c>
      <c r="AQ16" s="576" t="s">
        <v>378</v>
      </c>
      <c r="AR16" s="572">
        <v>1</v>
      </c>
      <c r="AS16" s="572" t="s">
        <v>379</v>
      </c>
      <c r="AT16" s="576" t="s">
        <v>400</v>
      </c>
      <c r="AU16" s="574" t="str">
        <f t="shared" si="5"/>
        <v>24.09.2024</v>
      </c>
      <c r="AV16" s="574" t="str">
        <f t="shared" si="6"/>
        <v>30.09.2024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5"/>
        <v>24.09.2024</v>
      </c>
      <c r="AV17" s="574" t="str">
        <f t="shared" si="6"/>
        <v>30.09.2024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7">+E18</f>
        <v>(5)</v>
      </c>
      <c r="I18" s="411" t="str">
        <f t="shared" si="7"/>
        <v>(5)</v>
      </c>
      <c r="J18" s="411" t="str">
        <f t="shared" si="7"/>
        <v>(5)</v>
      </c>
      <c r="K18" s="561" t="str">
        <f t="shared" si="7"/>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uELxnFlp4l0ZdW1UOKR5nvEOr2no4IV36BQm5unOmeTx+h3c7Nf3HpA8ajB9J0jwvhzISY23in2xDWM6/m4cxQ==" saltValue="HEvKWrGjr41ElsU6daxhHg=="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75" priority="5" operator="containsText" text="Seleccione...">
      <formula>NOT(ISERROR(SEARCH("Seleccione...",AA2)))</formula>
    </cfRule>
  </conditionalFormatting>
  <conditionalFormatting sqref="AA15:AV17">
    <cfRule type="containsText" dxfId="74"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F833014-4637-48F8-8C40-68B934CA9330}">
          <x14:formula1>
            <xm:f>Fechas!$A$2:$A$831</xm:f>
          </x14:formula1>
          <xm:sqref>B4 G4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9BA7-689C-47BC-92DE-33661B6E10F6}">
  <sheetPr codeName="Hoja14"/>
  <dimension ref="A1:AW42"/>
  <sheetViews>
    <sheetView showGridLines="0" zoomScale="85" zoomScaleNormal="85" workbookViewId="0">
      <selection sqref="A1:E1"/>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85546875"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8090.93</v>
      </c>
      <c r="AR2" s="583" t="s">
        <v>378</v>
      </c>
      <c r="AS2" s="583">
        <v>1</v>
      </c>
      <c r="AT2" s="581" t="s">
        <v>379</v>
      </c>
      <c r="AU2" s="580" t="s">
        <v>400</v>
      </c>
      <c r="AV2" s="574" t="str">
        <f>+TEXT($B$4,"DD.MM.YYYY")</f>
        <v>31.08.2024</v>
      </c>
      <c r="AW2" s="574" t="str">
        <f>+TEXT($B$5,"DD.MM.YYYY")</f>
        <v>02.09.2024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8722.5</v>
      </c>
      <c r="AR3" s="602" t="s">
        <v>378</v>
      </c>
      <c r="AS3" s="602">
        <v>1</v>
      </c>
      <c r="AT3" s="604" t="s">
        <v>379</v>
      </c>
      <c r="AU3" s="605" t="s">
        <v>400</v>
      </c>
      <c r="AV3" s="574" t="str">
        <f>+TEXT($B$4,"DD.MM.YYYY")</f>
        <v>31.08.2024</v>
      </c>
      <c r="AW3" s="574" t="str">
        <f>+TEXT($B$5,"DD.MM.YYYY")</f>
        <v>02.09.2024</v>
      </c>
    </row>
    <row r="4" spans="1:49" ht="24.75" customHeight="1">
      <c r="A4" s="600" t="s">
        <v>426</v>
      </c>
      <c r="B4" s="599">
        <v>45535</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31.08.2024</v>
      </c>
      <c r="AW4" s="574" t="str">
        <f>+TEXT($B$5,"DD.MM.YYYY")</f>
        <v>02.09.2024</v>
      </c>
    </row>
    <row r="5" spans="1:49" ht="18.75">
      <c r="A5" s="579" t="s">
        <v>427</v>
      </c>
      <c r="B5" s="599">
        <v>45537</v>
      </c>
      <c r="C5" s="585"/>
      <c r="D5" s="598"/>
      <c r="E5" s="585"/>
      <c r="I5" s="585"/>
      <c r="AB5" s="575" t="s">
        <v>383</v>
      </c>
      <c r="AC5" s="575">
        <v>929</v>
      </c>
      <c r="AD5" s="583" t="s">
        <v>377</v>
      </c>
      <c r="AE5" s="583"/>
      <c r="AF5" s="583"/>
      <c r="AG5" s="583">
        <v>2000</v>
      </c>
      <c r="AH5" s="583"/>
      <c r="AI5" s="583"/>
      <c r="AJ5" s="583"/>
      <c r="AK5" s="583"/>
      <c r="AL5" s="583"/>
      <c r="AM5" s="583"/>
      <c r="AN5" s="583" t="s">
        <v>429</v>
      </c>
      <c r="AO5" s="583"/>
      <c r="AP5" s="583">
        <v>30000000003</v>
      </c>
      <c r="AQ5" s="582">
        <f>+ROUND($D$8,2)</f>
        <v>8900.51</v>
      </c>
      <c r="AR5" s="583" t="s">
        <v>378</v>
      </c>
      <c r="AS5" s="583">
        <v>1</v>
      </c>
      <c r="AT5" s="581" t="s">
        <v>379</v>
      </c>
      <c r="AU5" s="580" t="s">
        <v>400</v>
      </c>
      <c r="AV5" s="574" t="str">
        <f>+TEXT($B$4,"DD.MM.YYYY")</f>
        <v>31.08.2024</v>
      </c>
      <c r="AW5" s="574" t="str">
        <f>+TEXT($B$5,"DD.MM.YYYY")</f>
        <v>02.09.2024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8986.5292917999996</v>
      </c>
      <c r="C8" s="565">
        <f>+B8</f>
        <v>8986.5292917999996</v>
      </c>
      <c r="D8" s="562">
        <v>8900.5092917999991</v>
      </c>
      <c r="E8" s="565">
        <f>+D8</f>
        <v>8900.5092917999991</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8176.95</v>
      </c>
      <c r="AR9" s="583" t="s">
        <v>378</v>
      </c>
      <c r="AS9" s="583">
        <v>1</v>
      </c>
      <c r="AT9" s="581" t="s">
        <v>379</v>
      </c>
      <c r="AU9" s="580" t="s">
        <v>400</v>
      </c>
      <c r="AV9" s="574" t="str">
        <f>+TEXT($B$4,"DD.MM.YYYY")</f>
        <v>31.08.2024</v>
      </c>
      <c r="AW9" s="574" t="str">
        <f>+TEXT($B$5,"DD.MM.YYYY")</f>
        <v>02.09.2024</v>
      </c>
    </row>
    <row r="10" spans="1:49" ht="35.450000000000003" customHeight="1">
      <c r="A10" s="248" t="s">
        <v>139</v>
      </c>
      <c r="B10" s="224">
        <f t="shared" ref="B10" si="0">+ROUND(B9*B6,2)+B8*(1-B6)</f>
        <v>8986.5292917999996</v>
      </c>
      <c r="C10" s="224">
        <f>+ROUND(C9*C6,2)+C8*(1-C6)</f>
        <v>9203.5287059639995</v>
      </c>
      <c r="D10" s="224">
        <f t="shared" ref="D10:E10" si="1">+ROUND(D9*D6,2)+D8*(1-D6)</f>
        <v>8900.5092917999991</v>
      </c>
      <c r="E10" s="224">
        <f t="shared" si="1"/>
        <v>9119.2291059639992</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8806.7999999999993</v>
      </c>
      <c r="AR10" s="602" t="s">
        <v>378</v>
      </c>
      <c r="AS10" s="602">
        <v>1</v>
      </c>
      <c r="AT10" s="604" t="s">
        <v>379</v>
      </c>
      <c r="AU10" s="605" t="s">
        <v>400</v>
      </c>
      <c r="AV10" s="574" t="str">
        <f>+TEXT($B$4,"DD.MM.YYYY")</f>
        <v>31.08.2024</v>
      </c>
      <c r="AW10" s="574" t="str">
        <f>+TEXT($B$5,"DD.MM.YYYY")</f>
        <v>02.09.2024</v>
      </c>
    </row>
    <row r="11" spans="1:49" ht="35.450000000000003" customHeight="1">
      <c r="A11" s="248" t="s">
        <v>415</v>
      </c>
      <c r="B11" s="570">
        <v>8176.9512973800011</v>
      </c>
      <c r="C11" s="224"/>
      <c r="D11" s="570">
        <v>8090.9312973799997</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31.08.2024</v>
      </c>
      <c r="AW11" s="574" t="str">
        <f>+TEXT($B$5,"DD.MM.YYYY")</f>
        <v>02.09.2024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8986.5300000000007</v>
      </c>
      <c r="AR12" s="583" t="s">
        <v>378</v>
      </c>
      <c r="AS12" s="583">
        <v>1</v>
      </c>
      <c r="AT12" s="581" t="s">
        <v>379</v>
      </c>
      <c r="AU12" s="580" t="s">
        <v>400</v>
      </c>
      <c r="AV12" s="574" t="str">
        <f>+TEXT($B$4,"DD.MM.YYYY")</f>
        <v>31.08.2024</v>
      </c>
      <c r="AW12" s="574" t="str">
        <f>+TEXT($B$5,"DD.MM.YYYY")</f>
        <v>02.09.2024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guK0IpjdH/5Y74tPUhjl8dUpWwP64EmahuDFeR9rQjztnRc2RYnCEuC7Sr3/4WUVUPUZr3/vmRh7UwsQdIDBaA==" saltValue="UcVMnlhPhsk7aEbGJcXpXA=="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73" priority="5" operator="containsText" text="Seleccione...">
      <formula>NOT(ISERROR(SEARCH("Seleccione...",AV2)))</formula>
    </cfRule>
  </conditionalFormatting>
  <conditionalFormatting sqref="AV9:AW12">
    <cfRule type="containsText" dxfId="72"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42CF7B-DB69-4897-87CC-EB68D23866DA}">
          <x14:formula1>
            <xm:f>Fechas!$A$2:$A$831</xm:f>
          </x14:formula1>
          <xm:sqref>B4:B5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B09F-6F28-4B33-B739-6C593CD11970}">
  <sheetPr codeName="Hoja15"/>
  <dimension ref="A1:AW42"/>
  <sheetViews>
    <sheetView showGridLines="0" zoomScale="85" zoomScaleNormal="85" workbookViewId="0">
      <selection sqref="A1:E1"/>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28" width="17.7109375" style="5" bestFit="1" customWidth="1"/>
    <col min="29" max="29" width="18" style="5" bestFit="1" customWidth="1"/>
    <col min="30" max="30" width="22.140625" style="5" bestFit="1" customWidth="1"/>
    <col min="31" max="31" width="20" style="5" bestFit="1" customWidth="1"/>
    <col min="32" max="32" width="6.42578125" style="5" bestFit="1" customWidth="1"/>
    <col min="33" max="33" width="6.5703125" style="5" bestFit="1" customWidth="1"/>
    <col min="34" max="34" width="5" style="5" bestFit="1" customWidth="1"/>
    <col min="35" max="35" width="17.28515625" style="5" bestFit="1" customWidth="1"/>
    <col min="36" max="36" width="12.140625" style="5" bestFit="1" customWidth="1"/>
    <col min="37" max="37" width="15.85546875" style="5" bestFit="1" customWidth="1"/>
    <col min="38" max="38" width="17.42578125" style="5" bestFit="1" customWidth="1"/>
    <col min="39" max="39" width="7.42578125" style="5" bestFit="1" customWidth="1"/>
    <col min="40" max="40" width="10.42578125" style="5" bestFit="1" customWidth="1"/>
    <col min="41" max="41" width="24.5703125" style="5" bestFit="1" customWidth="1"/>
    <col min="42" max="42" width="12.140625" style="5" bestFit="1" customWidth="1"/>
    <col min="43" max="43" width="8" style="5" bestFit="1" customWidth="1"/>
    <col min="44" max="44" width="20.140625" style="5" bestFit="1" customWidth="1"/>
    <col min="45" max="45" width="13.7109375" style="5" bestFit="1" customWidth="1"/>
    <col min="46" max="46" width="17.5703125" style="5" bestFit="1" customWidth="1"/>
    <col min="47" max="47" width="15.85546875" style="5" bestFit="1" customWidth="1"/>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8048.78</v>
      </c>
      <c r="AR2" s="583" t="s">
        <v>378</v>
      </c>
      <c r="AS2" s="583">
        <v>1</v>
      </c>
      <c r="AT2" s="581" t="s">
        <v>379</v>
      </c>
      <c r="AU2" s="580" t="s">
        <v>400</v>
      </c>
      <c r="AV2" s="574" t="str">
        <f>+TEXT($B$4,"DD.MM.YYYY")</f>
        <v>03.09.2024</v>
      </c>
      <c r="AW2" s="574" t="str">
        <f>+TEXT($B$5,"DD.MM.YYYY")</f>
        <v>09.09.2024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8900.06</v>
      </c>
      <c r="AR3" s="602" t="s">
        <v>378</v>
      </c>
      <c r="AS3" s="602">
        <v>1</v>
      </c>
      <c r="AT3" s="604" t="s">
        <v>379</v>
      </c>
      <c r="AU3" s="605" t="s">
        <v>400</v>
      </c>
      <c r="AV3" s="574" t="str">
        <f>+TEXT($B$4,"DD.MM.YYYY")</f>
        <v>03.09.2024</v>
      </c>
      <c r="AW3" s="574" t="str">
        <f>+TEXT($B$5,"DD.MM.YYYY")</f>
        <v>09.09.2024</v>
      </c>
    </row>
    <row r="4" spans="1:49" ht="24.75" customHeight="1">
      <c r="A4" s="600" t="s">
        <v>426</v>
      </c>
      <c r="B4" s="599">
        <v>45538</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03.09.2024</v>
      </c>
      <c r="AW4" s="574" t="str">
        <f>+TEXT($B$5,"DD.MM.YYYY")</f>
        <v>09.09.2024</v>
      </c>
    </row>
    <row r="5" spans="1:49" ht="18.75">
      <c r="A5" s="579" t="s">
        <v>427</v>
      </c>
      <c r="B5" s="599">
        <v>45544</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9081.69</v>
      </c>
      <c r="AR5" s="583" t="s">
        <v>378</v>
      </c>
      <c r="AS5" s="583">
        <v>1</v>
      </c>
      <c r="AT5" s="581" t="s">
        <v>379</v>
      </c>
      <c r="AU5" s="580" t="s">
        <v>400</v>
      </c>
      <c r="AV5" s="574" t="str">
        <f>+TEXT($B$4,"DD.MM.YYYY")</f>
        <v>03.09.2024</v>
      </c>
      <c r="AW5" s="574" t="str">
        <f>+TEXT($B$5,"DD.MM.YYYY")</f>
        <v>09.09.2024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9167.711073399998</v>
      </c>
      <c r="C8" s="565">
        <f>+B8</f>
        <v>9167.711073399998</v>
      </c>
      <c r="D8" s="562">
        <v>9081.6910733999994</v>
      </c>
      <c r="E8" s="565">
        <f>+D8</f>
        <v>9081.6910733999994</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8134.8</v>
      </c>
      <c r="AR9" s="583" t="s">
        <v>378</v>
      </c>
      <c r="AS9" s="583">
        <v>1</v>
      </c>
      <c r="AT9" s="581" t="s">
        <v>379</v>
      </c>
      <c r="AU9" s="580" t="s">
        <v>400</v>
      </c>
      <c r="AV9" s="574" t="str">
        <f>+TEXT($B$4,"DD.MM.YYYY")</f>
        <v>03.09.2024</v>
      </c>
      <c r="AW9" s="574" t="str">
        <f>+TEXT($B$5,"DD.MM.YYYY")</f>
        <v>09.09.2024</v>
      </c>
    </row>
    <row r="10" spans="1:49" ht="35.450000000000003" customHeight="1">
      <c r="A10" s="248" t="s">
        <v>139</v>
      </c>
      <c r="B10" s="224">
        <f t="shared" ref="B10" si="0">+ROUND(B9*B6,2)+B8*(1-B6)</f>
        <v>9167.711073399998</v>
      </c>
      <c r="C10" s="224">
        <f>+ROUND(C9*C6,2)+C8*(1-C6)</f>
        <v>9381.0868519319974</v>
      </c>
      <c r="D10" s="224">
        <f t="shared" ref="D10:E10" si="1">+ROUND(D9*D6,2)+D8*(1-D6)</f>
        <v>9081.6910733999994</v>
      </c>
      <c r="E10" s="224">
        <f t="shared" si="1"/>
        <v>9296.787251931999</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8984.36</v>
      </c>
      <c r="AR10" s="602" t="s">
        <v>378</v>
      </c>
      <c r="AS10" s="602">
        <v>1</v>
      </c>
      <c r="AT10" s="604" t="s">
        <v>379</v>
      </c>
      <c r="AU10" s="605" t="s">
        <v>400</v>
      </c>
      <c r="AV10" s="574" t="str">
        <f>+TEXT($B$4,"DD.MM.YYYY")</f>
        <v>03.09.2024</v>
      </c>
      <c r="AW10" s="574" t="str">
        <f>+TEXT($B$5,"DD.MM.YYYY")</f>
        <v>09.09.2024</v>
      </c>
    </row>
    <row r="11" spans="1:49" ht="35.450000000000003" customHeight="1">
      <c r="A11" s="248" t="s">
        <v>415</v>
      </c>
      <c r="B11" s="570">
        <v>8134.8008605999985</v>
      </c>
      <c r="C11" s="224"/>
      <c r="D11" s="570">
        <v>8048.780860599999</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03.09.2024</v>
      </c>
      <c r="AW11" s="574" t="str">
        <f>+TEXT($B$5,"DD.MM.YYYY")</f>
        <v>09.09.2024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9167.7099999999991</v>
      </c>
      <c r="AR12" s="583" t="s">
        <v>378</v>
      </c>
      <c r="AS12" s="583">
        <v>1</v>
      </c>
      <c r="AT12" s="581" t="s">
        <v>379</v>
      </c>
      <c r="AU12" s="580" t="s">
        <v>400</v>
      </c>
      <c r="AV12" s="574" t="str">
        <f>+TEXT($B$4,"DD.MM.YYYY")</f>
        <v>03.09.2024</v>
      </c>
      <c r="AW12" s="574" t="str">
        <f>+TEXT($B$5,"DD.MM.YYYY")</f>
        <v>09.09.2024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wW5nwZOZXhffrQm5Ke4I1rXkkceYF7651/r45Ad9dUAJ/NWJbdmXN02keVkJh2e8+OgPDu7zeV67cYZtB0iIDA==" saltValue="Uv7nXbkF7J7aQ1gF+R+Fug=="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71" priority="5" operator="containsText" text="Seleccione...">
      <formula>NOT(ISERROR(SEARCH("Seleccione...",AV2)))</formula>
    </cfRule>
  </conditionalFormatting>
  <conditionalFormatting sqref="AV9:AW12">
    <cfRule type="containsText" dxfId="70"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2C8F28-43BD-4957-AABC-12F7D4885342}">
          <x14:formula1>
            <xm:f>Fechas!$A$2:$A$831</xm:f>
          </x14:formula1>
          <xm:sqref>B4:B5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C3AA-AAB8-40EE-A538-30CE6DD43947}">
  <sheetPr codeName="Hoja16"/>
  <dimension ref="A1:AW42"/>
  <sheetViews>
    <sheetView showGridLines="0" zoomScale="85" zoomScaleNormal="85" workbookViewId="0">
      <selection sqref="A1:E1"/>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28" width="17.7109375" style="5" bestFit="1" customWidth="1"/>
    <col min="29" max="29" width="18" style="5" bestFit="1" customWidth="1"/>
    <col min="30" max="30" width="22.140625" style="5" bestFit="1" customWidth="1"/>
    <col min="31" max="31" width="20" style="5" bestFit="1" customWidth="1"/>
    <col min="32" max="32" width="6.42578125" style="5" bestFit="1" customWidth="1"/>
    <col min="33" max="33" width="6.5703125" style="5" bestFit="1" customWidth="1"/>
    <col min="34" max="34" width="5" style="5" bestFit="1" customWidth="1"/>
    <col min="35" max="35" width="17.28515625" style="5" bestFit="1" customWidth="1"/>
    <col min="36" max="36" width="12.140625" style="5" bestFit="1" customWidth="1"/>
    <col min="37" max="37" width="15.85546875" style="5" bestFit="1" customWidth="1"/>
    <col min="38" max="38" width="17.42578125" style="5" bestFit="1" customWidth="1"/>
    <col min="39" max="39" width="7.42578125" style="5" bestFit="1" customWidth="1"/>
    <col min="40" max="40" width="10.42578125" style="5" bestFit="1" customWidth="1"/>
    <col min="41" max="41" width="24.5703125" style="5" bestFit="1" customWidth="1"/>
    <col min="42" max="42" width="12.140625" style="5" bestFit="1" customWidth="1"/>
    <col min="43" max="43" width="8" style="5" bestFit="1" customWidth="1"/>
    <col min="44" max="44" width="20.140625" style="5" bestFit="1" customWidth="1"/>
    <col min="45" max="45" width="13.7109375" style="5" bestFit="1" customWidth="1"/>
    <col min="46" max="46" width="17.5703125" style="5" bestFit="1" customWidth="1"/>
    <col min="47" max="47" width="15.85546875" style="5" bestFit="1" customWidth="1"/>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7631.69</v>
      </c>
      <c r="AR2" s="583" t="s">
        <v>378</v>
      </c>
      <c r="AS2" s="583">
        <v>1</v>
      </c>
      <c r="AT2" s="581" t="s">
        <v>379</v>
      </c>
      <c r="AU2" s="580" t="s">
        <v>400</v>
      </c>
      <c r="AV2" s="574" t="str">
        <f>+TEXT($B$4,"DD.MM.YYYY")</f>
        <v>10.09.2024</v>
      </c>
      <c r="AW2" s="574" t="str">
        <f>+TEXT($B$5,"DD.MM.YYYY")</f>
        <v>16.09.2024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8673.42</v>
      </c>
      <c r="AR3" s="602" t="s">
        <v>378</v>
      </c>
      <c r="AS3" s="602">
        <v>1</v>
      </c>
      <c r="AT3" s="604" t="s">
        <v>379</v>
      </c>
      <c r="AU3" s="605" t="s">
        <v>400</v>
      </c>
      <c r="AV3" s="574" t="str">
        <f>+TEXT($B$4,"DD.MM.YYYY")</f>
        <v>10.09.2024</v>
      </c>
      <c r="AW3" s="574" t="str">
        <f>+TEXT($B$5,"DD.MM.YYYY")</f>
        <v>16.09.2024</v>
      </c>
    </row>
    <row r="4" spans="1:49" ht="24.75" customHeight="1">
      <c r="A4" s="600" t="s">
        <v>426</v>
      </c>
      <c r="B4" s="599">
        <v>45545</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10.09.2024</v>
      </c>
      <c r="AW4" s="574" t="str">
        <f>+TEXT($B$5,"DD.MM.YYYY")</f>
        <v>16.09.2024</v>
      </c>
    </row>
    <row r="5" spans="1:49" ht="18.75">
      <c r="A5" s="579" t="s">
        <v>427</v>
      </c>
      <c r="B5" s="599">
        <v>45551</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8850.43</v>
      </c>
      <c r="AR5" s="583" t="s">
        <v>378</v>
      </c>
      <c r="AS5" s="583">
        <v>1</v>
      </c>
      <c r="AT5" s="581" t="s">
        <v>379</v>
      </c>
      <c r="AU5" s="580" t="s">
        <v>400</v>
      </c>
      <c r="AV5" s="574" t="str">
        <f>+TEXT($B$4,"DD.MM.YYYY")</f>
        <v>10.09.2024</v>
      </c>
      <c r="AW5" s="574" t="str">
        <f>+TEXT($B$5,"DD.MM.YYYY")</f>
        <v>16.09.2024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8936.4459901999999</v>
      </c>
      <c r="C8" s="565">
        <f>+B8</f>
        <v>8936.4459901999999</v>
      </c>
      <c r="D8" s="562">
        <v>8850.4259901999994</v>
      </c>
      <c r="E8" s="565">
        <f>+D8</f>
        <v>8850.4259901999994</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7717.71</v>
      </c>
      <c r="AR9" s="583" t="s">
        <v>378</v>
      </c>
      <c r="AS9" s="583">
        <v>1</v>
      </c>
      <c r="AT9" s="581" t="s">
        <v>379</v>
      </c>
      <c r="AU9" s="580" t="s">
        <v>400</v>
      </c>
      <c r="AV9" s="574" t="str">
        <f>+TEXT($B$4,"DD.MM.YYYY")</f>
        <v>10.09.2024</v>
      </c>
      <c r="AW9" s="574" t="str">
        <f>+TEXT($B$5,"DD.MM.YYYY")</f>
        <v>16.09.2024</v>
      </c>
    </row>
    <row r="10" spans="1:49" ht="35.450000000000003" customHeight="1">
      <c r="A10" s="248" t="s">
        <v>139</v>
      </c>
      <c r="B10" s="224">
        <f t="shared" ref="B10" si="0">+ROUND(B9*B6,2)+B8*(1-B6)</f>
        <v>8936.4459901999999</v>
      </c>
      <c r="C10" s="224">
        <f>+ROUND(C9*C6,2)+C8*(1-C6)</f>
        <v>9154.4470703959996</v>
      </c>
      <c r="D10" s="224">
        <f t="shared" ref="D10:E10" si="1">+ROUND(D9*D6,2)+D8*(1-D6)</f>
        <v>8850.4259901999994</v>
      </c>
      <c r="E10" s="224">
        <f t="shared" si="1"/>
        <v>9070.1474703959993</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8757.7199999999993</v>
      </c>
      <c r="AR10" s="602" t="s">
        <v>378</v>
      </c>
      <c r="AS10" s="602">
        <v>1</v>
      </c>
      <c r="AT10" s="604" t="s">
        <v>379</v>
      </c>
      <c r="AU10" s="605" t="s">
        <v>400</v>
      </c>
      <c r="AV10" s="574" t="str">
        <f>+TEXT($B$4,"DD.MM.YYYY")</f>
        <v>10.09.2024</v>
      </c>
      <c r="AW10" s="574" t="str">
        <f>+TEXT($B$5,"DD.MM.YYYY")</f>
        <v>16.09.2024</v>
      </c>
    </row>
    <row r="11" spans="1:49" ht="35.450000000000003" customHeight="1">
      <c r="A11" s="248" t="s">
        <v>415</v>
      </c>
      <c r="B11" s="570">
        <v>7717.7073432000007</v>
      </c>
      <c r="C11" s="224"/>
      <c r="D11" s="570">
        <v>7631.6873431999993</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10.09.2024</v>
      </c>
      <c r="AW11" s="574" t="str">
        <f>+TEXT($B$5,"DD.MM.YYYY")</f>
        <v>16.09.2024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8936.4500000000007</v>
      </c>
      <c r="AR12" s="583" t="s">
        <v>378</v>
      </c>
      <c r="AS12" s="583">
        <v>1</v>
      </c>
      <c r="AT12" s="581" t="s">
        <v>379</v>
      </c>
      <c r="AU12" s="580" t="s">
        <v>400</v>
      </c>
      <c r="AV12" s="574" t="str">
        <f>+TEXT($B$4,"DD.MM.YYYY")</f>
        <v>10.09.2024</v>
      </c>
      <c r="AW12" s="574" t="str">
        <f>+TEXT($B$5,"DD.MM.YYYY")</f>
        <v>16.09.2024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dOy54hU6u41QD+PEvY6p3Q94TcUq8Tn++zm+LWTZ9KwZle9deh+av9aaIa/Og24bunrr0A7OU+yeoE1wGtObXA==" saltValue="grM7ZGh2Q92H3yGYYXx4BQ=="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69" priority="5" operator="containsText" text="Seleccione...">
      <formula>NOT(ISERROR(SEARCH("Seleccione...",AV2)))</formula>
    </cfRule>
  </conditionalFormatting>
  <conditionalFormatting sqref="AV9:AW12">
    <cfRule type="containsText" dxfId="68"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289817-C380-4D7D-8A47-558C792F4B91}">
          <x14:formula1>
            <xm:f>Fechas!$A$2:$A$831</xm:f>
          </x14:formula1>
          <xm:sqref>B4:B5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751C5-41A8-4E4B-980B-863C73D04ED0}">
  <sheetPr codeName="Hoja17"/>
  <dimension ref="A1:AW42"/>
  <sheetViews>
    <sheetView showGridLines="0" zoomScale="85" zoomScaleNormal="85" workbookViewId="0">
      <selection sqref="A1:E1"/>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7551.32</v>
      </c>
      <c r="AR2" s="583" t="s">
        <v>378</v>
      </c>
      <c r="AS2" s="583">
        <v>1</v>
      </c>
      <c r="AT2" s="581" t="s">
        <v>379</v>
      </c>
      <c r="AU2" s="580" t="s">
        <v>400</v>
      </c>
      <c r="AV2" s="574" t="str">
        <f>+TEXT($B$4,"DD.MM.YYYY")</f>
        <v>17.09.2024</v>
      </c>
      <c r="AW2" s="574" t="str">
        <f>+TEXT($B$5,"DD.MM.YYYY")</f>
        <v>23.09.2024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8441.26</v>
      </c>
      <c r="AR3" s="602" t="s">
        <v>378</v>
      </c>
      <c r="AS3" s="602">
        <v>1</v>
      </c>
      <c r="AT3" s="604" t="s">
        <v>379</v>
      </c>
      <c r="AU3" s="605" t="s">
        <v>400</v>
      </c>
      <c r="AV3" s="574" t="str">
        <f>+TEXT($B$4,"DD.MM.YYYY")</f>
        <v>17.09.2024</v>
      </c>
      <c r="AW3" s="574" t="str">
        <f>+TEXT($B$5,"DD.MM.YYYY")</f>
        <v>23.09.2024</v>
      </c>
    </row>
    <row r="4" spans="1:49" ht="24.75" customHeight="1">
      <c r="A4" s="600" t="s">
        <v>426</v>
      </c>
      <c r="B4" s="599">
        <v>45552</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17.09.2024</v>
      </c>
      <c r="AW4" s="574" t="str">
        <f>+TEXT($B$5,"DD.MM.YYYY")</f>
        <v>23.09.2024</v>
      </c>
    </row>
    <row r="5" spans="1:49" ht="18.75">
      <c r="A5" s="579" t="s">
        <v>427</v>
      </c>
      <c r="B5" s="599">
        <v>45558</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8613.5300000000007</v>
      </c>
      <c r="AR5" s="583" t="s">
        <v>378</v>
      </c>
      <c r="AS5" s="583">
        <v>1</v>
      </c>
      <c r="AT5" s="581" t="s">
        <v>379</v>
      </c>
      <c r="AU5" s="580" t="s">
        <v>400</v>
      </c>
      <c r="AV5" s="574" t="str">
        <f>+TEXT($B$4,"DD.MM.YYYY")</f>
        <v>17.09.2024</v>
      </c>
      <c r="AW5" s="574" t="str">
        <f>+TEXT($B$5,"DD.MM.YYYY")</f>
        <v>23.09.2024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8699.5505171999994</v>
      </c>
      <c r="C8" s="565">
        <f>+B8</f>
        <v>8699.5505171999994</v>
      </c>
      <c r="D8" s="562">
        <v>8613.5305171999989</v>
      </c>
      <c r="E8" s="565">
        <f>+D8</f>
        <v>8613.5305171999989</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7637.34</v>
      </c>
      <c r="AR9" s="583" t="s">
        <v>378</v>
      </c>
      <c r="AS9" s="583">
        <v>1</v>
      </c>
      <c r="AT9" s="581" t="s">
        <v>379</v>
      </c>
      <c r="AU9" s="580" t="s">
        <v>400</v>
      </c>
      <c r="AV9" s="574" t="str">
        <f>+TEXT($B$4,"DD.MM.YYYY")</f>
        <v>17.09.2024</v>
      </c>
      <c r="AW9" s="574" t="str">
        <f>+TEXT($B$5,"DD.MM.YYYY")</f>
        <v>23.09.2024</v>
      </c>
    </row>
    <row r="10" spans="1:49" ht="35.450000000000003" customHeight="1">
      <c r="A10" s="248" t="s">
        <v>139</v>
      </c>
      <c r="B10" s="224">
        <f t="shared" ref="B10" si="0">+ROUND(B9*B6,2)+B8*(1-B6)</f>
        <v>8699.5505171999994</v>
      </c>
      <c r="C10" s="224">
        <f>+ROUND(C9*C6,2)+C8*(1-C6)</f>
        <v>8922.2895068559992</v>
      </c>
      <c r="D10" s="224">
        <f t="shared" ref="D10:E10" si="1">+ROUND(D9*D6,2)+D8*(1-D6)</f>
        <v>8613.5305171999989</v>
      </c>
      <c r="E10" s="224">
        <f t="shared" si="1"/>
        <v>8837.9899068559989</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8525.56</v>
      </c>
      <c r="AR10" s="602" t="s">
        <v>378</v>
      </c>
      <c r="AS10" s="602">
        <v>1</v>
      </c>
      <c r="AT10" s="604" t="s">
        <v>379</v>
      </c>
      <c r="AU10" s="605" t="s">
        <v>400</v>
      </c>
      <c r="AV10" s="574" t="str">
        <f>+TEXT($B$4,"DD.MM.YYYY")</f>
        <v>17.09.2024</v>
      </c>
      <c r="AW10" s="574" t="str">
        <f>+TEXT($B$5,"DD.MM.YYYY")</f>
        <v>23.09.2024</v>
      </c>
    </row>
    <row r="11" spans="1:49" ht="35.450000000000003" customHeight="1">
      <c r="A11" s="248" t="s">
        <v>415</v>
      </c>
      <c r="B11" s="570">
        <v>7637.3446362999994</v>
      </c>
      <c r="C11" s="224"/>
      <c r="D11" s="570">
        <v>7551.324636299998</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17.09.2024</v>
      </c>
      <c r="AW11" s="574" t="str">
        <f>+TEXT($B$5,"DD.MM.YYYY")</f>
        <v>23.09.2024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8699.5499999999993</v>
      </c>
      <c r="AR12" s="583" t="s">
        <v>378</v>
      </c>
      <c r="AS12" s="583">
        <v>1</v>
      </c>
      <c r="AT12" s="581" t="s">
        <v>379</v>
      </c>
      <c r="AU12" s="580" t="s">
        <v>400</v>
      </c>
      <c r="AV12" s="574" t="str">
        <f>+TEXT($B$4,"DD.MM.YYYY")</f>
        <v>17.09.2024</v>
      </c>
      <c r="AW12" s="574" t="str">
        <f>+TEXT($B$5,"DD.MM.YYYY")</f>
        <v>23.09.2024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FpeYGe2LyUJhU+FdlL6+aMGKQxOS8bsQoZD7XcvsrNZAjFqOzz5mbDAXHXnF0p04czPOwO1CnXn4vB7wcyBhkg==" saltValue="xbBq+s5h/T0gNgWUJt+YOA=="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67" priority="5" operator="containsText" text="Seleccione...">
      <formula>NOT(ISERROR(SEARCH("Seleccione...",AV2)))</formula>
    </cfRule>
  </conditionalFormatting>
  <conditionalFormatting sqref="AV9:AW12">
    <cfRule type="containsText" dxfId="66"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BE03A1-6106-4D2A-88FC-4D6EC0DF0A44}">
          <x14:formula1>
            <xm:f>Fechas!$A$2:$A$831</xm:f>
          </x14:formula1>
          <xm:sqref>B4:B5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B575-EDEA-4FB7-9D84-4A3737E1EE66}">
  <sheetPr codeName="Hoja18"/>
  <dimension ref="A1:AW42"/>
  <sheetViews>
    <sheetView showGridLines="0" zoomScale="85" zoomScaleNormal="85" workbookViewId="0">
      <selection sqref="A1:E1"/>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7816.26</v>
      </c>
      <c r="AR2" s="583" t="s">
        <v>378</v>
      </c>
      <c r="AS2" s="583">
        <v>1</v>
      </c>
      <c r="AT2" s="581" t="s">
        <v>379</v>
      </c>
      <c r="AU2" s="580" t="s">
        <v>400</v>
      </c>
      <c r="AV2" s="574" t="str">
        <f>+TEXT($B$4,"DD.MM.YYYY")</f>
        <v>24.09.2024</v>
      </c>
      <c r="AW2" s="574" t="str">
        <f>+TEXT($B$5,"DD.MM.YYYY")</f>
        <v>30.09.2024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8570.39</v>
      </c>
      <c r="AR3" s="602" t="s">
        <v>378</v>
      </c>
      <c r="AS3" s="602">
        <v>1</v>
      </c>
      <c r="AT3" s="604" t="s">
        <v>379</v>
      </c>
      <c r="AU3" s="605" t="s">
        <v>400</v>
      </c>
      <c r="AV3" s="574" t="str">
        <f>+TEXT($B$4,"DD.MM.YYYY")</f>
        <v>24.09.2024</v>
      </c>
      <c r="AW3" s="574" t="str">
        <f>+TEXT($B$5,"DD.MM.YYYY")</f>
        <v>30.09.2024</v>
      </c>
    </row>
    <row r="4" spans="1:49" ht="24.75" customHeight="1">
      <c r="A4" s="600" t="s">
        <v>426</v>
      </c>
      <c r="B4" s="599">
        <v>45559</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24.09.2024</v>
      </c>
      <c r="AW4" s="574" t="str">
        <f>+TEXT($B$5,"DD.MM.YYYY")</f>
        <v>30.09.2024</v>
      </c>
    </row>
    <row r="5" spans="1:49" ht="18.75">
      <c r="A5" s="579" t="s">
        <v>427</v>
      </c>
      <c r="B5" s="599">
        <v>45565</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8745.2900000000009</v>
      </c>
      <c r="AR5" s="583" t="s">
        <v>378</v>
      </c>
      <c r="AS5" s="583">
        <v>1</v>
      </c>
      <c r="AT5" s="581" t="s">
        <v>379</v>
      </c>
      <c r="AU5" s="580" t="s">
        <v>400</v>
      </c>
      <c r="AV5" s="574" t="str">
        <f>+TEXT($B$4,"DD.MM.YYYY")</f>
        <v>24.09.2024</v>
      </c>
      <c r="AW5" s="574" t="str">
        <f>+TEXT($B$5,"DD.MM.YYYY")</f>
        <v>30.09.2024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8831.3136699999995</v>
      </c>
      <c r="C8" s="565">
        <f>+B8</f>
        <v>8831.3136699999995</v>
      </c>
      <c r="D8" s="562">
        <v>8745.2936699999991</v>
      </c>
      <c r="E8" s="565">
        <f>+D8</f>
        <v>8745.2936699999991</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7902.28</v>
      </c>
      <c r="AR9" s="583" t="s">
        <v>378</v>
      </c>
      <c r="AS9" s="583">
        <v>1</v>
      </c>
      <c r="AT9" s="581" t="s">
        <v>379</v>
      </c>
      <c r="AU9" s="580" t="s">
        <v>400</v>
      </c>
      <c r="AV9" s="574" t="str">
        <f>+TEXT($B$4,"DD.MM.YYYY")</f>
        <v>24.09.2024</v>
      </c>
      <c r="AW9" s="574" t="str">
        <f>+TEXT($B$5,"DD.MM.YYYY")</f>
        <v>30.09.2024</v>
      </c>
    </row>
    <row r="10" spans="1:49" ht="35.450000000000003" customHeight="1">
      <c r="A10" s="248" t="s">
        <v>139</v>
      </c>
      <c r="B10" s="224">
        <f t="shared" ref="B10" si="0">+ROUND(B9*B6,2)+B8*(1-B6)</f>
        <v>8831.3136699999995</v>
      </c>
      <c r="C10" s="224">
        <f>+ROUND(C9*C6,2)+C8*(1-C6)</f>
        <v>9051.4173965999998</v>
      </c>
      <c r="D10" s="224">
        <f t="shared" ref="D10:E10" si="1">+ROUND(D9*D6,2)+D8*(1-D6)</f>
        <v>8745.2936699999991</v>
      </c>
      <c r="E10" s="224">
        <f t="shared" si="1"/>
        <v>8967.1177965999977</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8654.69</v>
      </c>
      <c r="AR10" s="602" t="s">
        <v>378</v>
      </c>
      <c r="AS10" s="602">
        <v>1</v>
      </c>
      <c r="AT10" s="604" t="s">
        <v>379</v>
      </c>
      <c r="AU10" s="605" t="s">
        <v>400</v>
      </c>
      <c r="AV10" s="574" t="str">
        <f>+TEXT($B$4,"DD.MM.YYYY")</f>
        <v>24.09.2024</v>
      </c>
      <c r="AW10" s="574" t="str">
        <f>+TEXT($B$5,"DD.MM.YYYY")</f>
        <v>30.09.2024</v>
      </c>
    </row>
    <row r="11" spans="1:49" ht="35.450000000000003" customHeight="1">
      <c r="A11" s="248" t="s">
        <v>415</v>
      </c>
      <c r="B11" s="570">
        <v>7902.2801250600005</v>
      </c>
      <c r="C11" s="224"/>
      <c r="D11" s="570">
        <v>7816.2601250600001</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24.09.2024</v>
      </c>
      <c r="AW11" s="574" t="str">
        <f>+TEXT($B$5,"DD.MM.YYYY")</f>
        <v>30.09.2024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8831.31</v>
      </c>
      <c r="AR12" s="583" t="s">
        <v>378</v>
      </c>
      <c r="AS12" s="583">
        <v>1</v>
      </c>
      <c r="AT12" s="581" t="s">
        <v>379</v>
      </c>
      <c r="AU12" s="580" t="s">
        <v>400</v>
      </c>
      <c r="AV12" s="574" t="str">
        <f>+TEXT($B$4,"DD.MM.YYYY")</f>
        <v>24.09.2024</v>
      </c>
      <c r="AW12" s="574" t="str">
        <f>+TEXT($B$5,"DD.MM.YYYY")</f>
        <v>30.09.2024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VZc5Wyy7F/F9PFIgaZPljVUxOGoDPSJqOW8aFK/UqzRyoRDvSRB7jRMRmkaeS81gfeStNEPCuW1wAoaFPWIMmA==" saltValue="dVDZMNXlJ3Bps6+iUoYRmw=="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65" priority="5" operator="containsText" text="Seleccione...">
      <formula>NOT(ISERROR(SEARCH("Seleccione...",AV2)))</formula>
    </cfRule>
  </conditionalFormatting>
  <conditionalFormatting sqref="AV9:AW12">
    <cfRule type="containsText" dxfId="64"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B55046-9AD1-4D4A-B3E7-F5932FBC2512}">
          <x14:formula1>
            <xm:f>Fechas!$A$2:$A$831</xm:f>
          </x14:formula1>
          <xm:sqref>B4:B5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17">
    <tabColor rgb="FFFF0000"/>
  </sheetPr>
  <dimension ref="A1:IB178"/>
  <sheetViews>
    <sheetView workbookViewId="0">
      <selection activeCell="C20" sqref="C20"/>
    </sheetView>
  </sheetViews>
  <sheetFormatPr baseColWidth="10" defaultColWidth="10.85546875" defaultRowHeight="12.75"/>
  <cols>
    <col min="1" max="1" width="6.28515625" style="118" customWidth="1"/>
    <col min="2" max="2" width="37.7109375" style="118" customWidth="1"/>
    <col min="3" max="3" width="9" style="118" hidden="1" customWidth="1"/>
    <col min="4" max="4" width="7.28515625" style="118" hidden="1" customWidth="1"/>
    <col min="5" max="5" width="11.7109375" style="118" hidden="1" customWidth="1"/>
    <col min="6" max="7" width="8.7109375" style="118" hidden="1" customWidth="1"/>
    <col min="8" max="8" width="9.85546875" style="118" hidden="1" customWidth="1"/>
    <col min="9" max="9" width="11.28515625" style="118" hidden="1" customWidth="1"/>
    <col min="10" max="10" width="9" style="118" hidden="1" customWidth="1"/>
    <col min="11" max="11" width="9.28515625" style="118" hidden="1" customWidth="1"/>
    <col min="12" max="12" width="12.28515625" style="118" hidden="1" customWidth="1"/>
    <col min="13" max="14" width="11.28515625" style="118" hidden="1" customWidth="1"/>
    <col min="15" max="15" width="15.28515625" style="118" hidden="1" customWidth="1"/>
    <col min="16" max="17" width="11.28515625" style="118" hidden="1" customWidth="1"/>
    <col min="18" max="28" width="11.28515625" style="117" hidden="1" customWidth="1"/>
    <col min="29" max="30" width="10.85546875" style="117" hidden="1" customWidth="1"/>
    <col min="31" max="32" width="10.85546875" style="118" hidden="1" customWidth="1"/>
    <col min="33" max="35" width="10.85546875" style="118" customWidth="1"/>
    <col min="36" max="38" width="10.85546875" style="118"/>
    <col min="39" max="39" width="36.140625" style="118" bestFit="1" customWidth="1"/>
    <col min="40" max="42" width="10.85546875" style="118"/>
    <col min="43" max="43" width="36.140625" style="118" bestFit="1" customWidth="1"/>
    <col min="44" max="16384" width="10.85546875" style="118"/>
  </cols>
  <sheetData>
    <row r="1" spans="1:61" ht="15.75" thickBot="1">
      <c r="A1" s="114"/>
      <c r="B1" s="115"/>
      <c r="C1" s="115"/>
      <c r="D1" s="115"/>
      <c r="E1" s="115"/>
      <c r="F1" s="115"/>
      <c r="G1" s="115"/>
      <c r="H1" s="115"/>
      <c r="I1" s="116"/>
      <c r="J1" s="116"/>
      <c r="K1" s="117"/>
      <c r="L1" s="117"/>
      <c r="M1" s="117"/>
      <c r="N1" s="117"/>
      <c r="O1" s="117"/>
      <c r="P1" s="117"/>
      <c r="Q1" s="117"/>
      <c r="AA1" s="694" t="s">
        <v>48</v>
      </c>
      <c r="AB1" s="694"/>
      <c r="AC1" s="694"/>
      <c r="AD1" s="694" t="s">
        <v>49</v>
      </c>
      <c r="AE1" s="694"/>
      <c r="AF1" s="694"/>
      <c r="AG1" s="694" t="s">
        <v>142</v>
      </c>
      <c r="AH1" s="694"/>
      <c r="AI1" s="694"/>
      <c r="AJ1" s="694" t="s">
        <v>153</v>
      </c>
      <c r="AK1" s="694"/>
      <c r="AL1" s="694"/>
      <c r="AM1" s="115"/>
      <c r="AN1" s="696" t="s">
        <v>214</v>
      </c>
      <c r="AO1" s="696"/>
      <c r="AP1" s="696"/>
      <c r="AQ1" s="115"/>
      <c r="AR1" s="675" t="s">
        <v>229</v>
      </c>
      <c r="AS1" s="676"/>
      <c r="AT1" s="677"/>
      <c r="AU1" s="675" t="s">
        <v>231</v>
      </c>
      <c r="AV1" s="676"/>
      <c r="AW1" s="677"/>
      <c r="AX1" s="675" t="s">
        <v>234</v>
      </c>
      <c r="AY1" s="676"/>
      <c r="AZ1" s="677"/>
      <c r="BA1" s="675" t="s">
        <v>239</v>
      </c>
      <c r="BB1" s="676"/>
      <c r="BC1" s="677"/>
      <c r="BD1" s="675" t="s">
        <v>250</v>
      </c>
      <c r="BE1" s="676"/>
      <c r="BF1" s="677"/>
      <c r="BG1" s="675" t="s">
        <v>251</v>
      </c>
      <c r="BH1" s="676"/>
      <c r="BI1" s="677"/>
    </row>
    <row r="2" spans="1:61" ht="15" customHeight="1">
      <c r="A2" s="689" t="s">
        <v>50</v>
      </c>
      <c r="B2" s="690"/>
      <c r="C2" s="119"/>
      <c r="D2" s="119"/>
      <c r="E2" s="119"/>
      <c r="F2" s="119"/>
      <c r="G2" s="119"/>
      <c r="H2" s="119"/>
      <c r="I2" s="119"/>
      <c r="J2" s="119"/>
      <c r="K2" s="119"/>
      <c r="L2" s="119"/>
      <c r="M2" s="119"/>
      <c r="N2" s="119"/>
      <c r="O2" s="119"/>
      <c r="P2" s="119"/>
      <c r="Q2" s="119"/>
      <c r="R2" s="120"/>
      <c r="S2" s="120"/>
      <c r="T2" s="120"/>
      <c r="U2" s="121"/>
      <c r="V2" s="122" t="s">
        <v>51</v>
      </c>
      <c r="W2" s="123">
        <v>0.04</v>
      </c>
      <c r="X2" s="121"/>
      <c r="Y2" s="124" t="s">
        <v>52</v>
      </c>
      <c r="Z2" s="123">
        <v>0.04</v>
      </c>
      <c r="AA2" s="121" t="s">
        <v>53</v>
      </c>
      <c r="AB2" s="124"/>
      <c r="AC2" s="123">
        <v>0.05</v>
      </c>
      <c r="AD2" s="121" t="s">
        <v>53</v>
      </c>
      <c r="AE2" s="124"/>
      <c r="AF2" s="123">
        <v>0.03</v>
      </c>
      <c r="AG2" s="121" t="s">
        <v>53</v>
      </c>
      <c r="AH2" s="124"/>
      <c r="AI2" s="123">
        <v>0.03</v>
      </c>
      <c r="AJ2" s="121" t="s">
        <v>53</v>
      </c>
      <c r="AK2" s="124"/>
      <c r="AL2" s="123">
        <v>0.03</v>
      </c>
      <c r="AM2" s="267"/>
      <c r="AN2" s="697" t="s">
        <v>53</v>
      </c>
      <c r="AO2" s="698"/>
      <c r="AP2" s="701">
        <v>0.03</v>
      </c>
      <c r="AQ2" s="295"/>
      <c r="AR2" s="678" t="s">
        <v>53</v>
      </c>
      <c r="AS2" s="679"/>
      <c r="AT2" s="682">
        <v>0.03</v>
      </c>
      <c r="AU2" s="678" t="s">
        <v>53</v>
      </c>
      <c r="AV2" s="679"/>
      <c r="AW2" s="682">
        <v>0.03</v>
      </c>
      <c r="AX2" s="678" t="s">
        <v>53</v>
      </c>
      <c r="AY2" s="679"/>
      <c r="AZ2" s="682">
        <v>0.03</v>
      </c>
      <c r="BA2" s="678" t="s">
        <v>53</v>
      </c>
      <c r="BB2" s="679"/>
      <c r="BC2" s="682">
        <v>0.03</v>
      </c>
      <c r="BD2" s="678" t="s">
        <v>53</v>
      </c>
      <c r="BE2" s="679"/>
      <c r="BF2" s="682">
        <v>0.03</v>
      </c>
      <c r="BG2" s="678" t="s">
        <v>53</v>
      </c>
      <c r="BH2" s="679"/>
      <c r="BI2" s="682">
        <v>0.03</v>
      </c>
    </row>
    <row r="3" spans="1:61" ht="55.7" customHeight="1" thickBot="1">
      <c r="A3" s="691"/>
      <c r="B3" s="692"/>
      <c r="C3" s="686" t="s">
        <v>54</v>
      </c>
      <c r="D3" s="687"/>
      <c r="E3" s="688"/>
      <c r="F3" s="686" t="s">
        <v>55</v>
      </c>
      <c r="G3" s="687"/>
      <c r="H3" s="688"/>
      <c r="I3" s="686" t="s">
        <v>56</v>
      </c>
      <c r="J3" s="687"/>
      <c r="K3" s="688"/>
      <c r="L3" s="686" t="s">
        <v>57</v>
      </c>
      <c r="M3" s="687"/>
      <c r="N3" s="688"/>
      <c r="O3" s="686" t="s">
        <v>58</v>
      </c>
      <c r="P3" s="687"/>
      <c r="Q3" s="688"/>
      <c r="R3" s="686" t="s">
        <v>59</v>
      </c>
      <c r="S3" s="687"/>
      <c r="T3" s="688"/>
      <c r="U3" s="686" t="s">
        <v>60</v>
      </c>
      <c r="V3" s="687"/>
      <c r="W3" s="688"/>
      <c r="X3" s="686" t="s">
        <v>61</v>
      </c>
      <c r="Y3" s="687"/>
      <c r="Z3" s="688"/>
      <c r="AA3" s="686"/>
      <c r="AB3" s="687"/>
      <c r="AC3" s="688"/>
      <c r="AD3" s="686"/>
      <c r="AE3" s="687"/>
      <c r="AF3" s="688"/>
      <c r="AG3" s="686"/>
      <c r="AH3" s="687"/>
      <c r="AI3" s="688"/>
      <c r="AJ3" s="686"/>
      <c r="AK3" s="687"/>
      <c r="AL3" s="688"/>
      <c r="AM3" s="268"/>
      <c r="AN3" s="699"/>
      <c r="AO3" s="700"/>
      <c r="AP3" s="702"/>
      <c r="AQ3" s="296"/>
      <c r="AR3" s="680"/>
      <c r="AS3" s="681"/>
      <c r="AT3" s="683"/>
      <c r="AU3" s="680"/>
      <c r="AV3" s="681"/>
      <c r="AW3" s="683"/>
      <c r="AX3" s="680"/>
      <c r="AY3" s="681"/>
      <c r="AZ3" s="683"/>
      <c r="BA3" s="680"/>
      <c r="BB3" s="681"/>
      <c r="BC3" s="683"/>
      <c r="BD3" s="680"/>
      <c r="BE3" s="681"/>
      <c r="BF3" s="683"/>
      <c r="BG3" s="680"/>
      <c r="BH3" s="681"/>
      <c r="BI3" s="683"/>
    </row>
    <row r="4" spans="1:61" ht="48.75" thickBot="1">
      <c r="A4" s="125"/>
      <c r="B4" s="126"/>
      <c r="C4" s="127" t="s">
        <v>62</v>
      </c>
      <c r="D4" s="127" t="s">
        <v>63</v>
      </c>
      <c r="E4" s="127" t="s">
        <v>64</v>
      </c>
      <c r="F4" s="128" t="s">
        <v>65</v>
      </c>
      <c r="G4" s="128" t="s">
        <v>63</v>
      </c>
      <c r="H4" s="128" t="s">
        <v>64</v>
      </c>
      <c r="I4" s="128" t="s">
        <v>66</v>
      </c>
      <c r="J4" s="128" t="s">
        <v>63</v>
      </c>
      <c r="K4" s="128" t="s">
        <v>64</v>
      </c>
      <c r="L4" s="128" t="s">
        <v>67</v>
      </c>
      <c r="M4" s="128" t="s">
        <v>63</v>
      </c>
      <c r="N4" s="128" t="s">
        <v>64</v>
      </c>
      <c r="O4" s="128" t="s">
        <v>67</v>
      </c>
      <c r="P4" s="128" t="s">
        <v>63</v>
      </c>
      <c r="Q4" s="128" t="s">
        <v>64</v>
      </c>
      <c r="R4" s="128" t="s">
        <v>67</v>
      </c>
      <c r="S4" s="128" t="s">
        <v>63</v>
      </c>
      <c r="T4" s="128" t="s">
        <v>64</v>
      </c>
      <c r="U4" s="128" t="s">
        <v>68</v>
      </c>
      <c r="V4" s="128" t="s">
        <v>63</v>
      </c>
      <c r="W4" s="128" t="s">
        <v>64</v>
      </c>
      <c r="X4" s="128" t="s">
        <v>68</v>
      </c>
      <c r="Y4" s="128" t="s">
        <v>63</v>
      </c>
      <c r="Z4" s="128" t="s">
        <v>64</v>
      </c>
      <c r="AA4" s="128" t="s">
        <v>68</v>
      </c>
      <c r="AB4" s="128" t="s">
        <v>63</v>
      </c>
      <c r="AC4" s="128" t="s">
        <v>64</v>
      </c>
      <c r="AD4" s="128" t="s">
        <v>69</v>
      </c>
      <c r="AE4" s="129" t="s">
        <v>63</v>
      </c>
      <c r="AF4" s="128" t="s">
        <v>64</v>
      </c>
      <c r="AG4" s="128" t="s">
        <v>154</v>
      </c>
      <c r="AH4" s="129" t="s">
        <v>63</v>
      </c>
      <c r="AI4" s="128" t="s">
        <v>64</v>
      </c>
      <c r="AJ4" s="128" t="s">
        <v>166</v>
      </c>
      <c r="AK4" s="129" t="s">
        <v>63</v>
      </c>
      <c r="AL4" s="128" t="s">
        <v>64</v>
      </c>
      <c r="AM4" s="269"/>
      <c r="AN4" s="270" t="s">
        <v>215</v>
      </c>
      <c r="AO4" s="270" t="s">
        <v>63</v>
      </c>
      <c r="AP4" s="270" t="s">
        <v>64</v>
      </c>
      <c r="AQ4" s="297"/>
      <c r="AR4" s="298" t="s">
        <v>215</v>
      </c>
      <c r="AS4" s="298" t="s">
        <v>63</v>
      </c>
      <c r="AT4" s="298" t="s">
        <v>64</v>
      </c>
      <c r="AU4" s="298" t="s">
        <v>215</v>
      </c>
      <c r="AV4" s="298" t="s">
        <v>63</v>
      </c>
      <c r="AW4" s="298" t="s">
        <v>64</v>
      </c>
      <c r="AX4" s="298" t="s">
        <v>215</v>
      </c>
      <c r="AY4" s="298" t="s">
        <v>63</v>
      </c>
      <c r="AZ4" s="298" t="s">
        <v>64</v>
      </c>
      <c r="BA4" s="298" t="s">
        <v>215</v>
      </c>
      <c r="BB4" s="298" t="s">
        <v>63</v>
      </c>
      <c r="BC4" s="298" t="s">
        <v>64</v>
      </c>
      <c r="BD4" s="298" t="s">
        <v>215</v>
      </c>
      <c r="BE4" s="298" t="s">
        <v>63</v>
      </c>
      <c r="BF4" s="298" t="s">
        <v>64</v>
      </c>
      <c r="BG4" s="298" t="s">
        <v>215</v>
      </c>
      <c r="BH4" s="298" t="s">
        <v>63</v>
      </c>
      <c r="BI4" s="298" t="s">
        <v>64</v>
      </c>
    </row>
    <row r="5" spans="1:61" ht="15">
      <c r="A5" s="130"/>
      <c r="B5" s="80" t="s">
        <v>70</v>
      </c>
      <c r="C5" s="84">
        <v>12</v>
      </c>
      <c r="D5" s="85">
        <v>12</v>
      </c>
      <c r="E5" s="86">
        <v>504</v>
      </c>
      <c r="F5" s="87">
        <v>34</v>
      </c>
      <c r="G5" s="85">
        <v>34</v>
      </c>
      <c r="H5" s="86">
        <v>1428</v>
      </c>
      <c r="I5" s="85">
        <v>35.869999999999997</v>
      </c>
      <c r="J5" s="85">
        <v>35.869999999999997</v>
      </c>
      <c r="K5" s="86">
        <v>1506.54</v>
      </c>
      <c r="L5" s="85">
        <v>37.663499999999999</v>
      </c>
      <c r="M5" s="85">
        <v>37.663499999999999</v>
      </c>
      <c r="N5" s="86">
        <v>1581.867</v>
      </c>
      <c r="O5" s="85">
        <v>39.358357499999997</v>
      </c>
      <c r="P5" s="85">
        <v>39.358357499999997</v>
      </c>
      <c r="Q5" s="86">
        <v>1653.0510149999998</v>
      </c>
      <c r="R5" s="85">
        <v>39.358357499999997</v>
      </c>
      <c r="S5" s="85">
        <v>39.358357499999997</v>
      </c>
      <c r="T5" s="86">
        <v>1653.0510149999998</v>
      </c>
      <c r="U5" s="85">
        <v>40.932691800000001</v>
      </c>
      <c r="V5" s="85">
        <v>40.932691800000001</v>
      </c>
      <c r="W5" s="86">
        <v>1719.1730556</v>
      </c>
      <c r="X5" s="85"/>
      <c r="Y5" s="85"/>
      <c r="Z5" s="86"/>
      <c r="AA5" s="85"/>
      <c r="AB5" s="85"/>
      <c r="AC5" s="86"/>
      <c r="AD5" s="85"/>
      <c r="AE5" s="89"/>
      <c r="AF5" s="86"/>
      <c r="AG5" s="85"/>
      <c r="AH5" s="89"/>
      <c r="AI5" s="86"/>
      <c r="AJ5" s="85"/>
      <c r="AK5" s="89"/>
      <c r="AL5" s="86"/>
      <c r="AM5" s="80" t="s">
        <v>70</v>
      </c>
      <c r="AN5" s="85"/>
      <c r="AO5" s="89"/>
      <c r="AP5" s="86"/>
      <c r="AQ5" s="80" t="s">
        <v>70</v>
      </c>
      <c r="AR5" s="85"/>
      <c r="AS5" s="89"/>
      <c r="AT5" s="86"/>
      <c r="AU5" s="85"/>
      <c r="AV5" s="89"/>
      <c r="AW5" s="86"/>
      <c r="AX5" s="85"/>
      <c r="AY5" s="89"/>
      <c r="AZ5" s="86"/>
      <c r="BA5" s="85"/>
      <c r="BB5" s="89"/>
      <c r="BC5" s="86"/>
      <c r="BD5" s="85"/>
      <c r="BE5" s="89"/>
      <c r="BF5" s="86"/>
      <c r="BG5" s="85"/>
      <c r="BH5" s="89"/>
      <c r="BI5" s="86"/>
    </row>
    <row r="6" spans="1:61" ht="15" thickBot="1">
      <c r="A6" s="90">
        <v>420</v>
      </c>
      <c r="B6" s="81" t="s">
        <v>71</v>
      </c>
      <c r="C6" s="91">
        <v>15</v>
      </c>
      <c r="D6" s="92">
        <v>15</v>
      </c>
      <c r="E6" s="93">
        <v>630</v>
      </c>
      <c r="F6" s="94">
        <v>34</v>
      </c>
      <c r="G6" s="92">
        <v>34</v>
      </c>
      <c r="H6" s="93">
        <v>1428</v>
      </c>
      <c r="I6" s="92">
        <v>35.869999999999997</v>
      </c>
      <c r="J6" s="92">
        <v>35.869999999999997</v>
      </c>
      <c r="K6" s="93">
        <v>1506.54</v>
      </c>
      <c r="L6" s="92">
        <v>37.663499999999999</v>
      </c>
      <c r="M6" s="92">
        <v>37.663499999999999</v>
      </c>
      <c r="N6" s="93">
        <v>1581.867</v>
      </c>
      <c r="O6" s="92">
        <v>39.358357499999997</v>
      </c>
      <c r="P6" s="92">
        <v>39.358357499999997</v>
      </c>
      <c r="Q6" s="93">
        <v>1653.0510149999998</v>
      </c>
      <c r="R6" s="92">
        <v>39.358357499999997</v>
      </c>
      <c r="S6" s="92">
        <v>39.358357499999997</v>
      </c>
      <c r="T6" s="93">
        <v>1653.0510149999998</v>
      </c>
      <c r="U6" s="92">
        <v>40.932691800000001</v>
      </c>
      <c r="V6" s="92">
        <v>40.932691800000001</v>
      </c>
      <c r="W6" s="93">
        <v>1719.1730556</v>
      </c>
      <c r="X6" s="92"/>
      <c r="Y6" s="92"/>
      <c r="Z6" s="93"/>
      <c r="AA6" s="92"/>
      <c r="AB6" s="92"/>
      <c r="AC6" s="93"/>
      <c r="AD6" s="92"/>
      <c r="AE6" s="96"/>
      <c r="AF6" s="93"/>
      <c r="AG6" s="92"/>
      <c r="AH6" s="96"/>
      <c r="AI6" s="93"/>
      <c r="AJ6" s="92"/>
      <c r="AK6" s="96"/>
      <c r="AL6" s="93"/>
      <c r="AM6" s="81" t="s">
        <v>71</v>
      </c>
      <c r="AN6" s="92"/>
      <c r="AO6" s="96"/>
      <c r="AP6" s="93"/>
      <c r="AQ6" s="81" t="s">
        <v>71</v>
      </c>
      <c r="AR6" s="92"/>
      <c r="AS6" s="96"/>
      <c r="AT6" s="93"/>
      <c r="AU6" s="92"/>
      <c r="AV6" s="96"/>
      <c r="AW6" s="93"/>
      <c r="AX6" s="92"/>
      <c r="AY6" s="96"/>
      <c r="AZ6" s="93"/>
      <c r="BA6" s="92"/>
      <c r="BB6" s="96"/>
      <c r="BC6" s="93"/>
      <c r="BD6" s="92"/>
      <c r="BE6" s="96"/>
      <c r="BF6" s="93"/>
      <c r="BG6" s="92"/>
      <c r="BH6" s="96"/>
      <c r="BI6" s="93"/>
    </row>
    <row r="7" spans="1:61" ht="14.25">
      <c r="A7" s="90"/>
      <c r="B7" s="131" t="s">
        <v>72</v>
      </c>
      <c r="C7" s="91"/>
      <c r="D7" s="92"/>
      <c r="E7" s="93"/>
      <c r="F7" s="94"/>
      <c r="G7" s="92"/>
      <c r="H7" s="93"/>
      <c r="I7" s="92"/>
      <c r="J7" s="92"/>
      <c r="K7" s="93"/>
      <c r="L7" s="92"/>
      <c r="M7" s="92"/>
      <c r="N7" s="93"/>
      <c r="O7" s="92"/>
      <c r="P7" s="92"/>
      <c r="Q7" s="93"/>
      <c r="R7" s="92"/>
      <c r="S7" s="92"/>
      <c r="T7" s="93"/>
      <c r="U7" s="92">
        <v>56.7</v>
      </c>
      <c r="V7" s="92">
        <v>56.7</v>
      </c>
      <c r="W7" s="93">
        <v>2381.4</v>
      </c>
      <c r="X7" s="92">
        <v>58.968000000000004</v>
      </c>
      <c r="Y7" s="92">
        <v>58.968000000000004</v>
      </c>
      <c r="Z7" s="93">
        <v>2476.6559999999999</v>
      </c>
      <c r="AA7" s="92">
        <v>61.916400000000003</v>
      </c>
      <c r="AB7" s="92">
        <v>61.916400000000003</v>
      </c>
      <c r="AC7" s="93">
        <v>2600.4888000000001</v>
      </c>
      <c r="AD7" s="92">
        <v>63.78</v>
      </c>
      <c r="AE7" s="96">
        <v>63.78</v>
      </c>
      <c r="AF7" s="93">
        <f>AE7*42</f>
        <v>2678.76</v>
      </c>
      <c r="AG7" s="92">
        <f>AD7*(1+$AI$2)</f>
        <v>65.693399999999997</v>
      </c>
      <c r="AH7" s="96">
        <f>AE7*(1+$AI$2)</f>
        <v>65.693399999999997</v>
      </c>
      <c r="AI7" s="93">
        <f>AH7*42</f>
        <v>2759.1228000000001</v>
      </c>
      <c r="AJ7" s="92">
        <f>AG7*(1+$AI$2)</f>
        <v>67.664202000000003</v>
      </c>
      <c r="AK7" s="96">
        <f>AH7*(1+$AI$2)</f>
        <v>67.664202000000003</v>
      </c>
      <c r="AL7" s="93">
        <f>AK7*42</f>
        <v>2841.8964840000003</v>
      </c>
      <c r="AM7" s="253" t="s">
        <v>72</v>
      </c>
      <c r="AN7" s="271">
        <v>69.694128060000011</v>
      </c>
      <c r="AO7" s="272">
        <v>69.694128060000011</v>
      </c>
      <c r="AP7" s="273">
        <v>2927.1533785200004</v>
      </c>
      <c r="AQ7" s="253" t="s">
        <v>72</v>
      </c>
      <c r="AR7" s="271">
        <f>AN7*(1+$AT$2)</f>
        <v>71.784951901800014</v>
      </c>
      <c r="AS7" s="272">
        <f>AO7*(1+$AT$2)</f>
        <v>71.784951901800014</v>
      </c>
      <c r="AT7" s="273">
        <f>AP7*(1+$AT$2)</f>
        <v>3014.9679798756006</v>
      </c>
      <c r="AU7" s="271">
        <f>AR7*(1+$AW$2)</f>
        <v>73.938500458854023</v>
      </c>
      <c r="AV7" s="272">
        <f>AS7*(1+$AW$2)</f>
        <v>73.938500458854023</v>
      </c>
      <c r="AW7" s="273">
        <f>AT7*(1+$AW$2)</f>
        <v>3105.4170192718689</v>
      </c>
      <c r="AX7" s="271">
        <f>AU7*(1+$AZ$2)</f>
        <v>76.156655472619647</v>
      </c>
      <c r="AY7" s="272">
        <f>AV7*(1+$AZ$2)</f>
        <v>76.156655472619647</v>
      </c>
      <c r="AZ7" s="273">
        <f>AW7*(1+$AZ$2)</f>
        <v>3198.5795298500252</v>
      </c>
      <c r="BA7" s="271">
        <f>AX7*(1+$BC$2)</f>
        <v>78.441355136798236</v>
      </c>
      <c r="BB7" s="272">
        <f t="shared" ref="BB7:BB38" si="0">AY7*(1+$BC$2)</f>
        <v>78.441355136798236</v>
      </c>
      <c r="BC7" s="273">
        <f t="shared" ref="BC7:BC38" si="1">AZ7*(1+$BC$2)</f>
        <v>3294.5369157455261</v>
      </c>
      <c r="BD7" s="271">
        <f t="shared" ref="BD7:BD38" si="2">BA7*(1+$BF$2)</f>
        <v>80.794595790902179</v>
      </c>
      <c r="BE7" s="272">
        <f t="shared" ref="BE7:BE38" si="3">BB7*(1+$BF$2)</f>
        <v>80.794595790902179</v>
      </c>
      <c r="BF7" s="273">
        <f t="shared" ref="BF7:BF38" si="4">BC7*(1+$BF$2)</f>
        <v>3393.3730232178918</v>
      </c>
      <c r="BG7" s="271">
        <f t="shared" ref="BG7:BG61" si="5">BD7*(1+$BF$2)</f>
        <v>83.218433664629245</v>
      </c>
      <c r="BH7" s="272">
        <f t="shared" ref="BH7:BH61" si="6">BE7*(1+$BF$2)</f>
        <v>83.218433664629245</v>
      </c>
      <c r="BI7" s="273">
        <f t="shared" ref="BI7:BI61" si="7">BF7*(1+$BF$2)</f>
        <v>3495.1742139144285</v>
      </c>
    </row>
    <row r="8" spans="1:61" ht="14.25">
      <c r="A8" s="90"/>
      <c r="B8" s="132" t="s">
        <v>73</v>
      </c>
      <c r="C8" s="91"/>
      <c r="D8" s="92"/>
      <c r="E8" s="93"/>
      <c r="F8" s="94"/>
      <c r="G8" s="92"/>
      <c r="H8" s="93"/>
      <c r="I8" s="92"/>
      <c r="J8" s="92"/>
      <c r="K8" s="93"/>
      <c r="L8" s="92"/>
      <c r="M8" s="92"/>
      <c r="N8" s="93"/>
      <c r="O8" s="92"/>
      <c r="P8" s="92"/>
      <c r="Q8" s="93"/>
      <c r="R8" s="92"/>
      <c r="S8" s="92"/>
      <c r="T8" s="93"/>
      <c r="U8" s="92">
        <v>56.7</v>
      </c>
      <c r="V8" s="92">
        <v>56.7</v>
      </c>
      <c r="W8" s="93">
        <v>2381.4</v>
      </c>
      <c r="X8" s="92">
        <v>58.968000000000004</v>
      </c>
      <c r="Y8" s="92">
        <v>58.968000000000004</v>
      </c>
      <c r="Z8" s="93">
        <v>2476.6559999999999</v>
      </c>
      <c r="AA8" s="92">
        <v>61.916400000000003</v>
      </c>
      <c r="AB8" s="92">
        <v>61.916400000000003</v>
      </c>
      <c r="AC8" s="93">
        <v>2600.4888000000001</v>
      </c>
      <c r="AD8" s="92">
        <v>63.78</v>
      </c>
      <c r="AE8" s="96">
        <v>63.78</v>
      </c>
      <c r="AF8" s="93">
        <f>AE8*42</f>
        <v>2678.76</v>
      </c>
      <c r="AG8" s="92">
        <f t="shared" ref="AG8:AH47" si="8">AD8*(1+$AI$2)</f>
        <v>65.693399999999997</v>
      </c>
      <c r="AH8" s="96">
        <f t="shared" si="8"/>
        <v>65.693399999999997</v>
      </c>
      <c r="AI8" s="93">
        <f>AH8*42</f>
        <v>2759.1228000000001</v>
      </c>
      <c r="AJ8" s="92">
        <f t="shared" ref="AJ8:AK20" si="9">AG8*(1+$AI$2)</f>
        <v>67.664202000000003</v>
      </c>
      <c r="AK8" s="96">
        <f t="shared" si="9"/>
        <v>67.664202000000003</v>
      </c>
      <c r="AL8" s="93">
        <f>AK8*42</f>
        <v>2841.8964840000003</v>
      </c>
      <c r="AM8" s="254" t="s">
        <v>73</v>
      </c>
      <c r="AN8" s="274">
        <v>69.694128060000011</v>
      </c>
      <c r="AO8" s="275">
        <v>69.694128060000011</v>
      </c>
      <c r="AP8" s="276">
        <v>2927.1533785200004</v>
      </c>
      <c r="AQ8" s="254" t="s">
        <v>73</v>
      </c>
      <c r="AR8" s="274">
        <f t="shared" ref="AR8:AR61" si="10">AN8*(1+$AT$2)</f>
        <v>71.784951901800014</v>
      </c>
      <c r="AS8" s="275">
        <f t="shared" ref="AS8:AS61" si="11">AO8*(1+$AT$2)</f>
        <v>71.784951901800014</v>
      </c>
      <c r="AT8" s="276">
        <f t="shared" ref="AT8:AT61" si="12">AP8*(1+$AT$2)</f>
        <v>3014.9679798756006</v>
      </c>
      <c r="AU8" s="274">
        <f t="shared" ref="AU8:AU61" si="13">AR8*(1+$AW$2)</f>
        <v>73.938500458854023</v>
      </c>
      <c r="AV8" s="275">
        <f t="shared" ref="AV8:AV61" si="14">AS8*(1+$AW$2)</f>
        <v>73.938500458854023</v>
      </c>
      <c r="AW8" s="276">
        <f t="shared" ref="AW8:AW61" si="15">AT8*(1+$AW$2)</f>
        <v>3105.4170192718689</v>
      </c>
      <c r="AX8" s="274">
        <f t="shared" ref="AX8:AX61" si="16">AU8*(1+$AZ$2)</f>
        <v>76.156655472619647</v>
      </c>
      <c r="AY8" s="275">
        <f t="shared" ref="AY8:AY61" si="17">AV8*(1+$AZ$2)</f>
        <v>76.156655472619647</v>
      </c>
      <c r="AZ8" s="276">
        <f t="shared" ref="AZ8:AZ61" si="18">AW8*(1+$AZ$2)</f>
        <v>3198.5795298500252</v>
      </c>
      <c r="BA8" s="274">
        <f t="shared" ref="BA8:BA38" si="19">AX8*(1+$BC$2)</f>
        <v>78.441355136798236</v>
      </c>
      <c r="BB8" s="275">
        <f t="shared" si="0"/>
        <v>78.441355136798236</v>
      </c>
      <c r="BC8" s="276">
        <f t="shared" si="1"/>
        <v>3294.5369157455261</v>
      </c>
      <c r="BD8" s="274">
        <f t="shared" si="2"/>
        <v>80.794595790902179</v>
      </c>
      <c r="BE8" s="275">
        <f t="shared" si="3"/>
        <v>80.794595790902179</v>
      </c>
      <c r="BF8" s="276">
        <f t="shared" si="4"/>
        <v>3393.3730232178918</v>
      </c>
      <c r="BG8" s="274">
        <f t="shared" si="5"/>
        <v>83.218433664629245</v>
      </c>
      <c r="BH8" s="275">
        <f t="shared" si="6"/>
        <v>83.218433664629245</v>
      </c>
      <c r="BI8" s="276">
        <f t="shared" si="7"/>
        <v>3495.1742139144285</v>
      </c>
    </row>
    <row r="9" spans="1:61" ht="15" thickBot="1">
      <c r="A9" s="133">
        <v>422</v>
      </c>
      <c r="B9" s="134" t="s">
        <v>74</v>
      </c>
      <c r="C9" s="135">
        <v>50</v>
      </c>
      <c r="D9" s="136">
        <v>50</v>
      </c>
      <c r="E9" s="137">
        <v>2100</v>
      </c>
      <c r="F9" s="138">
        <v>69</v>
      </c>
      <c r="G9" s="136">
        <v>69</v>
      </c>
      <c r="H9" s="137">
        <v>2898</v>
      </c>
      <c r="I9" s="136">
        <v>72.795000000000002</v>
      </c>
      <c r="J9" s="136">
        <v>72.8</v>
      </c>
      <c r="K9" s="137">
        <v>3057.6</v>
      </c>
      <c r="L9" s="136">
        <v>76.434750000000008</v>
      </c>
      <c r="M9" s="136">
        <v>76.434750000000008</v>
      </c>
      <c r="N9" s="137">
        <v>3210.2595000000001</v>
      </c>
      <c r="O9" s="136">
        <v>79.874313749999999</v>
      </c>
      <c r="P9" s="136">
        <v>79.874313749999999</v>
      </c>
      <c r="Q9" s="137">
        <v>3354.7211775000001</v>
      </c>
      <c r="R9" s="136">
        <v>79.874313749999999</v>
      </c>
      <c r="S9" s="136">
        <v>79.874313749999999</v>
      </c>
      <c r="T9" s="137">
        <v>3354.7211775000001</v>
      </c>
      <c r="U9" s="136">
        <v>83.069286300000002</v>
      </c>
      <c r="V9" s="136">
        <v>83.069286300000002</v>
      </c>
      <c r="W9" s="137">
        <v>3488.9100246000003</v>
      </c>
      <c r="X9" s="136">
        <v>86.392057751999999</v>
      </c>
      <c r="Y9" s="136">
        <v>86.392057751999999</v>
      </c>
      <c r="Z9" s="137">
        <v>3628.4664255839998</v>
      </c>
      <c r="AA9" s="136">
        <v>90.711660639599998</v>
      </c>
      <c r="AB9" s="136">
        <v>90.711660639599998</v>
      </c>
      <c r="AC9" s="137">
        <v>3809.8897468631999</v>
      </c>
      <c r="AD9" s="136">
        <f>93.43+0.01</f>
        <v>93.440000000000012</v>
      </c>
      <c r="AE9" s="139">
        <f>93.43+0.01</f>
        <v>93.440000000000012</v>
      </c>
      <c r="AF9" s="137">
        <f t="shared" ref="AF9:AF54" si="20">AE9*42</f>
        <v>3924.4800000000005</v>
      </c>
      <c r="AG9" s="136">
        <f t="shared" si="8"/>
        <v>96.243200000000016</v>
      </c>
      <c r="AH9" s="139">
        <f t="shared" si="8"/>
        <v>96.243200000000016</v>
      </c>
      <c r="AI9" s="137">
        <f t="shared" ref="AI9:AI59" si="21">AH9*42</f>
        <v>4042.2144000000008</v>
      </c>
      <c r="AJ9" s="136">
        <f t="shared" si="9"/>
        <v>99.130496000000022</v>
      </c>
      <c r="AK9" s="139">
        <f t="shared" si="9"/>
        <v>99.130496000000022</v>
      </c>
      <c r="AL9" s="137">
        <f t="shared" ref="AL9:AL57" si="22">AK9*42</f>
        <v>4163.4808320000011</v>
      </c>
      <c r="AM9" s="255" t="s">
        <v>74</v>
      </c>
      <c r="AN9" s="277">
        <v>102.10441088000003</v>
      </c>
      <c r="AO9" s="278">
        <v>102.10441088000003</v>
      </c>
      <c r="AP9" s="279">
        <v>4288.3852569600012</v>
      </c>
      <c r="AQ9" s="255" t="s">
        <v>74</v>
      </c>
      <c r="AR9" s="277">
        <f t="shared" si="10"/>
        <v>105.16754320640004</v>
      </c>
      <c r="AS9" s="278">
        <f t="shared" si="11"/>
        <v>105.16754320640004</v>
      </c>
      <c r="AT9" s="279">
        <f t="shared" si="12"/>
        <v>4417.0368146688015</v>
      </c>
      <c r="AU9" s="277">
        <f t="shared" si="13"/>
        <v>108.32256950259205</v>
      </c>
      <c r="AV9" s="278">
        <f t="shared" si="14"/>
        <v>108.32256950259205</v>
      </c>
      <c r="AW9" s="279">
        <f t="shared" si="15"/>
        <v>4549.5479191088652</v>
      </c>
      <c r="AX9" s="277">
        <f t="shared" si="16"/>
        <v>111.57224658766981</v>
      </c>
      <c r="AY9" s="278">
        <f t="shared" si="17"/>
        <v>111.57224658766981</v>
      </c>
      <c r="AZ9" s="279">
        <f t="shared" si="18"/>
        <v>4686.0343566821311</v>
      </c>
      <c r="BA9" s="277">
        <f t="shared" si="19"/>
        <v>114.91941398529991</v>
      </c>
      <c r="BB9" s="278">
        <f t="shared" si="0"/>
        <v>114.91941398529991</v>
      </c>
      <c r="BC9" s="279">
        <f t="shared" si="1"/>
        <v>4826.6153873825951</v>
      </c>
      <c r="BD9" s="277">
        <f t="shared" si="2"/>
        <v>118.36699640485891</v>
      </c>
      <c r="BE9" s="278">
        <f t="shared" si="3"/>
        <v>118.36699640485891</v>
      </c>
      <c r="BF9" s="279">
        <f t="shared" si="4"/>
        <v>4971.4138490040732</v>
      </c>
      <c r="BG9" s="277">
        <f t="shared" si="5"/>
        <v>121.91800629700468</v>
      </c>
      <c r="BH9" s="278">
        <f t="shared" si="6"/>
        <v>121.91800629700468</v>
      </c>
      <c r="BI9" s="279">
        <f t="shared" si="7"/>
        <v>5120.5562644741958</v>
      </c>
    </row>
    <row r="10" spans="1:61" ht="15">
      <c r="A10" s="140"/>
      <c r="B10" s="81" t="s">
        <v>75</v>
      </c>
      <c r="C10" s="91">
        <v>42</v>
      </c>
      <c r="D10" s="92">
        <v>42</v>
      </c>
      <c r="E10" s="93">
        <v>1764</v>
      </c>
      <c r="F10" s="105">
        <v>42</v>
      </c>
      <c r="G10" s="92">
        <v>42</v>
      </c>
      <c r="H10" s="93">
        <v>1764</v>
      </c>
      <c r="I10" s="92">
        <v>44.31</v>
      </c>
      <c r="J10" s="92">
        <v>44.31</v>
      </c>
      <c r="K10" s="93">
        <v>1861.02</v>
      </c>
      <c r="L10" s="92">
        <v>46.525500000000001</v>
      </c>
      <c r="M10" s="92">
        <v>46.525500000000001</v>
      </c>
      <c r="N10" s="93">
        <v>1954.0710000000001</v>
      </c>
      <c r="O10" s="92">
        <v>48.619147499999997</v>
      </c>
      <c r="P10" s="92">
        <v>48.619147499999997</v>
      </c>
      <c r="Q10" s="93">
        <v>2042.004195</v>
      </c>
      <c r="R10" s="92">
        <v>48.619147499999997</v>
      </c>
      <c r="S10" s="92">
        <v>48.619147499999997</v>
      </c>
      <c r="T10" s="93">
        <v>2042.004195</v>
      </c>
      <c r="U10" s="92">
        <v>50.563913399999997</v>
      </c>
      <c r="V10" s="92">
        <v>50.563913399999997</v>
      </c>
      <c r="W10" s="93">
        <v>2123.6843627999997</v>
      </c>
      <c r="X10" s="92">
        <v>52.576469936000002</v>
      </c>
      <c r="Y10" s="92">
        <v>52.576469936000002</v>
      </c>
      <c r="Z10" s="93">
        <v>2208.211737312</v>
      </c>
      <c r="AA10" s="92">
        <v>55.205293432800005</v>
      </c>
      <c r="AB10" s="92">
        <v>55.205293432800005</v>
      </c>
      <c r="AC10" s="93">
        <v>2318.6223241776001</v>
      </c>
      <c r="AD10" s="92">
        <v>56.87</v>
      </c>
      <c r="AE10" s="96">
        <v>56.87</v>
      </c>
      <c r="AF10" s="93">
        <f t="shared" si="20"/>
        <v>2388.54</v>
      </c>
      <c r="AG10" s="92">
        <f t="shared" si="8"/>
        <v>58.576099999999997</v>
      </c>
      <c r="AH10" s="96">
        <f t="shared" si="8"/>
        <v>58.576099999999997</v>
      </c>
      <c r="AI10" s="93">
        <f t="shared" si="21"/>
        <v>2460.1961999999999</v>
      </c>
      <c r="AJ10" s="92">
        <f t="shared" si="9"/>
        <v>60.333382999999998</v>
      </c>
      <c r="AK10" s="96">
        <f t="shared" si="9"/>
        <v>60.333382999999998</v>
      </c>
      <c r="AL10" s="93">
        <f t="shared" si="22"/>
        <v>2534.002086</v>
      </c>
      <c r="AM10" s="256" t="s">
        <v>75</v>
      </c>
      <c r="AN10" s="274">
        <v>62.143384490000003</v>
      </c>
      <c r="AO10" s="275">
        <v>62.143384490000003</v>
      </c>
      <c r="AP10" s="276">
        <v>2610.0221485800002</v>
      </c>
      <c r="AQ10" s="256" t="s">
        <v>75</v>
      </c>
      <c r="AR10" s="274">
        <f t="shared" si="10"/>
        <v>64.007686024700007</v>
      </c>
      <c r="AS10" s="275">
        <f t="shared" si="11"/>
        <v>64.007686024700007</v>
      </c>
      <c r="AT10" s="276">
        <f t="shared" si="12"/>
        <v>2688.3228130374005</v>
      </c>
      <c r="AU10" s="274">
        <f t="shared" si="13"/>
        <v>65.927916605441013</v>
      </c>
      <c r="AV10" s="275">
        <f t="shared" si="14"/>
        <v>65.927916605441013</v>
      </c>
      <c r="AW10" s="276">
        <f t="shared" si="15"/>
        <v>2768.9724974285227</v>
      </c>
      <c r="AX10" s="274">
        <f t="shared" si="16"/>
        <v>67.905754103604238</v>
      </c>
      <c r="AY10" s="275">
        <f t="shared" si="17"/>
        <v>67.905754103604238</v>
      </c>
      <c r="AZ10" s="276">
        <f t="shared" si="18"/>
        <v>2852.0416723513786</v>
      </c>
      <c r="BA10" s="274">
        <f t="shared" si="19"/>
        <v>69.942926726712372</v>
      </c>
      <c r="BB10" s="275">
        <f t="shared" si="0"/>
        <v>69.942926726712372</v>
      </c>
      <c r="BC10" s="276">
        <f t="shared" si="1"/>
        <v>2937.6029225219199</v>
      </c>
      <c r="BD10" s="274">
        <f t="shared" si="2"/>
        <v>72.041214528513748</v>
      </c>
      <c r="BE10" s="275">
        <f t="shared" si="3"/>
        <v>72.041214528513748</v>
      </c>
      <c r="BF10" s="276">
        <f t="shared" si="4"/>
        <v>3025.7310101975777</v>
      </c>
      <c r="BG10" s="274">
        <f t="shared" si="5"/>
        <v>74.202450964369163</v>
      </c>
      <c r="BH10" s="275">
        <f t="shared" si="6"/>
        <v>74.202450964369163</v>
      </c>
      <c r="BI10" s="276">
        <f t="shared" si="7"/>
        <v>3116.5029405035052</v>
      </c>
    </row>
    <row r="11" spans="1:61" ht="15.75" thickBot="1">
      <c r="A11" s="141"/>
      <c r="B11" s="134" t="s">
        <v>76</v>
      </c>
      <c r="C11" s="135">
        <v>42</v>
      </c>
      <c r="D11" s="92">
        <v>42</v>
      </c>
      <c r="E11" s="93">
        <v>1764</v>
      </c>
      <c r="F11" s="105">
        <v>42</v>
      </c>
      <c r="G11" s="92">
        <v>42</v>
      </c>
      <c r="H11" s="93">
        <v>1764</v>
      </c>
      <c r="I11" s="142">
        <v>44.31</v>
      </c>
      <c r="J11" s="136">
        <v>44.31</v>
      </c>
      <c r="K11" s="137">
        <v>1861.02</v>
      </c>
      <c r="L11" s="142">
        <v>46.525500000000001</v>
      </c>
      <c r="M11" s="136">
        <v>46.525500000000001</v>
      </c>
      <c r="N11" s="137">
        <v>1954.0710000000001</v>
      </c>
      <c r="O11" s="142">
        <v>48.619147499999997</v>
      </c>
      <c r="P11" s="136">
        <v>48.619147499999997</v>
      </c>
      <c r="Q11" s="137">
        <v>2042.004195</v>
      </c>
      <c r="R11" s="142">
        <v>48.619147499999997</v>
      </c>
      <c r="S11" s="136">
        <v>48.619147499999997</v>
      </c>
      <c r="T11" s="137">
        <v>2042.004195</v>
      </c>
      <c r="U11" s="142">
        <v>50.563913399999997</v>
      </c>
      <c r="V11" s="136">
        <v>50.563913399999997</v>
      </c>
      <c r="W11" s="137">
        <v>2123.6843627999997</v>
      </c>
      <c r="X11" s="136">
        <v>52.576469936000002</v>
      </c>
      <c r="Y11" s="136">
        <v>52.576469936000002</v>
      </c>
      <c r="Z11" s="137">
        <v>2208.211737312</v>
      </c>
      <c r="AA11" s="136">
        <v>55.205293432800005</v>
      </c>
      <c r="AB11" s="136">
        <v>55.205293432800005</v>
      </c>
      <c r="AC11" s="137">
        <v>2318.6223241776001</v>
      </c>
      <c r="AD11" s="136">
        <v>56.87</v>
      </c>
      <c r="AE11" s="139">
        <v>56.87</v>
      </c>
      <c r="AF11" s="137">
        <f t="shared" si="20"/>
        <v>2388.54</v>
      </c>
      <c r="AG11" s="136">
        <f t="shared" si="8"/>
        <v>58.576099999999997</v>
      </c>
      <c r="AH11" s="139">
        <f t="shared" si="8"/>
        <v>58.576099999999997</v>
      </c>
      <c r="AI11" s="137">
        <f t="shared" si="21"/>
        <v>2460.1961999999999</v>
      </c>
      <c r="AJ11" s="136">
        <f t="shared" si="9"/>
        <v>60.333382999999998</v>
      </c>
      <c r="AK11" s="139">
        <f t="shared" si="9"/>
        <v>60.333382999999998</v>
      </c>
      <c r="AL11" s="137">
        <f t="shared" si="22"/>
        <v>2534.002086</v>
      </c>
      <c r="AM11" s="255" t="s">
        <v>76</v>
      </c>
      <c r="AN11" s="277">
        <v>62.143384490000003</v>
      </c>
      <c r="AO11" s="278">
        <v>62.143384490000003</v>
      </c>
      <c r="AP11" s="279">
        <v>2610.0221485800002</v>
      </c>
      <c r="AQ11" s="255" t="s">
        <v>76</v>
      </c>
      <c r="AR11" s="277">
        <f t="shared" si="10"/>
        <v>64.007686024700007</v>
      </c>
      <c r="AS11" s="278">
        <f t="shared" si="11"/>
        <v>64.007686024700007</v>
      </c>
      <c r="AT11" s="279">
        <f t="shared" si="12"/>
        <v>2688.3228130374005</v>
      </c>
      <c r="AU11" s="277">
        <f t="shared" si="13"/>
        <v>65.927916605441013</v>
      </c>
      <c r="AV11" s="278">
        <f t="shared" si="14"/>
        <v>65.927916605441013</v>
      </c>
      <c r="AW11" s="279">
        <f t="shared" si="15"/>
        <v>2768.9724974285227</v>
      </c>
      <c r="AX11" s="277">
        <f t="shared" si="16"/>
        <v>67.905754103604238</v>
      </c>
      <c r="AY11" s="278">
        <f t="shared" si="17"/>
        <v>67.905754103604238</v>
      </c>
      <c r="AZ11" s="279">
        <f t="shared" si="18"/>
        <v>2852.0416723513786</v>
      </c>
      <c r="BA11" s="277">
        <f t="shared" si="19"/>
        <v>69.942926726712372</v>
      </c>
      <c r="BB11" s="278">
        <f t="shared" si="0"/>
        <v>69.942926726712372</v>
      </c>
      <c r="BC11" s="279">
        <f t="shared" si="1"/>
        <v>2937.6029225219199</v>
      </c>
      <c r="BD11" s="277">
        <f t="shared" si="2"/>
        <v>72.041214528513748</v>
      </c>
      <c r="BE11" s="278">
        <f t="shared" si="3"/>
        <v>72.041214528513748</v>
      </c>
      <c r="BF11" s="279">
        <f t="shared" si="4"/>
        <v>3025.7310101975777</v>
      </c>
      <c r="BG11" s="277">
        <f t="shared" si="5"/>
        <v>74.202450964369163</v>
      </c>
      <c r="BH11" s="278">
        <f t="shared" si="6"/>
        <v>74.202450964369163</v>
      </c>
      <c r="BI11" s="279">
        <f t="shared" si="7"/>
        <v>3116.5029405035052</v>
      </c>
    </row>
    <row r="12" spans="1:61" ht="14.25">
      <c r="A12" s="90">
        <v>210</v>
      </c>
      <c r="B12" s="81" t="s">
        <v>77</v>
      </c>
      <c r="C12" s="91">
        <v>15</v>
      </c>
      <c r="D12" s="85">
        <v>15</v>
      </c>
      <c r="E12" s="86">
        <v>630</v>
      </c>
      <c r="F12" s="87">
        <v>35.32</v>
      </c>
      <c r="G12" s="85">
        <v>35.32</v>
      </c>
      <c r="H12" s="86">
        <v>1483.44</v>
      </c>
      <c r="I12" s="92">
        <v>37.262599999999999</v>
      </c>
      <c r="J12" s="92">
        <v>37.26</v>
      </c>
      <c r="K12" s="93">
        <v>1564.9199999999998</v>
      </c>
      <c r="L12" s="92">
        <v>39.125729999999997</v>
      </c>
      <c r="M12" s="92">
        <v>39.125729999999997</v>
      </c>
      <c r="N12" s="93">
        <v>1643.2806599999999</v>
      </c>
      <c r="O12" s="92">
        <v>40.886387849999991</v>
      </c>
      <c r="P12" s="92">
        <v>40.886387849999991</v>
      </c>
      <c r="Q12" s="93">
        <v>1717.2282896999996</v>
      </c>
      <c r="R12" s="92">
        <v>63.55</v>
      </c>
      <c r="S12" s="92">
        <v>63.55</v>
      </c>
      <c r="T12" s="93">
        <v>2669.1</v>
      </c>
      <c r="U12" s="92">
        <v>66.091999999999999</v>
      </c>
      <c r="V12" s="92">
        <v>66.091999999999999</v>
      </c>
      <c r="W12" s="93">
        <v>2775.864</v>
      </c>
      <c r="X12" s="92">
        <v>68.725679999999997</v>
      </c>
      <c r="Y12" s="92">
        <v>68.725679999999997</v>
      </c>
      <c r="Z12" s="93">
        <v>2886.47856</v>
      </c>
      <c r="AA12" s="92">
        <v>72.161963999999998</v>
      </c>
      <c r="AB12" s="92">
        <v>72.161963999999998</v>
      </c>
      <c r="AC12" s="93">
        <v>3030.8024879999998</v>
      </c>
      <c r="AD12" s="92">
        <v>74.319999999999993</v>
      </c>
      <c r="AE12" s="96">
        <v>74.319999999999993</v>
      </c>
      <c r="AF12" s="93">
        <f t="shared" si="20"/>
        <v>3121.4399999999996</v>
      </c>
      <c r="AG12" s="92">
        <f t="shared" si="8"/>
        <v>76.549599999999998</v>
      </c>
      <c r="AH12" s="96">
        <f t="shared" si="8"/>
        <v>76.549599999999998</v>
      </c>
      <c r="AI12" s="93">
        <f t="shared" si="21"/>
        <v>3215.0832</v>
      </c>
      <c r="AJ12" s="92">
        <f t="shared" si="9"/>
        <v>78.846087999999995</v>
      </c>
      <c r="AK12" s="96">
        <f t="shared" si="9"/>
        <v>78.846087999999995</v>
      </c>
      <c r="AL12" s="93">
        <f t="shared" si="22"/>
        <v>3311.5356959999999</v>
      </c>
      <c r="AM12" s="256" t="s">
        <v>77</v>
      </c>
      <c r="AN12" s="274">
        <v>81.211470640000002</v>
      </c>
      <c r="AO12" s="275">
        <v>81.211470640000002</v>
      </c>
      <c r="AP12" s="276">
        <v>3410.8817668800002</v>
      </c>
      <c r="AQ12" s="256" t="s">
        <v>77</v>
      </c>
      <c r="AR12" s="274">
        <f t="shared" si="10"/>
        <v>83.647814759200003</v>
      </c>
      <c r="AS12" s="275">
        <f t="shared" si="11"/>
        <v>83.647814759200003</v>
      </c>
      <c r="AT12" s="276">
        <f t="shared" si="12"/>
        <v>3513.2082198864005</v>
      </c>
      <c r="AU12" s="274">
        <f t="shared" si="13"/>
        <v>86.157249201976001</v>
      </c>
      <c r="AV12" s="275">
        <f t="shared" si="14"/>
        <v>86.157249201976001</v>
      </c>
      <c r="AW12" s="276">
        <f t="shared" si="15"/>
        <v>3618.6044664829924</v>
      </c>
      <c r="AX12" s="274">
        <f t="shared" si="16"/>
        <v>88.741966678035283</v>
      </c>
      <c r="AY12" s="275">
        <f t="shared" si="17"/>
        <v>88.741966678035283</v>
      </c>
      <c r="AZ12" s="276">
        <f t="shared" si="18"/>
        <v>3727.1626004774821</v>
      </c>
      <c r="BA12" s="274">
        <f t="shared" si="19"/>
        <v>91.404225678376349</v>
      </c>
      <c r="BB12" s="275">
        <f t="shared" si="0"/>
        <v>91.404225678376349</v>
      </c>
      <c r="BC12" s="276">
        <f t="shared" si="1"/>
        <v>3838.9774784918068</v>
      </c>
      <c r="BD12" s="274">
        <f t="shared" si="2"/>
        <v>94.14635244872764</v>
      </c>
      <c r="BE12" s="275">
        <f t="shared" si="3"/>
        <v>94.14635244872764</v>
      </c>
      <c r="BF12" s="276">
        <f t="shared" si="4"/>
        <v>3954.1468028465611</v>
      </c>
      <c r="BG12" s="274">
        <f t="shared" si="5"/>
        <v>96.970743022189467</v>
      </c>
      <c r="BH12" s="275">
        <f t="shared" si="6"/>
        <v>96.970743022189467</v>
      </c>
      <c r="BI12" s="276">
        <f t="shared" si="7"/>
        <v>4072.7712069319582</v>
      </c>
    </row>
    <row r="13" spans="1:61" ht="14.25">
      <c r="A13" s="90">
        <v>212</v>
      </c>
      <c r="B13" s="81" t="s">
        <v>78</v>
      </c>
      <c r="C13" s="91">
        <v>75</v>
      </c>
      <c r="D13" s="92">
        <v>75</v>
      </c>
      <c r="E13" s="93">
        <v>3150</v>
      </c>
      <c r="F13" s="94">
        <v>94</v>
      </c>
      <c r="G13" s="92">
        <v>94</v>
      </c>
      <c r="H13" s="93">
        <v>3948</v>
      </c>
      <c r="I13" s="92">
        <v>99.17</v>
      </c>
      <c r="J13" s="92">
        <v>99.17</v>
      </c>
      <c r="K13" s="93">
        <v>4165.1400000000003</v>
      </c>
      <c r="L13" s="92">
        <v>104.1285</v>
      </c>
      <c r="M13" s="92">
        <v>104.1285</v>
      </c>
      <c r="N13" s="93">
        <v>4373.3969999999999</v>
      </c>
      <c r="O13" s="92">
        <v>108.81428249999999</v>
      </c>
      <c r="P13" s="92">
        <v>108.81428249999999</v>
      </c>
      <c r="Q13" s="93">
        <v>4570.1998649999996</v>
      </c>
      <c r="R13" s="92">
        <v>108.81428249999999</v>
      </c>
      <c r="S13" s="92">
        <v>108.81428249999999</v>
      </c>
      <c r="T13" s="93">
        <v>4570.1998649999996</v>
      </c>
      <c r="U13" s="92">
        <v>113.1668538</v>
      </c>
      <c r="V13" s="92">
        <v>113.1668538</v>
      </c>
      <c r="W13" s="93">
        <v>4753.0078596000003</v>
      </c>
      <c r="X13" s="92">
        <v>117.703527952</v>
      </c>
      <c r="Y13" s="92">
        <v>117.703527952</v>
      </c>
      <c r="Z13" s="93">
        <v>4943.5481739839997</v>
      </c>
      <c r="AA13" s="92">
        <v>123.58870434960001</v>
      </c>
      <c r="AB13" s="92">
        <v>123.58870434960001</v>
      </c>
      <c r="AC13" s="93">
        <v>5190.7255826832006</v>
      </c>
      <c r="AD13" s="92">
        <v>127.3</v>
      </c>
      <c r="AE13" s="96">
        <v>127.3</v>
      </c>
      <c r="AF13" s="93">
        <f t="shared" si="20"/>
        <v>5346.5999999999995</v>
      </c>
      <c r="AG13" s="92">
        <f t="shared" si="8"/>
        <v>131.119</v>
      </c>
      <c r="AH13" s="96">
        <f t="shared" si="8"/>
        <v>131.119</v>
      </c>
      <c r="AI13" s="93">
        <f t="shared" si="21"/>
        <v>5506.9979999999996</v>
      </c>
      <c r="AJ13" s="92">
        <f t="shared" si="9"/>
        <v>135.05257</v>
      </c>
      <c r="AK13" s="96">
        <f t="shared" si="9"/>
        <v>135.05257</v>
      </c>
      <c r="AL13" s="93">
        <f t="shared" si="22"/>
        <v>5672.2079400000002</v>
      </c>
      <c r="AM13" s="256" t="s">
        <v>78</v>
      </c>
      <c r="AN13" s="274">
        <v>139.10414710000001</v>
      </c>
      <c r="AO13" s="275">
        <v>139.10414710000001</v>
      </c>
      <c r="AP13" s="276">
        <v>5842.3741782000006</v>
      </c>
      <c r="AQ13" s="256" t="s">
        <v>78</v>
      </c>
      <c r="AR13" s="274">
        <f t="shared" si="10"/>
        <v>143.27727151300002</v>
      </c>
      <c r="AS13" s="275">
        <f t="shared" si="11"/>
        <v>143.27727151300002</v>
      </c>
      <c r="AT13" s="276">
        <f t="shared" si="12"/>
        <v>6017.645403546001</v>
      </c>
      <c r="AU13" s="274">
        <f t="shared" si="13"/>
        <v>147.57558965839002</v>
      </c>
      <c r="AV13" s="275">
        <f t="shared" si="14"/>
        <v>147.57558965839002</v>
      </c>
      <c r="AW13" s="276">
        <f t="shared" si="15"/>
        <v>6198.1747656523812</v>
      </c>
      <c r="AX13" s="274">
        <f t="shared" si="16"/>
        <v>152.00285734814173</v>
      </c>
      <c r="AY13" s="275">
        <f t="shared" si="17"/>
        <v>152.00285734814173</v>
      </c>
      <c r="AZ13" s="276">
        <f t="shared" si="18"/>
        <v>6384.1200086219524</v>
      </c>
      <c r="BA13" s="274">
        <f t="shared" si="19"/>
        <v>156.56294306858598</v>
      </c>
      <c r="BB13" s="275">
        <f t="shared" si="0"/>
        <v>156.56294306858598</v>
      </c>
      <c r="BC13" s="276">
        <f t="shared" si="1"/>
        <v>6575.6436088806113</v>
      </c>
      <c r="BD13" s="274">
        <f t="shared" si="2"/>
        <v>161.25983136064357</v>
      </c>
      <c r="BE13" s="275">
        <f t="shared" si="3"/>
        <v>161.25983136064357</v>
      </c>
      <c r="BF13" s="276">
        <f t="shared" si="4"/>
        <v>6772.9129171470295</v>
      </c>
      <c r="BG13" s="274">
        <f t="shared" si="5"/>
        <v>166.0976263014629</v>
      </c>
      <c r="BH13" s="275">
        <f t="shared" si="6"/>
        <v>166.0976263014629</v>
      </c>
      <c r="BI13" s="276">
        <f t="shared" si="7"/>
        <v>6976.1003046614405</v>
      </c>
    </row>
    <row r="14" spans="1:61" ht="15" thickBot="1">
      <c r="A14" s="143">
        <v>214</v>
      </c>
      <c r="B14" s="144" t="s">
        <v>79</v>
      </c>
      <c r="C14" s="145">
        <v>31.701030927835053</v>
      </c>
      <c r="D14" s="146">
        <v>31.7</v>
      </c>
      <c r="E14" s="147">
        <v>1331.36</v>
      </c>
      <c r="F14" s="145">
        <v>39.731958762886599</v>
      </c>
      <c r="G14" s="146">
        <v>39.731958762886599</v>
      </c>
      <c r="H14" s="147">
        <v>1668.7422680412371</v>
      </c>
      <c r="I14" s="146">
        <v>41.917216494845363</v>
      </c>
      <c r="J14" s="146">
        <v>41.92</v>
      </c>
      <c r="K14" s="147">
        <v>1760.64</v>
      </c>
      <c r="L14" s="146">
        <v>44.01307731958763</v>
      </c>
      <c r="M14" s="146">
        <v>44.01307731958763</v>
      </c>
      <c r="N14" s="147">
        <v>1848.5492474226805</v>
      </c>
      <c r="O14" s="146">
        <v>45.993665798969069</v>
      </c>
      <c r="P14" s="146">
        <v>45.993665798969069</v>
      </c>
      <c r="Q14" s="147">
        <v>1931.7339635567009</v>
      </c>
      <c r="R14" s="146">
        <v>81.040000000000006</v>
      </c>
      <c r="S14" s="146">
        <v>81.040000000000006</v>
      </c>
      <c r="T14" s="147">
        <v>3403.6800000000003</v>
      </c>
      <c r="U14" s="146">
        <v>84.281600000000012</v>
      </c>
      <c r="V14" s="146">
        <v>84.281600000000012</v>
      </c>
      <c r="W14" s="147">
        <v>3539.8272000000006</v>
      </c>
      <c r="X14" s="146">
        <v>87.652864000000008</v>
      </c>
      <c r="Y14" s="146">
        <v>87.652864000000008</v>
      </c>
      <c r="Z14" s="147">
        <v>3681.4202880000003</v>
      </c>
      <c r="AA14" s="146">
        <v>92.035507200000012</v>
      </c>
      <c r="AB14" s="146">
        <v>92.035507200000012</v>
      </c>
      <c r="AC14" s="147">
        <v>3865.4913024000007</v>
      </c>
      <c r="AD14" s="146">
        <v>94.8</v>
      </c>
      <c r="AE14" s="139">
        <v>94.8</v>
      </c>
      <c r="AF14" s="147">
        <f t="shared" si="20"/>
        <v>3981.6</v>
      </c>
      <c r="AG14" s="146">
        <f t="shared" si="8"/>
        <v>97.644000000000005</v>
      </c>
      <c r="AH14" s="139">
        <f t="shared" si="8"/>
        <v>97.644000000000005</v>
      </c>
      <c r="AI14" s="147">
        <f t="shared" si="21"/>
        <v>4101.0480000000007</v>
      </c>
      <c r="AJ14" s="146">
        <f t="shared" si="9"/>
        <v>100.57332000000001</v>
      </c>
      <c r="AK14" s="139">
        <f t="shared" si="9"/>
        <v>100.57332000000001</v>
      </c>
      <c r="AL14" s="147">
        <f>AK14*42</f>
        <v>4224.0794400000004</v>
      </c>
      <c r="AM14" s="256" t="s">
        <v>79</v>
      </c>
      <c r="AN14" s="274">
        <v>103.59051960000001</v>
      </c>
      <c r="AO14" s="275">
        <v>103.59051960000001</v>
      </c>
      <c r="AP14" s="276">
        <v>4350.8018232000004</v>
      </c>
      <c r="AQ14" s="256" t="s">
        <v>79</v>
      </c>
      <c r="AR14" s="274">
        <f t="shared" si="10"/>
        <v>106.69823518800001</v>
      </c>
      <c r="AS14" s="275">
        <f t="shared" si="11"/>
        <v>106.69823518800001</v>
      </c>
      <c r="AT14" s="276">
        <f t="shared" si="12"/>
        <v>4481.3258778960007</v>
      </c>
      <c r="AU14" s="274">
        <f t="shared" si="13"/>
        <v>109.89918224364001</v>
      </c>
      <c r="AV14" s="275">
        <f t="shared" si="14"/>
        <v>109.89918224364001</v>
      </c>
      <c r="AW14" s="276">
        <f t="shared" si="15"/>
        <v>4615.7656542328805</v>
      </c>
      <c r="AX14" s="274">
        <f t="shared" si="16"/>
        <v>113.19615771094922</v>
      </c>
      <c r="AY14" s="275">
        <f t="shared" si="17"/>
        <v>113.19615771094922</v>
      </c>
      <c r="AZ14" s="276">
        <f t="shared" si="18"/>
        <v>4754.2386238598674</v>
      </c>
      <c r="BA14" s="274">
        <f t="shared" si="19"/>
        <v>116.5920424422777</v>
      </c>
      <c r="BB14" s="275">
        <f t="shared" si="0"/>
        <v>116.5920424422777</v>
      </c>
      <c r="BC14" s="276">
        <f t="shared" si="1"/>
        <v>4896.8657825756636</v>
      </c>
      <c r="BD14" s="274">
        <f t="shared" si="2"/>
        <v>120.08980371554604</v>
      </c>
      <c r="BE14" s="275">
        <f t="shared" si="3"/>
        <v>120.08980371554604</v>
      </c>
      <c r="BF14" s="276">
        <f t="shared" si="4"/>
        <v>5043.7717560529336</v>
      </c>
      <c r="BG14" s="274">
        <f t="shared" si="5"/>
        <v>123.69249782701243</v>
      </c>
      <c r="BH14" s="275">
        <f t="shared" si="6"/>
        <v>123.69249782701243</v>
      </c>
      <c r="BI14" s="276">
        <f t="shared" si="7"/>
        <v>5195.0849087345214</v>
      </c>
    </row>
    <row r="15" spans="1:61" ht="15" thickBot="1">
      <c r="A15" s="90">
        <v>210</v>
      </c>
      <c r="B15" s="81" t="s">
        <v>77</v>
      </c>
      <c r="C15" s="91">
        <v>15</v>
      </c>
      <c r="D15" s="92">
        <v>15</v>
      </c>
      <c r="E15" s="93">
        <v>630</v>
      </c>
      <c r="F15" s="148">
        <v>35.32</v>
      </c>
      <c r="G15" s="85">
        <v>35.32</v>
      </c>
      <c r="H15" s="93">
        <v>1483.44</v>
      </c>
      <c r="I15" s="92">
        <v>37.262599999999999</v>
      </c>
      <c r="J15" s="92">
        <v>37.26</v>
      </c>
      <c r="K15" s="93">
        <v>1564.9199999999998</v>
      </c>
      <c r="L15" s="92">
        <v>39.125729999999997</v>
      </c>
      <c r="M15" s="92">
        <v>39.125729999999997</v>
      </c>
      <c r="N15" s="93">
        <v>1643.2806599999999</v>
      </c>
      <c r="O15" s="92">
        <v>40.886387849999991</v>
      </c>
      <c r="P15" s="92">
        <v>40.886387849999991</v>
      </c>
      <c r="Q15" s="93">
        <v>1717.2282896999996</v>
      </c>
      <c r="R15" s="92">
        <v>63.55</v>
      </c>
      <c r="S15" s="92">
        <v>63.55</v>
      </c>
      <c r="T15" s="93">
        <v>2669.1</v>
      </c>
      <c r="U15" s="92">
        <v>66.091999999999999</v>
      </c>
      <c r="V15" s="92">
        <v>66.091999999999999</v>
      </c>
      <c r="W15" s="93">
        <v>2775.864</v>
      </c>
      <c r="X15" s="92">
        <v>68.725679999999997</v>
      </c>
      <c r="Y15" s="92">
        <v>68.725679999999997</v>
      </c>
      <c r="Z15" s="93">
        <v>2886.47856</v>
      </c>
      <c r="AA15" s="92">
        <v>72.161963999999998</v>
      </c>
      <c r="AB15" s="92">
        <v>72.161963999999998</v>
      </c>
      <c r="AC15" s="93">
        <v>3030.8024879999998</v>
      </c>
      <c r="AD15" s="92">
        <v>74.319999999999993</v>
      </c>
      <c r="AE15" s="96">
        <v>74.319999999999993</v>
      </c>
      <c r="AF15" s="93">
        <f t="shared" si="20"/>
        <v>3121.4399999999996</v>
      </c>
      <c r="AG15" s="92">
        <f t="shared" si="8"/>
        <v>76.549599999999998</v>
      </c>
      <c r="AH15" s="96">
        <f t="shared" si="8"/>
        <v>76.549599999999998</v>
      </c>
      <c r="AI15" s="93">
        <f t="shared" si="21"/>
        <v>3215.0832</v>
      </c>
      <c r="AJ15" s="92">
        <f t="shared" si="9"/>
        <v>78.846087999999995</v>
      </c>
      <c r="AK15" s="96">
        <f t="shared" si="9"/>
        <v>78.846087999999995</v>
      </c>
      <c r="AL15" s="93">
        <f t="shared" si="22"/>
        <v>3311.5356959999999</v>
      </c>
      <c r="AM15" s="257" t="s">
        <v>211</v>
      </c>
      <c r="AN15" s="277">
        <v>0.45629000000000003</v>
      </c>
      <c r="AO15" s="278">
        <v>104.04680960000002</v>
      </c>
      <c r="AP15" s="279">
        <v>4369.9660032000002</v>
      </c>
      <c r="AQ15" s="257" t="s">
        <v>211</v>
      </c>
      <c r="AR15" s="277">
        <f t="shared" si="10"/>
        <v>0.46997870000000003</v>
      </c>
      <c r="AS15" s="278">
        <f t="shared" si="11"/>
        <v>107.16821388800003</v>
      </c>
      <c r="AT15" s="279">
        <f t="shared" si="12"/>
        <v>4501.0649832960007</v>
      </c>
      <c r="AU15" s="277">
        <f t="shared" si="13"/>
        <v>0.48407806100000006</v>
      </c>
      <c r="AV15" s="278">
        <f t="shared" si="14"/>
        <v>110.38326030464003</v>
      </c>
      <c r="AW15" s="279">
        <f t="shared" si="15"/>
        <v>4636.0969327948806</v>
      </c>
      <c r="AX15" s="277">
        <f t="shared" si="16"/>
        <v>0.49860040283000007</v>
      </c>
      <c r="AY15" s="278">
        <f t="shared" si="17"/>
        <v>113.69475811377923</v>
      </c>
      <c r="AZ15" s="279">
        <f t="shared" si="18"/>
        <v>4775.1798407787273</v>
      </c>
      <c r="BA15" s="277">
        <f t="shared" si="19"/>
        <v>0.51355841491490006</v>
      </c>
      <c r="BB15" s="278">
        <f t="shared" si="0"/>
        <v>117.10560085719261</v>
      </c>
      <c r="BC15" s="279">
        <f t="shared" si="1"/>
        <v>4918.4352360020894</v>
      </c>
      <c r="BD15" s="277">
        <f t="shared" si="2"/>
        <v>0.52896516736234711</v>
      </c>
      <c r="BE15" s="278">
        <f t="shared" si="3"/>
        <v>120.6187688829084</v>
      </c>
      <c r="BF15" s="279">
        <f t="shared" si="4"/>
        <v>5065.9882930821523</v>
      </c>
      <c r="BG15" s="277">
        <f t="shared" si="5"/>
        <v>0.54483412238321749</v>
      </c>
      <c r="BH15" s="278">
        <f t="shared" si="6"/>
        <v>124.23733194939565</v>
      </c>
      <c r="BI15" s="279">
        <f t="shared" si="7"/>
        <v>5217.9679418746173</v>
      </c>
    </row>
    <row r="16" spans="1:61" ht="14.25">
      <c r="A16" s="90">
        <v>260</v>
      </c>
      <c r="B16" s="81" t="s">
        <v>80</v>
      </c>
      <c r="C16" s="91">
        <v>100</v>
      </c>
      <c r="D16" s="92">
        <v>100</v>
      </c>
      <c r="E16" s="93">
        <v>4200</v>
      </c>
      <c r="F16" s="105">
        <v>106.32</v>
      </c>
      <c r="G16" s="92">
        <v>106.32</v>
      </c>
      <c r="H16" s="93">
        <v>4465.4399999999996</v>
      </c>
      <c r="I16" s="92">
        <v>112.16759999999999</v>
      </c>
      <c r="J16" s="92">
        <v>112.16759999999999</v>
      </c>
      <c r="K16" s="93">
        <v>4711.0391999999993</v>
      </c>
      <c r="L16" s="92">
        <v>117.77598</v>
      </c>
      <c r="M16" s="92">
        <v>117.77598</v>
      </c>
      <c r="N16" s="93">
        <v>4946.5911599999999</v>
      </c>
      <c r="O16" s="92">
        <v>123.0758991</v>
      </c>
      <c r="P16" s="92">
        <v>123.0758991</v>
      </c>
      <c r="Q16" s="93">
        <v>5169.1877622000002</v>
      </c>
      <c r="R16" s="92">
        <v>123.0758991</v>
      </c>
      <c r="S16" s="92">
        <v>123.0758991</v>
      </c>
      <c r="T16" s="93">
        <v>5169.1877622000002</v>
      </c>
      <c r="U16" s="92">
        <v>127.99893506400001</v>
      </c>
      <c r="V16" s="92">
        <v>127.99893506400001</v>
      </c>
      <c r="W16" s="93">
        <v>5375.9552726880002</v>
      </c>
      <c r="X16" s="92">
        <v>133.12389246656002</v>
      </c>
      <c r="Y16" s="92">
        <v>133.12389246656002</v>
      </c>
      <c r="Z16" s="93">
        <v>5591.203483595521</v>
      </c>
      <c r="AA16" s="92">
        <v>139.78008708988804</v>
      </c>
      <c r="AB16" s="92">
        <v>139.78008708988804</v>
      </c>
      <c r="AC16" s="93">
        <v>5870.7636577752974</v>
      </c>
      <c r="AD16" s="92">
        <v>143.97</v>
      </c>
      <c r="AE16" s="96">
        <v>143.97</v>
      </c>
      <c r="AF16" s="93">
        <f t="shared" si="20"/>
        <v>6046.74</v>
      </c>
      <c r="AG16" s="92">
        <f t="shared" si="8"/>
        <v>148.28909999999999</v>
      </c>
      <c r="AH16" s="96">
        <f t="shared" si="8"/>
        <v>148.28909999999999</v>
      </c>
      <c r="AI16" s="93">
        <f t="shared" si="21"/>
        <v>6228.1421999999993</v>
      </c>
      <c r="AJ16" s="92">
        <f t="shared" si="9"/>
        <v>152.737773</v>
      </c>
      <c r="AK16" s="96">
        <f t="shared" si="9"/>
        <v>152.737773</v>
      </c>
      <c r="AL16" s="93">
        <f>AK16*42</f>
        <v>6414.9864660000003</v>
      </c>
      <c r="AM16" s="256" t="s">
        <v>77</v>
      </c>
      <c r="AN16" s="274">
        <v>81.211470640000002</v>
      </c>
      <c r="AO16" s="275">
        <v>81.211470640000002</v>
      </c>
      <c r="AP16" s="276">
        <v>3410.8817668800002</v>
      </c>
      <c r="AQ16" s="256" t="s">
        <v>77</v>
      </c>
      <c r="AR16" s="274">
        <f t="shared" si="10"/>
        <v>83.647814759200003</v>
      </c>
      <c r="AS16" s="275">
        <f t="shared" si="11"/>
        <v>83.647814759200003</v>
      </c>
      <c r="AT16" s="276">
        <f t="shared" si="12"/>
        <v>3513.2082198864005</v>
      </c>
      <c r="AU16" s="274">
        <f t="shared" si="13"/>
        <v>86.157249201976001</v>
      </c>
      <c r="AV16" s="275">
        <f t="shared" si="14"/>
        <v>86.157249201976001</v>
      </c>
      <c r="AW16" s="276">
        <f t="shared" si="15"/>
        <v>3618.6044664829924</v>
      </c>
      <c r="AX16" s="274">
        <f t="shared" si="16"/>
        <v>88.741966678035283</v>
      </c>
      <c r="AY16" s="275">
        <f t="shared" si="17"/>
        <v>88.741966678035283</v>
      </c>
      <c r="AZ16" s="276">
        <f t="shared" si="18"/>
        <v>3727.1626004774821</v>
      </c>
      <c r="BA16" s="274">
        <f t="shared" si="19"/>
        <v>91.404225678376349</v>
      </c>
      <c r="BB16" s="275">
        <f t="shared" si="0"/>
        <v>91.404225678376349</v>
      </c>
      <c r="BC16" s="276">
        <f t="shared" si="1"/>
        <v>3838.9774784918068</v>
      </c>
      <c r="BD16" s="274">
        <f t="shared" si="2"/>
        <v>94.14635244872764</v>
      </c>
      <c r="BE16" s="275">
        <f t="shared" si="3"/>
        <v>94.14635244872764</v>
      </c>
      <c r="BF16" s="276">
        <f t="shared" si="4"/>
        <v>3954.1468028465611</v>
      </c>
      <c r="BG16" s="274">
        <f t="shared" si="5"/>
        <v>96.970743022189467</v>
      </c>
      <c r="BH16" s="275">
        <f t="shared" si="6"/>
        <v>96.970743022189467</v>
      </c>
      <c r="BI16" s="276">
        <f t="shared" si="7"/>
        <v>4072.7712069319582</v>
      </c>
    </row>
    <row r="17" spans="1:61" ht="15" thickBot="1">
      <c r="A17" s="133">
        <v>224</v>
      </c>
      <c r="B17" s="149" t="s">
        <v>81</v>
      </c>
      <c r="C17" s="135">
        <v>106.75</v>
      </c>
      <c r="D17" s="136">
        <v>206.75</v>
      </c>
      <c r="E17" s="137">
        <v>8683.5</v>
      </c>
      <c r="F17" s="150">
        <v>129</v>
      </c>
      <c r="G17" s="136">
        <v>235.32</v>
      </c>
      <c r="H17" s="137">
        <v>9883.44</v>
      </c>
      <c r="I17" s="142">
        <v>136.095</v>
      </c>
      <c r="J17" s="136">
        <v>248.27259999999998</v>
      </c>
      <c r="K17" s="137">
        <v>10427.449199999999</v>
      </c>
      <c r="L17" s="142">
        <v>142.89975000000001</v>
      </c>
      <c r="M17" s="136">
        <v>260.67573000000004</v>
      </c>
      <c r="N17" s="137">
        <v>10948.380660000003</v>
      </c>
      <c r="O17" s="142">
        <v>149.33023875000001</v>
      </c>
      <c r="P17" s="136">
        <v>272.40613784999999</v>
      </c>
      <c r="Q17" s="137">
        <v>11441.0577897</v>
      </c>
      <c r="R17" s="142">
        <v>149.33023875000001</v>
      </c>
      <c r="S17" s="136">
        <v>272.40613784999999</v>
      </c>
      <c r="T17" s="137">
        <v>11441.0577897</v>
      </c>
      <c r="U17" s="142">
        <v>155.30344830000001</v>
      </c>
      <c r="V17" s="136">
        <v>283.30238336400004</v>
      </c>
      <c r="W17" s="137">
        <v>11898.700101288001</v>
      </c>
      <c r="X17" s="136">
        <v>161.50558623200004</v>
      </c>
      <c r="Y17" s="136">
        <v>294.62947869856009</v>
      </c>
      <c r="Z17" s="137">
        <v>12374.438105339525</v>
      </c>
      <c r="AA17" s="136">
        <v>169.58086554360005</v>
      </c>
      <c r="AB17" s="136">
        <v>309.36095263348807</v>
      </c>
      <c r="AC17" s="137">
        <v>12993.160010606498</v>
      </c>
      <c r="AD17" s="136">
        <v>174.67</v>
      </c>
      <c r="AE17" s="139">
        <v>318.64</v>
      </c>
      <c r="AF17" s="137">
        <f t="shared" si="20"/>
        <v>13382.88</v>
      </c>
      <c r="AG17" s="136">
        <f t="shared" si="8"/>
        <v>179.9101</v>
      </c>
      <c r="AH17" s="139">
        <f t="shared" si="8"/>
        <v>328.19920000000002</v>
      </c>
      <c r="AI17" s="137">
        <f>AH17*42</f>
        <v>13784.366400000001</v>
      </c>
      <c r="AJ17" s="136">
        <f t="shared" si="9"/>
        <v>185.30740299999999</v>
      </c>
      <c r="AK17" s="139">
        <f t="shared" si="9"/>
        <v>338.04517600000003</v>
      </c>
      <c r="AL17" s="137">
        <f t="shared" si="22"/>
        <v>14197.897392000001</v>
      </c>
      <c r="AM17" s="256" t="s">
        <v>80</v>
      </c>
      <c r="AN17" s="274">
        <v>157.31990619000001</v>
      </c>
      <c r="AO17" s="275">
        <v>157.31990619000001</v>
      </c>
      <c r="AP17" s="276">
        <v>6607.4360599800002</v>
      </c>
      <c r="AQ17" s="256" t="s">
        <v>80</v>
      </c>
      <c r="AR17" s="274">
        <f t="shared" si="10"/>
        <v>162.03950337570001</v>
      </c>
      <c r="AS17" s="275">
        <f t="shared" si="11"/>
        <v>162.03950337570001</v>
      </c>
      <c r="AT17" s="276">
        <f t="shared" si="12"/>
        <v>6805.6591417794007</v>
      </c>
      <c r="AU17" s="274">
        <f t="shared" si="13"/>
        <v>166.900688476971</v>
      </c>
      <c r="AV17" s="275">
        <f t="shared" si="14"/>
        <v>166.900688476971</v>
      </c>
      <c r="AW17" s="276">
        <f t="shared" si="15"/>
        <v>7009.8289160327831</v>
      </c>
      <c r="AX17" s="274">
        <f t="shared" si="16"/>
        <v>171.90770913128014</v>
      </c>
      <c r="AY17" s="275">
        <f t="shared" si="17"/>
        <v>171.90770913128014</v>
      </c>
      <c r="AZ17" s="276">
        <f t="shared" si="18"/>
        <v>7220.1237835137672</v>
      </c>
      <c r="BA17" s="274">
        <f t="shared" si="19"/>
        <v>177.06494040521855</v>
      </c>
      <c r="BB17" s="275">
        <f t="shared" si="0"/>
        <v>177.06494040521855</v>
      </c>
      <c r="BC17" s="276">
        <f t="shared" si="1"/>
        <v>7436.7274970191802</v>
      </c>
      <c r="BD17" s="274">
        <f t="shared" si="2"/>
        <v>182.3768886173751</v>
      </c>
      <c r="BE17" s="275">
        <f t="shared" si="3"/>
        <v>182.3768886173751</v>
      </c>
      <c r="BF17" s="276">
        <f t="shared" si="4"/>
        <v>7659.8293219297557</v>
      </c>
      <c r="BG17" s="274">
        <f t="shared" si="5"/>
        <v>187.84819527589636</v>
      </c>
      <c r="BH17" s="275">
        <f t="shared" si="6"/>
        <v>187.84819527589636</v>
      </c>
      <c r="BI17" s="276">
        <f t="shared" si="7"/>
        <v>7889.6242015876487</v>
      </c>
    </row>
    <row r="18" spans="1:61" ht="15" thickBot="1">
      <c r="A18" s="90">
        <v>210</v>
      </c>
      <c r="B18" s="81" t="s">
        <v>77</v>
      </c>
      <c r="C18" s="91">
        <v>15</v>
      </c>
      <c r="D18" s="92">
        <v>15</v>
      </c>
      <c r="E18" s="93">
        <v>630</v>
      </c>
      <c r="F18" s="148">
        <v>35.32</v>
      </c>
      <c r="G18" s="85">
        <v>35.32</v>
      </c>
      <c r="H18" s="93">
        <v>1483.44</v>
      </c>
      <c r="I18" s="92">
        <v>37.262599999999999</v>
      </c>
      <c r="J18" s="92">
        <v>37.26</v>
      </c>
      <c r="K18" s="93">
        <v>1564.9199999999998</v>
      </c>
      <c r="L18" s="92">
        <v>39.125729999999997</v>
      </c>
      <c r="M18" s="92">
        <v>39.125729999999997</v>
      </c>
      <c r="N18" s="93">
        <v>1643.2806599999999</v>
      </c>
      <c r="O18" s="92">
        <v>40.886387849999991</v>
      </c>
      <c r="P18" s="92">
        <v>40.886387849999991</v>
      </c>
      <c r="Q18" s="93">
        <v>1717.2282896999996</v>
      </c>
      <c r="R18" s="92">
        <v>63.55</v>
      </c>
      <c r="S18" s="92">
        <v>63.55</v>
      </c>
      <c r="T18" s="93">
        <v>2669.1</v>
      </c>
      <c r="U18" s="92">
        <v>66.091999999999999</v>
      </c>
      <c r="V18" s="92">
        <v>66.091999999999999</v>
      </c>
      <c r="W18" s="93">
        <v>2775.864</v>
      </c>
      <c r="X18" s="92">
        <v>68.725679999999997</v>
      </c>
      <c r="Y18" s="92">
        <v>68.725679999999997</v>
      </c>
      <c r="Z18" s="93">
        <v>2886.47856</v>
      </c>
      <c r="AA18" s="92">
        <v>72.161963999999998</v>
      </c>
      <c r="AB18" s="92">
        <v>72.161963999999998</v>
      </c>
      <c r="AC18" s="93">
        <v>3030.8024879999998</v>
      </c>
      <c r="AD18" s="92">
        <v>74.319999999999993</v>
      </c>
      <c r="AE18" s="96">
        <v>74.319999999999993</v>
      </c>
      <c r="AF18" s="93">
        <f t="shared" si="20"/>
        <v>3121.4399999999996</v>
      </c>
      <c r="AG18" s="92">
        <f t="shared" si="8"/>
        <v>76.549599999999998</v>
      </c>
      <c r="AH18" s="96">
        <f t="shared" si="8"/>
        <v>76.549599999999998</v>
      </c>
      <c r="AI18" s="93">
        <f t="shared" si="21"/>
        <v>3215.0832</v>
      </c>
      <c r="AJ18" s="92">
        <f t="shared" si="9"/>
        <v>78.846087999999995</v>
      </c>
      <c r="AK18" s="96">
        <f t="shared" si="9"/>
        <v>78.846087999999995</v>
      </c>
      <c r="AL18" s="93">
        <f t="shared" si="22"/>
        <v>3311.5356959999999</v>
      </c>
      <c r="AM18" s="258" t="s">
        <v>81</v>
      </c>
      <c r="AN18" s="277">
        <v>190.86662508999999</v>
      </c>
      <c r="AO18" s="278">
        <v>348.18653128000005</v>
      </c>
      <c r="AP18" s="279">
        <v>14623.83431376</v>
      </c>
      <c r="AQ18" s="258" t="s">
        <v>81</v>
      </c>
      <c r="AR18" s="277">
        <f t="shared" si="10"/>
        <v>196.59262384269999</v>
      </c>
      <c r="AS18" s="278">
        <f t="shared" si="11"/>
        <v>358.63212721840006</v>
      </c>
      <c r="AT18" s="279">
        <f t="shared" si="12"/>
        <v>15062.549343172801</v>
      </c>
      <c r="AU18" s="277">
        <f t="shared" si="13"/>
        <v>202.49040255798099</v>
      </c>
      <c r="AV18" s="278">
        <f t="shared" si="14"/>
        <v>369.39109103495207</v>
      </c>
      <c r="AW18" s="279">
        <f t="shared" si="15"/>
        <v>15514.425823467986</v>
      </c>
      <c r="AX18" s="277">
        <f t="shared" si="16"/>
        <v>208.56511463472043</v>
      </c>
      <c r="AY18" s="278">
        <f t="shared" si="17"/>
        <v>380.47282376600066</v>
      </c>
      <c r="AZ18" s="279">
        <f t="shared" si="18"/>
        <v>15979.858598172026</v>
      </c>
      <c r="BA18" s="277">
        <f t="shared" si="19"/>
        <v>214.82206807376204</v>
      </c>
      <c r="BB18" s="278">
        <f t="shared" si="0"/>
        <v>391.8870084789807</v>
      </c>
      <c r="BC18" s="279">
        <f t="shared" si="1"/>
        <v>16459.254356117188</v>
      </c>
      <c r="BD18" s="277">
        <f t="shared" si="2"/>
        <v>221.26673011597489</v>
      </c>
      <c r="BE18" s="278">
        <f t="shared" si="3"/>
        <v>403.64361873335014</v>
      </c>
      <c r="BF18" s="279">
        <f t="shared" si="4"/>
        <v>16953.031986800703</v>
      </c>
      <c r="BG18" s="277">
        <f t="shared" si="5"/>
        <v>227.90473201945414</v>
      </c>
      <c r="BH18" s="278">
        <f t="shared" si="6"/>
        <v>415.75292729535067</v>
      </c>
      <c r="BI18" s="279">
        <f t="shared" si="7"/>
        <v>17461.622946404725</v>
      </c>
    </row>
    <row r="19" spans="1:61" ht="14.25">
      <c r="A19" s="90">
        <v>260</v>
      </c>
      <c r="B19" s="81" t="s">
        <v>80</v>
      </c>
      <c r="C19" s="91">
        <v>100</v>
      </c>
      <c r="D19" s="92">
        <v>100</v>
      </c>
      <c r="E19" s="93">
        <v>4200</v>
      </c>
      <c r="F19" s="105">
        <v>106.32</v>
      </c>
      <c r="G19" s="92">
        <v>106.32</v>
      </c>
      <c r="H19" s="93">
        <v>4465.4399999999996</v>
      </c>
      <c r="I19" s="92">
        <v>112.16759999999999</v>
      </c>
      <c r="J19" s="92">
        <v>112.16759999999999</v>
      </c>
      <c r="K19" s="93">
        <v>4711.0391999999993</v>
      </c>
      <c r="L19" s="92">
        <v>117.77598</v>
      </c>
      <c r="M19" s="92">
        <v>117.77598</v>
      </c>
      <c r="N19" s="93">
        <v>4946.5911599999999</v>
      </c>
      <c r="O19" s="92">
        <v>123.0758991</v>
      </c>
      <c r="P19" s="92">
        <v>123.0758991</v>
      </c>
      <c r="Q19" s="93">
        <v>5169.1877622000002</v>
      </c>
      <c r="R19" s="92">
        <v>123.0758991</v>
      </c>
      <c r="S19" s="92">
        <v>123.0758991</v>
      </c>
      <c r="T19" s="93">
        <v>5169.1877622000002</v>
      </c>
      <c r="U19" s="92">
        <v>127.99893506400001</v>
      </c>
      <c r="V19" s="92">
        <v>127.99893506400001</v>
      </c>
      <c r="W19" s="93">
        <v>5375.9552726880002</v>
      </c>
      <c r="X19" s="92">
        <v>133.11889246656003</v>
      </c>
      <c r="Y19" s="92">
        <v>133.11889246656003</v>
      </c>
      <c r="Z19" s="93">
        <v>5590.993483595521</v>
      </c>
      <c r="AA19" s="92">
        <v>139.78008708988804</v>
      </c>
      <c r="AB19" s="92">
        <v>139.78008708988804</v>
      </c>
      <c r="AC19" s="93">
        <v>5870.7636577752974</v>
      </c>
      <c r="AD19" s="92">
        <v>143.97</v>
      </c>
      <c r="AE19" s="96">
        <v>143.97</v>
      </c>
      <c r="AF19" s="93">
        <f t="shared" si="20"/>
        <v>6046.74</v>
      </c>
      <c r="AG19" s="92">
        <f t="shared" si="8"/>
        <v>148.28909999999999</v>
      </c>
      <c r="AH19" s="96">
        <f t="shared" si="8"/>
        <v>148.28909999999999</v>
      </c>
      <c r="AI19" s="93">
        <f t="shared" si="21"/>
        <v>6228.1421999999993</v>
      </c>
      <c r="AJ19" s="92">
        <f t="shared" si="9"/>
        <v>152.737773</v>
      </c>
      <c r="AK19" s="96">
        <f t="shared" si="9"/>
        <v>152.737773</v>
      </c>
      <c r="AL19" s="93">
        <f t="shared" si="22"/>
        <v>6414.9864660000003</v>
      </c>
      <c r="AM19" s="256" t="s">
        <v>77</v>
      </c>
      <c r="AN19" s="274">
        <v>81.211470640000002</v>
      </c>
      <c r="AO19" s="275">
        <v>81.211470640000002</v>
      </c>
      <c r="AP19" s="276">
        <v>3410.8817668800002</v>
      </c>
      <c r="AQ19" s="256" t="s">
        <v>77</v>
      </c>
      <c r="AR19" s="274">
        <f t="shared" si="10"/>
        <v>83.647814759200003</v>
      </c>
      <c r="AS19" s="275">
        <f t="shared" si="11"/>
        <v>83.647814759200003</v>
      </c>
      <c r="AT19" s="276">
        <f t="shared" si="12"/>
        <v>3513.2082198864005</v>
      </c>
      <c r="AU19" s="274">
        <f t="shared" si="13"/>
        <v>86.157249201976001</v>
      </c>
      <c r="AV19" s="275">
        <f t="shared" si="14"/>
        <v>86.157249201976001</v>
      </c>
      <c r="AW19" s="276">
        <f t="shared" si="15"/>
        <v>3618.6044664829924</v>
      </c>
      <c r="AX19" s="274">
        <f t="shared" si="16"/>
        <v>88.741966678035283</v>
      </c>
      <c r="AY19" s="275">
        <f t="shared" si="17"/>
        <v>88.741966678035283</v>
      </c>
      <c r="AZ19" s="276">
        <f t="shared" si="18"/>
        <v>3727.1626004774821</v>
      </c>
      <c r="BA19" s="274">
        <f t="shared" si="19"/>
        <v>91.404225678376349</v>
      </c>
      <c r="BB19" s="275">
        <f t="shared" si="0"/>
        <v>91.404225678376349</v>
      </c>
      <c r="BC19" s="276">
        <f t="shared" si="1"/>
        <v>3838.9774784918068</v>
      </c>
      <c r="BD19" s="274">
        <f t="shared" si="2"/>
        <v>94.14635244872764</v>
      </c>
      <c r="BE19" s="275">
        <f t="shared" si="3"/>
        <v>94.14635244872764</v>
      </c>
      <c r="BF19" s="276">
        <f t="shared" si="4"/>
        <v>3954.1468028465611</v>
      </c>
      <c r="BG19" s="274">
        <f t="shared" si="5"/>
        <v>96.970743022189467</v>
      </c>
      <c r="BH19" s="275">
        <f t="shared" si="6"/>
        <v>96.970743022189467</v>
      </c>
      <c r="BI19" s="276">
        <f t="shared" si="7"/>
        <v>4072.7712069319582</v>
      </c>
    </row>
    <row r="20" spans="1:61" ht="14.25">
      <c r="A20" s="97">
        <v>231</v>
      </c>
      <c r="B20" s="82" t="s">
        <v>82</v>
      </c>
      <c r="C20" s="98">
        <v>22.089552238805972</v>
      </c>
      <c r="D20" s="99">
        <v>122.09</v>
      </c>
      <c r="E20" s="100">
        <v>5127.78</v>
      </c>
      <c r="F20" s="98">
        <v>22.089552238805972</v>
      </c>
      <c r="G20" s="99">
        <v>128.40955223880596</v>
      </c>
      <c r="H20" s="100">
        <v>5393.2011940298498</v>
      </c>
      <c r="I20" s="98">
        <v>23.3044776119403</v>
      </c>
      <c r="J20" s="99">
        <v>135.47207761194028</v>
      </c>
      <c r="K20" s="100">
        <v>5689.827259701492</v>
      </c>
      <c r="L20" s="98">
        <v>24.469701492537315</v>
      </c>
      <c r="M20" s="99">
        <v>142.24568149253733</v>
      </c>
      <c r="N20" s="100">
        <v>5974.3186226865682</v>
      </c>
      <c r="O20" s="98">
        <v>25.570838059701494</v>
      </c>
      <c r="P20" s="99">
        <v>148.6467371597015</v>
      </c>
      <c r="Q20" s="100">
        <v>6243.1629607074628</v>
      </c>
      <c r="R20" s="98">
        <v>25.570838059701494</v>
      </c>
      <c r="S20" s="99">
        <v>148.6467371597015</v>
      </c>
      <c r="T20" s="100">
        <v>6243.1629607074628</v>
      </c>
      <c r="U20" s="98">
        <v>26.593671582089556</v>
      </c>
      <c r="V20" s="99">
        <v>154.59260664608956</v>
      </c>
      <c r="W20" s="100">
        <v>6492.8894791357616</v>
      </c>
      <c r="X20" s="99">
        <v>27.647418445373138</v>
      </c>
      <c r="Y20" s="99">
        <v>160.76631091193318</v>
      </c>
      <c r="Z20" s="100">
        <v>6752.1850583011937</v>
      </c>
      <c r="AA20" s="99">
        <v>29.029789367641797</v>
      </c>
      <c r="AB20" s="99">
        <v>168.80987645752984</v>
      </c>
      <c r="AC20" s="100">
        <v>7090.0148112162533</v>
      </c>
      <c r="AD20" s="99">
        <v>29.9</v>
      </c>
      <c r="AE20" s="96">
        <v>173.87</v>
      </c>
      <c r="AF20" s="100">
        <f t="shared" si="20"/>
        <v>7302.54</v>
      </c>
      <c r="AG20" s="99">
        <f t="shared" si="8"/>
        <v>30.797000000000001</v>
      </c>
      <c r="AH20" s="96">
        <f t="shared" si="8"/>
        <v>179.08610000000002</v>
      </c>
      <c r="AI20" s="100">
        <f t="shared" si="21"/>
        <v>7521.6162000000004</v>
      </c>
      <c r="AJ20" s="99">
        <f t="shared" si="9"/>
        <v>31.72091</v>
      </c>
      <c r="AK20" s="96">
        <f t="shared" si="9"/>
        <v>184.45868300000001</v>
      </c>
      <c r="AL20" s="100">
        <f>AK20*42</f>
        <v>7747.2646860000004</v>
      </c>
      <c r="AM20" s="256" t="s">
        <v>80</v>
      </c>
      <c r="AN20" s="274">
        <v>157.31990619000001</v>
      </c>
      <c r="AO20" s="275">
        <v>157.31990619000001</v>
      </c>
      <c r="AP20" s="276">
        <v>6607.4360599800002</v>
      </c>
      <c r="AQ20" s="256" t="s">
        <v>80</v>
      </c>
      <c r="AR20" s="274">
        <f t="shared" si="10"/>
        <v>162.03950337570001</v>
      </c>
      <c r="AS20" s="275">
        <f t="shared" si="11"/>
        <v>162.03950337570001</v>
      </c>
      <c r="AT20" s="276">
        <f t="shared" si="12"/>
        <v>6805.6591417794007</v>
      </c>
      <c r="AU20" s="274">
        <f t="shared" si="13"/>
        <v>166.900688476971</v>
      </c>
      <c r="AV20" s="275">
        <f t="shared" si="14"/>
        <v>166.900688476971</v>
      </c>
      <c r="AW20" s="276">
        <f t="shared" si="15"/>
        <v>7009.8289160327831</v>
      </c>
      <c r="AX20" s="274">
        <f t="shared" si="16"/>
        <v>171.90770913128014</v>
      </c>
      <c r="AY20" s="275">
        <f t="shared" si="17"/>
        <v>171.90770913128014</v>
      </c>
      <c r="AZ20" s="276">
        <f t="shared" si="18"/>
        <v>7220.1237835137672</v>
      </c>
      <c r="BA20" s="274">
        <f t="shared" si="19"/>
        <v>177.06494040521855</v>
      </c>
      <c r="BB20" s="275">
        <f t="shared" si="0"/>
        <v>177.06494040521855</v>
      </c>
      <c r="BC20" s="276">
        <f t="shared" si="1"/>
        <v>7436.7274970191802</v>
      </c>
      <c r="BD20" s="274">
        <f t="shared" si="2"/>
        <v>182.3768886173751</v>
      </c>
      <c r="BE20" s="275">
        <f t="shared" si="3"/>
        <v>182.3768886173751</v>
      </c>
      <c r="BF20" s="276">
        <f t="shared" si="4"/>
        <v>7659.8293219297557</v>
      </c>
      <c r="BG20" s="274">
        <f t="shared" si="5"/>
        <v>187.84819527589636</v>
      </c>
      <c r="BH20" s="275">
        <f t="shared" si="6"/>
        <v>187.84819527589636</v>
      </c>
      <c r="BI20" s="276">
        <f t="shared" si="7"/>
        <v>7889.6242015876487</v>
      </c>
    </row>
    <row r="21" spans="1:61" ht="14.25">
      <c r="A21" s="90">
        <v>221</v>
      </c>
      <c r="B21" s="81" t="s">
        <v>83</v>
      </c>
      <c r="C21" s="91">
        <v>40</v>
      </c>
      <c r="D21" s="92">
        <v>140</v>
      </c>
      <c r="E21" s="93">
        <v>5880</v>
      </c>
      <c r="F21" s="105">
        <v>40</v>
      </c>
      <c r="G21" s="92">
        <v>146.32</v>
      </c>
      <c r="H21" s="93">
        <v>6145.44</v>
      </c>
      <c r="I21" s="92">
        <v>42.2</v>
      </c>
      <c r="J21" s="92">
        <v>154.36759999999998</v>
      </c>
      <c r="K21" s="93">
        <v>6483.4391999999989</v>
      </c>
      <c r="L21" s="92">
        <v>44.31</v>
      </c>
      <c r="M21" s="92">
        <v>162.08598000000001</v>
      </c>
      <c r="N21" s="93">
        <v>6807.6111600000004</v>
      </c>
      <c r="O21" s="92">
        <v>46.30395</v>
      </c>
      <c r="P21" s="92">
        <v>169.3798491</v>
      </c>
      <c r="Q21" s="93">
        <v>7113.9536621999996</v>
      </c>
      <c r="R21" s="92">
        <v>46.30395</v>
      </c>
      <c r="S21" s="92">
        <v>169.3798491</v>
      </c>
      <c r="T21" s="93">
        <v>7113.9536621999996</v>
      </c>
      <c r="U21" s="92">
        <v>48.156108000000003</v>
      </c>
      <c r="V21" s="92">
        <v>176.15504306400001</v>
      </c>
      <c r="W21" s="93">
        <v>7398.5118086880002</v>
      </c>
      <c r="X21" s="92">
        <v>50.092352320000003</v>
      </c>
      <c r="Y21" s="92">
        <v>183.21124478656003</v>
      </c>
      <c r="Z21" s="93">
        <v>7694.8722810355212</v>
      </c>
      <c r="AA21" s="92">
        <v>52.58696993600001</v>
      </c>
      <c r="AB21" s="92">
        <v>192.36705702588804</v>
      </c>
      <c r="AC21" s="93">
        <v>8079.416395087298</v>
      </c>
      <c r="AD21" s="92">
        <v>54.17</v>
      </c>
      <c r="AE21" s="96">
        <v>198.14</v>
      </c>
      <c r="AF21" s="93">
        <f t="shared" si="20"/>
        <v>8321.8799999999992</v>
      </c>
      <c r="AG21" s="92">
        <f>AD21*(1+$AI$2)-0.01</f>
        <v>55.785100000000007</v>
      </c>
      <c r="AH21" s="96">
        <f t="shared" si="8"/>
        <v>204.08419999999998</v>
      </c>
      <c r="AI21" s="93">
        <f t="shared" si="21"/>
        <v>8571.536399999999</v>
      </c>
      <c r="AJ21" s="92">
        <f>AG21*(1+$AI$2)-0.01</f>
        <v>57.448653000000007</v>
      </c>
      <c r="AK21" s="96">
        <f>AH21*(1+$AI$2)-0.02</f>
        <v>210.18672599999996</v>
      </c>
      <c r="AL21" s="93">
        <f t="shared" si="22"/>
        <v>8827.8424919999979</v>
      </c>
      <c r="AM21" s="256" t="s">
        <v>82</v>
      </c>
      <c r="AN21" s="274">
        <v>32.672537300000002</v>
      </c>
      <c r="AO21" s="275">
        <v>189.99244349</v>
      </c>
      <c r="AP21" s="276">
        <v>7979.6826265800009</v>
      </c>
      <c r="AQ21" s="256" t="s">
        <v>82</v>
      </c>
      <c r="AR21" s="274">
        <f t="shared" si="10"/>
        <v>33.652713419000001</v>
      </c>
      <c r="AS21" s="275">
        <f t="shared" si="11"/>
        <v>195.69221679470002</v>
      </c>
      <c r="AT21" s="276">
        <f t="shared" si="12"/>
        <v>8219.0731053774016</v>
      </c>
      <c r="AU21" s="274">
        <f t="shared" si="13"/>
        <v>34.662294821570001</v>
      </c>
      <c r="AV21" s="275">
        <f t="shared" si="14"/>
        <v>201.56298329854101</v>
      </c>
      <c r="AW21" s="276">
        <f t="shared" si="15"/>
        <v>8465.6452985387241</v>
      </c>
      <c r="AX21" s="274">
        <f t="shared" si="16"/>
        <v>35.702163666217103</v>
      </c>
      <c r="AY21" s="275">
        <f t="shared" si="17"/>
        <v>207.60987279749725</v>
      </c>
      <c r="AZ21" s="276">
        <f t="shared" si="18"/>
        <v>8719.6146574948853</v>
      </c>
      <c r="BA21" s="274">
        <f t="shared" si="19"/>
        <v>36.773228576203614</v>
      </c>
      <c r="BB21" s="275">
        <f t="shared" si="0"/>
        <v>213.83816898142217</v>
      </c>
      <c r="BC21" s="276">
        <f t="shared" si="1"/>
        <v>8981.2030972197317</v>
      </c>
      <c r="BD21" s="274">
        <f t="shared" si="2"/>
        <v>37.876425433489722</v>
      </c>
      <c r="BE21" s="275">
        <f t="shared" si="3"/>
        <v>220.25331405086484</v>
      </c>
      <c r="BF21" s="276">
        <f t="shared" si="4"/>
        <v>9250.639190136324</v>
      </c>
      <c r="BG21" s="274">
        <f t="shared" si="5"/>
        <v>39.012718196494411</v>
      </c>
      <c r="BH21" s="275">
        <f t="shared" si="6"/>
        <v>226.86091347239079</v>
      </c>
      <c r="BI21" s="276">
        <f t="shared" si="7"/>
        <v>9528.1583658404143</v>
      </c>
    </row>
    <row r="22" spans="1:61" ht="14.25">
      <c r="A22" s="90">
        <v>225</v>
      </c>
      <c r="B22" s="81" t="s">
        <v>84</v>
      </c>
      <c r="C22" s="91">
        <v>19.07</v>
      </c>
      <c r="D22" s="92">
        <v>159.07</v>
      </c>
      <c r="E22" s="93">
        <v>6680.94</v>
      </c>
      <c r="F22" s="105">
        <v>74</v>
      </c>
      <c r="G22" s="92">
        <v>220.32</v>
      </c>
      <c r="H22" s="93">
        <v>9253.44</v>
      </c>
      <c r="I22" s="92">
        <v>78.069999999999993</v>
      </c>
      <c r="J22" s="92">
        <v>232.43759999999997</v>
      </c>
      <c r="K22" s="93">
        <v>9762.3791999999994</v>
      </c>
      <c r="L22" s="92">
        <v>81.973500000000001</v>
      </c>
      <c r="M22" s="92">
        <v>244.05948000000001</v>
      </c>
      <c r="N22" s="93">
        <v>10250.498160000001</v>
      </c>
      <c r="O22" s="92">
        <v>85.662307499999997</v>
      </c>
      <c r="P22" s="92">
        <v>255.0421566</v>
      </c>
      <c r="Q22" s="93">
        <v>10711.770577200001</v>
      </c>
      <c r="R22" s="92">
        <v>85.662307499999997</v>
      </c>
      <c r="S22" s="92">
        <v>255.0421566</v>
      </c>
      <c r="T22" s="93">
        <v>10711.770577200001</v>
      </c>
      <c r="U22" s="92">
        <v>89.088799800000004</v>
      </c>
      <c r="V22" s="92">
        <v>265.24384286400004</v>
      </c>
      <c r="W22" s="93">
        <v>11140.241400288001</v>
      </c>
      <c r="X22" s="92">
        <v>92.642351791999999</v>
      </c>
      <c r="Y22" s="92">
        <v>275.85359657856003</v>
      </c>
      <c r="Z22" s="93">
        <v>11585.851056299522</v>
      </c>
      <c r="AA22" s="92">
        <v>97.284469381600005</v>
      </c>
      <c r="AB22" s="92">
        <v>289.65152640748806</v>
      </c>
      <c r="AC22" s="93">
        <v>12165.364109114498</v>
      </c>
      <c r="AD22" s="92">
        <v>100.2</v>
      </c>
      <c r="AE22" s="96">
        <v>298.33999999999997</v>
      </c>
      <c r="AF22" s="93">
        <f t="shared" si="20"/>
        <v>12530.279999999999</v>
      </c>
      <c r="AG22" s="92">
        <f t="shared" si="8"/>
        <v>103.206</v>
      </c>
      <c r="AH22" s="96">
        <f t="shared" si="8"/>
        <v>307.29019999999997</v>
      </c>
      <c r="AI22" s="93">
        <f t="shared" si="21"/>
        <v>12906.188399999999</v>
      </c>
      <c r="AJ22" s="92">
        <f t="shared" ref="AJ22:AK35" si="23">AG22*(1+$AI$2)</f>
        <v>106.30218000000001</v>
      </c>
      <c r="AK22" s="96">
        <f>AH22*(1+$AI$2)-0.02</f>
        <v>316.48890599999999</v>
      </c>
      <c r="AL22" s="93">
        <f t="shared" si="22"/>
        <v>13292.534051999999</v>
      </c>
      <c r="AM22" s="256" t="s">
        <v>83</v>
      </c>
      <c r="AN22" s="274">
        <v>59.172112590000012</v>
      </c>
      <c r="AO22" s="275">
        <v>216.49232777999998</v>
      </c>
      <c r="AP22" s="276">
        <v>9092.6777667599981</v>
      </c>
      <c r="AQ22" s="256" t="s">
        <v>83</v>
      </c>
      <c r="AR22" s="274">
        <f t="shared" si="10"/>
        <v>60.947275967700016</v>
      </c>
      <c r="AS22" s="275">
        <f t="shared" si="11"/>
        <v>222.98709761339998</v>
      </c>
      <c r="AT22" s="276">
        <f t="shared" si="12"/>
        <v>9365.4580997627982</v>
      </c>
      <c r="AU22" s="274">
        <f t="shared" si="13"/>
        <v>62.775694246731021</v>
      </c>
      <c r="AV22" s="275">
        <f t="shared" si="14"/>
        <v>229.67671054180198</v>
      </c>
      <c r="AW22" s="276">
        <f t="shared" si="15"/>
        <v>9646.4218427556825</v>
      </c>
      <c r="AX22" s="274">
        <f t="shared" si="16"/>
        <v>64.658965074132951</v>
      </c>
      <c r="AY22" s="275">
        <f t="shared" si="17"/>
        <v>236.56701185805605</v>
      </c>
      <c r="AZ22" s="276">
        <f t="shared" si="18"/>
        <v>9935.8144980383531</v>
      </c>
      <c r="BA22" s="274">
        <f t="shared" si="19"/>
        <v>66.598734026356937</v>
      </c>
      <c r="BB22" s="275">
        <f t="shared" si="0"/>
        <v>243.66402221379775</v>
      </c>
      <c r="BC22" s="276">
        <f t="shared" si="1"/>
        <v>10233.888932979504</v>
      </c>
      <c r="BD22" s="274">
        <f t="shared" si="2"/>
        <v>68.596696047147645</v>
      </c>
      <c r="BE22" s="275">
        <f t="shared" si="3"/>
        <v>250.97394288021169</v>
      </c>
      <c r="BF22" s="276">
        <f t="shared" si="4"/>
        <v>10540.905600968888</v>
      </c>
      <c r="BG22" s="274">
        <f t="shared" si="5"/>
        <v>70.654596928562071</v>
      </c>
      <c r="BH22" s="275">
        <f t="shared" si="6"/>
        <v>258.50316116661804</v>
      </c>
      <c r="BI22" s="276">
        <f t="shared" si="7"/>
        <v>10857.132768997955</v>
      </c>
    </row>
    <row r="23" spans="1:61" ht="14.25">
      <c r="A23" s="90">
        <v>228</v>
      </c>
      <c r="B23" s="81" t="s">
        <v>85</v>
      </c>
      <c r="C23" s="91">
        <v>47.68</v>
      </c>
      <c r="D23" s="92">
        <v>206.75</v>
      </c>
      <c r="E23" s="93">
        <v>8683.5</v>
      </c>
      <c r="F23" s="105">
        <v>15</v>
      </c>
      <c r="G23" s="92">
        <v>235.32</v>
      </c>
      <c r="H23" s="93">
        <v>9883.44</v>
      </c>
      <c r="I23" s="92">
        <v>15.824999999999999</v>
      </c>
      <c r="J23" s="92">
        <v>248.27259999999995</v>
      </c>
      <c r="K23" s="93">
        <v>10427.449199999997</v>
      </c>
      <c r="L23" s="92">
        <v>16.616250000000001</v>
      </c>
      <c r="M23" s="92">
        <v>260.67572999999999</v>
      </c>
      <c r="N23" s="93">
        <v>10948.380659999999</v>
      </c>
      <c r="O23" s="92">
        <v>17.372289375000001</v>
      </c>
      <c r="P23" s="92">
        <v>272.41444597499998</v>
      </c>
      <c r="Q23" s="93">
        <v>11441.406730949999</v>
      </c>
      <c r="R23" s="92">
        <v>17.363981249999998</v>
      </c>
      <c r="S23" s="92">
        <v>272.40613784999999</v>
      </c>
      <c r="T23" s="93">
        <v>11441.0577897</v>
      </c>
      <c r="U23" s="92">
        <v>18.058540499999999</v>
      </c>
      <c r="V23" s="92">
        <v>283.30238336400004</v>
      </c>
      <c r="W23" s="93">
        <v>11898.700101288001</v>
      </c>
      <c r="X23" s="92">
        <v>18.780882120000001</v>
      </c>
      <c r="Y23" s="92">
        <v>294.63447869856003</v>
      </c>
      <c r="Z23" s="93">
        <v>12374.648105339522</v>
      </c>
      <c r="AA23" s="92">
        <v>19.709926226</v>
      </c>
      <c r="AB23" s="92">
        <v>309.36145263348806</v>
      </c>
      <c r="AC23" s="93">
        <v>12993.181010606499</v>
      </c>
      <c r="AD23" s="92">
        <v>20.3</v>
      </c>
      <c r="AE23" s="96">
        <v>318.64</v>
      </c>
      <c r="AF23" s="93">
        <f t="shared" si="20"/>
        <v>13382.88</v>
      </c>
      <c r="AG23" s="92">
        <f t="shared" si="8"/>
        <v>20.909000000000002</v>
      </c>
      <c r="AH23" s="96">
        <f t="shared" si="8"/>
        <v>328.19920000000002</v>
      </c>
      <c r="AI23" s="93">
        <f t="shared" si="21"/>
        <v>13784.366400000001</v>
      </c>
      <c r="AJ23" s="92">
        <f>AG23*(1+$AI$2)+0.03</f>
        <v>21.566270000000003</v>
      </c>
      <c r="AK23" s="96">
        <f>AH23*(1+$AI$2)</f>
        <v>338.04517600000003</v>
      </c>
      <c r="AL23" s="93">
        <f t="shared" si="22"/>
        <v>14197.897392000001</v>
      </c>
      <c r="AM23" s="256" t="s">
        <v>84</v>
      </c>
      <c r="AN23" s="274">
        <v>109.49124540000001</v>
      </c>
      <c r="AO23" s="275">
        <v>325.98357318000001</v>
      </c>
      <c r="AP23" s="276">
        <v>13691.31007356</v>
      </c>
      <c r="AQ23" s="256" t="s">
        <v>84</v>
      </c>
      <c r="AR23" s="274">
        <f t="shared" si="10"/>
        <v>112.77598276200001</v>
      </c>
      <c r="AS23" s="275">
        <f t="shared" si="11"/>
        <v>335.76308037540002</v>
      </c>
      <c r="AT23" s="276">
        <f t="shared" si="12"/>
        <v>14102.049375766801</v>
      </c>
      <c r="AU23" s="274">
        <f t="shared" si="13"/>
        <v>116.15926224486002</v>
      </c>
      <c r="AV23" s="275">
        <f t="shared" si="14"/>
        <v>345.83597278666201</v>
      </c>
      <c r="AW23" s="276">
        <f t="shared" si="15"/>
        <v>14525.110857039805</v>
      </c>
      <c r="AX23" s="274">
        <f t="shared" si="16"/>
        <v>119.64404011220581</v>
      </c>
      <c r="AY23" s="275">
        <f t="shared" si="17"/>
        <v>356.21105197026191</v>
      </c>
      <c r="AZ23" s="276">
        <f t="shared" si="18"/>
        <v>14960.864182751</v>
      </c>
      <c r="BA23" s="274">
        <f t="shared" si="19"/>
        <v>123.233361315572</v>
      </c>
      <c r="BB23" s="275">
        <f t="shared" si="0"/>
        <v>366.89738352936979</v>
      </c>
      <c r="BC23" s="276">
        <f t="shared" si="1"/>
        <v>15409.69010823353</v>
      </c>
      <c r="BD23" s="274">
        <f t="shared" si="2"/>
        <v>126.93036215503916</v>
      </c>
      <c r="BE23" s="275">
        <f t="shared" si="3"/>
        <v>377.9043050352509</v>
      </c>
      <c r="BF23" s="276">
        <f t="shared" si="4"/>
        <v>15871.980811480536</v>
      </c>
      <c r="BG23" s="274">
        <f t="shared" si="5"/>
        <v>130.73827301969035</v>
      </c>
      <c r="BH23" s="275">
        <f t="shared" si="6"/>
        <v>389.24143418630842</v>
      </c>
      <c r="BI23" s="276">
        <f t="shared" si="7"/>
        <v>16348.140235824952</v>
      </c>
    </row>
    <row r="24" spans="1:61" ht="15" thickBot="1">
      <c r="A24" s="133">
        <v>227</v>
      </c>
      <c r="B24" s="149" t="s">
        <v>86</v>
      </c>
      <c r="C24" s="142">
        <v>0</v>
      </c>
      <c r="D24" s="136">
        <v>0</v>
      </c>
      <c r="E24" s="137">
        <v>0</v>
      </c>
      <c r="F24" s="136">
        <v>0</v>
      </c>
      <c r="G24" s="136">
        <v>0</v>
      </c>
      <c r="H24" s="137">
        <v>0</v>
      </c>
      <c r="I24" s="142">
        <v>0</v>
      </c>
      <c r="J24" s="136">
        <v>0</v>
      </c>
      <c r="K24" s="137">
        <v>0</v>
      </c>
      <c r="L24" s="142">
        <v>0</v>
      </c>
      <c r="M24" s="136">
        <v>0</v>
      </c>
      <c r="N24" s="137">
        <v>0</v>
      </c>
      <c r="O24" s="142">
        <v>0</v>
      </c>
      <c r="P24" s="136">
        <v>0</v>
      </c>
      <c r="Q24" s="137">
        <v>0</v>
      </c>
      <c r="R24" s="142">
        <v>0</v>
      </c>
      <c r="S24" s="136">
        <v>0</v>
      </c>
      <c r="T24" s="137">
        <v>0</v>
      </c>
      <c r="U24" s="142">
        <v>0</v>
      </c>
      <c r="V24" s="136">
        <v>0</v>
      </c>
      <c r="W24" s="137">
        <v>0</v>
      </c>
      <c r="X24" s="136">
        <v>0</v>
      </c>
      <c r="Y24" s="136">
        <v>0</v>
      </c>
      <c r="Z24" s="137">
        <v>0</v>
      </c>
      <c r="AA24" s="136">
        <v>0</v>
      </c>
      <c r="AB24" s="136">
        <v>0</v>
      </c>
      <c r="AC24" s="137">
        <v>0</v>
      </c>
      <c r="AD24" s="136">
        <v>0</v>
      </c>
      <c r="AE24" s="139">
        <v>0</v>
      </c>
      <c r="AF24" s="137">
        <f t="shared" si="20"/>
        <v>0</v>
      </c>
      <c r="AG24" s="136">
        <f t="shared" si="8"/>
        <v>0</v>
      </c>
      <c r="AH24" s="139">
        <f t="shared" si="8"/>
        <v>0</v>
      </c>
      <c r="AI24" s="137">
        <f t="shared" si="21"/>
        <v>0</v>
      </c>
      <c r="AJ24" s="136">
        <f t="shared" si="23"/>
        <v>0</v>
      </c>
      <c r="AK24" s="139">
        <f t="shared" si="23"/>
        <v>0</v>
      </c>
      <c r="AL24" s="137">
        <f t="shared" si="22"/>
        <v>0</v>
      </c>
      <c r="AM24" s="256" t="s">
        <v>85</v>
      </c>
      <c r="AN24" s="274">
        <v>22.213258100000004</v>
      </c>
      <c r="AO24" s="275">
        <v>348.18653128000005</v>
      </c>
      <c r="AP24" s="276">
        <v>14623.83431376</v>
      </c>
      <c r="AQ24" s="256" t="s">
        <v>85</v>
      </c>
      <c r="AR24" s="274">
        <f t="shared" si="10"/>
        <v>22.879655843000005</v>
      </c>
      <c r="AS24" s="275">
        <f t="shared" si="11"/>
        <v>358.63212721840006</v>
      </c>
      <c r="AT24" s="276">
        <f t="shared" si="12"/>
        <v>15062.549343172801</v>
      </c>
      <c r="AU24" s="274">
        <f t="shared" si="13"/>
        <v>23.566045518290007</v>
      </c>
      <c r="AV24" s="275">
        <f t="shared" si="14"/>
        <v>369.39109103495207</v>
      </c>
      <c r="AW24" s="276">
        <f t="shared" si="15"/>
        <v>15514.425823467986</v>
      </c>
      <c r="AX24" s="274">
        <f t="shared" si="16"/>
        <v>24.273026883838707</v>
      </c>
      <c r="AY24" s="275">
        <f t="shared" si="17"/>
        <v>380.47282376600066</v>
      </c>
      <c r="AZ24" s="276">
        <f t="shared" si="18"/>
        <v>15979.858598172026</v>
      </c>
      <c r="BA24" s="274">
        <f t="shared" si="19"/>
        <v>25.001217690353869</v>
      </c>
      <c r="BB24" s="275">
        <f t="shared" si="0"/>
        <v>391.8870084789807</v>
      </c>
      <c r="BC24" s="276">
        <f t="shared" si="1"/>
        <v>16459.254356117188</v>
      </c>
      <c r="BD24" s="274">
        <f t="shared" si="2"/>
        <v>25.751254221064485</v>
      </c>
      <c r="BE24" s="275">
        <f t="shared" si="3"/>
        <v>403.64361873335014</v>
      </c>
      <c r="BF24" s="276">
        <f t="shared" si="4"/>
        <v>16953.031986800703</v>
      </c>
      <c r="BG24" s="274">
        <f t="shared" si="5"/>
        <v>26.523791847696419</v>
      </c>
      <c r="BH24" s="275">
        <f t="shared" si="6"/>
        <v>415.75292729535067</v>
      </c>
      <c r="BI24" s="276">
        <f t="shared" si="7"/>
        <v>17461.622946404725</v>
      </c>
    </row>
    <row r="25" spans="1:61" ht="15" thickBot="1">
      <c r="A25" s="90">
        <v>210</v>
      </c>
      <c r="B25" s="81" t="s">
        <v>77</v>
      </c>
      <c r="C25" s="91">
        <v>15</v>
      </c>
      <c r="D25" s="92">
        <v>15</v>
      </c>
      <c r="E25" s="93">
        <v>630</v>
      </c>
      <c r="F25" s="148">
        <v>35.32</v>
      </c>
      <c r="G25" s="85">
        <v>35.32</v>
      </c>
      <c r="H25" s="93">
        <v>1483.44</v>
      </c>
      <c r="I25" s="92">
        <v>37.262599999999999</v>
      </c>
      <c r="J25" s="92">
        <v>37.262599999999999</v>
      </c>
      <c r="K25" s="93">
        <v>1565.0291999999999</v>
      </c>
      <c r="L25" s="92">
        <v>39.125729999999997</v>
      </c>
      <c r="M25" s="92">
        <v>39.125729999999997</v>
      </c>
      <c r="N25" s="93">
        <v>1643.2806599999999</v>
      </c>
      <c r="O25" s="92">
        <v>40.886387849999991</v>
      </c>
      <c r="P25" s="92">
        <v>40.886387849999991</v>
      </c>
      <c r="Q25" s="93">
        <v>1717.2282896999996</v>
      </c>
      <c r="R25" s="92">
        <v>63.55</v>
      </c>
      <c r="S25" s="92">
        <v>63.55</v>
      </c>
      <c r="T25" s="93">
        <v>2669.1</v>
      </c>
      <c r="U25" s="92">
        <v>66.091999999999999</v>
      </c>
      <c r="V25" s="92">
        <v>66.091999999999999</v>
      </c>
      <c r="W25" s="93">
        <v>2775.864</v>
      </c>
      <c r="X25" s="92">
        <v>68.725679999999997</v>
      </c>
      <c r="Y25" s="92">
        <v>68.725679999999997</v>
      </c>
      <c r="Z25" s="93">
        <v>2886.47856</v>
      </c>
      <c r="AA25" s="92">
        <v>72.161963999999998</v>
      </c>
      <c r="AB25" s="92">
        <v>72.161963999999998</v>
      </c>
      <c r="AC25" s="93">
        <v>3030.8024879999998</v>
      </c>
      <c r="AD25" s="92">
        <v>74.319999999999993</v>
      </c>
      <c r="AE25" s="96">
        <v>74.319999999999993</v>
      </c>
      <c r="AF25" s="93">
        <f t="shared" si="20"/>
        <v>3121.4399999999996</v>
      </c>
      <c r="AG25" s="92">
        <f t="shared" si="8"/>
        <v>76.549599999999998</v>
      </c>
      <c r="AH25" s="96">
        <f t="shared" si="8"/>
        <v>76.549599999999998</v>
      </c>
      <c r="AI25" s="93">
        <f t="shared" si="21"/>
        <v>3215.0832</v>
      </c>
      <c r="AJ25" s="92">
        <f t="shared" si="23"/>
        <v>78.846087999999995</v>
      </c>
      <c r="AK25" s="96">
        <f t="shared" si="23"/>
        <v>78.846087999999995</v>
      </c>
      <c r="AL25" s="93">
        <f t="shared" si="22"/>
        <v>3311.5356959999999</v>
      </c>
      <c r="AM25" s="258" t="s">
        <v>86</v>
      </c>
      <c r="AN25" s="277">
        <v>0</v>
      </c>
      <c r="AO25" s="278">
        <v>0</v>
      </c>
      <c r="AP25" s="279">
        <v>0</v>
      </c>
      <c r="AQ25" s="258" t="s">
        <v>86</v>
      </c>
      <c r="AR25" s="277">
        <f t="shared" si="10"/>
        <v>0</v>
      </c>
      <c r="AS25" s="278">
        <f t="shared" si="11"/>
        <v>0</v>
      </c>
      <c r="AT25" s="279">
        <f t="shared" si="12"/>
        <v>0</v>
      </c>
      <c r="AU25" s="277">
        <f t="shared" si="13"/>
        <v>0</v>
      </c>
      <c r="AV25" s="278">
        <f t="shared" si="14"/>
        <v>0</v>
      </c>
      <c r="AW25" s="279">
        <f t="shared" si="15"/>
        <v>0</v>
      </c>
      <c r="AX25" s="277">
        <f t="shared" si="16"/>
        <v>0</v>
      </c>
      <c r="AY25" s="278">
        <f t="shared" si="17"/>
        <v>0</v>
      </c>
      <c r="AZ25" s="279">
        <f t="shared" si="18"/>
        <v>0</v>
      </c>
      <c r="BA25" s="277">
        <f t="shared" si="19"/>
        <v>0</v>
      </c>
      <c r="BB25" s="278">
        <f t="shared" si="0"/>
        <v>0</v>
      </c>
      <c r="BC25" s="279">
        <f t="shared" si="1"/>
        <v>0</v>
      </c>
      <c r="BD25" s="277">
        <f t="shared" si="2"/>
        <v>0</v>
      </c>
      <c r="BE25" s="278">
        <f t="shared" si="3"/>
        <v>0</v>
      </c>
      <c r="BF25" s="279">
        <f t="shared" si="4"/>
        <v>0</v>
      </c>
      <c r="BG25" s="277">
        <f t="shared" si="5"/>
        <v>0</v>
      </c>
      <c r="BH25" s="278">
        <f t="shared" si="6"/>
        <v>0</v>
      </c>
      <c r="BI25" s="279">
        <f t="shared" si="7"/>
        <v>0</v>
      </c>
    </row>
    <row r="26" spans="1:61" ht="14.25">
      <c r="A26" s="90">
        <v>260</v>
      </c>
      <c r="B26" s="81" t="s">
        <v>80</v>
      </c>
      <c r="C26" s="91">
        <v>100</v>
      </c>
      <c r="D26" s="92">
        <v>100</v>
      </c>
      <c r="E26" s="93">
        <v>4200</v>
      </c>
      <c r="F26" s="105">
        <v>106.32</v>
      </c>
      <c r="G26" s="92">
        <v>106.32</v>
      </c>
      <c r="H26" s="93">
        <v>4465.4399999999996</v>
      </c>
      <c r="I26" s="92">
        <v>112.16759999999999</v>
      </c>
      <c r="J26" s="92">
        <v>112.16759999999999</v>
      </c>
      <c r="K26" s="93">
        <v>4711.0391999999993</v>
      </c>
      <c r="L26" s="92">
        <v>117.77598</v>
      </c>
      <c r="M26" s="92">
        <v>117.77598</v>
      </c>
      <c r="N26" s="93">
        <v>4946.5911599999999</v>
      </c>
      <c r="O26" s="92">
        <v>123.0758991</v>
      </c>
      <c r="P26" s="92">
        <v>123.0758991</v>
      </c>
      <c r="Q26" s="93">
        <v>5169.1877622000002</v>
      </c>
      <c r="R26" s="92">
        <v>123.0758991</v>
      </c>
      <c r="S26" s="92">
        <v>123.0758991</v>
      </c>
      <c r="T26" s="93">
        <v>5169.1877622000002</v>
      </c>
      <c r="U26" s="92">
        <v>127.99893506400001</v>
      </c>
      <c r="V26" s="92">
        <v>127.99893506400001</v>
      </c>
      <c r="W26" s="93">
        <v>5375.9552726880002</v>
      </c>
      <c r="X26" s="92">
        <v>133.11889246656003</v>
      </c>
      <c r="Y26" s="92">
        <v>133.11889246656003</v>
      </c>
      <c r="Z26" s="93">
        <v>5590.993483595521</v>
      </c>
      <c r="AA26" s="92">
        <v>139.78008708988804</v>
      </c>
      <c r="AB26" s="92">
        <v>139.78008708988804</v>
      </c>
      <c r="AC26" s="93">
        <v>5870.7636577752974</v>
      </c>
      <c r="AD26" s="92">
        <v>143.97</v>
      </c>
      <c r="AE26" s="96">
        <v>143.97</v>
      </c>
      <c r="AF26" s="93">
        <f t="shared" si="20"/>
        <v>6046.74</v>
      </c>
      <c r="AG26" s="92">
        <f t="shared" si="8"/>
        <v>148.28909999999999</v>
      </c>
      <c r="AH26" s="96">
        <f t="shared" si="8"/>
        <v>148.28909999999999</v>
      </c>
      <c r="AI26" s="93">
        <f t="shared" si="21"/>
        <v>6228.1421999999993</v>
      </c>
      <c r="AJ26" s="92">
        <f t="shared" si="23"/>
        <v>152.737773</v>
      </c>
      <c r="AK26" s="96">
        <f t="shared" si="23"/>
        <v>152.737773</v>
      </c>
      <c r="AL26" s="93">
        <f t="shared" si="22"/>
        <v>6414.9864660000003</v>
      </c>
      <c r="AM26" s="256" t="s">
        <v>77</v>
      </c>
      <c r="AN26" s="274">
        <v>81.211470640000002</v>
      </c>
      <c r="AO26" s="275">
        <v>81.211470640000002</v>
      </c>
      <c r="AP26" s="276">
        <v>3410.8817668800002</v>
      </c>
      <c r="AQ26" s="256" t="s">
        <v>77</v>
      </c>
      <c r="AR26" s="274">
        <f t="shared" si="10"/>
        <v>83.647814759200003</v>
      </c>
      <c r="AS26" s="275">
        <f t="shared" si="11"/>
        <v>83.647814759200003</v>
      </c>
      <c r="AT26" s="276">
        <f t="shared" si="12"/>
        <v>3513.2082198864005</v>
      </c>
      <c r="AU26" s="274">
        <f t="shared" si="13"/>
        <v>86.157249201976001</v>
      </c>
      <c r="AV26" s="275">
        <f t="shared" si="14"/>
        <v>86.157249201976001</v>
      </c>
      <c r="AW26" s="276">
        <f t="shared" si="15"/>
        <v>3618.6044664829924</v>
      </c>
      <c r="AX26" s="274">
        <f t="shared" si="16"/>
        <v>88.741966678035283</v>
      </c>
      <c r="AY26" s="275">
        <f t="shared" si="17"/>
        <v>88.741966678035283</v>
      </c>
      <c r="AZ26" s="276">
        <f t="shared" si="18"/>
        <v>3727.1626004774821</v>
      </c>
      <c r="BA26" s="274">
        <f t="shared" si="19"/>
        <v>91.404225678376349</v>
      </c>
      <c r="BB26" s="275">
        <f t="shared" si="0"/>
        <v>91.404225678376349</v>
      </c>
      <c r="BC26" s="276">
        <f t="shared" si="1"/>
        <v>3838.9774784918068</v>
      </c>
      <c r="BD26" s="274">
        <f t="shared" si="2"/>
        <v>94.14635244872764</v>
      </c>
      <c r="BE26" s="275">
        <f t="shared" si="3"/>
        <v>94.14635244872764</v>
      </c>
      <c r="BF26" s="276">
        <f t="shared" si="4"/>
        <v>3954.1468028465611</v>
      </c>
      <c r="BG26" s="274">
        <f t="shared" si="5"/>
        <v>96.970743022189467</v>
      </c>
      <c r="BH26" s="275">
        <f t="shared" si="6"/>
        <v>96.970743022189467</v>
      </c>
      <c r="BI26" s="276">
        <f t="shared" si="7"/>
        <v>4072.7712069319582</v>
      </c>
    </row>
    <row r="27" spans="1:61" ht="14.25">
      <c r="A27" s="97">
        <v>231</v>
      </c>
      <c r="B27" s="82" t="s">
        <v>82</v>
      </c>
      <c r="C27" s="98">
        <v>22.089552238805972</v>
      </c>
      <c r="D27" s="99">
        <v>122.09</v>
      </c>
      <c r="E27" s="100">
        <v>5127.78</v>
      </c>
      <c r="F27" s="98">
        <v>22.089552238805972</v>
      </c>
      <c r="G27" s="99">
        <v>128.40955223880596</v>
      </c>
      <c r="H27" s="100">
        <v>5393.2011940298498</v>
      </c>
      <c r="I27" s="98">
        <v>23.3044776119403</v>
      </c>
      <c r="J27" s="99">
        <v>135.47207761194028</v>
      </c>
      <c r="K27" s="100">
        <v>5689.827259701492</v>
      </c>
      <c r="L27" s="99">
        <v>24.469701492537315</v>
      </c>
      <c r="M27" s="99">
        <v>142.24568149253733</v>
      </c>
      <c r="N27" s="100">
        <v>5974.3186226865682</v>
      </c>
      <c r="O27" s="99">
        <v>25.570838059701494</v>
      </c>
      <c r="P27" s="99">
        <v>148.6467371597015</v>
      </c>
      <c r="Q27" s="100">
        <v>6243.1629607074628</v>
      </c>
      <c r="R27" s="99">
        <v>25.570838059701494</v>
      </c>
      <c r="S27" s="99">
        <v>148.6467371597015</v>
      </c>
      <c r="T27" s="100">
        <v>6243.1629607074628</v>
      </c>
      <c r="U27" s="99">
        <v>26.593671582089556</v>
      </c>
      <c r="V27" s="99">
        <v>154.59260664608956</v>
      </c>
      <c r="W27" s="100">
        <v>6492.8894791357616</v>
      </c>
      <c r="X27" s="99">
        <v>27.647418445373138</v>
      </c>
      <c r="Y27" s="99">
        <v>160.76631091193318</v>
      </c>
      <c r="Z27" s="100">
        <v>6752.1850583011937</v>
      </c>
      <c r="AA27" s="99">
        <v>29.029789367641797</v>
      </c>
      <c r="AB27" s="99">
        <v>168.80987645752984</v>
      </c>
      <c r="AC27" s="100">
        <v>7090.0148112162533</v>
      </c>
      <c r="AD27" s="99">
        <v>29.9</v>
      </c>
      <c r="AE27" s="96">
        <v>173.87</v>
      </c>
      <c r="AF27" s="100">
        <f t="shared" si="20"/>
        <v>7302.54</v>
      </c>
      <c r="AG27" s="99">
        <f t="shared" si="8"/>
        <v>30.797000000000001</v>
      </c>
      <c r="AH27" s="96">
        <f t="shared" si="8"/>
        <v>179.08610000000002</v>
      </c>
      <c r="AI27" s="100">
        <f t="shared" si="21"/>
        <v>7521.6162000000004</v>
      </c>
      <c r="AJ27" s="99">
        <f t="shared" si="23"/>
        <v>31.72091</v>
      </c>
      <c r="AK27" s="96">
        <f t="shared" si="23"/>
        <v>184.45868300000001</v>
      </c>
      <c r="AL27" s="100">
        <f t="shared" si="22"/>
        <v>7747.2646860000004</v>
      </c>
      <c r="AM27" s="256" t="s">
        <v>80</v>
      </c>
      <c r="AN27" s="274">
        <v>157.31990619000001</v>
      </c>
      <c r="AO27" s="275">
        <v>157.31990619000001</v>
      </c>
      <c r="AP27" s="276">
        <v>6607.4360599800002</v>
      </c>
      <c r="AQ27" s="256" t="s">
        <v>80</v>
      </c>
      <c r="AR27" s="274">
        <f t="shared" si="10"/>
        <v>162.03950337570001</v>
      </c>
      <c r="AS27" s="275">
        <f t="shared" si="11"/>
        <v>162.03950337570001</v>
      </c>
      <c r="AT27" s="276">
        <f t="shared" si="12"/>
        <v>6805.6591417794007</v>
      </c>
      <c r="AU27" s="274">
        <f t="shared" si="13"/>
        <v>166.900688476971</v>
      </c>
      <c r="AV27" s="275">
        <f t="shared" si="14"/>
        <v>166.900688476971</v>
      </c>
      <c r="AW27" s="276">
        <f t="shared" si="15"/>
        <v>7009.8289160327831</v>
      </c>
      <c r="AX27" s="274">
        <f t="shared" si="16"/>
        <v>171.90770913128014</v>
      </c>
      <c r="AY27" s="275">
        <f t="shared" si="17"/>
        <v>171.90770913128014</v>
      </c>
      <c r="AZ27" s="276">
        <f t="shared" si="18"/>
        <v>7220.1237835137672</v>
      </c>
      <c r="BA27" s="274">
        <f t="shared" si="19"/>
        <v>177.06494040521855</v>
      </c>
      <c r="BB27" s="275">
        <f t="shared" si="0"/>
        <v>177.06494040521855</v>
      </c>
      <c r="BC27" s="276">
        <f t="shared" si="1"/>
        <v>7436.7274970191802</v>
      </c>
      <c r="BD27" s="274">
        <f t="shared" si="2"/>
        <v>182.3768886173751</v>
      </c>
      <c r="BE27" s="275">
        <f t="shared" si="3"/>
        <v>182.3768886173751</v>
      </c>
      <c r="BF27" s="276">
        <f t="shared" si="4"/>
        <v>7659.8293219297557</v>
      </c>
      <c r="BG27" s="274">
        <f t="shared" si="5"/>
        <v>187.84819527589636</v>
      </c>
      <c r="BH27" s="275">
        <f t="shared" si="6"/>
        <v>187.84819527589636</v>
      </c>
      <c r="BI27" s="276">
        <f t="shared" si="7"/>
        <v>7889.6242015876487</v>
      </c>
    </row>
    <row r="28" spans="1:61" ht="14.25">
      <c r="A28" s="90">
        <v>221</v>
      </c>
      <c r="B28" s="81" t="s">
        <v>83</v>
      </c>
      <c r="C28" s="91">
        <v>40</v>
      </c>
      <c r="D28" s="92">
        <v>140</v>
      </c>
      <c r="E28" s="93">
        <v>5880</v>
      </c>
      <c r="F28" s="105">
        <v>40</v>
      </c>
      <c r="G28" s="92">
        <v>146.32</v>
      </c>
      <c r="H28" s="93">
        <v>6145.44</v>
      </c>
      <c r="I28" s="92">
        <v>42.2</v>
      </c>
      <c r="J28" s="92">
        <v>154.36759999999998</v>
      </c>
      <c r="K28" s="93">
        <v>6483.4391999999989</v>
      </c>
      <c r="L28" s="92">
        <v>44.31</v>
      </c>
      <c r="M28" s="92">
        <v>162.08598000000001</v>
      </c>
      <c r="N28" s="93">
        <v>6807.6111600000004</v>
      </c>
      <c r="O28" s="92">
        <v>46.30395</v>
      </c>
      <c r="P28" s="92">
        <v>169.3798491</v>
      </c>
      <c r="Q28" s="93">
        <v>7113.9536621999996</v>
      </c>
      <c r="R28" s="92">
        <v>46.30395</v>
      </c>
      <c r="S28" s="92">
        <v>169.3798491</v>
      </c>
      <c r="T28" s="93">
        <v>7113.9536621999996</v>
      </c>
      <c r="U28" s="92">
        <v>48.156108000000003</v>
      </c>
      <c r="V28" s="92">
        <v>176.15504306400001</v>
      </c>
      <c r="W28" s="93">
        <v>7398.5118086880002</v>
      </c>
      <c r="X28" s="92">
        <v>50.092352320000003</v>
      </c>
      <c r="Y28" s="92">
        <v>183.21124478656003</v>
      </c>
      <c r="Z28" s="93">
        <v>7694.8722810355212</v>
      </c>
      <c r="AA28" s="92">
        <v>52.58696993600001</v>
      </c>
      <c r="AB28" s="92">
        <v>192.36705702588804</v>
      </c>
      <c r="AC28" s="93">
        <v>8079.416395087298</v>
      </c>
      <c r="AD28" s="92">
        <v>54.17</v>
      </c>
      <c r="AE28" s="96">
        <v>198.14</v>
      </c>
      <c r="AF28" s="93">
        <f t="shared" si="20"/>
        <v>8321.8799999999992</v>
      </c>
      <c r="AG28" s="92">
        <f>AD28*(1+$AI$2)-0.01</f>
        <v>55.785100000000007</v>
      </c>
      <c r="AH28" s="96">
        <f t="shared" si="8"/>
        <v>204.08419999999998</v>
      </c>
      <c r="AI28" s="93">
        <f t="shared" si="21"/>
        <v>8571.536399999999</v>
      </c>
      <c r="AJ28" s="92">
        <f>AG28*(1+$AI$2)-0.01</f>
        <v>57.448653000000007</v>
      </c>
      <c r="AK28" s="96">
        <f>AH28*(1+$AI$2)-0.02</f>
        <v>210.18672599999996</v>
      </c>
      <c r="AL28" s="93">
        <f>AK28*42</f>
        <v>8827.8424919999979</v>
      </c>
      <c r="AM28" s="256" t="s">
        <v>82</v>
      </c>
      <c r="AN28" s="274">
        <v>32.672537300000002</v>
      </c>
      <c r="AO28" s="275">
        <v>189.99244349</v>
      </c>
      <c r="AP28" s="276">
        <v>7979.6826265800009</v>
      </c>
      <c r="AQ28" s="256" t="s">
        <v>82</v>
      </c>
      <c r="AR28" s="274">
        <f t="shared" si="10"/>
        <v>33.652713419000001</v>
      </c>
      <c r="AS28" s="275">
        <f t="shared" si="11"/>
        <v>195.69221679470002</v>
      </c>
      <c r="AT28" s="276">
        <f t="shared" si="12"/>
        <v>8219.0731053774016</v>
      </c>
      <c r="AU28" s="274">
        <f t="shared" si="13"/>
        <v>34.662294821570001</v>
      </c>
      <c r="AV28" s="275">
        <f t="shared" si="14"/>
        <v>201.56298329854101</v>
      </c>
      <c r="AW28" s="276">
        <f t="shared" si="15"/>
        <v>8465.6452985387241</v>
      </c>
      <c r="AX28" s="274">
        <f t="shared" si="16"/>
        <v>35.702163666217103</v>
      </c>
      <c r="AY28" s="275">
        <f t="shared" si="17"/>
        <v>207.60987279749725</v>
      </c>
      <c r="AZ28" s="276">
        <f t="shared" si="18"/>
        <v>8719.6146574948853</v>
      </c>
      <c r="BA28" s="274">
        <f t="shared" si="19"/>
        <v>36.773228576203614</v>
      </c>
      <c r="BB28" s="275">
        <f t="shared" si="0"/>
        <v>213.83816898142217</v>
      </c>
      <c r="BC28" s="276">
        <f t="shared" si="1"/>
        <v>8981.2030972197317</v>
      </c>
      <c r="BD28" s="274">
        <f t="shared" si="2"/>
        <v>37.876425433489722</v>
      </c>
      <c r="BE28" s="275">
        <f t="shared" si="3"/>
        <v>220.25331405086484</v>
      </c>
      <c r="BF28" s="276">
        <f t="shared" si="4"/>
        <v>9250.639190136324</v>
      </c>
      <c r="BG28" s="274">
        <f t="shared" si="5"/>
        <v>39.012718196494411</v>
      </c>
      <c r="BH28" s="275">
        <f t="shared" si="6"/>
        <v>226.86091347239079</v>
      </c>
      <c r="BI28" s="276">
        <f t="shared" si="7"/>
        <v>9528.1583658404143</v>
      </c>
    </row>
    <row r="29" spans="1:61" ht="14.25">
      <c r="A29" s="97">
        <v>243</v>
      </c>
      <c r="B29" s="82" t="s">
        <v>87</v>
      </c>
      <c r="C29" s="98">
        <v>8.1360946745562135</v>
      </c>
      <c r="D29" s="99">
        <v>148.13999999999999</v>
      </c>
      <c r="E29" s="100">
        <v>6221.8799999999992</v>
      </c>
      <c r="F29" s="98">
        <v>16.272189349112427</v>
      </c>
      <c r="G29" s="99">
        <v>162.5921893491124</v>
      </c>
      <c r="H29" s="100">
        <v>6828.871952662721</v>
      </c>
      <c r="I29" s="98">
        <v>17.168639053254438</v>
      </c>
      <c r="J29" s="99">
        <v>171.53623905325441</v>
      </c>
      <c r="K29" s="100">
        <v>7204.5220402366849</v>
      </c>
      <c r="L29" s="98">
        <v>18.027071005917161</v>
      </c>
      <c r="M29" s="99">
        <v>180.11305100591716</v>
      </c>
      <c r="N29" s="100">
        <v>7564.7481422485207</v>
      </c>
      <c r="O29" s="98">
        <v>18.838289201183432</v>
      </c>
      <c r="P29" s="99">
        <v>188.21813830118344</v>
      </c>
      <c r="Q29" s="100">
        <v>7905.1618086497047</v>
      </c>
      <c r="R29" s="98">
        <v>18.838289201183432</v>
      </c>
      <c r="S29" s="99">
        <v>188.21813830118344</v>
      </c>
      <c r="T29" s="100">
        <v>7905.1618086497047</v>
      </c>
      <c r="U29" s="98">
        <v>19.591820769230772</v>
      </c>
      <c r="V29" s="99">
        <v>195.74686383323078</v>
      </c>
      <c r="W29" s="100">
        <v>8221.3682809956917</v>
      </c>
      <c r="X29" s="99">
        <v>20.365493600000001</v>
      </c>
      <c r="Y29" s="99">
        <v>203.57673838656004</v>
      </c>
      <c r="Z29" s="100">
        <v>8550.2230122355213</v>
      </c>
      <c r="AA29" s="99">
        <v>21.393768280000003</v>
      </c>
      <c r="AB29" s="99">
        <v>213.76082530588803</v>
      </c>
      <c r="AC29" s="100">
        <v>8977.9546628472981</v>
      </c>
      <c r="AD29" s="99">
        <v>22.03</v>
      </c>
      <c r="AE29" s="96">
        <v>220.17</v>
      </c>
      <c r="AF29" s="100">
        <f t="shared" si="20"/>
        <v>9247.14</v>
      </c>
      <c r="AG29" s="99">
        <f>AD29*(1+$AI$2)+0.01</f>
        <v>22.700900000000004</v>
      </c>
      <c r="AH29" s="96">
        <f t="shared" si="8"/>
        <v>226.77509999999998</v>
      </c>
      <c r="AI29" s="100">
        <f t="shared" si="21"/>
        <v>9524.5541999999987</v>
      </c>
      <c r="AJ29" s="99">
        <f>AG29*(1+$AI$2)+0.01</f>
        <v>23.391927000000006</v>
      </c>
      <c r="AK29" s="96">
        <f t="shared" si="23"/>
        <v>233.57835299999999</v>
      </c>
      <c r="AL29" s="100">
        <f t="shared" si="22"/>
        <v>9810.2908260000004</v>
      </c>
      <c r="AM29" s="256" t="s">
        <v>83</v>
      </c>
      <c r="AN29" s="274">
        <v>59.172112590000012</v>
      </c>
      <c r="AO29" s="275">
        <v>216.49232777999998</v>
      </c>
      <c r="AP29" s="276">
        <v>9092.6777667599981</v>
      </c>
      <c r="AQ29" s="256" t="s">
        <v>83</v>
      </c>
      <c r="AR29" s="274">
        <f t="shared" si="10"/>
        <v>60.947275967700016</v>
      </c>
      <c r="AS29" s="275">
        <f t="shared" si="11"/>
        <v>222.98709761339998</v>
      </c>
      <c r="AT29" s="276">
        <f t="shared" si="12"/>
        <v>9365.4580997627982</v>
      </c>
      <c r="AU29" s="274">
        <f t="shared" si="13"/>
        <v>62.775694246731021</v>
      </c>
      <c r="AV29" s="275">
        <f t="shared" si="14"/>
        <v>229.67671054180198</v>
      </c>
      <c r="AW29" s="276">
        <f t="shared" si="15"/>
        <v>9646.4218427556825</v>
      </c>
      <c r="AX29" s="274">
        <f t="shared" si="16"/>
        <v>64.658965074132951</v>
      </c>
      <c r="AY29" s="275">
        <f t="shared" si="17"/>
        <v>236.56701185805605</v>
      </c>
      <c r="AZ29" s="276">
        <f t="shared" si="18"/>
        <v>9935.8144980383531</v>
      </c>
      <c r="BA29" s="274">
        <f t="shared" si="19"/>
        <v>66.598734026356937</v>
      </c>
      <c r="BB29" s="275">
        <f t="shared" si="0"/>
        <v>243.66402221379775</v>
      </c>
      <c r="BC29" s="276">
        <f t="shared" si="1"/>
        <v>10233.888932979504</v>
      </c>
      <c r="BD29" s="274">
        <f t="shared" si="2"/>
        <v>68.596696047147645</v>
      </c>
      <c r="BE29" s="275">
        <f t="shared" si="3"/>
        <v>250.97394288021169</v>
      </c>
      <c r="BF29" s="276">
        <f t="shared" si="4"/>
        <v>10540.905600968888</v>
      </c>
      <c r="BG29" s="274">
        <f t="shared" si="5"/>
        <v>70.654596928562071</v>
      </c>
      <c r="BH29" s="275">
        <f t="shared" si="6"/>
        <v>258.50316116661804</v>
      </c>
      <c r="BI29" s="276">
        <f t="shared" si="7"/>
        <v>10857.132768997955</v>
      </c>
    </row>
    <row r="30" spans="1:61" ht="14.25">
      <c r="A30" s="90">
        <v>258</v>
      </c>
      <c r="B30" s="81" t="s">
        <v>88</v>
      </c>
      <c r="C30" s="91">
        <v>27.5</v>
      </c>
      <c r="D30" s="92">
        <v>167.5</v>
      </c>
      <c r="E30" s="93">
        <v>7035</v>
      </c>
      <c r="F30" s="105">
        <v>55</v>
      </c>
      <c r="G30" s="92">
        <v>201.32</v>
      </c>
      <c r="H30" s="93">
        <v>8455.44</v>
      </c>
      <c r="I30" s="92">
        <v>58.024999999999999</v>
      </c>
      <c r="J30" s="92">
        <v>212.40259999999998</v>
      </c>
      <c r="K30" s="93">
        <v>8920.9091999999982</v>
      </c>
      <c r="L30" s="92">
        <v>60.926250000000003</v>
      </c>
      <c r="M30" s="92">
        <v>223.02223000000001</v>
      </c>
      <c r="N30" s="93">
        <v>9366.9336600000006</v>
      </c>
      <c r="O30" s="92">
        <v>63.667931250000002</v>
      </c>
      <c r="P30" s="92">
        <v>233.04778035000001</v>
      </c>
      <c r="Q30" s="93">
        <v>9788.0067747000012</v>
      </c>
      <c r="R30" s="92">
        <v>63.667931250000002</v>
      </c>
      <c r="S30" s="92">
        <v>233.04778035000001</v>
      </c>
      <c r="T30" s="93">
        <v>9788.0067747000012</v>
      </c>
      <c r="U30" s="92">
        <v>66.21464850000001</v>
      </c>
      <c r="V30" s="92">
        <v>242.36969156400002</v>
      </c>
      <c r="W30" s="93">
        <v>10179.527045688001</v>
      </c>
      <c r="X30" s="92">
        <v>68.853234440000008</v>
      </c>
      <c r="Y30" s="92">
        <v>252.06447922656002</v>
      </c>
      <c r="Z30" s="93">
        <v>10586.708127515521</v>
      </c>
      <c r="AA30" s="92">
        <v>72.30589616200001</v>
      </c>
      <c r="AB30" s="92">
        <v>264.67295318788808</v>
      </c>
      <c r="AC30" s="93">
        <v>11116.264033891299</v>
      </c>
      <c r="AD30" s="92">
        <v>74.48</v>
      </c>
      <c r="AE30" s="96">
        <v>272.62</v>
      </c>
      <c r="AF30" s="93">
        <f t="shared" si="20"/>
        <v>11450.04</v>
      </c>
      <c r="AG30" s="92">
        <f>AD30*(1+$AI$2)+0.01</f>
        <v>76.724400000000017</v>
      </c>
      <c r="AH30" s="96">
        <f t="shared" si="8"/>
        <v>280.79860000000002</v>
      </c>
      <c r="AI30" s="93">
        <f t="shared" si="21"/>
        <v>11793.541200000001</v>
      </c>
      <c r="AJ30" s="92">
        <f t="shared" ref="AJ30:AJ35" si="24">AG30*(1+$AI$2)</f>
        <v>79.026132000000018</v>
      </c>
      <c r="AK30" s="96">
        <f>AH30*(1+$AI$2)-0.01</f>
        <v>289.21255800000006</v>
      </c>
      <c r="AL30" s="93">
        <f t="shared" si="22"/>
        <v>12146.927436000002</v>
      </c>
      <c r="AM30" s="256" t="s">
        <v>87</v>
      </c>
      <c r="AN30" s="274">
        <v>24.093684810000006</v>
      </c>
      <c r="AO30" s="275">
        <v>240.58570359000001</v>
      </c>
      <c r="AP30" s="276">
        <v>10104.59955078</v>
      </c>
      <c r="AQ30" s="256" t="s">
        <v>87</v>
      </c>
      <c r="AR30" s="274">
        <f t="shared" si="10"/>
        <v>24.816495354300006</v>
      </c>
      <c r="AS30" s="275">
        <f t="shared" si="11"/>
        <v>247.8032746977</v>
      </c>
      <c r="AT30" s="276">
        <f t="shared" si="12"/>
        <v>10407.737537303399</v>
      </c>
      <c r="AU30" s="274">
        <f t="shared" si="13"/>
        <v>25.560990214929006</v>
      </c>
      <c r="AV30" s="275">
        <f t="shared" si="14"/>
        <v>255.23737293863101</v>
      </c>
      <c r="AW30" s="276">
        <f t="shared" si="15"/>
        <v>10719.969663422502</v>
      </c>
      <c r="AX30" s="274">
        <f t="shared" si="16"/>
        <v>26.327819921376879</v>
      </c>
      <c r="AY30" s="275">
        <f t="shared" si="17"/>
        <v>262.89449412678994</v>
      </c>
      <c r="AZ30" s="276">
        <f t="shared" si="18"/>
        <v>11041.568753325177</v>
      </c>
      <c r="BA30" s="274">
        <f t="shared" si="19"/>
        <v>27.117654519018185</v>
      </c>
      <c r="BB30" s="275">
        <f t="shared" si="0"/>
        <v>270.78132895059366</v>
      </c>
      <c r="BC30" s="276">
        <f t="shared" si="1"/>
        <v>11372.815815924932</v>
      </c>
      <c r="BD30" s="274">
        <f t="shared" si="2"/>
        <v>27.931184154588731</v>
      </c>
      <c r="BE30" s="275">
        <f t="shared" si="3"/>
        <v>278.9047688191115</v>
      </c>
      <c r="BF30" s="276">
        <f t="shared" si="4"/>
        <v>11714.000290402681</v>
      </c>
      <c r="BG30" s="274">
        <f t="shared" si="5"/>
        <v>28.769119679226392</v>
      </c>
      <c r="BH30" s="275">
        <f t="shared" si="6"/>
        <v>287.27191188368482</v>
      </c>
      <c r="BI30" s="276">
        <f t="shared" si="7"/>
        <v>12065.420299114761</v>
      </c>
    </row>
    <row r="31" spans="1:61" ht="15" thickBot="1">
      <c r="A31" s="133">
        <v>259</v>
      </c>
      <c r="B31" s="134" t="s">
        <v>89</v>
      </c>
      <c r="C31" s="135">
        <v>26</v>
      </c>
      <c r="D31" s="92">
        <v>193.5</v>
      </c>
      <c r="E31" s="93">
        <v>8127</v>
      </c>
      <c r="F31" s="105">
        <v>52</v>
      </c>
      <c r="G31" s="136">
        <v>253.32</v>
      </c>
      <c r="H31" s="137">
        <v>10639.44</v>
      </c>
      <c r="I31" s="142">
        <v>54.86</v>
      </c>
      <c r="J31" s="136">
        <v>267.26259999999996</v>
      </c>
      <c r="K31" s="137">
        <v>11225.029199999999</v>
      </c>
      <c r="L31" s="142">
        <v>57.603000000000002</v>
      </c>
      <c r="M31" s="136">
        <v>280.62423000000001</v>
      </c>
      <c r="N31" s="137">
        <v>11786.21766</v>
      </c>
      <c r="O31" s="142">
        <v>60.195135000000001</v>
      </c>
      <c r="P31" s="136">
        <v>293.25291535000002</v>
      </c>
      <c r="Q31" s="137">
        <v>12316.6224447</v>
      </c>
      <c r="R31" s="142">
        <v>60.195135000000001</v>
      </c>
      <c r="S31" s="136">
        <v>293.25291535000002</v>
      </c>
      <c r="T31" s="137">
        <v>12316.6224447</v>
      </c>
      <c r="U31" s="142">
        <v>62.602940400000001</v>
      </c>
      <c r="V31" s="136">
        <v>304.98263196400001</v>
      </c>
      <c r="W31" s="137">
        <v>12809.270542488001</v>
      </c>
      <c r="X31" s="136">
        <v>65.097058016000005</v>
      </c>
      <c r="Y31" s="136">
        <v>317.17153724256002</v>
      </c>
      <c r="Z31" s="137">
        <v>13321.204564187521</v>
      </c>
      <c r="AA31" s="136">
        <v>68.361910916800014</v>
      </c>
      <c r="AB31" s="136">
        <v>333.0348641046881</v>
      </c>
      <c r="AC31" s="137">
        <v>13987.4642923969</v>
      </c>
      <c r="AD31" s="136">
        <v>70.41</v>
      </c>
      <c r="AE31" s="139">
        <v>343.03</v>
      </c>
      <c r="AF31" s="137">
        <f t="shared" si="20"/>
        <v>14407.259999999998</v>
      </c>
      <c r="AG31" s="136">
        <f t="shared" si="8"/>
        <v>72.522300000000001</v>
      </c>
      <c r="AH31" s="139">
        <f t="shared" si="8"/>
        <v>353.32089999999999</v>
      </c>
      <c r="AI31" s="137">
        <f t="shared" si="21"/>
        <v>14839.477800000001</v>
      </c>
      <c r="AJ31" s="136">
        <f t="shared" si="24"/>
        <v>74.697969000000001</v>
      </c>
      <c r="AK31" s="139">
        <f>AH31*(1+$AI$2)-0.01</f>
        <v>363.910527</v>
      </c>
      <c r="AL31" s="137">
        <f t="shared" si="22"/>
        <v>15284.242134</v>
      </c>
      <c r="AM31" s="256" t="s">
        <v>88</v>
      </c>
      <c r="AN31" s="274">
        <v>81.396915960000015</v>
      </c>
      <c r="AO31" s="275">
        <v>297.88893474000008</v>
      </c>
      <c r="AP31" s="276">
        <v>12511.335259080002</v>
      </c>
      <c r="AQ31" s="256" t="s">
        <v>88</v>
      </c>
      <c r="AR31" s="274">
        <f t="shared" si="10"/>
        <v>83.83882343880002</v>
      </c>
      <c r="AS31" s="275">
        <f t="shared" si="11"/>
        <v>306.82560278220006</v>
      </c>
      <c r="AT31" s="276">
        <f t="shared" si="12"/>
        <v>12886.675316852403</v>
      </c>
      <c r="AU31" s="274">
        <f t="shared" si="13"/>
        <v>86.353988141964024</v>
      </c>
      <c r="AV31" s="275">
        <f t="shared" si="14"/>
        <v>316.0303708656661</v>
      </c>
      <c r="AW31" s="276">
        <f t="shared" si="15"/>
        <v>13273.275576357975</v>
      </c>
      <c r="AX31" s="274">
        <f t="shared" si="16"/>
        <v>88.944607786222946</v>
      </c>
      <c r="AY31" s="275">
        <f t="shared" si="17"/>
        <v>325.51128199163611</v>
      </c>
      <c r="AZ31" s="276">
        <f t="shared" si="18"/>
        <v>13671.473843648715</v>
      </c>
      <c r="BA31" s="274">
        <f t="shared" si="19"/>
        <v>91.612946019809641</v>
      </c>
      <c r="BB31" s="275">
        <f t="shared" si="0"/>
        <v>335.27662045138521</v>
      </c>
      <c r="BC31" s="276">
        <f t="shared" si="1"/>
        <v>14081.618058958176</v>
      </c>
      <c r="BD31" s="274">
        <f t="shared" si="2"/>
        <v>94.361334400403933</v>
      </c>
      <c r="BE31" s="275">
        <f t="shared" si="3"/>
        <v>345.33491906492679</v>
      </c>
      <c r="BF31" s="276">
        <f t="shared" si="4"/>
        <v>14504.066600726923</v>
      </c>
      <c r="BG31" s="274">
        <f t="shared" si="5"/>
        <v>97.192174432416053</v>
      </c>
      <c r="BH31" s="275">
        <f t="shared" si="6"/>
        <v>355.6949666368746</v>
      </c>
      <c r="BI31" s="276">
        <f t="shared" si="7"/>
        <v>14939.188598748731</v>
      </c>
    </row>
    <row r="32" spans="1:61" ht="15" thickBot="1">
      <c r="A32" s="83">
        <v>210</v>
      </c>
      <c r="B32" s="80" t="s">
        <v>77</v>
      </c>
      <c r="C32" s="101">
        <v>15</v>
      </c>
      <c r="D32" s="85">
        <v>15</v>
      </c>
      <c r="E32" s="85">
        <v>630</v>
      </c>
      <c r="F32" s="87">
        <v>35.32</v>
      </c>
      <c r="G32" s="85">
        <v>35.32</v>
      </c>
      <c r="H32" s="86">
        <v>1483.44</v>
      </c>
      <c r="I32" s="88">
        <v>37.262599999999999</v>
      </c>
      <c r="J32" s="85">
        <v>37.262599999999999</v>
      </c>
      <c r="K32" s="86">
        <v>1565.0291999999999</v>
      </c>
      <c r="L32" s="88">
        <v>39.125729999999997</v>
      </c>
      <c r="M32" s="85">
        <v>39.125729999999997</v>
      </c>
      <c r="N32" s="86">
        <v>1643.2806599999999</v>
      </c>
      <c r="O32" s="88">
        <v>40.886387849999991</v>
      </c>
      <c r="P32" s="85">
        <v>40.886387849999991</v>
      </c>
      <c r="Q32" s="86">
        <v>1717.2282896999996</v>
      </c>
      <c r="R32" s="88">
        <v>63.55</v>
      </c>
      <c r="S32" s="85">
        <v>63.55</v>
      </c>
      <c r="T32" s="86">
        <v>2669.1</v>
      </c>
      <c r="U32" s="88">
        <v>66.091999999999999</v>
      </c>
      <c r="V32" s="85">
        <v>66.091999999999999</v>
      </c>
      <c r="W32" s="86">
        <v>2775.864</v>
      </c>
      <c r="X32" s="85">
        <v>68.725679999999997</v>
      </c>
      <c r="Y32" s="85">
        <v>68.725679999999997</v>
      </c>
      <c r="Z32" s="86">
        <v>2886.47856</v>
      </c>
      <c r="AA32" s="85">
        <v>72.161963999999998</v>
      </c>
      <c r="AB32" s="85">
        <v>72.161963999999998</v>
      </c>
      <c r="AC32" s="86">
        <v>3030.8024879999998</v>
      </c>
      <c r="AD32" s="85">
        <v>74.319999999999993</v>
      </c>
      <c r="AE32" s="89">
        <v>74.319999999999993</v>
      </c>
      <c r="AF32" s="86">
        <f t="shared" si="20"/>
        <v>3121.4399999999996</v>
      </c>
      <c r="AG32" s="85">
        <f t="shared" si="8"/>
        <v>76.549599999999998</v>
      </c>
      <c r="AH32" s="89">
        <f t="shared" si="8"/>
        <v>76.549599999999998</v>
      </c>
      <c r="AI32" s="86">
        <f t="shared" si="21"/>
        <v>3215.0832</v>
      </c>
      <c r="AJ32" s="85">
        <f t="shared" si="24"/>
        <v>78.846087999999995</v>
      </c>
      <c r="AK32" s="89">
        <f t="shared" si="23"/>
        <v>78.846087999999995</v>
      </c>
      <c r="AL32" s="86">
        <f t="shared" si="22"/>
        <v>3311.5356959999999</v>
      </c>
      <c r="AM32" s="255" t="s">
        <v>89</v>
      </c>
      <c r="AN32" s="277">
        <v>76.938908069999997</v>
      </c>
      <c r="AO32" s="278">
        <v>374.82784280999999</v>
      </c>
      <c r="AP32" s="279">
        <v>15742.76939802</v>
      </c>
      <c r="AQ32" s="255" t="s">
        <v>89</v>
      </c>
      <c r="AR32" s="277">
        <f t="shared" si="10"/>
        <v>79.247075312099994</v>
      </c>
      <c r="AS32" s="278">
        <f t="shared" si="11"/>
        <v>386.07267809429999</v>
      </c>
      <c r="AT32" s="279">
        <f t="shared" si="12"/>
        <v>16215.052479960601</v>
      </c>
      <c r="AU32" s="277">
        <f t="shared" si="13"/>
        <v>81.624487571462993</v>
      </c>
      <c r="AV32" s="278">
        <f t="shared" si="14"/>
        <v>397.65485843712901</v>
      </c>
      <c r="AW32" s="279">
        <f t="shared" si="15"/>
        <v>16701.504054359419</v>
      </c>
      <c r="AX32" s="277">
        <f t="shared" si="16"/>
        <v>84.073222198606885</v>
      </c>
      <c r="AY32" s="278">
        <f t="shared" si="17"/>
        <v>409.58450419024291</v>
      </c>
      <c r="AZ32" s="279">
        <f t="shared" si="18"/>
        <v>17202.549175990203</v>
      </c>
      <c r="BA32" s="277">
        <f t="shared" si="19"/>
        <v>86.59541886456509</v>
      </c>
      <c r="BB32" s="278">
        <f t="shared" si="0"/>
        <v>421.87203931595019</v>
      </c>
      <c r="BC32" s="279">
        <f t="shared" si="1"/>
        <v>17718.625651269911</v>
      </c>
      <c r="BD32" s="277">
        <f t="shared" si="2"/>
        <v>89.19328143050204</v>
      </c>
      <c r="BE32" s="278">
        <f t="shared" si="3"/>
        <v>434.52820049542873</v>
      </c>
      <c r="BF32" s="279">
        <f t="shared" si="4"/>
        <v>18250.184420808007</v>
      </c>
      <c r="BG32" s="277">
        <f t="shared" si="5"/>
        <v>91.869079873417107</v>
      </c>
      <c r="BH32" s="278">
        <f t="shared" si="6"/>
        <v>447.56404651029163</v>
      </c>
      <c r="BI32" s="279">
        <f t="shared" si="7"/>
        <v>18797.689953432247</v>
      </c>
    </row>
    <row r="33" spans="1:61" ht="14.25">
      <c r="A33" s="90">
        <v>260</v>
      </c>
      <c r="B33" s="81" t="s">
        <v>80</v>
      </c>
      <c r="C33" s="101">
        <v>100</v>
      </c>
      <c r="D33" s="92">
        <v>100</v>
      </c>
      <c r="E33" s="92">
        <v>4200</v>
      </c>
      <c r="F33" s="94">
        <v>106.32</v>
      </c>
      <c r="G33" s="92">
        <v>106.32</v>
      </c>
      <c r="H33" s="93">
        <v>4465.4399999999996</v>
      </c>
      <c r="I33" s="95">
        <v>112.16759999999999</v>
      </c>
      <c r="J33" s="92">
        <v>112.16759999999999</v>
      </c>
      <c r="K33" s="93">
        <v>4711.0391999999993</v>
      </c>
      <c r="L33" s="95">
        <v>117.77598</v>
      </c>
      <c r="M33" s="92">
        <v>117.77598</v>
      </c>
      <c r="N33" s="93">
        <v>4946.5911599999999</v>
      </c>
      <c r="O33" s="95">
        <v>123.0758991</v>
      </c>
      <c r="P33" s="92">
        <v>123.0758991</v>
      </c>
      <c r="Q33" s="93">
        <v>5169.1877622000002</v>
      </c>
      <c r="R33" s="95">
        <v>123.0758991</v>
      </c>
      <c r="S33" s="92">
        <v>123.0758991</v>
      </c>
      <c r="T33" s="93">
        <v>5169.1877622000002</v>
      </c>
      <c r="U33" s="95">
        <v>127.99893506400001</v>
      </c>
      <c r="V33" s="92">
        <v>127.99893506400001</v>
      </c>
      <c r="W33" s="93">
        <v>5375.9552726880002</v>
      </c>
      <c r="X33" s="92">
        <v>133.11889246656003</v>
      </c>
      <c r="Y33" s="92">
        <v>133.11889246656003</v>
      </c>
      <c r="Z33" s="93">
        <v>5590.993483595521</v>
      </c>
      <c r="AA33" s="92">
        <v>139.78008708988804</v>
      </c>
      <c r="AB33" s="92">
        <v>139.78008708988804</v>
      </c>
      <c r="AC33" s="93">
        <v>5870.7636577752974</v>
      </c>
      <c r="AD33" s="92">
        <v>143.97</v>
      </c>
      <c r="AE33" s="96">
        <v>143.97</v>
      </c>
      <c r="AF33" s="93">
        <f t="shared" si="20"/>
        <v>6046.74</v>
      </c>
      <c r="AG33" s="92">
        <f t="shared" si="8"/>
        <v>148.28909999999999</v>
      </c>
      <c r="AH33" s="96">
        <f t="shared" si="8"/>
        <v>148.28909999999999</v>
      </c>
      <c r="AI33" s="93">
        <f t="shared" si="21"/>
        <v>6228.1421999999993</v>
      </c>
      <c r="AJ33" s="92">
        <f t="shared" si="24"/>
        <v>152.737773</v>
      </c>
      <c r="AK33" s="96">
        <f t="shared" si="23"/>
        <v>152.737773</v>
      </c>
      <c r="AL33" s="93">
        <f t="shared" si="22"/>
        <v>6414.9864660000003</v>
      </c>
      <c r="AM33" s="259" t="s">
        <v>77</v>
      </c>
      <c r="AN33" s="271">
        <v>81.211470640000002</v>
      </c>
      <c r="AO33" s="272">
        <v>81.211470640000002</v>
      </c>
      <c r="AP33" s="273">
        <v>3410.8817668800002</v>
      </c>
      <c r="AQ33" s="259" t="s">
        <v>77</v>
      </c>
      <c r="AR33" s="271">
        <f t="shared" si="10"/>
        <v>83.647814759200003</v>
      </c>
      <c r="AS33" s="272">
        <f t="shared" si="11"/>
        <v>83.647814759200003</v>
      </c>
      <c r="AT33" s="273">
        <f t="shared" si="12"/>
        <v>3513.2082198864005</v>
      </c>
      <c r="AU33" s="271">
        <f t="shared" si="13"/>
        <v>86.157249201976001</v>
      </c>
      <c r="AV33" s="272">
        <f t="shared" si="14"/>
        <v>86.157249201976001</v>
      </c>
      <c r="AW33" s="273">
        <f t="shared" si="15"/>
        <v>3618.6044664829924</v>
      </c>
      <c r="AX33" s="271">
        <f t="shared" si="16"/>
        <v>88.741966678035283</v>
      </c>
      <c r="AY33" s="272">
        <f t="shared" si="17"/>
        <v>88.741966678035283</v>
      </c>
      <c r="AZ33" s="273">
        <f t="shared" si="18"/>
        <v>3727.1626004774821</v>
      </c>
      <c r="BA33" s="271">
        <f t="shared" si="19"/>
        <v>91.404225678376349</v>
      </c>
      <c r="BB33" s="272">
        <f t="shared" si="0"/>
        <v>91.404225678376349</v>
      </c>
      <c r="BC33" s="273">
        <f t="shared" si="1"/>
        <v>3838.9774784918068</v>
      </c>
      <c r="BD33" s="271">
        <f t="shared" si="2"/>
        <v>94.14635244872764</v>
      </c>
      <c r="BE33" s="272">
        <f t="shared" si="3"/>
        <v>94.14635244872764</v>
      </c>
      <c r="BF33" s="273">
        <f t="shared" si="4"/>
        <v>3954.1468028465611</v>
      </c>
      <c r="BG33" s="271">
        <f t="shared" si="5"/>
        <v>96.970743022189467</v>
      </c>
      <c r="BH33" s="272">
        <f t="shared" si="6"/>
        <v>96.970743022189467</v>
      </c>
      <c r="BI33" s="273">
        <f t="shared" si="7"/>
        <v>4072.7712069319582</v>
      </c>
    </row>
    <row r="34" spans="1:61" ht="14.25">
      <c r="A34" s="97">
        <v>263</v>
      </c>
      <c r="B34" s="82" t="s">
        <v>90</v>
      </c>
      <c r="C34" s="99">
        <v>5.5762711864406782</v>
      </c>
      <c r="D34" s="99">
        <v>201.58</v>
      </c>
      <c r="E34" s="99">
        <v>8466.36</v>
      </c>
      <c r="F34" s="98">
        <v>11.152542372881356</v>
      </c>
      <c r="G34" s="99">
        <v>213.47254237288135</v>
      </c>
      <c r="H34" s="100">
        <v>8965.8467796610166</v>
      </c>
      <c r="I34" s="98">
        <v>11.765932203389829</v>
      </c>
      <c r="J34" s="99">
        <v>225.22353220338982</v>
      </c>
      <c r="K34" s="100">
        <v>9459.3883525423735</v>
      </c>
      <c r="L34" s="98">
        <v>12.35422881355932</v>
      </c>
      <c r="M34" s="99">
        <v>236.47420881355933</v>
      </c>
      <c r="N34" s="100">
        <v>9931.9167701694914</v>
      </c>
      <c r="O34" s="98">
        <v>12.910169110169489</v>
      </c>
      <c r="P34" s="99">
        <v>247.11554821016949</v>
      </c>
      <c r="Q34" s="100">
        <v>10378.853024827118</v>
      </c>
      <c r="R34" s="98">
        <v>12.910169110169489</v>
      </c>
      <c r="S34" s="99">
        <v>247.11554821016949</v>
      </c>
      <c r="T34" s="100">
        <v>10378.853024827118</v>
      </c>
      <c r="U34" s="98">
        <v>13.426575874576269</v>
      </c>
      <c r="V34" s="99">
        <v>257.00017013857627</v>
      </c>
      <c r="W34" s="100">
        <v>10794.007145820204</v>
      </c>
      <c r="X34" s="99">
        <v>13.96363890955932</v>
      </c>
      <c r="Y34" s="99">
        <v>267.27017694411933</v>
      </c>
      <c r="Z34" s="100">
        <v>11225.347431653012</v>
      </c>
      <c r="AA34" s="99">
        <v>14.661820855037286</v>
      </c>
      <c r="AB34" s="99">
        <v>280.62893579132532</v>
      </c>
      <c r="AC34" s="100">
        <v>11786.415303235663</v>
      </c>
      <c r="AD34" s="99">
        <v>15.1</v>
      </c>
      <c r="AE34" s="96">
        <v>289.05</v>
      </c>
      <c r="AF34" s="100">
        <f t="shared" si="20"/>
        <v>12140.1</v>
      </c>
      <c r="AG34" s="99">
        <f t="shared" si="8"/>
        <v>15.553000000000001</v>
      </c>
      <c r="AH34" s="96">
        <f t="shared" si="8"/>
        <v>297.72149999999999</v>
      </c>
      <c r="AI34" s="100">
        <f t="shared" si="21"/>
        <v>12504.303</v>
      </c>
      <c r="AJ34" s="99">
        <f t="shared" si="24"/>
        <v>16.019590000000001</v>
      </c>
      <c r="AK34" s="96">
        <f t="shared" si="23"/>
        <v>306.65314499999999</v>
      </c>
      <c r="AL34" s="100">
        <f t="shared" si="22"/>
        <v>12879.43209</v>
      </c>
      <c r="AM34" s="256" t="s">
        <v>80</v>
      </c>
      <c r="AN34" s="274">
        <v>157.31990619000001</v>
      </c>
      <c r="AO34" s="275">
        <v>157.31990619000001</v>
      </c>
      <c r="AP34" s="276">
        <v>6607.4360599800002</v>
      </c>
      <c r="AQ34" s="256" t="s">
        <v>80</v>
      </c>
      <c r="AR34" s="274">
        <f t="shared" si="10"/>
        <v>162.03950337570001</v>
      </c>
      <c r="AS34" s="275">
        <f t="shared" si="11"/>
        <v>162.03950337570001</v>
      </c>
      <c r="AT34" s="276">
        <f t="shared" si="12"/>
        <v>6805.6591417794007</v>
      </c>
      <c r="AU34" s="274">
        <f t="shared" si="13"/>
        <v>166.900688476971</v>
      </c>
      <c r="AV34" s="275">
        <f t="shared" si="14"/>
        <v>166.900688476971</v>
      </c>
      <c r="AW34" s="276">
        <f t="shared" si="15"/>
        <v>7009.8289160327831</v>
      </c>
      <c r="AX34" s="274">
        <f t="shared" si="16"/>
        <v>171.90770913128014</v>
      </c>
      <c r="AY34" s="275">
        <f t="shared" si="17"/>
        <v>171.90770913128014</v>
      </c>
      <c r="AZ34" s="276">
        <f t="shared" si="18"/>
        <v>7220.1237835137672</v>
      </c>
      <c r="BA34" s="274">
        <f t="shared" si="19"/>
        <v>177.06494040521855</v>
      </c>
      <c r="BB34" s="275">
        <f t="shared" si="0"/>
        <v>177.06494040521855</v>
      </c>
      <c r="BC34" s="276">
        <f t="shared" si="1"/>
        <v>7436.7274970191802</v>
      </c>
      <c r="BD34" s="274">
        <f t="shared" si="2"/>
        <v>182.3768886173751</v>
      </c>
      <c r="BE34" s="275">
        <f t="shared" si="3"/>
        <v>182.3768886173751</v>
      </c>
      <c r="BF34" s="276">
        <f t="shared" si="4"/>
        <v>7659.8293219297557</v>
      </c>
      <c r="BG34" s="274">
        <f t="shared" si="5"/>
        <v>187.84819527589636</v>
      </c>
      <c r="BH34" s="275">
        <f t="shared" si="6"/>
        <v>187.84819527589636</v>
      </c>
      <c r="BI34" s="276">
        <f t="shared" si="7"/>
        <v>7889.6242015876487</v>
      </c>
    </row>
    <row r="35" spans="1:61" ht="14.25">
      <c r="A35" s="90">
        <v>264</v>
      </c>
      <c r="B35" s="81" t="s">
        <v>91</v>
      </c>
      <c r="C35" s="101">
        <v>96</v>
      </c>
      <c r="D35" s="92">
        <v>196</v>
      </c>
      <c r="E35" s="92">
        <v>8232</v>
      </c>
      <c r="F35" s="94">
        <v>96</v>
      </c>
      <c r="G35" s="92">
        <v>202.32</v>
      </c>
      <c r="H35" s="93">
        <v>8497.44</v>
      </c>
      <c r="I35" s="95">
        <v>101.28</v>
      </c>
      <c r="J35" s="92">
        <v>213.44759999999999</v>
      </c>
      <c r="K35" s="93">
        <v>8964.7991999999995</v>
      </c>
      <c r="L35" s="95">
        <v>106.34400000000001</v>
      </c>
      <c r="M35" s="92">
        <v>224.11998</v>
      </c>
      <c r="N35" s="93">
        <v>9413.0391600000003</v>
      </c>
      <c r="O35" s="95">
        <v>111.12948</v>
      </c>
      <c r="P35" s="92">
        <v>234.20537910000002</v>
      </c>
      <c r="Q35" s="93">
        <v>9836.6259222000008</v>
      </c>
      <c r="R35" s="95">
        <v>111.12948</v>
      </c>
      <c r="S35" s="92">
        <v>234.20537910000002</v>
      </c>
      <c r="T35" s="93">
        <v>9836.6259222000008</v>
      </c>
      <c r="U35" s="95">
        <v>115.5746592</v>
      </c>
      <c r="V35" s="92">
        <v>243.57359426400001</v>
      </c>
      <c r="W35" s="93">
        <v>10230.090959088</v>
      </c>
      <c r="X35" s="92">
        <v>120.18764556799999</v>
      </c>
      <c r="Y35" s="92">
        <v>253.30653803456002</v>
      </c>
      <c r="Z35" s="93">
        <v>10638.87459745152</v>
      </c>
      <c r="AA35" s="92">
        <v>126.1870278464</v>
      </c>
      <c r="AB35" s="92">
        <v>265.96711493628806</v>
      </c>
      <c r="AC35" s="93">
        <v>11170.618827324099</v>
      </c>
      <c r="AD35" s="92">
        <v>129.97999999999999</v>
      </c>
      <c r="AE35" s="96">
        <v>273.95</v>
      </c>
      <c r="AF35" s="93">
        <f t="shared" si="20"/>
        <v>11505.9</v>
      </c>
      <c r="AG35" s="92">
        <f t="shared" si="8"/>
        <v>133.8794</v>
      </c>
      <c r="AH35" s="96">
        <f t="shared" si="8"/>
        <v>282.16849999999999</v>
      </c>
      <c r="AI35" s="93">
        <f t="shared" si="21"/>
        <v>11851.076999999999</v>
      </c>
      <c r="AJ35" s="92">
        <f t="shared" si="24"/>
        <v>137.895782</v>
      </c>
      <c r="AK35" s="96">
        <f t="shared" si="23"/>
        <v>290.633555</v>
      </c>
      <c r="AL35" s="93">
        <f t="shared" si="22"/>
        <v>12206.60931</v>
      </c>
      <c r="AM35" s="256" t="s">
        <v>90</v>
      </c>
      <c r="AN35" s="274">
        <v>16.500177700000002</v>
      </c>
      <c r="AO35" s="275">
        <v>315.85273934999998</v>
      </c>
      <c r="AP35" s="276">
        <v>13265.8150527</v>
      </c>
      <c r="AQ35" s="256" t="s">
        <v>90</v>
      </c>
      <c r="AR35" s="274">
        <f t="shared" si="10"/>
        <v>16.995183031000003</v>
      </c>
      <c r="AS35" s="275">
        <f t="shared" si="11"/>
        <v>325.32832153049998</v>
      </c>
      <c r="AT35" s="276">
        <f t="shared" si="12"/>
        <v>13663.789504281</v>
      </c>
      <c r="AU35" s="274">
        <f t="shared" si="13"/>
        <v>17.505038521930004</v>
      </c>
      <c r="AV35" s="275">
        <f t="shared" si="14"/>
        <v>335.08817117641496</v>
      </c>
      <c r="AW35" s="276">
        <f t="shared" si="15"/>
        <v>14073.703189409431</v>
      </c>
      <c r="AX35" s="274">
        <f t="shared" si="16"/>
        <v>18.030189677587906</v>
      </c>
      <c r="AY35" s="275">
        <f t="shared" si="17"/>
        <v>345.1408163117074</v>
      </c>
      <c r="AZ35" s="276">
        <f t="shared" si="18"/>
        <v>14495.914285091714</v>
      </c>
      <c r="BA35" s="274">
        <f t="shared" si="19"/>
        <v>18.571095367915543</v>
      </c>
      <c r="BB35" s="275">
        <f t="shared" si="0"/>
        <v>355.49504080105862</v>
      </c>
      <c r="BC35" s="276">
        <f t="shared" si="1"/>
        <v>14930.791713644467</v>
      </c>
      <c r="BD35" s="274">
        <f t="shared" si="2"/>
        <v>19.128228228953009</v>
      </c>
      <c r="BE35" s="275">
        <f t="shared" si="3"/>
        <v>366.15989202509041</v>
      </c>
      <c r="BF35" s="276">
        <f t="shared" si="4"/>
        <v>15378.715465053801</v>
      </c>
      <c r="BG35" s="274">
        <f t="shared" si="5"/>
        <v>19.7020750758216</v>
      </c>
      <c r="BH35" s="275">
        <f t="shared" si="6"/>
        <v>377.14468878584313</v>
      </c>
      <c r="BI35" s="276">
        <f t="shared" si="7"/>
        <v>15840.076929005416</v>
      </c>
    </row>
    <row r="36" spans="1:61" ht="14.25">
      <c r="A36" s="90">
        <v>264</v>
      </c>
      <c r="B36" s="81" t="s">
        <v>92</v>
      </c>
      <c r="C36" s="101"/>
      <c r="D36" s="92"/>
      <c r="E36" s="92"/>
      <c r="F36" s="105"/>
      <c r="G36" s="92"/>
      <c r="H36" s="93"/>
      <c r="I36" s="95"/>
      <c r="J36" s="92"/>
      <c r="K36" s="93"/>
      <c r="L36" s="95"/>
      <c r="M36" s="92"/>
      <c r="N36" s="93"/>
      <c r="O36" s="95">
        <v>93.054100899999995</v>
      </c>
      <c r="P36" s="92">
        <v>216.13</v>
      </c>
      <c r="Q36" s="93">
        <v>9077.4599999999991</v>
      </c>
      <c r="R36" s="95">
        <v>96.781064935999993</v>
      </c>
      <c r="S36" s="95">
        <v>224.78</v>
      </c>
      <c r="T36" s="93">
        <v>9440.76</v>
      </c>
      <c r="U36" s="95">
        <v>96.781064935999993</v>
      </c>
      <c r="V36" s="95">
        <v>224.78</v>
      </c>
      <c r="W36" s="93">
        <v>9440.76</v>
      </c>
      <c r="X36" s="92">
        <v>100.65230753343999</v>
      </c>
      <c r="Y36" s="92">
        <v>233.77120000000002</v>
      </c>
      <c r="Z36" s="93">
        <v>9818.3904000000002</v>
      </c>
      <c r="AA36" s="92">
        <v>105.67492291011199</v>
      </c>
      <c r="AB36" s="92">
        <v>245.45501000000002</v>
      </c>
      <c r="AC36" s="93">
        <v>10309.110420000001</v>
      </c>
      <c r="AD36" s="92">
        <v>108.84</v>
      </c>
      <c r="AE36" s="96">
        <v>252.81</v>
      </c>
      <c r="AF36" s="93">
        <f t="shared" si="20"/>
        <v>10618.02</v>
      </c>
      <c r="AG36" s="92">
        <f>AD36*(1+$AI$2)-0.01</f>
        <v>112.09520000000001</v>
      </c>
      <c r="AH36" s="96">
        <f>AE36*(1+$AI$2)</f>
        <v>260.39429999999999</v>
      </c>
      <c r="AI36" s="93">
        <f t="shared" si="21"/>
        <v>10936.560599999999</v>
      </c>
      <c r="AJ36" s="92">
        <f>AG36*(1+$AI$2)-0.01</f>
        <v>115.44805600000001</v>
      </c>
      <c r="AK36" s="96">
        <f>AH36*(1+$AI$2)-0.02</f>
        <v>268.18612899999999</v>
      </c>
      <c r="AL36" s="93">
        <f t="shared" si="22"/>
        <v>11263.817418000001</v>
      </c>
      <c r="AM36" s="256" t="s">
        <v>91</v>
      </c>
      <c r="AN36" s="274">
        <v>142.03265546</v>
      </c>
      <c r="AO36" s="275">
        <v>299.35256164999998</v>
      </c>
      <c r="AP36" s="276">
        <v>12572.8075893</v>
      </c>
      <c r="AQ36" s="256" t="s">
        <v>91</v>
      </c>
      <c r="AR36" s="274">
        <f t="shared" si="10"/>
        <v>146.29363512380002</v>
      </c>
      <c r="AS36" s="275">
        <f t="shared" si="11"/>
        <v>308.33313849949997</v>
      </c>
      <c r="AT36" s="276">
        <f t="shared" si="12"/>
        <v>12949.991816979002</v>
      </c>
      <c r="AU36" s="274">
        <f t="shared" si="13"/>
        <v>150.68244417751401</v>
      </c>
      <c r="AV36" s="275">
        <f t="shared" si="14"/>
        <v>317.58313265448498</v>
      </c>
      <c r="AW36" s="276">
        <f t="shared" si="15"/>
        <v>13338.491571488372</v>
      </c>
      <c r="AX36" s="274">
        <f t="shared" si="16"/>
        <v>155.20291750283943</v>
      </c>
      <c r="AY36" s="275">
        <f t="shared" si="17"/>
        <v>327.11062663411957</v>
      </c>
      <c r="AZ36" s="276">
        <f t="shared" si="18"/>
        <v>13738.646318633024</v>
      </c>
      <c r="BA36" s="274">
        <f t="shared" si="19"/>
        <v>159.85900502792461</v>
      </c>
      <c r="BB36" s="275">
        <f t="shared" si="0"/>
        <v>336.92394543314316</v>
      </c>
      <c r="BC36" s="276">
        <f t="shared" si="1"/>
        <v>14150.805708192014</v>
      </c>
      <c r="BD36" s="274">
        <f t="shared" si="2"/>
        <v>164.65477517876235</v>
      </c>
      <c r="BE36" s="275">
        <f t="shared" si="3"/>
        <v>347.03166379613748</v>
      </c>
      <c r="BF36" s="276">
        <f t="shared" si="4"/>
        <v>14575.329879437775</v>
      </c>
      <c r="BG36" s="274">
        <f t="shared" si="5"/>
        <v>169.59441843412523</v>
      </c>
      <c r="BH36" s="275">
        <f t="shared" si="6"/>
        <v>357.44261371002159</v>
      </c>
      <c r="BI36" s="276">
        <f t="shared" si="7"/>
        <v>15012.589775820908</v>
      </c>
    </row>
    <row r="37" spans="1:61" ht="14.25">
      <c r="A37" s="90">
        <v>271</v>
      </c>
      <c r="B37" s="81" t="s">
        <v>93</v>
      </c>
      <c r="C37" s="101">
        <v>14</v>
      </c>
      <c r="D37" s="92">
        <v>210</v>
      </c>
      <c r="E37" s="92">
        <v>8820</v>
      </c>
      <c r="F37" s="105">
        <v>28</v>
      </c>
      <c r="G37" s="92">
        <v>230.32</v>
      </c>
      <c r="H37" s="93">
        <v>9673.44</v>
      </c>
      <c r="I37" s="95">
        <v>29.54</v>
      </c>
      <c r="J37" s="92">
        <v>242.98759999999999</v>
      </c>
      <c r="K37" s="93">
        <v>10205.4792</v>
      </c>
      <c r="L37" s="95">
        <v>31.016999999999999</v>
      </c>
      <c r="M37" s="92">
        <v>255.13697999999999</v>
      </c>
      <c r="N37" s="93">
        <v>10715.75316</v>
      </c>
      <c r="O37" s="95">
        <v>32.412765</v>
      </c>
      <c r="P37" s="92">
        <v>266.61814409999999</v>
      </c>
      <c r="Q37" s="93">
        <v>11197.9620522</v>
      </c>
      <c r="R37" s="95">
        <v>32.412765</v>
      </c>
      <c r="S37" s="92">
        <v>266.61814409999999</v>
      </c>
      <c r="T37" s="93">
        <v>11197.9620522</v>
      </c>
      <c r="U37" s="95">
        <v>33.709275599999998</v>
      </c>
      <c r="V37" s="92">
        <v>277.28286986400002</v>
      </c>
      <c r="W37" s="93">
        <v>11645.880534288</v>
      </c>
      <c r="X37" s="92">
        <v>35.067646623999998</v>
      </c>
      <c r="Y37" s="92">
        <v>288.37418465856001</v>
      </c>
      <c r="Z37" s="93">
        <v>12111.715755659521</v>
      </c>
      <c r="AA37" s="92">
        <v>36.821028955199999</v>
      </c>
      <c r="AB37" s="92">
        <v>302.78814389148806</v>
      </c>
      <c r="AC37" s="93">
        <v>12717.102043442499</v>
      </c>
      <c r="AD37" s="92">
        <v>37.92</v>
      </c>
      <c r="AE37" s="96">
        <v>311.87</v>
      </c>
      <c r="AF37" s="93">
        <f t="shared" si="20"/>
        <v>13098.54</v>
      </c>
      <c r="AG37" s="92">
        <f t="shared" si="8"/>
        <v>39.057600000000001</v>
      </c>
      <c r="AH37" s="96">
        <f t="shared" si="8"/>
        <v>321.22610000000003</v>
      </c>
      <c r="AI37" s="93">
        <f t="shared" si="21"/>
        <v>13491.496200000001</v>
      </c>
      <c r="AJ37" s="92">
        <f t="shared" ref="AJ37:AK47" si="25">AG37*(1+$AI$2)</f>
        <v>40.229328000000002</v>
      </c>
      <c r="AK37" s="96">
        <f>AH37*(1+$AI$2)</f>
        <v>330.86288300000007</v>
      </c>
      <c r="AL37" s="93">
        <f t="shared" si="22"/>
        <v>13896.241086000004</v>
      </c>
      <c r="AM37" s="256" t="s">
        <v>92</v>
      </c>
      <c r="AN37" s="274">
        <v>118.91149768000001</v>
      </c>
      <c r="AO37" s="275">
        <v>276.23171287000002</v>
      </c>
      <c r="AP37" s="276">
        <v>11601.731940540001</v>
      </c>
      <c r="AQ37" s="256" t="s">
        <v>92</v>
      </c>
      <c r="AR37" s="274">
        <f t="shared" si="10"/>
        <v>122.47884261040001</v>
      </c>
      <c r="AS37" s="275">
        <f t="shared" si="11"/>
        <v>284.51866425610001</v>
      </c>
      <c r="AT37" s="276">
        <f t="shared" si="12"/>
        <v>11949.783898756201</v>
      </c>
      <c r="AU37" s="274">
        <f t="shared" si="13"/>
        <v>126.15320788871202</v>
      </c>
      <c r="AV37" s="275">
        <f t="shared" si="14"/>
        <v>293.05422418378299</v>
      </c>
      <c r="AW37" s="276">
        <f t="shared" si="15"/>
        <v>12308.277415718887</v>
      </c>
      <c r="AX37" s="274">
        <f t="shared" si="16"/>
        <v>129.93780412537339</v>
      </c>
      <c r="AY37" s="275">
        <f t="shared" si="17"/>
        <v>301.84585090929647</v>
      </c>
      <c r="AZ37" s="276">
        <f t="shared" si="18"/>
        <v>12677.525738190454</v>
      </c>
      <c r="BA37" s="274">
        <f t="shared" si="19"/>
        <v>133.83593824913459</v>
      </c>
      <c r="BB37" s="275">
        <f t="shared" si="0"/>
        <v>310.90122643657537</v>
      </c>
      <c r="BC37" s="276">
        <f t="shared" si="1"/>
        <v>13057.851510336168</v>
      </c>
      <c r="BD37" s="274">
        <f t="shared" si="2"/>
        <v>137.85101639660863</v>
      </c>
      <c r="BE37" s="275">
        <f t="shared" si="3"/>
        <v>320.22826322967262</v>
      </c>
      <c r="BF37" s="276">
        <f t="shared" si="4"/>
        <v>13449.587055646252</v>
      </c>
      <c r="BG37" s="274">
        <f t="shared" si="5"/>
        <v>141.98654688850689</v>
      </c>
      <c r="BH37" s="275">
        <f t="shared" si="6"/>
        <v>329.83511112656282</v>
      </c>
      <c r="BI37" s="276">
        <f t="shared" si="7"/>
        <v>13853.074667315641</v>
      </c>
    </row>
    <row r="38" spans="1:61" ht="14.25">
      <c r="A38" s="97">
        <v>273</v>
      </c>
      <c r="B38" s="82" t="s">
        <v>94</v>
      </c>
      <c r="C38" s="99">
        <v>9.1265822784810133</v>
      </c>
      <c r="D38" s="99">
        <v>219.13</v>
      </c>
      <c r="E38" s="99">
        <v>9203.4599999999991</v>
      </c>
      <c r="F38" s="98">
        <v>18.253164556962027</v>
      </c>
      <c r="G38" s="99">
        <v>248.57316455696201</v>
      </c>
      <c r="H38" s="100">
        <v>10440.072911392404</v>
      </c>
      <c r="I38" s="98">
        <v>19.257088607594937</v>
      </c>
      <c r="J38" s="99">
        <v>262.25468860759491</v>
      </c>
      <c r="K38" s="100">
        <v>11014.696921518986</v>
      </c>
      <c r="L38" s="98">
        <v>20.219943037974684</v>
      </c>
      <c r="M38" s="99">
        <v>275.3569230379747</v>
      </c>
      <c r="N38" s="100">
        <v>11564.990767594938</v>
      </c>
      <c r="O38" s="98">
        <v>21.129840474683544</v>
      </c>
      <c r="P38" s="99">
        <v>287.74798457468353</v>
      </c>
      <c r="Q38" s="100">
        <v>12085.415352136708</v>
      </c>
      <c r="R38" s="98">
        <v>21.129840474683544</v>
      </c>
      <c r="S38" s="99">
        <v>287.74798457468353</v>
      </c>
      <c r="T38" s="100">
        <v>12085.415352136708</v>
      </c>
      <c r="U38" s="98">
        <v>21.975034093670885</v>
      </c>
      <c r="V38" s="99">
        <v>299.25790395767092</v>
      </c>
      <c r="W38" s="100">
        <v>12568.831966222178</v>
      </c>
      <c r="X38" s="99">
        <v>22.854035457417723</v>
      </c>
      <c r="Y38" s="99">
        <v>311.22822011597771</v>
      </c>
      <c r="Z38" s="100">
        <v>13071.585244871063</v>
      </c>
      <c r="AA38" s="99">
        <v>23.996737230288609</v>
      </c>
      <c r="AB38" s="99">
        <v>326.78488112177666</v>
      </c>
      <c r="AC38" s="100">
        <v>13724.965007114621</v>
      </c>
      <c r="AD38" s="99">
        <v>24.72</v>
      </c>
      <c r="AE38" s="96">
        <v>336.59</v>
      </c>
      <c r="AF38" s="100">
        <f t="shared" si="20"/>
        <v>14136.779999999999</v>
      </c>
      <c r="AG38" s="99">
        <f t="shared" si="8"/>
        <v>25.461600000000001</v>
      </c>
      <c r="AH38" s="96">
        <f t="shared" si="8"/>
        <v>346.68770000000001</v>
      </c>
      <c r="AI38" s="100">
        <f t="shared" si="21"/>
        <v>14560.883400000001</v>
      </c>
      <c r="AJ38" s="99">
        <f t="shared" si="25"/>
        <v>26.225448</v>
      </c>
      <c r="AK38" s="96">
        <f t="shared" si="25"/>
        <v>357.08833100000004</v>
      </c>
      <c r="AL38" s="100">
        <f t="shared" si="22"/>
        <v>14997.709902000002</v>
      </c>
      <c r="AM38" s="256" t="s">
        <v>93</v>
      </c>
      <c r="AN38" s="274">
        <v>41.435889570000022</v>
      </c>
      <c r="AO38" s="275">
        <v>340.78845122000001</v>
      </c>
      <c r="AP38" s="276">
        <v>14313.114951240001</v>
      </c>
      <c r="AQ38" s="256" t="s">
        <v>93</v>
      </c>
      <c r="AR38" s="274">
        <f t="shared" si="10"/>
        <v>42.678966257100022</v>
      </c>
      <c r="AS38" s="275">
        <f t="shared" si="11"/>
        <v>351.01210475660002</v>
      </c>
      <c r="AT38" s="276">
        <f t="shared" si="12"/>
        <v>14742.508399777202</v>
      </c>
      <c r="AU38" s="274">
        <f t="shared" si="13"/>
        <v>43.959335244813026</v>
      </c>
      <c r="AV38" s="275">
        <f t="shared" si="14"/>
        <v>361.54246789929806</v>
      </c>
      <c r="AW38" s="276">
        <f t="shared" si="15"/>
        <v>15184.783651770518</v>
      </c>
      <c r="AX38" s="274">
        <f t="shared" si="16"/>
        <v>45.278115302157417</v>
      </c>
      <c r="AY38" s="275">
        <f t="shared" si="17"/>
        <v>372.38874193627703</v>
      </c>
      <c r="AZ38" s="276">
        <f t="shared" si="18"/>
        <v>15640.327161323634</v>
      </c>
      <c r="BA38" s="274">
        <f t="shared" si="19"/>
        <v>46.636458761222144</v>
      </c>
      <c r="BB38" s="275">
        <f t="shared" si="0"/>
        <v>383.56040419436533</v>
      </c>
      <c r="BC38" s="276">
        <f t="shared" si="1"/>
        <v>16109.536976163343</v>
      </c>
      <c r="BD38" s="274">
        <f t="shared" si="2"/>
        <v>48.035552524058808</v>
      </c>
      <c r="BE38" s="275">
        <f t="shared" si="3"/>
        <v>395.06721632019628</v>
      </c>
      <c r="BF38" s="276">
        <f t="shared" si="4"/>
        <v>16592.823085448243</v>
      </c>
      <c r="BG38" s="274">
        <f t="shared" si="5"/>
        <v>49.476619099780571</v>
      </c>
      <c r="BH38" s="275">
        <f t="shared" si="6"/>
        <v>406.91923280980217</v>
      </c>
      <c r="BI38" s="276">
        <f t="shared" si="7"/>
        <v>17090.60777801169</v>
      </c>
    </row>
    <row r="39" spans="1:61" ht="14.25">
      <c r="A39" s="97">
        <v>280</v>
      </c>
      <c r="B39" s="82" t="s">
        <v>95</v>
      </c>
      <c r="C39" s="99">
        <v>4.4303797468354427</v>
      </c>
      <c r="D39" s="99">
        <v>223.56</v>
      </c>
      <c r="E39" s="99">
        <v>9389.52</v>
      </c>
      <c r="F39" s="98">
        <v>8.8607594936708853</v>
      </c>
      <c r="G39" s="99">
        <v>257.43392405063292</v>
      </c>
      <c r="H39" s="100">
        <v>10812.224810126583</v>
      </c>
      <c r="I39" s="98">
        <v>9.348101265822784</v>
      </c>
      <c r="J39" s="99">
        <v>271.60278987341769</v>
      </c>
      <c r="K39" s="100">
        <v>11407.317174683543</v>
      </c>
      <c r="L39" s="98">
        <v>9.8155063291139228</v>
      </c>
      <c r="M39" s="99">
        <v>285.17242936708863</v>
      </c>
      <c r="N39" s="100">
        <v>11977.242033417722</v>
      </c>
      <c r="O39" s="98">
        <v>10.257204113924049</v>
      </c>
      <c r="P39" s="99">
        <v>298.00518868860757</v>
      </c>
      <c r="Q39" s="100">
        <v>12516.217924921519</v>
      </c>
      <c r="R39" s="98">
        <v>10.257204113924049</v>
      </c>
      <c r="S39" s="99">
        <v>298.00518868860757</v>
      </c>
      <c r="T39" s="100">
        <v>12516.217924921519</v>
      </c>
      <c r="U39" s="98">
        <v>10.667492278481012</v>
      </c>
      <c r="V39" s="99">
        <v>309.92539623615193</v>
      </c>
      <c r="W39" s="100">
        <v>13016.866641918381</v>
      </c>
      <c r="X39" s="99">
        <v>11.104191969620253</v>
      </c>
      <c r="Y39" s="99">
        <v>322.33241208559798</v>
      </c>
      <c r="Z39" s="100">
        <v>13537.961307595115</v>
      </c>
      <c r="AA39" s="99">
        <v>11.659401568101266</v>
      </c>
      <c r="AB39" s="99">
        <v>338.44428268987792</v>
      </c>
      <c r="AC39" s="100">
        <v>14214.659872974873</v>
      </c>
      <c r="AD39" s="99">
        <v>12.01</v>
      </c>
      <c r="AE39" s="96">
        <v>348.6</v>
      </c>
      <c r="AF39" s="100">
        <f t="shared" si="20"/>
        <v>14641.2</v>
      </c>
      <c r="AG39" s="99">
        <f t="shared" si="8"/>
        <v>12.3703</v>
      </c>
      <c r="AH39" s="96">
        <f t="shared" si="8"/>
        <v>359.05800000000005</v>
      </c>
      <c r="AI39" s="100">
        <f t="shared" si="21"/>
        <v>15080.436000000002</v>
      </c>
      <c r="AJ39" s="99">
        <f t="shared" si="25"/>
        <v>12.741409000000001</v>
      </c>
      <c r="AK39" s="96">
        <f t="shared" si="25"/>
        <v>369.82974000000007</v>
      </c>
      <c r="AL39" s="100">
        <f t="shared" si="22"/>
        <v>15532.849080000004</v>
      </c>
      <c r="AM39" s="256" t="s">
        <v>94</v>
      </c>
      <c r="AN39" s="274">
        <v>27.012211440000002</v>
      </c>
      <c r="AO39" s="275">
        <v>367.80098093000004</v>
      </c>
      <c r="AP39" s="276">
        <v>15447.641199060003</v>
      </c>
      <c r="AQ39" s="256" t="s">
        <v>94</v>
      </c>
      <c r="AR39" s="274">
        <f t="shared" si="10"/>
        <v>27.822577783200003</v>
      </c>
      <c r="AS39" s="275">
        <f t="shared" si="11"/>
        <v>378.83501035790005</v>
      </c>
      <c r="AT39" s="276">
        <f t="shared" si="12"/>
        <v>15911.070435031803</v>
      </c>
      <c r="AU39" s="274">
        <f t="shared" si="13"/>
        <v>28.657255116696003</v>
      </c>
      <c r="AV39" s="275">
        <f t="shared" si="14"/>
        <v>390.20006066863704</v>
      </c>
      <c r="AW39" s="276">
        <f t="shared" si="15"/>
        <v>16388.402548082759</v>
      </c>
      <c r="AX39" s="274">
        <f t="shared" si="16"/>
        <v>29.516972770196883</v>
      </c>
      <c r="AY39" s="275">
        <f t="shared" si="17"/>
        <v>401.90606248869614</v>
      </c>
      <c r="AZ39" s="276">
        <f t="shared" si="18"/>
        <v>16880.054624525241</v>
      </c>
      <c r="BA39" s="274">
        <f t="shared" ref="BA39:BA61" si="26">AX39*(1+$BC$2)</f>
        <v>30.402481953302789</v>
      </c>
      <c r="BB39" s="275">
        <f t="shared" ref="BB39:BB61" si="27">AY39*(1+$BC$2)</f>
        <v>413.96324436335703</v>
      </c>
      <c r="BC39" s="276">
        <f t="shared" ref="BC39:BC61" si="28">AZ39*(1+$BC$2)</f>
        <v>17386.456263261</v>
      </c>
      <c r="BD39" s="274">
        <f t="shared" ref="BD39:BD61" si="29">BA39*(1+$BF$2)</f>
        <v>31.314556411901872</v>
      </c>
      <c r="BE39" s="275">
        <f t="shared" ref="BE39:BE61" si="30">BB39*(1+$BF$2)</f>
        <v>426.38214169425777</v>
      </c>
      <c r="BF39" s="276">
        <f t="shared" ref="BF39:BF61" si="31">BC39*(1+$BF$2)</f>
        <v>17908.049951158831</v>
      </c>
      <c r="BG39" s="274">
        <f t="shared" si="5"/>
        <v>32.253993104258932</v>
      </c>
      <c r="BH39" s="275">
        <f t="shared" si="6"/>
        <v>439.17360594508551</v>
      </c>
      <c r="BI39" s="276">
        <f t="shared" si="7"/>
        <v>18445.291449693595</v>
      </c>
    </row>
    <row r="40" spans="1:61" ht="14.25">
      <c r="A40" s="90">
        <v>278</v>
      </c>
      <c r="B40" s="81" t="s">
        <v>96</v>
      </c>
      <c r="C40" s="101">
        <v>14</v>
      </c>
      <c r="D40" s="92">
        <v>224</v>
      </c>
      <c r="E40" s="92">
        <v>9408</v>
      </c>
      <c r="F40" s="94">
        <v>28</v>
      </c>
      <c r="G40" s="92">
        <v>258.32</v>
      </c>
      <c r="H40" s="93">
        <v>10849.44</v>
      </c>
      <c r="I40" s="95">
        <v>29.54</v>
      </c>
      <c r="J40" s="92">
        <v>272.52760000000001</v>
      </c>
      <c r="K40" s="93">
        <v>11446.1592</v>
      </c>
      <c r="L40" s="95">
        <v>31.016999999999999</v>
      </c>
      <c r="M40" s="92">
        <v>286.16397999999998</v>
      </c>
      <c r="N40" s="93">
        <v>12018.887159999998</v>
      </c>
      <c r="O40" s="95">
        <v>32.418968399999997</v>
      </c>
      <c r="P40" s="92">
        <v>299.03711249999998</v>
      </c>
      <c r="Q40" s="93">
        <v>12559.558724999999</v>
      </c>
      <c r="R40" s="95">
        <v>32.422764999999998</v>
      </c>
      <c r="S40" s="92">
        <v>299.04090910000002</v>
      </c>
      <c r="T40" s="93">
        <v>12559.7181822</v>
      </c>
      <c r="U40" s="95">
        <v>33.719675600000002</v>
      </c>
      <c r="V40" s="92">
        <v>311.00254546400004</v>
      </c>
      <c r="W40" s="93">
        <v>13062.106909488002</v>
      </c>
      <c r="X40" s="92">
        <v>35.058462624000008</v>
      </c>
      <c r="Y40" s="92">
        <v>323.43264728256003</v>
      </c>
      <c r="Z40" s="93">
        <v>13584.171185867521</v>
      </c>
      <c r="AA40" s="92">
        <v>36.811385755200007</v>
      </c>
      <c r="AB40" s="92">
        <v>339.59952964668798</v>
      </c>
      <c r="AC40" s="93">
        <v>14263.1802451609</v>
      </c>
      <c r="AD40" s="92">
        <v>37.909999999999997</v>
      </c>
      <c r="AE40" s="96">
        <v>349.78</v>
      </c>
      <c r="AF40" s="93">
        <f t="shared" si="20"/>
        <v>14690.759999999998</v>
      </c>
      <c r="AG40" s="92">
        <f t="shared" si="8"/>
        <v>39.0473</v>
      </c>
      <c r="AH40" s="96">
        <f t="shared" si="8"/>
        <v>360.27339999999998</v>
      </c>
      <c r="AI40" s="93">
        <f t="shared" si="21"/>
        <v>15131.4828</v>
      </c>
      <c r="AJ40" s="92">
        <f t="shared" si="25"/>
        <v>40.218719</v>
      </c>
      <c r="AK40" s="288">
        <f t="shared" si="25"/>
        <v>371.08160199999998</v>
      </c>
      <c r="AL40" s="93">
        <f t="shared" si="22"/>
        <v>15585.427283999999</v>
      </c>
      <c r="AM40" s="256" t="s">
        <v>95</v>
      </c>
      <c r="AN40" s="274">
        <v>13.123651270000002</v>
      </c>
      <c r="AO40" s="275">
        <v>380.92463220000008</v>
      </c>
      <c r="AP40" s="276">
        <v>15998.834552400003</v>
      </c>
      <c r="AQ40" s="256" t="s">
        <v>95</v>
      </c>
      <c r="AR40" s="274">
        <f t="shared" si="10"/>
        <v>13.517360808100001</v>
      </c>
      <c r="AS40" s="275">
        <f t="shared" si="11"/>
        <v>392.35237116600007</v>
      </c>
      <c r="AT40" s="276">
        <f t="shared" si="12"/>
        <v>16478.799588972004</v>
      </c>
      <c r="AU40" s="274">
        <f t="shared" si="13"/>
        <v>13.922881632343001</v>
      </c>
      <c r="AV40" s="275">
        <f t="shared" si="14"/>
        <v>404.12294230098007</v>
      </c>
      <c r="AW40" s="276">
        <f t="shared" si="15"/>
        <v>16973.163576641164</v>
      </c>
      <c r="AX40" s="274">
        <f t="shared" si="16"/>
        <v>14.340568081313291</v>
      </c>
      <c r="AY40" s="275">
        <f t="shared" si="17"/>
        <v>416.24663057000947</v>
      </c>
      <c r="AZ40" s="276">
        <f t="shared" si="18"/>
        <v>17482.358483940399</v>
      </c>
      <c r="BA40" s="274">
        <f t="shared" si="26"/>
        <v>14.77078512375269</v>
      </c>
      <c r="BB40" s="275">
        <f t="shared" si="27"/>
        <v>428.73402948710975</v>
      </c>
      <c r="BC40" s="276">
        <f t="shared" si="28"/>
        <v>18006.829238458613</v>
      </c>
      <c r="BD40" s="274">
        <f t="shared" si="29"/>
        <v>15.213908677465271</v>
      </c>
      <c r="BE40" s="275">
        <f t="shared" si="30"/>
        <v>441.59605037172304</v>
      </c>
      <c r="BF40" s="276">
        <f t="shared" si="31"/>
        <v>18547.034115612372</v>
      </c>
      <c r="BG40" s="274">
        <f t="shared" si="5"/>
        <v>15.670325937789229</v>
      </c>
      <c r="BH40" s="275">
        <f t="shared" si="6"/>
        <v>454.84393188287476</v>
      </c>
      <c r="BI40" s="276">
        <f t="shared" si="7"/>
        <v>19103.445139080744</v>
      </c>
    </row>
    <row r="41" spans="1:61" ht="14.25">
      <c r="A41" s="90">
        <v>276</v>
      </c>
      <c r="B41" s="81" t="s">
        <v>97</v>
      </c>
      <c r="C41" s="92"/>
      <c r="D41" s="92"/>
      <c r="E41" s="92"/>
      <c r="F41" s="95"/>
      <c r="G41" s="92"/>
      <c r="H41" s="93"/>
      <c r="I41" s="95">
        <v>0</v>
      </c>
      <c r="J41" s="92"/>
      <c r="K41" s="93">
        <v>0</v>
      </c>
      <c r="L41" s="95"/>
      <c r="M41" s="92"/>
      <c r="N41" s="93"/>
      <c r="O41" s="95"/>
      <c r="P41" s="92"/>
      <c r="Q41" s="93"/>
      <c r="R41" s="95">
        <v>0</v>
      </c>
      <c r="S41" s="92"/>
      <c r="T41" s="93"/>
      <c r="U41" s="95"/>
      <c r="V41" s="92"/>
      <c r="W41" s="93"/>
      <c r="X41" s="92"/>
      <c r="Y41" s="92"/>
      <c r="Z41" s="93"/>
      <c r="AA41" s="92">
        <v>0</v>
      </c>
      <c r="AB41" s="92"/>
      <c r="AC41" s="93">
        <v>0</v>
      </c>
      <c r="AD41" s="92">
        <v>0</v>
      </c>
      <c r="AE41" s="96"/>
      <c r="AF41" s="93">
        <f t="shared" si="20"/>
        <v>0</v>
      </c>
      <c r="AG41" s="92">
        <f t="shared" si="8"/>
        <v>0</v>
      </c>
      <c r="AH41" s="96">
        <f t="shared" si="8"/>
        <v>0</v>
      </c>
      <c r="AI41" s="93">
        <f t="shared" si="21"/>
        <v>0</v>
      </c>
      <c r="AJ41" s="92">
        <f t="shared" si="25"/>
        <v>0</v>
      </c>
      <c r="AK41" s="96">
        <f t="shared" si="25"/>
        <v>0</v>
      </c>
      <c r="AL41" s="93">
        <f t="shared" si="22"/>
        <v>0</v>
      </c>
      <c r="AM41" s="256" t="s">
        <v>96</v>
      </c>
      <c r="AN41" s="274">
        <v>41.425280569999998</v>
      </c>
      <c r="AO41" s="288">
        <v>382.21405005999998</v>
      </c>
      <c r="AP41" s="276">
        <v>16052.99010252</v>
      </c>
      <c r="AQ41" s="256" t="s">
        <v>96</v>
      </c>
      <c r="AR41" s="274">
        <f t="shared" si="10"/>
        <v>42.668038987099997</v>
      </c>
      <c r="AS41" s="288">
        <f t="shared" si="11"/>
        <v>393.6804715618</v>
      </c>
      <c r="AT41" s="276">
        <f t="shared" si="12"/>
        <v>16534.5798055956</v>
      </c>
      <c r="AU41" s="274">
        <f t="shared" si="13"/>
        <v>43.948080156712997</v>
      </c>
      <c r="AV41" s="288">
        <f t="shared" si="14"/>
        <v>405.49088570865399</v>
      </c>
      <c r="AW41" s="276">
        <f t="shared" si="15"/>
        <v>17030.61719976347</v>
      </c>
      <c r="AX41" s="274">
        <f t="shared" si="16"/>
        <v>45.266522561414391</v>
      </c>
      <c r="AY41" s="288">
        <f>AV41*(1+$AZ$2)</f>
        <v>417.65561227991361</v>
      </c>
      <c r="AZ41" s="276">
        <f t="shared" si="18"/>
        <v>17541.535715756374</v>
      </c>
      <c r="BA41" s="274">
        <f t="shared" si="26"/>
        <v>46.624518238256826</v>
      </c>
      <c r="BB41" s="288">
        <f t="shared" si="27"/>
        <v>430.18528064831105</v>
      </c>
      <c r="BC41" s="276">
        <f t="shared" si="28"/>
        <v>18067.781787229065</v>
      </c>
      <c r="BD41" s="274">
        <f t="shared" si="29"/>
        <v>48.023253785404535</v>
      </c>
      <c r="BE41" s="288">
        <f t="shared" si="30"/>
        <v>443.09083906776038</v>
      </c>
      <c r="BF41" s="276">
        <f t="shared" si="31"/>
        <v>18609.815240845939</v>
      </c>
      <c r="BG41" s="274">
        <f t="shared" si="5"/>
        <v>49.463951398966671</v>
      </c>
      <c r="BH41" s="288">
        <f t="shared" si="6"/>
        <v>456.3835642397932</v>
      </c>
      <c r="BI41" s="276">
        <f t="shared" si="7"/>
        <v>19168.109698071319</v>
      </c>
    </row>
    <row r="42" spans="1:61" ht="14.25">
      <c r="A42" s="90">
        <v>279</v>
      </c>
      <c r="B42" s="81" t="s">
        <v>98</v>
      </c>
      <c r="C42" s="92">
        <v>0</v>
      </c>
      <c r="D42" s="92">
        <v>0</v>
      </c>
      <c r="E42" s="92">
        <v>0</v>
      </c>
      <c r="F42" s="94">
        <v>37</v>
      </c>
      <c r="G42" s="92">
        <v>295.32</v>
      </c>
      <c r="H42" s="93">
        <v>12403.44</v>
      </c>
      <c r="I42" s="95">
        <v>39.034999999999997</v>
      </c>
      <c r="J42" s="92">
        <v>311.57259999999997</v>
      </c>
      <c r="K42" s="93">
        <v>13086.049199999998</v>
      </c>
      <c r="L42" s="95">
        <v>40.986750000000001</v>
      </c>
      <c r="M42" s="92">
        <v>327.15072999999995</v>
      </c>
      <c r="N42" s="93">
        <v>13740.330659999998</v>
      </c>
      <c r="O42" s="95">
        <v>42.831153749999999</v>
      </c>
      <c r="P42" s="92">
        <v>341.86826624999998</v>
      </c>
      <c r="Q42" s="93">
        <v>14358.467182499999</v>
      </c>
      <c r="R42" s="95">
        <v>42.831153749999999</v>
      </c>
      <c r="S42" s="92">
        <v>341.87206285000002</v>
      </c>
      <c r="T42" s="93">
        <v>14358.6266397</v>
      </c>
      <c r="U42" s="95">
        <v>44.544399900000002</v>
      </c>
      <c r="V42" s="92">
        <v>355.54694536400007</v>
      </c>
      <c r="W42" s="93">
        <v>14932.971705288002</v>
      </c>
      <c r="X42" s="92">
        <v>46.336175896</v>
      </c>
      <c r="Y42" s="92">
        <v>369.76882317856001</v>
      </c>
      <c r="Z42" s="93">
        <v>15530.29057349952</v>
      </c>
      <c r="AA42" s="92">
        <v>48.652984690800004</v>
      </c>
      <c r="AB42" s="92">
        <v>388.25251433748809</v>
      </c>
      <c r="AC42" s="93">
        <v>16306.605602174501</v>
      </c>
      <c r="AD42" s="92">
        <v>50.11</v>
      </c>
      <c r="AE42" s="96">
        <v>399.89</v>
      </c>
      <c r="AF42" s="93">
        <f t="shared" si="20"/>
        <v>16795.38</v>
      </c>
      <c r="AG42" s="92">
        <f t="shared" si="8"/>
        <v>51.613300000000002</v>
      </c>
      <c r="AH42" s="96">
        <f t="shared" si="8"/>
        <v>411.88670000000002</v>
      </c>
      <c r="AI42" s="93">
        <f t="shared" si="21"/>
        <v>17299.241399999999</v>
      </c>
      <c r="AJ42" s="92">
        <f>AG42*(1+$AI$2)+0.01</f>
        <v>53.171699000000004</v>
      </c>
      <c r="AK42" s="96">
        <f>AH42*(1+$AI$2)+0.01</f>
        <v>424.25330100000002</v>
      </c>
      <c r="AL42" s="93">
        <f t="shared" si="22"/>
        <v>17818.638642000002</v>
      </c>
      <c r="AM42" s="256" t="s">
        <v>97</v>
      </c>
      <c r="AN42" s="274">
        <v>0</v>
      </c>
      <c r="AO42" s="275">
        <v>0</v>
      </c>
      <c r="AP42" s="276">
        <v>0</v>
      </c>
      <c r="AQ42" s="256" t="s">
        <v>97</v>
      </c>
      <c r="AR42" s="274">
        <f t="shared" si="10"/>
        <v>0</v>
      </c>
      <c r="AS42" s="275">
        <f t="shared" si="11"/>
        <v>0</v>
      </c>
      <c r="AT42" s="276">
        <f t="shared" si="12"/>
        <v>0</v>
      </c>
      <c r="AU42" s="274">
        <f t="shared" si="13"/>
        <v>0</v>
      </c>
      <c r="AV42" s="275">
        <f t="shared" si="14"/>
        <v>0</v>
      </c>
      <c r="AW42" s="276">
        <f t="shared" si="15"/>
        <v>0</v>
      </c>
      <c r="AX42" s="274">
        <f t="shared" si="16"/>
        <v>0</v>
      </c>
      <c r="AY42" s="275">
        <f t="shared" si="17"/>
        <v>0</v>
      </c>
      <c r="AZ42" s="276">
        <f t="shared" si="18"/>
        <v>0</v>
      </c>
      <c r="BA42" s="274">
        <f t="shared" si="26"/>
        <v>0</v>
      </c>
      <c r="BB42" s="275">
        <f t="shared" si="27"/>
        <v>0</v>
      </c>
      <c r="BC42" s="276">
        <f t="shared" si="28"/>
        <v>0</v>
      </c>
      <c r="BD42" s="274">
        <f t="shared" si="29"/>
        <v>0</v>
      </c>
      <c r="BE42" s="275">
        <f t="shared" si="30"/>
        <v>0</v>
      </c>
      <c r="BF42" s="276">
        <f t="shared" si="31"/>
        <v>0</v>
      </c>
      <c r="BG42" s="274">
        <f t="shared" si="5"/>
        <v>0</v>
      </c>
      <c r="BH42" s="275">
        <f t="shared" si="6"/>
        <v>0</v>
      </c>
      <c r="BI42" s="276">
        <f t="shared" si="7"/>
        <v>0</v>
      </c>
    </row>
    <row r="43" spans="1:61" ht="14.25">
      <c r="A43" s="90"/>
      <c r="B43" s="81" t="s">
        <v>99</v>
      </c>
      <c r="C43" s="101">
        <v>67</v>
      </c>
      <c r="D43" s="92">
        <v>67</v>
      </c>
      <c r="E43" s="92">
        <v>2814</v>
      </c>
      <c r="F43" s="94">
        <v>37</v>
      </c>
      <c r="G43" s="92">
        <v>332.32</v>
      </c>
      <c r="H43" s="93">
        <v>13957.44</v>
      </c>
      <c r="I43" s="95">
        <v>39.034999999999997</v>
      </c>
      <c r="J43" s="92">
        <v>350.59759999999994</v>
      </c>
      <c r="K43" s="93">
        <v>14725.099199999997</v>
      </c>
      <c r="L43" s="95">
        <v>40.986750000000001</v>
      </c>
      <c r="M43" s="92">
        <v>368.13747999999998</v>
      </c>
      <c r="N43" s="93">
        <v>15461.774159999999</v>
      </c>
      <c r="O43" s="95">
        <v>42.831153749999999</v>
      </c>
      <c r="P43" s="92">
        <v>384.70321659999991</v>
      </c>
      <c r="Q43" s="93">
        <v>16157.535097199996</v>
      </c>
      <c r="R43" s="95">
        <v>42.831153749999999</v>
      </c>
      <c r="S43" s="92">
        <v>384.70321659999991</v>
      </c>
      <c r="T43" s="93">
        <v>16157.535097199996</v>
      </c>
      <c r="U43" s="95">
        <v>44.544399900000002</v>
      </c>
      <c r="V43" s="92">
        <v>400.09134526399987</v>
      </c>
      <c r="W43" s="93">
        <v>16803.836501087993</v>
      </c>
      <c r="X43" s="92">
        <v>46.326175896000002</v>
      </c>
      <c r="Y43" s="92">
        <v>416.09499907455989</v>
      </c>
      <c r="Z43" s="93">
        <v>17475.989961131516</v>
      </c>
      <c r="AA43" s="92">
        <v>48.652484690800001</v>
      </c>
      <c r="AB43" s="92">
        <v>436.90974902828793</v>
      </c>
      <c r="AC43" s="93">
        <v>18350.209459188092</v>
      </c>
      <c r="AD43" s="92">
        <v>50.11</v>
      </c>
      <c r="AE43" s="96">
        <v>450.02</v>
      </c>
      <c r="AF43" s="93">
        <f t="shared" si="20"/>
        <v>18900.84</v>
      </c>
      <c r="AG43" s="92">
        <f t="shared" si="8"/>
        <v>51.613300000000002</v>
      </c>
      <c r="AH43" s="96">
        <f t="shared" si="8"/>
        <v>463.5206</v>
      </c>
      <c r="AI43" s="93">
        <f t="shared" si="21"/>
        <v>19467.8652</v>
      </c>
      <c r="AJ43" s="92">
        <f>AG43*(1+$AI$2)+0.01</f>
        <v>53.171699000000004</v>
      </c>
      <c r="AK43" s="96">
        <f>AH43*(1+$AI$2)</f>
        <v>477.42621800000001</v>
      </c>
      <c r="AL43" s="93">
        <f t="shared" si="22"/>
        <v>20051.901156</v>
      </c>
      <c r="AM43" s="256" t="s">
        <v>98</v>
      </c>
      <c r="AN43" s="274">
        <v>54.766849970000003</v>
      </c>
      <c r="AO43" s="275">
        <v>436.98090003000004</v>
      </c>
      <c r="AP43" s="276">
        <v>18353.197801260001</v>
      </c>
      <c r="AQ43" s="256" t="s">
        <v>98</v>
      </c>
      <c r="AR43" s="274">
        <f t="shared" si="10"/>
        <v>56.409855469100002</v>
      </c>
      <c r="AS43" s="275">
        <f t="shared" si="11"/>
        <v>450.09032703090008</v>
      </c>
      <c r="AT43" s="276">
        <f t="shared" si="12"/>
        <v>18903.793735297801</v>
      </c>
      <c r="AU43" s="274">
        <f t="shared" si="13"/>
        <v>58.102151133173003</v>
      </c>
      <c r="AV43" s="275">
        <f t="shared" si="14"/>
        <v>463.59303684182709</v>
      </c>
      <c r="AW43" s="276">
        <f t="shared" si="15"/>
        <v>19470.907547356735</v>
      </c>
      <c r="AX43" s="274">
        <f t="shared" si="16"/>
        <v>59.845215667168198</v>
      </c>
      <c r="AY43" s="275">
        <f t="shared" si="17"/>
        <v>477.50082794708192</v>
      </c>
      <c r="AZ43" s="276">
        <f t="shared" si="18"/>
        <v>20055.034773777439</v>
      </c>
      <c r="BA43" s="274">
        <f t="shared" si="26"/>
        <v>61.640572137183248</v>
      </c>
      <c r="BB43" s="275">
        <f t="shared" si="27"/>
        <v>491.82585278549436</v>
      </c>
      <c r="BC43" s="276">
        <f t="shared" si="28"/>
        <v>20656.685816990765</v>
      </c>
      <c r="BD43" s="274">
        <f t="shared" si="29"/>
        <v>63.48978930129875</v>
      </c>
      <c r="BE43" s="275">
        <f t="shared" si="30"/>
        <v>506.58062836905918</v>
      </c>
      <c r="BF43" s="276">
        <f t="shared" si="31"/>
        <v>21276.386391500488</v>
      </c>
      <c r="BG43" s="274">
        <f t="shared" si="5"/>
        <v>65.394482980337713</v>
      </c>
      <c r="BH43" s="275">
        <f t="shared" si="6"/>
        <v>521.77804722013093</v>
      </c>
      <c r="BI43" s="276">
        <f t="shared" si="7"/>
        <v>21914.677983245503</v>
      </c>
    </row>
    <row r="44" spans="1:61" ht="15" thickBot="1">
      <c r="A44" s="133">
        <v>277</v>
      </c>
      <c r="B44" s="134" t="s">
        <v>100</v>
      </c>
      <c r="C44" s="136">
        <v>0</v>
      </c>
      <c r="D44" s="136">
        <v>0</v>
      </c>
      <c r="E44" s="136">
        <v>0</v>
      </c>
      <c r="F44" s="138">
        <v>295.32</v>
      </c>
      <c r="G44" s="136">
        <v>295.32</v>
      </c>
      <c r="H44" s="137">
        <v>12403.44</v>
      </c>
      <c r="I44" s="142">
        <v>311.56259999999997</v>
      </c>
      <c r="J44" s="136">
        <v>311.57259999999997</v>
      </c>
      <c r="K44" s="137">
        <v>13086.049199999998</v>
      </c>
      <c r="L44" s="142">
        <v>327.14072999999996</v>
      </c>
      <c r="M44" s="136">
        <v>327.15072999999995</v>
      </c>
      <c r="N44" s="137">
        <v>13740.330659999998</v>
      </c>
      <c r="O44" s="142">
        <v>341.86206284999992</v>
      </c>
      <c r="P44" s="136">
        <v>341.87206284999991</v>
      </c>
      <c r="Q44" s="137">
        <v>14358.626639699996</v>
      </c>
      <c r="R44" s="142">
        <v>341.87206284999991</v>
      </c>
      <c r="S44" s="136">
        <v>341.87206284999991</v>
      </c>
      <c r="T44" s="137">
        <v>14358.626639699996</v>
      </c>
      <c r="U44" s="142">
        <v>355.5469453639999</v>
      </c>
      <c r="V44" s="136">
        <v>355.5469453639999</v>
      </c>
      <c r="W44" s="137">
        <v>14932.971705287995</v>
      </c>
      <c r="X44" s="136">
        <v>369.7688231785599</v>
      </c>
      <c r="Y44" s="136">
        <v>369.7688231785599</v>
      </c>
      <c r="Z44" s="137">
        <v>15530.290573499517</v>
      </c>
      <c r="AA44" s="136">
        <v>388.25726433748792</v>
      </c>
      <c r="AB44" s="136">
        <v>388.25726433748792</v>
      </c>
      <c r="AC44" s="137">
        <v>16306.805102174492</v>
      </c>
      <c r="AD44" s="136">
        <v>399.91</v>
      </c>
      <c r="AE44" s="139">
        <v>399.91</v>
      </c>
      <c r="AF44" s="137">
        <f t="shared" si="20"/>
        <v>16796.22</v>
      </c>
      <c r="AG44" s="136">
        <f t="shared" si="8"/>
        <v>411.90730000000002</v>
      </c>
      <c r="AH44" s="139">
        <f t="shared" si="8"/>
        <v>411.90730000000002</v>
      </c>
      <c r="AI44" s="137">
        <f t="shared" si="21"/>
        <v>17300.106599999999</v>
      </c>
      <c r="AJ44" s="136">
        <f>AG44*(1+$AI$2)</f>
        <v>424.26451900000001</v>
      </c>
      <c r="AK44" s="139">
        <f>AH44*(1+$AI$2)</f>
        <v>424.26451900000001</v>
      </c>
      <c r="AL44" s="137">
        <f t="shared" si="22"/>
        <v>17819.109798000001</v>
      </c>
      <c r="AM44" s="256" t="s">
        <v>99</v>
      </c>
      <c r="AN44" s="274">
        <v>54.766849970000003</v>
      </c>
      <c r="AO44" s="275">
        <v>491.74900454000004</v>
      </c>
      <c r="AP44" s="276">
        <v>20653.458190680001</v>
      </c>
      <c r="AQ44" s="256" t="s">
        <v>99</v>
      </c>
      <c r="AR44" s="274">
        <f t="shared" si="10"/>
        <v>56.409855469100002</v>
      </c>
      <c r="AS44" s="275">
        <f t="shared" si="11"/>
        <v>506.50147467620008</v>
      </c>
      <c r="AT44" s="276">
        <f t="shared" si="12"/>
        <v>21273.061936400401</v>
      </c>
      <c r="AU44" s="274">
        <f t="shared" si="13"/>
        <v>58.102151133173003</v>
      </c>
      <c r="AV44" s="275">
        <f t="shared" si="14"/>
        <v>521.69651891648607</v>
      </c>
      <c r="AW44" s="276">
        <f t="shared" si="15"/>
        <v>21911.253794492415</v>
      </c>
      <c r="AX44" s="274">
        <f t="shared" si="16"/>
        <v>59.845215667168198</v>
      </c>
      <c r="AY44" s="275">
        <f t="shared" si="17"/>
        <v>537.34741448398063</v>
      </c>
      <c r="AZ44" s="276">
        <f t="shared" si="18"/>
        <v>22568.591408327189</v>
      </c>
      <c r="BA44" s="274">
        <f t="shared" si="26"/>
        <v>61.640572137183248</v>
      </c>
      <c r="BB44" s="275">
        <f t="shared" si="27"/>
        <v>553.4678369185001</v>
      </c>
      <c r="BC44" s="276">
        <f t="shared" si="28"/>
        <v>23245.649150577006</v>
      </c>
      <c r="BD44" s="274">
        <f t="shared" si="29"/>
        <v>63.48978930129875</v>
      </c>
      <c r="BE44" s="275">
        <f t="shared" si="30"/>
        <v>570.07187202605508</v>
      </c>
      <c r="BF44" s="276">
        <f t="shared" si="31"/>
        <v>23943.018625094319</v>
      </c>
      <c r="BG44" s="274">
        <f t="shared" si="5"/>
        <v>65.394482980337713</v>
      </c>
      <c r="BH44" s="275">
        <f t="shared" si="6"/>
        <v>587.17402818683672</v>
      </c>
      <c r="BI44" s="276">
        <f t="shared" si="7"/>
        <v>24661.309183847148</v>
      </c>
    </row>
    <row r="45" spans="1:61" ht="15" thickBot="1">
      <c r="A45" s="90">
        <v>210</v>
      </c>
      <c r="B45" s="81" t="s">
        <v>77</v>
      </c>
      <c r="C45" s="91">
        <v>15</v>
      </c>
      <c r="D45" s="85">
        <v>15</v>
      </c>
      <c r="E45" s="86">
        <v>630</v>
      </c>
      <c r="F45" s="148">
        <v>35.32</v>
      </c>
      <c r="G45" s="85">
        <v>35.32</v>
      </c>
      <c r="H45" s="86">
        <v>1483.44</v>
      </c>
      <c r="I45" s="88">
        <v>37.262599999999999</v>
      </c>
      <c r="J45" s="85">
        <v>37.262599999999999</v>
      </c>
      <c r="K45" s="86">
        <v>1565.0291999999999</v>
      </c>
      <c r="L45" s="88">
        <v>39.125729999999997</v>
      </c>
      <c r="M45" s="85">
        <v>39.125729999999997</v>
      </c>
      <c r="N45" s="86">
        <v>1643.2806599999999</v>
      </c>
      <c r="O45" s="88">
        <v>40.886387849999991</v>
      </c>
      <c r="P45" s="85">
        <v>40.886387849999991</v>
      </c>
      <c r="Q45" s="86">
        <v>1717.2282896999996</v>
      </c>
      <c r="R45" s="88">
        <v>63.55</v>
      </c>
      <c r="S45" s="85">
        <v>63.55</v>
      </c>
      <c r="T45" s="86">
        <v>2669.1</v>
      </c>
      <c r="U45" s="88">
        <v>66.091999999999999</v>
      </c>
      <c r="V45" s="85">
        <v>66.091999999999999</v>
      </c>
      <c r="W45" s="86">
        <v>2775.864</v>
      </c>
      <c r="X45" s="85">
        <v>68.725679999999997</v>
      </c>
      <c r="Y45" s="85">
        <v>68.725679999999997</v>
      </c>
      <c r="Z45" s="86">
        <v>2886.47856</v>
      </c>
      <c r="AA45" s="85">
        <v>72.161963999999998</v>
      </c>
      <c r="AB45" s="85">
        <v>72.161963999999998</v>
      </c>
      <c r="AC45" s="86">
        <v>3030.8024879999998</v>
      </c>
      <c r="AD45" s="85">
        <v>74.319999999999993</v>
      </c>
      <c r="AE45" s="89">
        <v>74.319999999999993</v>
      </c>
      <c r="AF45" s="86">
        <f t="shared" si="20"/>
        <v>3121.4399999999996</v>
      </c>
      <c r="AG45" s="85">
        <f t="shared" si="8"/>
        <v>76.549599999999998</v>
      </c>
      <c r="AH45" s="89">
        <f t="shared" si="8"/>
        <v>76.549599999999998</v>
      </c>
      <c r="AI45" s="86">
        <f t="shared" si="21"/>
        <v>3215.0832</v>
      </c>
      <c r="AJ45" s="85">
        <f t="shared" si="25"/>
        <v>78.846087999999995</v>
      </c>
      <c r="AK45" s="89">
        <f t="shared" si="25"/>
        <v>78.846087999999995</v>
      </c>
      <c r="AL45" s="86">
        <f t="shared" si="22"/>
        <v>3311.5356959999999</v>
      </c>
      <c r="AM45" s="255" t="s">
        <v>100</v>
      </c>
      <c r="AN45" s="277">
        <v>436.99245457000001</v>
      </c>
      <c r="AO45" s="278">
        <v>436.99245457000001</v>
      </c>
      <c r="AP45" s="279">
        <v>18353.683091940002</v>
      </c>
      <c r="AQ45" s="255" t="s">
        <v>100</v>
      </c>
      <c r="AR45" s="277">
        <f t="shared" si="10"/>
        <v>450.10222820710004</v>
      </c>
      <c r="AS45" s="278">
        <f t="shared" si="11"/>
        <v>450.10222820710004</v>
      </c>
      <c r="AT45" s="279">
        <f t="shared" si="12"/>
        <v>18904.293584698204</v>
      </c>
      <c r="AU45" s="277">
        <f t="shared" si="13"/>
        <v>463.60529505331306</v>
      </c>
      <c r="AV45" s="278">
        <f t="shared" si="14"/>
        <v>463.60529505331306</v>
      </c>
      <c r="AW45" s="279">
        <f t="shared" si="15"/>
        <v>19471.42239223915</v>
      </c>
      <c r="AX45" s="277">
        <f t="shared" si="16"/>
        <v>477.51345390491247</v>
      </c>
      <c r="AY45" s="278">
        <f t="shared" si="17"/>
        <v>477.51345390491247</v>
      </c>
      <c r="AZ45" s="279">
        <f t="shared" si="18"/>
        <v>20055.565064006325</v>
      </c>
      <c r="BA45" s="277">
        <f t="shared" si="26"/>
        <v>491.83885752205987</v>
      </c>
      <c r="BB45" s="278">
        <f t="shared" si="27"/>
        <v>491.83885752205987</v>
      </c>
      <c r="BC45" s="279">
        <f t="shared" si="28"/>
        <v>20657.232015926515</v>
      </c>
      <c r="BD45" s="277">
        <f t="shared" si="29"/>
        <v>506.59402324772168</v>
      </c>
      <c r="BE45" s="278">
        <f t="shared" si="30"/>
        <v>506.59402324772168</v>
      </c>
      <c r="BF45" s="279">
        <f t="shared" si="31"/>
        <v>21276.94897640431</v>
      </c>
      <c r="BG45" s="277">
        <f t="shared" si="5"/>
        <v>521.79184394515335</v>
      </c>
      <c r="BH45" s="278">
        <f t="shared" si="6"/>
        <v>521.79184394515335</v>
      </c>
      <c r="BI45" s="279">
        <f t="shared" si="7"/>
        <v>21915.257445696439</v>
      </c>
    </row>
    <row r="46" spans="1:61" ht="14.25">
      <c r="A46" s="90">
        <v>260</v>
      </c>
      <c r="B46" s="81" t="s">
        <v>80</v>
      </c>
      <c r="C46" s="91">
        <v>100</v>
      </c>
      <c r="D46" s="92">
        <v>100</v>
      </c>
      <c r="E46" s="93">
        <v>4200</v>
      </c>
      <c r="F46" s="105">
        <v>106.32</v>
      </c>
      <c r="G46" s="92">
        <v>106.32</v>
      </c>
      <c r="H46" s="93">
        <v>4465.4399999999996</v>
      </c>
      <c r="I46" s="95">
        <v>112.16759999999999</v>
      </c>
      <c r="J46" s="92">
        <v>112.16759999999999</v>
      </c>
      <c r="K46" s="93">
        <v>4711.0391999999993</v>
      </c>
      <c r="L46" s="95">
        <v>117.77598</v>
      </c>
      <c r="M46" s="92">
        <v>117.77598</v>
      </c>
      <c r="N46" s="93">
        <v>4946.5911599999999</v>
      </c>
      <c r="O46" s="95">
        <v>123.0758991</v>
      </c>
      <c r="P46" s="92">
        <v>123.0758991</v>
      </c>
      <c r="Q46" s="93">
        <v>5169.1877622000002</v>
      </c>
      <c r="R46" s="95">
        <v>123.0758991</v>
      </c>
      <c r="S46" s="92">
        <v>123.0758991</v>
      </c>
      <c r="T46" s="93">
        <v>5169.1877622000002</v>
      </c>
      <c r="U46" s="95">
        <v>127.99893506400001</v>
      </c>
      <c r="V46" s="92">
        <v>127.99893506400001</v>
      </c>
      <c r="W46" s="93">
        <v>5375.9552726880002</v>
      </c>
      <c r="X46" s="92">
        <v>133.11889246656003</v>
      </c>
      <c r="Y46" s="92">
        <v>133.11889246656003</v>
      </c>
      <c r="Z46" s="93">
        <v>5590.993483595521</v>
      </c>
      <c r="AA46" s="92">
        <v>139.78008708988804</v>
      </c>
      <c r="AB46" s="92">
        <v>139.78008708988804</v>
      </c>
      <c r="AC46" s="93">
        <v>5870.7636577752974</v>
      </c>
      <c r="AD46" s="92">
        <v>143.97</v>
      </c>
      <c r="AE46" s="96">
        <v>143.97</v>
      </c>
      <c r="AF46" s="93">
        <f t="shared" si="20"/>
        <v>6046.74</v>
      </c>
      <c r="AG46" s="92">
        <f t="shared" si="8"/>
        <v>148.28909999999999</v>
      </c>
      <c r="AH46" s="96">
        <f t="shared" si="8"/>
        <v>148.28909999999999</v>
      </c>
      <c r="AI46" s="93">
        <f t="shared" si="21"/>
        <v>6228.1421999999993</v>
      </c>
      <c r="AJ46" s="92">
        <f t="shared" si="25"/>
        <v>152.737773</v>
      </c>
      <c r="AK46" s="96">
        <f t="shared" si="25"/>
        <v>152.737773</v>
      </c>
      <c r="AL46" s="93">
        <f t="shared" si="22"/>
        <v>6414.9864660000003</v>
      </c>
      <c r="AM46" s="256" t="s">
        <v>77</v>
      </c>
      <c r="AN46" s="271">
        <v>81.211470640000002</v>
      </c>
      <c r="AO46" s="272">
        <v>81.211470640000002</v>
      </c>
      <c r="AP46" s="273">
        <v>3410.8817668800002</v>
      </c>
      <c r="AQ46" s="256" t="s">
        <v>77</v>
      </c>
      <c r="AR46" s="271">
        <f t="shared" si="10"/>
        <v>83.647814759200003</v>
      </c>
      <c r="AS46" s="272">
        <f t="shared" si="11"/>
        <v>83.647814759200003</v>
      </c>
      <c r="AT46" s="273">
        <f t="shared" si="12"/>
        <v>3513.2082198864005</v>
      </c>
      <c r="AU46" s="271">
        <f t="shared" si="13"/>
        <v>86.157249201976001</v>
      </c>
      <c r="AV46" s="272">
        <f t="shared" si="14"/>
        <v>86.157249201976001</v>
      </c>
      <c r="AW46" s="273">
        <f t="shared" si="15"/>
        <v>3618.6044664829924</v>
      </c>
      <c r="AX46" s="271">
        <f t="shared" si="16"/>
        <v>88.741966678035283</v>
      </c>
      <c r="AY46" s="272">
        <f t="shared" si="17"/>
        <v>88.741966678035283</v>
      </c>
      <c r="AZ46" s="273">
        <f t="shared" si="18"/>
        <v>3727.1626004774821</v>
      </c>
      <c r="BA46" s="271">
        <f t="shared" si="26"/>
        <v>91.404225678376349</v>
      </c>
      <c r="BB46" s="272">
        <f t="shared" si="27"/>
        <v>91.404225678376349</v>
      </c>
      <c r="BC46" s="273">
        <f t="shared" si="28"/>
        <v>3838.9774784918068</v>
      </c>
      <c r="BD46" s="271">
        <f t="shared" si="29"/>
        <v>94.14635244872764</v>
      </c>
      <c r="BE46" s="272">
        <f t="shared" si="30"/>
        <v>94.14635244872764</v>
      </c>
      <c r="BF46" s="273">
        <f t="shared" si="31"/>
        <v>3954.1468028465611</v>
      </c>
      <c r="BG46" s="271">
        <f t="shared" si="5"/>
        <v>96.970743022189467</v>
      </c>
      <c r="BH46" s="272">
        <f t="shared" si="6"/>
        <v>96.970743022189467</v>
      </c>
      <c r="BI46" s="273">
        <f t="shared" si="7"/>
        <v>4072.7712069319582</v>
      </c>
    </row>
    <row r="47" spans="1:61" ht="14.25">
      <c r="A47" s="97">
        <v>231</v>
      </c>
      <c r="B47" s="82" t="s">
        <v>82</v>
      </c>
      <c r="C47" s="98">
        <v>22.089552238805972</v>
      </c>
      <c r="D47" s="99">
        <v>122.09</v>
      </c>
      <c r="E47" s="100">
        <v>5127.78</v>
      </c>
      <c r="F47" s="98">
        <v>22.089552238805972</v>
      </c>
      <c r="G47" s="99">
        <v>128.40955223880596</v>
      </c>
      <c r="H47" s="100">
        <v>5393.2011940298498</v>
      </c>
      <c r="I47" s="98">
        <v>23.3044776119403</v>
      </c>
      <c r="J47" s="99">
        <v>135.47207761194028</v>
      </c>
      <c r="K47" s="100">
        <v>5689.827259701492</v>
      </c>
      <c r="L47" s="98">
        <v>24.469701492537315</v>
      </c>
      <c r="M47" s="99">
        <v>142.24568149253733</v>
      </c>
      <c r="N47" s="100">
        <v>5974.3186226865682</v>
      </c>
      <c r="O47" s="98">
        <v>25.570838059701494</v>
      </c>
      <c r="P47" s="99">
        <v>148.6467371597015</v>
      </c>
      <c r="Q47" s="100">
        <v>6243.1629607074628</v>
      </c>
      <c r="R47" s="98">
        <v>25.570838059701494</v>
      </c>
      <c r="S47" s="99">
        <v>148.6467371597015</v>
      </c>
      <c r="T47" s="100">
        <v>6243.1629607074628</v>
      </c>
      <c r="U47" s="98">
        <v>26.593671582089556</v>
      </c>
      <c r="V47" s="99">
        <v>154.59260664608956</v>
      </c>
      <c r="W47" s="100">
        <v>6492.8894791357616</v>
      </c>
      <c r="X47" s="99">
        <v>27.647418445373138</v>
      </c>
      <c r="Y47" s="99">
        <v>160.76631091193318</v>
      </c>
      <c r="Z47" s="100">
        <v>6752.1850583011937</v>
      </c>
      <c r="AA47" s="99">
        <v>29.029789367641797</v>
      </c>
      <c r="AB47" s="99">
        <v>168.80987645752984</v>
      </c>
      <c r="AC47" s="100">
        <v>7090.0148112162533</v>
      </c>
      <c r="AD47" s="99">
        <v>29.9</v>
      </c>
      <c r="AE47" s="96">
        <v>173.87</v>
      </c>
      <c r="AF47" s="100">
        <f t="shared" si="20"/>
        <v>7302.54</v>
      </c>
      <c r="AG47" s="99">
        <f t="shared" si="8"/>
        <v>30.797000000000001</v>
      </c>
      <c r="AH47" s="96">
        <f t="shared" si="8"/>
        <v>179.08610000000002</v>
      </c>
      <c r="AI47" s="100">
        <f t="shared" si="21"/>
        <v>7521.6162000000004</v>
      </c>
      <c r="AJ47" s="99">
        <f t="shared" si="25"/>
        <v>31.72091</v>
      </c>
      <c r="AK47" s="96">
        <f t="shared" si="25"/>
        <v>184.45868300000001</v>
      </c>
      <c r="AL47" s="100">
        <f t="shared" si="22"/>
        <v>7747.2646860000004</v>
      </c>
      <c r="AM47" s="256" t="s">
        <v>80</v>
      </c>
      <c r="AN47" s="274">
        <v>157.31990619000001</v>
      </c>
      <c r="AO47" s="275">
        <v>157.31990619000001</v>
      </c>
      <c r="AP47" s="276">
        <v>6607.4360599800002</v>
      </c>
      <c r="AQ47" s="256" t="s">
        <v>80</v>
      </c>
      <c r="AR47" s="274">
        <f t="shared" si="10"/>
        <v>162.03950337570001</v>
      </c>
      <c r="AS47" s="275">
        <f t="shared" si="11"/>
        <v>162.03950337570001</v>
      </c>
      <c r="AT47" s="276">
        <f t="shared" si="12"/>
        <v>6805.6591417794007</v>
      </c>
      <c r="AU47" s="274">
        <f t="shared" si="13"/>
        <v>166.900688476971</v>
      </c>
      <c r="AV47" s="275">
        <f t="shared" si="14"/>
        <v>166.900688476971</v>
      </c>
      <c r="AW47" s="276">
        <f t="shared" si="15"/>
        <v>7009.8289160327831</v>
      </c>
      <c r="AX47" s="274">
        <f t="shared" si="16"/>
        <v>171.90770913128014</v>
      </c>
      <c r="AY47" s="275">
        <f t="shared" si="17"/>
        <v>171.90770913128014</v>
      </c>
      <c r="AZ47" s="276">
        <f t="shared" si="18"/>
        <v>7220.1237835137672</v>
      </c>
      <c r="BA47" s="274">
        <f t="shared" si="26"/>
        <v>177.06494040521855</v>
      </c>
      <c r="BB47" s="275">
        <f t="shared" si="27"/>
        <v>177.06494040521855</v>
      </c>
      <c r="BC47" s="276">
        <f t="shared" si="28"/>
        <v>7436.7274970191802</v>
      </c>
      <c r="BD47" s="274">
        <f t="shared" si="29"/>
        <v>182.3768886173751</v>
      </c>
      <c r="BE47" s="275">
        <f t="shared" si="30"/>
        <v>182.3768886173751</v>
      </c>
      <c r="BF47" s="276">
        <f t="shared" si="31"/>
        <v>7659.8293219297557</v>
      </c>
      <c r="BG47" s="274">
        <f t="shared" si="5"/>
        <v>187.84819527589636</v>
      </c>
      <c r="BH47" s="275">
        <f t="shared" si="6"/>
        <v>187.84819527589636</v>
      </c>
      <c r="BI47" s="276">
        <f t="shared" si="7"/>
        <v>7889.6242015876487</v>
      </c>
    </row>
    <row r="48" spans="1:61" ht="14.25">
      <c r="A48" s="90">
        <v>221</v>
      </c>
      <c r="B48" s="81" t="s">
        <v>83</v>
      </c>
      <c r="C48" s="91">
        <v>40</v>
      </c>
      <c r="D48" s="92">
        <v>140</v>
      </c>
      <c r="E48" s="93">
        <v>5880</v>
      </c>
      <c r="F48" s="105">
        <v>40</v>
      </c>
      <c r="G48" s="92">
        <v>146.32</v>
      </c>
      <c r="H48" s="93">
        <v>6145.44</v>
      </c>
      <c r="I48" s="95">
        <v>42.2</v>
      </c>
      <c r="J48" s="92">
        <v>154.36759999999998</v>
      </c>
      <c r="K48" s="93">
        <v>6483.4391999999989</v>
      </c>
      <c r="L48" s="95">
        <v>44.31</v>
      </c>
      <c r="M48" s="92">
        <v>162.08598000000001</v>
      </c>
      <c r="N48" s="93">
        <v>6807.6111600000004</v>
      </c>
      <c r="O48" s="95">
        <v>46.30395</v>
      </c>
      <c r="P48" s="92">
        <v>169.3798491</v>
      </c>
      <c r="Q48" s="93">
        <v>7113.9536621999996</v>
      </c>
      <c r="R48" s="95">
        <v>46.30395</v>
      </c>
      <c r="S48" s="92">
        <v>169.3798491</v>
      </c>
      <c r="T48" s="93">
        <v>7113.9536621999996</v>
      </c>
      <c r="U48" s="95">
        <v>48.156108000000003</v>
      </c>
      <c r="V48" s="92">
        <v>176.15504306400001</v>
      </c>
      <c r="W48" s="93">
        <v>7398.5118086880002</v>
      </c>
      <c r="X48" s="92">
        <v>50.092352320000003</v>
      </c>
      <c r="Y48" s="92">
        <v>183.21124478656003</v>
      </c>
      <c r="Z48" s="93">
        <v>7694.8722810355212</v>
      </c>
      <c r="AA48" s="92">
        <v>52.58696993600001</v>
      </c>
      <c r="AB48" s="92">
        <v>192.36705702588804</v>
      </c>
      <c r="AC48" s="93">
        <v>8079.416395087298</v>
      </c>
      <c r="AD48" s="92">
        <v>54.17</v>
      </c>
      <c r="AE48" s="96">
        <v>198.14</v>
      </c>
      <c r="AF48" s="93">
        <f t="shared" si="20"/>
        <v>8321.8799999999992</v>
      </c>
      <c r="AG48" s="92">
        <f>AD48*(1+$AI$2)-0.01</f>
        <v>55.785100000000007</v>
      </c>
      <c r="AH48" s="96">
        <f>AE48*(1+$AI$2)</f>
        <v>204.08419999999998</v>
      </c>
      <c r="AI48" s="93">
        <f t="shared" si="21"/>
        <v>8571.536399999999</v>
      </c>
      <c r="AJ48" s="92">
        <f>AG48*(1+$AI$2)-0.01</f>
        <v>57.448653000000007</v>
      </c>
      <c r="AK48" s="96">
        <f>AH48*(1+$AI$2)-0.02</f>
        <v>210.18672599999996</v>
      </c>
      <c r="AL48" s="93">
        <f t="shared" si="22"/>
        <v>8827.8424919999979</v>
      </c>
      <c r="AM48" s="256" t="s">
        <v>82</v>
      </c>
      <c r="AN48" s="274">
        <v>32.672537300000002</v>
      </c>
      <c r="AO48" s="275">
        <v>189.99244349</v>
      </c>
      <c r="AP48" s="276">
        <v>7979.6826265800009</v>
      </c>
      <c r="AQ48" s="256" t="s">
        <v>82</v>
      </c>
      <c r="AR48" s="274">
        <f t="shared" si="10"/>
        <v>33.652713419000001</v>
      </c>
      <c r="AS48" s="275">
        <f t="shared" si="11"/>
        <v>195.69221679470002</v>
      </c>
      <c r="AT48" s="276">
        <f t="shared" si="12"/>
        <v>8219.0731053774016</v>
      </c>
      <c r="AU48" s="274">
        <f t="shared" si="13"/>
        <v>34.662294821570001</v>
      </c>
      <c r="AV48" s="275">
        <f t="shared" si="14"/>
        <v>201.56298329854101</v>
      </c>
      <c r="AW48" s="276">
        <f t="shared" si="15"/>
        <v>8465.6452985387241</v>
      </c>
      <c r="AX48" s="274">
        <f t="shared" si="16"/>
        <v>35.702163666217103</v>
      </c>
      <c r="AY48" s="275">
        <f t="shared" si="17"/>
        <v>207.60987279749725</v>
      </c>
      <c r="AZ48" s="276">
        <f t="shared" si="18"/>
        <v>8719.6146574948853</v>
      </c>
      <c r="BA48" s="274">
        <f t="shared" si="26"/>
        <v>36.773228576203614</v>
      </c>
      <c r="BB48" s="275">
        <f t="shared" si="27"/>
        <v>213.83816898142217</v>
      </c>
      <c r="BC48" s="276">
        <f t="shared" si="28"/>
        <v>8981.2030972197317</v>
      </c>
      <c r="BD48" s="274">
        <f t="shared" si="29"/>
        <v>37.876425433489722</v>
      </c>
      <c r="BE48" s="275">
        <f t="shared" si="30"/>
        <v>220.25331405086484</v>
      </c>
      <c r="BF48" s="276">
        <f t="shared" si="31"/>
        <v>9250.639190136324</v>
      </c>
      <c r="BG48" s="274">
        <f t="shared" si="5"/>
        <v>39.012718196494411</v>
      </c>
      <c r="BH48" s="275">
        <f t="shared" si="6"/>
        <v>226.86091347239079</v>
      </c>
      <c r="BI48" s="276">
        <f t="shared" si="7"/>
        <v>9528.1583658404143</v>
      </c>
    </row>
    <row r="49" spans="1:61" ht="14.25">
      <c r="A49" s="90">
        <v>245</v>
      </c>
      <c r="B49" s="81" t="s">
        <v>101</v>
      </c>
      <c r="C49" s="91">
        <v>70</v>
      </c>
      <c r="D49" s="92">
        <v>210</v>
      </c>
      <c r="E49" s="93">
        <v>8820</v>
      </c>
      <c r="F49" s="105">
        <v>84</v>
      </c>
      <c r="G49" s="92">
        <v>230.32</v>
      </c>
      <c r="H49" s="93">
        <v>9673.44</v>
      </c>
      <c r="I49" s="95">
        <v>88.62</v>
      </c>
      <c r="J49" s="92">
        <v>242.98759999999999</v>
      </c>
      <c r="K49" s="93">
        <v>10205.4792</v>
      </c>
      <c r="L49" s="95">
        <v>93.051000000000002</v>
      </c>
      <c r="M49" s="92">
        <v>255.13697999999999</v>
      </c>
      <c r="N49" s="93">
        <v>10715.75316</v>
      </c>
      <c r="O49" s="95">
        <v>97.238294999999994</v>
      </c>
      <c r="P49" s="92">
        <v>266.61814409999999</v>
      </c>
      <c r="Q49" s="93">
        <v>11197.9620522</v>
      </c>
      <c r="R49" s="95">
        <v>97.238294999999994</v>
      </c>
      <c r="S49" s="92">
        <v>266.61814409999999</v>
      </c>
      <c r="T49" s="93">
        <v>11197.9620522</v>
      </c>
      <c r="U49" s="95">
        <v>101.11782679999999</v>
      </c>
      <c r="V49" s="92">
        <v>277.27286986399997</v>
      </c>
      <c r="W49" s="93">
        <v>11645.460534287999</v>
      </c>
      <c r="X49" s="92">
        <v>105.15253987199999</v>
      </c>
      <c r="Y49" s="92">
        <v>288.36378465856001</v>
      </c>
      <c r="Z49" s="93">
        <v>12111.27895565952</v>
      </c>
      <c r="AA49" s="92">
        <v>110.41016686559999</v>
      </c>
      <c r="AB49" s="92">
        <v>302.77722389148801</v>
      </c>
      <c r="AC49" s="93">
        <v>12716.643403442496</v>
      </c>
      <c r="AD49" s="92">
        <v>113.72</v>
      </c>
      <c r="AE49" s="96">
        <v>311.86</v>
      </c>
      <c r="AF49" s="93">
        <f t="shared" si="20"/>
        <v>13098.12</v>
      </c>
      <c r="AG49" s="92">
        <f>AD49*(1+$AI$2)+0.01</f>
        <v>117.14160000000001</v>
      </c>
      <c r="AH49" s="96">
        <f>AH48+AG49</f>
        <v>321.22579999999999</v>
      </c>
      <c r="AI49" s="93">
        <f t="shared" si="21"/>
        <v>13491.4836</v>
      </c>
      <c r="AJ49" s="92">
        <f>AG49*(1+$AI$2)+0.02</f>
        <v>120.67584800000002</v>
      </c>
      <c r="AK49" s="96">
        <f>AK48+AJ49</f>
        <v>330.862574</v>
      </c>
      <c r="AL49" s="93">
        <f t="shared" si="22"/>
        <v>13896.228107999999</v>
      </c>
      <c r="AM49" s="256" t="s">
        <v>83</v>
      </c>
      <c r="AN49" s="274">
        <v>59.172112590000012</v>
      </c>
      <c r="AO49" s="275">
        <v>216.49232777999998</v>
      </c>
      <c r="AP49" s="276">
        <v>9092.6777667599981</v>
      </c>
      <c r="AQ49" s="256" t="s">
        <v>83</v>
      </c>
      <c r="AR49" s="274">
        <f t="shared" si="10"/>
        <v>60.947275967700016</v>
      </c>
      <c r="AS49" s="275">
        <f t="shared" si="11"/>
        <v>222.98709761339998</v>
      </c>
      <c r="AT49" s="276">
        <f t="shared" si="12"/>
        <v>9365.4580997627982</v>
      </c>
      <c r="AU49" s="274">
        <f t="shared" si="13"/>
        <v>62.775694246731021</v>
      </c>
      <c r="AV49" s="275">
        <f t="shared" si="14"/>
        <v>229.67671054180198</v>
      </c>
      <c r="AW49" s="276">
        <f t="shared" si="15"/>
        <v>9646.4218427556825</v>
      </c>
      <c r="AX49" s="274">
        <f t="shared" si="16"/>
        <v>64.658965074132951</v>
      </c>
      <c r="AY49" s="275">
        <f t="shared" si="17"/>
        <v>236.56701185805605</v>
      </c>
      <c r="AZ49" s="276">
        <f t="shared" si="18"/>
        <v>9935.8144980383531</v>
      </c>
      <c r="BA49" s="274">
        <f t="shared" si="26"/>
        <v>66.598734026356937</v>
      </c>
      <c r="BB49" s="275">
        <f t="shared" si="27"/>
        <v>243.66402221379775</v>
      </c>
      <c r="BC49" s="276">
        <f t="shared" si="28"/>
        <v>10233.888932979504</v>
      </c>
      <c r="BD49" s="274">
        <f t="shared" si="29"/>
        <v>68.596696047147645</v>
      </c>
      <c r="BE49" s="275">
        <f t="shared" si="30"/>
        <v>250.97394288021169</v>
      </c>
      <c r="BF49" s="276">
        <f t="shared" si="31"/>
        <v>10540.905600968888</v>
      </c>
      <c r="BG49" s="274">
        <f t="shared" si="5"/>
        <v>70.654596928562071</v>
      </c>
      <c r="BH49" s="275">
        <f t="shared" si="6"/>
        <v>258.50316116661804</v>
      </c>
      <c r="BI49" s="276">
        <f t="shared" si="7"/>
        <v>10857.132768997955</v>
      </c>
    </row>
    <row r="50" spans="1:61" ht="15" thickBot="1">
      <c r="A50" s="133">
        <v>251</v>
      </c>
      <c r="B50" s="134" t="s">
        <v>102</v>
      </c>
      <c r="C50" s="135">
        <v>70</v>
      </c>
      <c r="D50" s="136">
        <v>162.09</v>
      </c>
      <c r="E50" s="137">
        <v>6807.78</v>
      </c>
      <c r="F50" s="138">
        <v>84</v>
      </c>
      <c r="G50" s="136">
        <v>230.32</v>
      </c>
      <c r="H50" s="137">
        <v>9673.44</v>
      </c>
      <c r="I50" s="142">
        <v>88.62</v>
      </c>
      <c r="J50" s="136">
        <v>242.98759999999999</v>
      </c>
      <c r="K50" s="137">
        <v>10205.4792</v>
      </c>
      <c r="L50" s="142">
        <v>93.051000000000002</v>
      </c>
      <c r="M50" s="136">
        <v>255.13697999999999</v>
      </c>
      <c r="N50" s="137">
        <v>10715.75316</v>
      </c>
      <c r="O50" s="142">
        <v>97.238294999999994</v>
      </c>
      <c r="P50" s="136">
        <v>266.61814409999999</v>
      </c>
      <c r="Q50" s="137">
        <v>11197.9620522</v>
      </c>
      <c r="R50" s="142">
        <v>97.238294999999994</v>
      </c>
      <c r="S50" s="136">
        <v>266.61814409999999</v>
      </c>
      <c r="T50" s="137">
        <v>11197.9620522</v>
      </c>
      <c r="U50" s="142">
        <v>101.11782679999999</v>
      </c>
      <c r="V50" s="136">
        <v>277.27286986399997</v>
      </c>
      <c r="W50" s="137">
        <v>11645.460534287999</v>
      </c>
      <c r="X50" s="136">
        <v>105.15253987199999</v>
      </c>
      <c r="Y50" s="136">
        <v>288.36378465856001</v>
      </c>
      <c r="Z50" s="137">
        <v>12111.27895565952</v>
      </c>
      <c r="AA50" s="136">
        <v>110.41016686559999</v>
      </c>
      <c r="AB50" s="136">
        <v>302.77722389148801</v>
      </c>
      <c r="AC50" s="137">
        <v>12716.643403442496</v>
      </c>
      <c r="AD50" s="136">
        <v>113.72</v>
      </c>
      <c r="AE50" s="139">
        <v>311.86</v>
      </c>
      <c r="AF50" s="137">
        <f t="shared" si="20"/>
        <v>13098.12</v>
      </c>
      <c r="AG50" s="136">
        <f>AD50*(1+$AI$2)+0.01</f>
        <v>117.14160000000001</v>
      </c>
      <c r="AH50" s="139">
        <f>AH48+AG50</f>
        <v>321.22579999999999</v>
      </c>
      <c r="AI50" s="137">
        <f t="shared" si="21"/>
        <v>13491.4836</v>
      </c>
      <c r="AJ50" s="136">
        <f>AG50*(1+$AI$2)+0.02</f>
        <v>120.67584800000002</v>
      </c>
      <c r="AK50" s="139">
        <f>AK48+AJ50</f>
        <v>330.862574</v>
      </c>
      <c r="AL50" s="137">
        <f t="shared" si="22"/>
        <v>13896.228107999999</v>
      </c>
      <c r="AM50" s="256" t="s">
        <v>101</v>
      </c>
      <c r="AN50" s="274">
        <v>124.29612344000002</v>
      </c>
      <c r="AO50" s="275">
        <v>340.78845122000001</v>
      </c>
      <c r="AP50" s="276">
        <v>14313.114951239999</v>
      </c>
      <c r="AQ50" s="256" t="s">
        <v>101</v>
      </c>
      <c r="AR50" s="274">
        <f t="shared" si="10"/>
        <v>128.02500714320001</v>
      </c>
      <c r="AS50" s="275">
        <f t="shared" si="11"/>
        <v>351.01210475660002</v>
      </c>
      <c r="AT50" s="276">
        <f t="shared" si="12"/>
        <v>14742.5083997772</v>
      </c>
      <c r="AU50" s="274">
        <f t="shared" si="13"/>
        <v>131.86575735749602</v>
      </c>
      <c r="AV50" s="275">
        <f t="shared" si="14"/>
        <v>361.54246789929806</v>
      </c>
      <c r="AW50" s="276">
        <f t="shared" si="15"/>
        <v>15184.783651770516</v>
      </c>
      <c r="AX50" s="274">
        <f t="shared" si="16"/>
        <v>135.8217300782209</v>
      </c>
      <c r="AY50" s="275">
        <f t="shared" si="17"/>
        <v>372.38874193627703</v>
      </c>
      <c r="AZ50" s="276">
        <f t="shared" si="18"/>
        <v>15640.327161323632</v>
      </c>
      <c r="BA50" s="274">
        <f t="shared" si="26"/>
        <v>139.89638198056753</v>
      </c>
      <c r="BB50" s="275">
        <f t="shared" si="27"/>
        <v>383.56040419436533</v>
      </c>
      <c r="BC50" s="276">
        <f t="shared" si="28"/>
        <v>16109.536976163341</v>
      </c>
      <c r="BD50" s="274">
        <f t="shared" si="29"/>
        <v>144.09327343998456</v>
      </c>
      <c r="BE50" s="275">
        <f t="shared" si="30"/>
        <v>395.06721632019628</v>
      </c>
      <c r="BF50" s="276">
        <f t="shared" si="31"/>
        <v>16592.823085448243</v>
      </c>
      <c r="BG50" s="274">
        <f t="shared" si="5"/>
        <v>148.4160716431841</v>
      </c>
      <c r="BH50" s="275">
        <f t="shared" si="6"/>
        <v>406.91923280980217</v>
      </c>
      <c r="BI50" s="276">
        <f t="shared" si="7"/>
        <v>17090.60777801169</v>
      </c>
    </row>
    <row r="51" spans="1:61" ht="15" thickBot="1">
      <c r="A51" s="83">
        <v>210</v>
      </c>
      <c r="B51" s="80" t="s">
        <v>77</v>
      </c>
      <c r="C51" s="84">
        <v>15</v>
      </c>
      <c r="D51" s="85">
        <v>15</v>
      </c>
      <c r="E51" s="86">
        <v>630</v>
      </c>
      <c r="F51" s="87">
        <v>35.32</v>
      </c>
      <c r="G51" s="85">
        <v>35.32</v>
      </c>
      <c r="H51" s="86">
        <v>1483.44</v>
      </c>
      <c r="I51" s="88">
        <v>37.262599999999999</v>
      </c>
      <c r="J51" s="85">
        <v>37.262599999999999</v>
      </c>
      <c r="K51" s="86">
        <v>1565.0291999999999</v>
      </c>
      <c r="L51" s="88">
        <v>39.125729999999997</v>
      </c>
      <c r="M51" s="85">
        <v>39.125729999999997</v>
      </c>
      <c r="N51" s="86">
        <v>1643.2806599999999</v>
      </c>
      <c r="O51" s="88">
        <v>40.886387849999991</v>
      </c>
      <c r="P51" s="85">
        <v>40.886387849999991</v>
      </c>
      <c r="Q51" s="86">
        <v>1717.2282896999996</v>
      </c>
      <c r="R51" s="85">
        <v>63.55</v>
      </c>
      <c r="S51" s="85">
        <v>63.55</v>
      </c>
      <c r="T51" s="85">
        <v>2669.1</v>
      </c>
      <c r="U51" s="88">
        <v>66.091999999999999</v>
      </c>
      <c r="V51" s="85">
        <v>66.091999999999999</v>
      </c>
      <c r="W51" s="86">
        <v>2775.864</v>
      </c>
      <c r="X51" s="85">
        <v>68.725679999999997</v>
      </c>
      <c r="Y51" s="85">
        <v>68.725679999999997</v>
      </c>
      <c r="Z51" s="85">
        <v>2886.47856</v>
      </c>
      <c r="AA51" s="88">
        <v>72.161963999999998</v>
      </c>
      <c r="AB51" s="85">
        <v>72.161963999999998</v>
      </c>
      <c r="AC51" s="86">
        <v>3030.8024879999998</v>
      </c>
      <c r="AD51" s="88">
        <v>74.319999999999993</v>
      </c>
      <c r="AE51" s="89">
        <v>74.319999999999993</v>
      </c>
      <c r="AF51" s="86">
        <f t="shared" si="20"/>
        <v>3121.4399999999996</v>
      </c>
      <c r="AG51" s="85">
        <f t="shared" ref="AG51:AH54" si="32">AD51*(1+$AI$2)</f>
        <v>76.549599999999998</v>
      </c>
      <c r="AH51" s="89">
        <f t="shared" si="32"/>
        <v>76.549599999999998</v>
      </c>
      <c r="AI51" s="86">
        <f t="shared" si="21"/>
        <v>3215.0832</v>
      </c>
      <c r="AJ51" s="85">
        <f t="shared" ref="AJ51:AK53" si="33">AG51*(1+$AI$2)</f>
        <v>78.846087999999995</v>
      </c>
      <c r="AK51" s="89">
        <f t="shared" si="33"/>
        <v>78.846087999999995</v>
      </c>
      <c r="AL51" s="86">
        <f t="shared" si="22"/>
        <v>3311.5356959999999</v>
      </c>
      <c r="AM51" s="255" t="s">
        <v>102</v>
      </c>
      <c r="AN51" s="277">
        <v>124.29612344000002</v>
      </c>
      <c r="AO51" s="280">
        <v>340.78845122000001</v>
      </c>
      <c r="AP51" s="279">
        <v>14313.114951239999</v>
      </c>
      <c r="AQ51" s="255" t="s">
        <v>102</v>
      </c>
      <c r="AR51" s="277">
        <f t="shared" si="10"/>
        <v>128.02500714320001</v>
      </c>
      <c r="AS51" s="280">
        <f t="shared" si="11"/>
        <v>351.01210475660002</v>
      </c>
      <c r="AT51" s="279">
        <f t="shared" si="12"/>
        <v>14742.5083997772</v>
      </c>
      <c r="AU51" s="277">
        <f t="shared" si="13"/>
        <v>131.86575735749602</v>
      </c>
      <c r="AV51" s="280">
        <f t="shared" si="14"/>
        <v>361.54246789929806</v>
      </c>
      <c r="AW51" s="279">
        <f t="shared" si="15"/>
        <v>15184.783651770516</v>
      </c>
      <c r="AX51" s="277">
        <f t="shared" si="16"/>
        <v>135.8217300782209</v>
      </c>
      <c r="AY51" s="280">
        <f t="shared" si="17"/>
        <v>372.38874193627703</v>
      </c>
      <c r="AZ51" s="279">
        <f t="shared" si="18"/>
        <v>15640.327161323632</v>
      </c>
      <c r="BA51" s="277">
        <f t="shared" si="26"/>
        <v>139.89638198056753</v>
      </c>
      <c r="BB51" s="280">
        <f t="shared" si="27"/>
        <v>383.56040419436533</v>
      </c>
      <c r="BC51" s="279">
        <f t="shared" si="28"/>
        <v>16109.536976163341</v>
      </c>
      <c r="BD51" s="277">
        <f t="shared" si="29"/>
        <v>144.09327343998456</v>
      </c>
      <c r="BE51" s="280">
        <f t="shared" si="30"/>
        <v>395.06721632019628</v>
      </c>
      <c r="BF51" s="279">
        <f t="shared" si="31"/>
        <v>16592.823085448243</v>
      </c>
      <c r="BG51" s="277">
        <f t="shared" si="5"/>
        <v>148.4160716431841</v>
      </c>
      <c r="BH51" s="280">
        <f t="shared" si="6"/>
        <v>406.91923280980217</v>
      </c>
      <c r="BI51" s="279">
        <f t="shared" si="7"/>
        <v>17090.60777801169</v>
      </c>
    </row>
    <row r="52" spans="1:61" ht="14.25">
      <c r="A52" s="90">
        <v>260</v>
      </c>
      <c r="B52" s="81" t="s">
        <v>80</v>
      </c>
      <c r="C52" s="91">
        <v>100</v>
      </c>
      <c r="D52" s="92">
        <v>100</v>
      </c>
      <c r="E52" s="93">
        <v>4200</v>
      </c>
      <c r="F52" s="94">
        <v>106.32</v>
      </c>
      <c r="G52" s="92">
        <v>106.32</v>
      </c>
      <c r="H52" s="93">
        <v>4465.4399999999996</v>
      </c>
      <c r="I52" s="95">
        <v>112.16759999999999</v>
      </c>
      <c r="J52" s="92">
        <v>112.16759999999999</v>
      </c>
      <c r="K52" s="93">
        <v>4711.0391999999993</v>
      </c>
      <c r="L52" s="95">
        <v>117.77598</v>
      </c>
      <c r="M52" s="92">
        <v>117.77598</v>
      </c>
      <c r="N52" s="93">
        <v>4946.5911599999999</v>
      </c>
      <c r="O52" s="95">
        <v>123.0758991</v>
      </c>
      <c r="P52" s="92">
        <v>123.0758991</v>
      </c>
      <c r="Q52" s="93">
        <v>5169.1877622000002</v>
      </c>
      <c r="R52" s="92">
        <v>123.0758991</v>
      </c>
      <c r="S52" s="92">
        <v>123.0758991</v>
      </c>
      <c r="T52" s="92">
        <v>5169.1877622000002</v>
      </c>
      <c r="U52" s="95">
        <v>127.99893506400001</v>
      </c>
      <c r="V52" s="92">
        <v>127.99893506400001</v>
      </c>
      <c r="W52" s="93">
        <v>5375.9552726880002</v>
      </c>
      <c r="X52" s="92">
        <v>133.11889246656003</v>
      </c>
      <c r="Y52" s="92">
        <v>133.11889246656003</v>
      </c>
      <c r="Z52" s="92">
        <v>5590.993483595521</v>
      </c>
      <c r="AA52" s="95">
        <v>139.78008708988804</v>
      </c>
      <c r="AB52" s="92">
        <v>139.78008708988804</v>
      </c>
      <c r="AC52" s="93">
        <v>5870.7636577752974</v>
      </c>
      <c r="AD52" s="95">
        <v>143.97</v>
      </c>
      <c r="AE52" s="96">
        <v>143.97</v>
      </c>
      <c r="AF52" s="93">
        <f t="shared" si="20"/>
        <v>6046.74</v>
      </c>
      <c r="AG52" s="92">
        <f t="shared" si="32"/>
        <v>148.28909999999999</v>
      </c>
      <c r="AH52" s="96">
        <f t="shared" si="32"/>
        <v>148.28909999999999</v>
      </c>
      <c r="AI52" s="93">
        <f t="shared" si="21"/>
        <v>6228.1421999999993</v>
      </c>
      <c r="AJ52" s="92">
        <f t="shared" si="33"/>
        <v>152.737773</v>
      </c>
      <c r="AK52" s="96">
        <f t="shared" si="33"/>
        <v>152.737773</v>
      </c>
      <c r="AL52" s="93">
        <f t="shared" si="22"/>
        <v>6414.9864660000003</v>
      </c>
      <c r="AM52" s="259" t="s">
        <v>77</v>
      </c>
      <c r="AN52" s="271">
        <v>81.211470640000002</v>
      </c>
      <c r="AO52" s="272">
        <v>81.211470640000002</v>
      </c>
      <c r="AP52" s="273">
        <v>3410.8817668800002</v>
      </c>
      <c r="AQ52" s="259" t="s">
        <v>77</v>
      </c>
      <c r="AR52" s="271">
        <f t="shared" si="10"/>
        <v>83.647814759200003</v>
      </c>
      <c r="AS52" s="272">
        <f t="shared" si="11"/>
        <v>83.647814759200003</v>
      </c>
      <c r="AT52" s="273">
        <f t="shared" si="12"/>
        <v>3513.2082198864005</v>
      </c>
      <c r="AU52" s="271">
        <f t="shared" si="13"/>
        <v>86.157249201976001</v>
      </c>
      <c r="AV52" s="272">
        <f t="shared" si="14"/>
        <v>86.157249201976001</v>
      </c>
      <c r="AW52" s="273">
        <f t="shared" si="15"/>
        <v>3618.6044664829924</v>
      </c>
      <c r="AX52" s="271">
        <f t="shared" si="16"/>
        <v>88.741966678035283</v>
      </c>
      <c r="AY52" s="272">
        <f t="shared" si="17"/>
        <v>88.741966678035283</v>
      </c>
      <c r="AZ52" s="273">
        <f t="shared" si="18"/>
        <v>3727.1626004774821</v>
      </c>
      <c r="BA52" s="271">
        <f t="shared" si="26"/>
        <v>91.404225678376349</v>
      </c>
      <c r="BB52" s="272">
        <f t="shared" si="27"/>
        <v>91.404225678376349</v>
      </c>
      <c r="BC52" s="273">
        <f t="shared" si="28"/>
        <v>3838.9774784918068</v>
      </c>
      <c r="BD52" s="271">
        <f t="shared" si="29"/>
        <v>94.14635244872764</v>
      </c>
      <c r="BE52" s="272">
        <f t="shared" si="30"/>
        <v>94.14635244872764</v>
      </c>
      <c r="BF52" s="273">
        <f t="shared" si="31"/>
        <v>3954.1468028465611</v>
      </c>
      <c r="BG52" s="271">
        <f t="shared" si="5"/>
        <v>96.970743022189467</v>
      </c>
      <c r="BH52" s="272">
        <f t="shared" si="6"/>
        <v>96.970743022189467</v>
      </c>
      <c r="BI52" s="273">
        <f t="shared" si="7"/>
        <v>4072.7712069319582</v>
      </c>
    </row>
    <row r="53" spans="1:61" ht="14.25">
      <c r="A53" s="97">
        <v>231</v>
      </c>
      <c r="B53" s="82" t="s">
        <v>82</v>
      </c>
      <c r="C53" s="98">
        <v>22.089552238805972</v>
      </c>
      <c r="D53" s="99">
        <v>122.09</v>
      </c>
      <c r="E53" s="100">
        <v>5127.78</v>
      </c>
      <c r="F53" s="98">
        <v>22.089552238805972</v>
      </c>
      <c r="G53" s="99">
        <v>128.40955223880596</v>
      </c>
      <c r="H53" s="100">
        <v>5393.2011940298498</v>
      </c>
      <c r="I53" s="98">
        <v>23.3044776119403</v>
      </c>
      <c r="J53" s="99">
        <v>135.47207761194028</v>
      </c>
      <c r="K53" s="100">
        <v>5689.827259701492</v>
      </c>
      <c r="L53" s="98">
        <v>24.469701492537315</v>
      </c>
      <c r="M53" s="99">
        <v>142.24568149253733</v>
      </c>
      <c r="N53" s="100">
        <v>5974.3186226865682</v>
      </c>
      <c r="O53" s="98">
        <v>25.570838059701494</v>
      </c>
      <c r="P53" s="99">
        <v>148.6467371597015</v>
      </c>
      <c r="Q53" s="100">
        <v>6243.1629607074628</v>
      </c>
      <c r="R53" s="99">
        <v>25.570838059701494</v>
      </c>
      <c r="S53" s="99">
        <v>148.6467371597015</v>
      </c>
      <c r="T53" s="99">
        <v>6243.1629607074628</v>
      </c>
      <c r="U53" s="98">
        <v>26.593671582089556</v>
      </c>
      <c r="V53" s="99">
        <v>154.59260664608956</v>
      </c>
      <c r="W53" s="100">
        <v>6492.8894791357616</v>
      </c>
      <c r="X53" s="99">
        <v>27.647418445373138</v>
      </c>
      <c r="Y53" s="99">
        <v>160.76631091193318</v>
      </c>
      <c r="Z53" s="99">
        <v>6752.1850583011937</v>
      </c>
      <c r="AA53" s="98">
        <v>29.029789367641797</v>
      </c>
      <c r="AB53" s="99">
        <v>168.80987645752984</v>
      </c>
      <c r="AC53" s="100">
        <v>7090.0148112162533</v>
      </c>
      <c r="AD53" s="98">
        <v>29.9</v>
      </c>
      <c r="AE53" s="96">
        <v>173.87</v>
      </c>
      <c r="AF53" s="100">
        <f t="shared" si="20"/>
        <v>7302.54</v>
      </c>
      <c r="AG53" s="99">
        <f t="shared" si="32"/>
        <v>30.797000000000001</v>
      </c>
      <c r="AH53" s="96">
        <f t="shared" si="32"/>
        <v>179.08610000000002</v>
      </c>
      <c r="AI53" s="100">
        <f t="shared" si="21"/>
        <v>7521.6162000000004</v>
      </c>
      <c r="AJ53" s="99">
        <f t="shared" si="33"/>
        <v>31.72091</v>
      </c>
      <c r="AK53" s="96">
        <f t="shared" si="33"/>
        <v>184.45868300000001</v>
      </c>
      <c r="AL53" s="100">
        <f t="shared" si="22"/>
        <v>7747.2646860000004</v>
      </c>
      <c r="AM53" s="256" t="s">
        <v>80</v>
      </c>
      <c r="AN53" s="274">
        <v>157.31990619000001</v>
      </c>
      <c r="AO53" s="275">
        <v>157.31990619000001</v>
      </c>
      <c r="AP53" s="276">
        <v>6607.4360599800002</v>
      </c>
      <c r="AQ53" s="256" t="s">
        <v>80</v>
      </c>
      <c r="AR53" s="274">
        <f t="shared" si="10"/>
        <v>162.03950337570001</v>
      </c>
      <c r="AS53" s="275">
        <f t="shared" si="11"/>
        <v>162.03950337570001</v>
      </c>
      <c r="AT53" s="276">
        <f t="shared" si="12"/>
        <v>6805.6591417794007</v>
      </c>
      <c r="AU53" s="274">
        <f t="shared" si="13"/>
        <v>166.900688476971</v>
      </c>
      <c r="AV53" s="275">
        <f t="shared" si="14"/>
        <v>166.900688476971</v>
      </c>
      <c r="AW53" s="276">
        <f t="shared" si="15"/>
        <v>7009.8289160327831</v>
      </c>
      <c r="AX53" s="274">
        <f t="shared" si="16"/>
        <v>171.90770913128014</v>
      </c>
      <c r="AY53" s="275">
        <f t="shared" si="17"/>
        <v>171.90770913128014</v>
      </c>
      <c r="AZ53" s="276">
        <f t="shared" si="18"/>
        <v>7220.1237835137672</v>
      </c>
      <c r="BA53" s="274">
        <f t="shared" si="26"/>
        <v>177.06494040521855</v>
      </c>
      <c r="BB53" s="275">
        <f t="shared" si="27"/>
        <v>177.06494040521855</v>
      </c>
      <c r="BC53" s="276">
        <f t="shared" si="28"/>
        <v>7436.7274970191802</v>
      </c>
      <c r="BD53" s="274">
        <f t="shared" si="29"/>
        <v>182.3768886173751</v>
      </c>
      <c r="BE53" s="275">
        <f t="shared" si="30"/>
        <v>182.3768886173751</v>
      </c>
      <c r="BF53" s="276">
        <f t="shared" si="31"/>
        <v>7659.8293219297557</v>
      </c>
      <c r="BG53" s="274">
        <f t="shared" si="5"/>
        <v>187.84819527589636</v>
      </c>
      <c r="BH53" s="275">
        <f t="shared" si="6"/>
        <v>187.84819527589636</v>
      </c>
      <c r="BI53" s="276">
        <f t="shared" si="7"/>
        <v>7889.6242015876487</v>
      </c>
    </row>
    <row r="54" spans="1:61" ht="14.25">
      <c r="A54" s="90">
        <v>221</v>
      </c>
      <c r="B54" s="81" t="s">
        <v>83</v>
      </c>
      <c r="C54" s="91">
        <v>40</v>
      </c>
      <c r="D54" s="92">
        <v>140</v>
      </c>
      <c r="E54" s="93">
        <v>5880</v>
      </c>
      <c r="F54" s="94">
        <v>40</v>
      </c>
      <c r="G54" s="92">
        <v>146.32</v>
      </c>
      <c r="H54" s="93">
        <v>6145.44</v>
      </c>
      <c r="I54" s="95">
        <v>42.2</v>
      </c>
      <c r="J54" s="92">
        <v>154.36759999999998</v>
      </c>
      <c r="K54" s="93">
        <v>6483.4391999999989</v>
      </c>
      <c r="L54" s="95">
        <v>44.31</v>
      </c>
      <c r="M54" s="92">
        <v>162.08598000000001</v>
      </c>
      <c r="N54" s="93">
        <v>6807.6111600000004</v>
      </c>
      <c r="O54" s="95">
        <v>46.30395</v>
      </c>
      <c r="P54" s="92">
        <v>169.3798491</v>
      </c>
      <c r="Q54" s="93">
        <v>7113.9536621999996</v>
      </c>
      <c r="R54" s="92">
        <v>46.30395</v>
      </c>
      <c r="S54" s="92">
        <v>169.3798491</v>
      </c>
      <c r="T54" s="92">
        <v>7113.9536621999996</v>
      </c>
      <c r="U54" s="95">
        <v>48.156108000000003</v>
      </c>
      <c r="V54" s="92">
        <v>176.15504306400001</v>
      </c>
      <c r="W54" s="93">
        <v>7398.5118086880002</v>
      </c>
      <c r="X54" s="92">
        <v>50.092352320000003</v>
      </c>
      <c r="Y54" s="92">
        <v>183.21124478656003</v>
      </c>
      <c r="Z54" s="92">
        <v>7694.8722810355212</v>
      </c>
      <c r="AA54" s="95">
        <v>52.58696993600001</v>
      </c>
      <c r="AB54" s="92">
        <v>192.36705702588804</v>
      </c>
      <c r="AC54" s="93">
        <v>8079.416395087298</v>
      </c>
      <c r="AD54" s="95">
        <v>54.17</v>
      </c>
      <c r="AE54" s="96">
        <v>198.14</v>
      </c>
      <c r="AF54" s="93">
        <f t="shared" si="20"/>
        <v>8321.8799999999992</v>
      </c>
      <c r="AG54" s="92">
        <f>AD54*(1+$AI$2)-0.01</f>
        <v>55.785100000000007</v>
      </c>
      <c r="AH54" s="96">
        <f t="shared" si="32"/>
        <v>204.08419999999998</v>
      </c>
      <c r="AI54" s="93">
        <f t="shared" si="21"/>
        <v>8571.536399999999</v>
      </c>
      <c r="AJ54" s="92">
        <f>AG54*(1+$AI$2)-0.01</f>
        <v>57.448653000000007</v>
      </c>
      <c r="AK54" s="96">
        <f>AH54*(1+$AI$2)-0.02</f>
        <v>210.18672599999996</v>
      </c>
      <c r="AL54" s="93">
        <f t="shared" si="22"/>
        <v>8827.8424919999979</v>
      </c>
      <c r="AM54" s="256" t="s">
        <v>82</v>
      </c>
      <c r="AN54" s="274">
        <v>32.672537300000002</v>
      </c>
      <c r="AO54" s="275">
        <v>189.99244349</v>
      </c>
      <c r="AP54" s="276">
        <v>7979.6826265800009</v>
      </c>
      <c r="AQ54" s="256" t="s">
        <v>82</v>
      </c>
      <c r="AR54" s="274">
        <f t="shared" si="10"/>
        <v>33.652713419000001</v>
      </c>
      <c r="AS54" s="275">
        <f t="shared" si="11"/>
        <v>195.69221679470002</v>
      </c>
      <c r="AT54" s="276">
        <f t="shared" si="12"/>
        <v>8219.0731053774016</v>
      </c>
      <c r="AU54" s="274">
        <f t="shared" si="13"/>
        <v>34.662294821570001</v>
      </c>
      <c r="AV54" s="275">
        <f t="shared" si="14"/>
        <v>201.56298329854101</v>
      </c>
      <c r="AW54" s="276">
        <f t="shared" si="15"/>
        <v>8465.6452985387241</v>
      </c>
      <c r="AX54" s="274">
        <f t="shared" si="16"/>
        <v>35.702163666217103</v>
      </c>
      <c r="AY54" s="275">
        <f t="shared" si="17"/>
        <v>207.60987279749725</v>
      </c>
      <c r="AZ54" s="276">
        <f t="shared" si="18"/>
        <v>8719.6146574948853</v>
      </c>
      <c r="BA54" s="274">
        <f t="shared" si="26"/>
        <v>36.773228576203614</v>
      </c>
      <c r="BB54" s="275">
        <f t="shared" si="27"/>
        <v>213.83816898142217</v>
      </c>
      <c r="BC54" s="276">
        <f t="shared" si="28"/>
        <v>8981.2030972197317</v>
      </c>
      <c r="BD54" s="274">
        <f t="shared" si="29"/>
        <v>37.876425433489722</v>
      </c>
      <c r="BE54" s="275">
        <f t="shared" si="30"/>
        <v>220.25331405086484</v>
      </c>
      <c r="BF54" s="276">
        <f t="shared" si="31"/>
        <v>9250.639190136324</v>
      </c>
      <c r="BG54" s="274">
        <f t="shared" si="5"/>
        <v>39.012718196494411</v>
      </c>
      <c r="BH54" s="275">
        <f t="shared" si="6"/>
        <v>226.86091347239079</v>
      </c>
      <c r="BI54" s="276">
        <f t="shared" si="7"/>
        <v>9528.1583658404143</v>
      </c>
    </row>
    <row r="55" spans="1:61" ht="15" thickBot="1">
      <c r="A55" s="90"/>
      <c r="B55" s="81" t="s">
        <v>145</v>
      </c>
      <c r="C55" s="91"/>
      <c r="D55" s="92"/>
      <c r="E55" s="93"/>
      <c r="F55" s="94"/>
      <c r="G55" s="92"/>
      <c r="H55" s="93"/>
      <c r="I55" s="95"/>
      <c r="J55" s="92"/>
      <c r="K55" s="93"/>
      <c r="L55" s="95"/>
      <c r="M55" s="92"/>
      <c r="N55" s="93"/>
      <c r="O55" s="95"/>
      <c r="P55" s="92"/>
      <c r="Q55" s="93"/>
      <c r="R55" s="92"/>
      <c r="S55" s="92"/>
      <c r="T55" s="92"/>
      <c r="U55" s="95"/>
      <c r="V55" s="92"/>
      <c r="W55" s="93"/>
      <c r="X55" s="92"/>
      <c r="Y55" s="92"/>
      <c r="Z55" s="92"/>
      <c r="AA55" s="95"/>
      <c r="AB55" s="92"/>
      <c r="AC55" s="93"/>
      <c r="AD55" s="136"/>
      <c r="AE55" s="139"/>
      <c r="AF55" s="137"/>
      <c r="AG55" s="136">
        <v>74.599999999999994</v>
      </c>
      <c r="AH55" s="139">
        <f>AH54+AG55</f>
        <v>278.68419999999998</v>
      </c>
      <c r="AI55" s="137">
        <f t="shared" si="21"/>
        <v>11704.7364</v>
      </c>
      <c r="AJ55" s="136">
        <f>AG55*(1+$AI$2)</f>
        <v>76.837999999999994</v>
      </c>
      <c r="AK55" s="139">
        <f>AK54+AJ55</f>
        <v>287.02472599999999</v>
      </c>
      <c r="AL55" s="137">
        <f t="shared" si="22"/>
        <v>12055.038492</v>
      </c>
      <c r="AM55" s="256" t="s">
        <v>83</v>
      </c>
      <c r="AN55" s="274">
        <v>59.172112590000012</v>
      </c>
      <c r="AO55" s="275">
        <v>216.49232777999998</v>
      </c>
      <c r="AP55" s="276">
        <v>9092.6777667599981</v>
      </c>
      <c r="AQ55" s="256" t="s">
        <v>83</v>
      </c>
      <c r="AR55" s="274">
        <f t="shared" si="10"/>
        <v>60.947275967700016</v>
      </c>
      <c r="AS55" s="275">
        <f t="shared" si="11"/>
        <v>222.98709761339998</v>
      </c>
      <c r="AT55" s="276">
        <f t="shared" si="12"/>
        <v>9365.4580997627982</v>
      </c>
      <c r="AU55" s="274">
        <f t="shared" si="13"/>
        <v>62.775694246731021</v>
      </c>
      <c r="AV55" s="275">
        <f t="shared" si="14"/>
        <v>229.67671054180198</v>
      </c>
      <c r="AW55" s="276">
        <f t="shared" si="15"/>
        <v>9646.4218427556825</v>
      </c>
      <c r="AX55" s="274">
        <f t="shared" si="16"/>
        <v>64.658965074132951</v>
      </c>
      <c r="AY55" s="275">
        <f t="shared" si="17"/>
        <v>236.56701185805605</v>
      </c>
      <c r="AZ55" s="276">
        <f t="shared" si="18"/>
        <v>9935.8144980383531</v>
      </c>
      <c r="BA55" s="274">
        <f t="shared" si="26"/>
        <v>66.598734026356937</v>
      </c>
      <c r="BB55" s="275">
        <f t="shared" si="27"/>
        <v>243.66402221379775</v>
      </c>
      <c r="BC55" s="276">
        <f t="shared" si="28"/>
        <v>10233.888932979504</v>
      </c>
      <c r="BD55" s="274">
        <f t="shared" si="29"/>
        <v>68.596696047147645</v>
      </c>
      <c r="BE55" s="275">
        <f t="shared" si="30"/>
        <v>250.97394288021169</v>
      </c>
      <c r="BF55" s="276">
        <f t="shared" si="31"/>
        <v>10540.905600968888</v>
      </c>
      <c r="BG55" s="274">
        <f t="shared" si="5"/>
        <v>70.654596928562071</v>
      </c>
      <c r="BH55" s="275">
        <f t="shared" si="6"/>
        <v>258.50316116661804</v>
      </c>
      <c r="BI55" s="276">
        <f t="shared" si="7"/>
        <v>10857.132768997955</v>
      </c>
    </row>
    <row r="56" spans="1:61" ht="15" thickBot="1">
      <c r="A56" s="83">
        <v>210</v>
      </c>
      <c r="B56" s="80" t="s">
        <v>77</v>
      </c>
      <c r="C56" s="84">
        <v>15</v>
      </c>
      <c r="D56" s="85">
        <v>15</v>
      </c>
      <c r="E56" s="86">
        <v>630</v>
      </c>
      <c r="F56" s="87">
        <v>35.32</v>
      </c>
      <c r="G56" s="85">
        <v>35.32</v>
      </c>
      <c r="H56" s="86">
        <v>1483.44</v>
      </c>
      <c r="I56" s="88">
        <v>37.262599999999999</v>
      </c>
      <c r="J56" s="85">
        <v>37.262599999999999</v>
      </c>
      <c r="K56" s="86">
        <v>1565.0291999999999</v>
      </c>
      <c r="L56" s="88">
        <v>39.125729999999997</v>
      </c>
      <c r="M56" s="85">
        <v>39.125729999999997</v>
      </c>
      <c r="N56" s="86">
        <v>1643.2806599999999</v>
      </c>
      <c r="O56" s="88">
        <v>40.886387849999991</v>
      </c>
      <c r="P56" s="85">
        <v>40.886387849999991</v>
      </c>
      <c r="Q56" s="86">
        <v>1717.2282896999996</v>
      </c>
      <c r="R56" s="85">
        <v>63.55</v>
      </c>
      <c r="S56" s="85">
        <v>63.55</v>
      </c>
      <c r="T56" s="85">
        <v>2669.1</v>
      </c>
      <c r="U56" s="88">
        <v>66.091999999999999</v>
      </c>
      <c r="V56" s="85">
        <v>66.091999999999999</v>
      </c>
      <c r="W56" s="86">
        <v>2775.864</v>
      </c>
      <c r="X56" s="85">
        <v>68.725679999999997</v>
      </c>
      <c r="Y56" s="85">
        <v>68.725679999999997</v>
      </c>
      <c r="Z56" s="85">
        <v>2886.47856</v>
      </c>
      <c r="AA56" s="88">
        <v>72.161963999999998</v>
      </c>
      <c r="AB56" s="85">
        <v>72.161963999999998</v>
      </c>
      <c r="AC56" s="86">
        <v>3030.8024879999998</v>
      </c>
      <c r="AD56" s="88">
        <v>74.319999999999993</v>
      </c>
      <c r="AE56" s="89">
        <v>74.319999999999993</v>
      </c>
      <c r="AF56" s="86">
        <f>AE56*42</f>
        <v>3121.4399999999996</v>
      </c>
      <c r="AG56" s="85">
        <f>AD56*(1+$AI$2)</f>
        <v>76.549599999999998</v>
      </c>
      <c r="AH56" s="89">
        <f>AE56*(1+$AI$2)</f>
        <v>76.549599999999998</v>
      </c>
      <c r="AI56" s="86">
        <f t="shared" si="21"/>
        <v>3215.0832</v>
      </c>
      <c r="AJ56" s="85">
        <f t="shared" ref="AJ56:AK59" si="34">AG56*(1+$AI$2)</f>
        <v>78.846087999999995</v>
      </c>
      <c r="AK56" s="89">
        <f t="shared" si="34"/>
        <v>78.846087999999995</v>
      </c>
      <c r="AL56" s="86">
        <f t="shared" si="22"/>
        <v>3311.5356959999999</v>
      </c>
      <c r="AM56" s="256" t="s">
        <v>145</v>
      </c>
      <c r="AN56" s="277">
        <v>53.436400000000006</v>
      </c>
      <c r="AO56" s="278">
        <v>269.92872777999997</v>
      </c>
      <c r="AP56" s="279">
        <v>11337.006566759999</v>
      </c>
      <c r="AQ56" s="256" t="s">
        <v>145</v>
      </c>
      <c r="AR56" s="277">
        <f t="shared" si="10"/>
        <v>55.03949200000001</v>
      </c>
      <c r="AS56" s="278">
        <f t="shared" si="11"/>
        <v>278.02658961340001</v>
      </c>
      <c r="AT56" s="279">
        <f t="shared" si="12"/>
        <v>11677.116763762799</v>
      </c>
      <c r="AU56" s="277">
        <f t="shared" si="13"/>
        <v>56.690676760000009</v>
      </c>
      <c r="AV56" s="278">
        <f t="shared" si="14"/>
        <v>286.36738730180201</v>
      </c>
      <c r="AW56" s="279">
        <f t="shared" si="15"/>
        <v>12027.430266675683</v>
      </c>
      <c r="AX56" s="277">
        <f t="shared" si="16"/>
        <v>58.39139706280001</v>
      </c>
      <c r="AY56" s="278">
        <f t="shared" si="17"/>
        <v>294.95840892085607</v>
      </c>
      <c r="AZ56" s="279">
        <f t="shared" si="18"/>
        <v>12388.253174675954</v>
      </c>
      <c r="BA56" s="277">
        <f t="shared" si="26"/>
        <v>60.143138974684014</v>
      </c>
      <c r="BB56" s="278">
        <f t="shared" si="27"/>
        <v>303.80716118848176</v>
      </c>
      <c r="BC56" s="279">
        <f t="shared" si="28"/>
        <v>12759.900769916234</v>
      </c>
      <c r="BD56" s="277">
        <f t="shared" si="29"/>
        <v>61.947433143924535</v>
      </c>
      <c r="BE56" s="278">
        <f t="shared" si="30"/>
        <v>312.92137602413624</v>
      </c>
      <c r="BF56" s="279">
        <f t="shared" si="31"/>
        <v>13142.697793013722</v>
      </c>
      <c r="BG56" s="277">
        <f t="shared" si="5"/>
        <v>63.80585613824227</v>
      </c>
      <c r="BH56" s="278">
        <f t="shared" si="6"/>
        <v>322.30901730486033</v>
      </c>
      <c r="BI56" s="279">
        <f t="shared" si="7"/>
        <v>13536.978726804135</v>
      </c>
    </row>
    <row r="57" spans="1:61" ht="14.25">
      <c r="A57" s="90">
        <v>260</v>
      </c>
      <c r="B57" s="81" t="s">
        <v>80</v>
      </c>
      <c r="C57" s="91">
        <v>100</v>
      </c>
      <c r="D57" s="92">
        <v>100</v>
      </c>
      <c r="E57" s="93">
        <v>4200</v>
      </c>
      <c r="F57" s="94">
        <v>106.32</v>
      </c>
      <c r="G57" s="92">
        <v>106.32</v>
      </c>
      <c r="H57" s="93">
        <v>4465.4399999999996</v>
      </c>
      <c r="I57" s="95">
        <v>112.16759999999999</v>
      </c>
      <c r="J57" s="92">
        <v>112.16759999999999</v>
      </c>
      <c r="K57" s="93">
        <v>4711.0391999999993</v>
      </c>
      <c r="L57" s="95">
        <v>117.77598</v>
      </c>
      <c r="M57" s="92">
        <v>117.77598</v>
      </c>
      <c r="N57" s="93">
        <v>4946.5911599999999</v>
      </c>
      <c r="O57" s="95">
        <v>123.0758991</v>
      </c>
      <c r="P57" s="92">
        <v>123.0758991</v>
      </c>
      <c r="Q57" s="93">
        <v>5169.1877622000002</v>
      </c>
      <c r="R57" s="92">
        <v>123.0758991</v>
      </c>
      <c r="S57" s="92">
        <v>123.0758991</v>
      </c>
      <c r="T57" s="92">
        <v>5169.1877622000002</v>
      </c>
      <c r="U57" s="95">
        <v>127.99893506400001</v>
      </c>
      <c r="V57" s="92">
        <v>127.99893506400001</v>
      </c>
      <c r="W57" s="93">
        <v>5375.9552726880002</v>
      </c>
      <c r="X57" s="92">
        <v>133.11889246656003</v>
      </c>
      <c r="Y57" s="92">
        <v>133.11889246656003</v>
      </c>
      <c r="Z57" s="92">
        <v>5590.993483595521</v>
      </c>
      <c r="AA57" s="95">
        <v>139.78008708988804</v>
      </c>
      <c r="AB57" s="92">
        <v>139.78008708988804</v>
      </c>
      <c r="AC57" s="93">
        <v>5870.7636577752974</v>
      </c>
      <c r="AD57" s="95">
        <v>143.97</v>
      </c>
      <c r="AE57" s="96">
        <v>143.97</v>
      </c>
      <c r="AF57" s="93">
        <f>AE57*42</f>
        <v>6046.74</v>
      </c>
      <c r="AG57" s="92">
        <f>AD57*(1+$AI$2)</f>
        <v>148.28909999999999</v>
      </c>
      <c r="AH57" s="96">
        <f>AE57*(1+$AI$2)</f>
        <v>148.28909999999999</v>
      </c>
      <c r="AI57" s="93">
        <f t="shared" si="21"/>
        <v>6228.1421999999993</v>
      </c>
      <c r="AJ57" s="92">
        <f t="shared" si="34"/>
        <v>152.737773</v>
      </c>
      <c r="AK57" s="96">
        <f t="shared" si="34"/>
        <v>152.737773</v>
      </c>
      <c r="AL57" s="93">
        <f t="shared" si="22"/>
        <v>6414.9864660000003</v>
      </c>
      <c r="AM57" s="259" t="s">
        <v>77</v>
      </c>
      <c r="AN57" s="271">
        <v>81.211470640000002</v>
      </c>
      <c r="AO57" s="272">
        <v>81.211470640000002</v>
      </c>
      <c r="AP57" s="273">
        <v>3410.8817668800002</v>
      </c>
      <c r="AQ57" s="259" t="s">
        <v>77</v>
      </c>
      <c r="AR57" s="271">
        <f t="shared" si="10"/>
        <v>83.647814759200003</v>
      </c>
      <c r="AS57" s="272">
        <f t="shared" si="11"/>
        <v>83.647814759200003</v>
      </c>
      <c r="AT57" s="273">
        <f t="shared" si="12"/>
        <v>3513.2082198864005</v>
      </c>
      <c r="AU57" s="271">
        <f t="shared" si="13"/>
        <v>86.157249201976001</v>
      </c>
      <c r="AV57" s="272">
        <f t="shared" si="14"/>
        <v>86.157249201976001</v>
      </c>
      <c r="AW57" s="273">
        <f t="shared" si="15"/>
        <v>3618.6044664829924</v>
      </c>
      <c r="AX57" s="271">
        <f t="shared" si="16"/>
        <v>88.741966678035283</v>
      </c>
      <c r="AY57" s="272">
        <f t="shared" si="17"/>
        <v>88.741966678035283</v>
      </c>
      <c r="AZ57" s="273">
        <f t="shared" si="18"/>
        <v>3727.1626004774821</v>
      </c>
      <c r="BA57" s="271">
        <f t="shared" si="26"/>
        <v>91.404225678376349</v>
      </c>
      <c r="BB57" s="272">
        <f t="shared" si="27"/>
        <v>91.404225678376349</v>
      </c>
      <c r="BC57" s="273">
        <f t="shared" si="28"/>
        <v>3838.9774784918068</v>
      </c>
      <c r="BD57" s="271">
        <f t="shared" si="29"/>
        <v>94.14635244872764</v>
      </c>
      <c r="BE57" s="272">
        <f t="shared" si="30"/>
        <v>94.14635244872764</v>
      </c>
      <c r="BF57" s="273">
        <f t="shared" si="31"/>
        <v>3954.1468028465611</v>
      </c>
      <c r="BG57" s="271">
        <f t="shared" si="5"/>
        <v>96.970743022189467</v>
      </c>
      <c r="BH57" s="272">
        <f t="shared" si="6"/>
        <v>96.970743022189467</v>
      </c>
      <c r="BI57" s="273">
        <f t="shared" si="7"/>
        <v>4072.7712069319582</v>
      </c>
    </row>
    <row r="58" spans="1:61" ht="14.25">
      <c r="A58" s="90"/>
      <c r="B58" s="81" t="s">
        <v>155</v>
      </c>
      <c r="C58" s="95"/>
      <c r="D58" s="92"/>
      <c r="E58" s="93"/>
      <c r="F58" s="95"/>
      <c r="G58" s="92"/>
      <c r="H58" s="93"/>
      <c r="I58" s="95"/>
      <c r="J58" s="92"/>
      <c r="K58" s="93"/>
      <c r="L58" s="95"/>
      <c r="M58" s="92"/>
      <c r="N58" s="93"/>
      <c r="O58" s="95"/>
      <c r="P58" s="92"/>
      <c r="Q58" s="93"/>
      <c r="R58" s="92"/>
      <c r="S58" s="92"/>
      <c r="T58" s="92"/>
      <c r="U58" s="95"/>
      <c r="V58" s="92"/>
      <c r="W58" s="93"/>
      <c r="X58" s="92"/>
      <c r="Y58" s="92"/>
      <c r="Z58" s="92"/>
      <c r="AA58" s="95"/>
      <c r="AB58" s="92"/>
      <c r="AC58" s="93"/>
      <c r="AD58" s="92"/>
      <c r="AE58" s="96"/>
      <c r="AF58" s="93"/>
      <c r="AG58" s="92">
        <v>116.27947684440193</v>
      </c>
      <c r="AH58" s="96">
        <f>+AG58+AH57</f>
        <v>264.56857684440195</v>
      </c>
      <c r="AI58" s="93">
        <f>AH58*42</f>
        <v>11111.880227464882</v>
      </c>
      <c r="AJ58" s="92">
        <f t="shared" si="34"/>
        <v>119.76786114973399</v>
      </c>
      <c r="AK58" s="96">
        <f>+AJ58+AK57</f>
        <v>272.50563414973396</v>
      </c>
      <c r="AL58" s="93">
        <f>AK58*42</f>
        <v>11445.236634288827</v>
      </c>
      <c r="AM58" s="256" t="s">
        <v>80</v>
      </c>
      <c r="AN58" s="274">
        <v>157.31990619000001</v>
      </c>
      <c r="AO58" s="275">
        <v>157.31990619000001</v>
      </c>
      <c r="AP58" s="276">
        <v>6607.4360599800002</v>
      </c>
      <c r="AQ58" s="256" t="s">
        <v>80</v>
      </c>
      <c r="AR58" s="274">
        <f t="shared" si="10"/>
        <v>162.03950337570001</v>
      </c>
      <c r="AS58" s="275">
        <f t="shared" si="11"/>
        <v>162.03950337570001</v>
      </c>
      <c r="AT58" s="276">
        <f t="shared" si="12"/>
        <v>6805.6591417794007</v>
      </c>
      <c r="AU58" s="274">
        <f t="shared" si="13"/>
        <v>166.900688476971</v>
      </c>
      <c r="AV58" s="275">
        <f t="shared" si="14"/>
        <v>166.900688476971</v>
      </c>
      <c r="AW58" s="276">
        <f t="shared" si="15"/>
        <v>7009.8289160327831</v>
      </c>
      <c r="AX58" s="274">
        <f t="shared" si="16"/>
        <v>171.90770913128014</v>
      </c>
      <c r="AY58" s="275">
        <f t="shared" si="17"/>
        <v>171.90770913128014</v>
      </c>
      <c r="AZ58" s="276">
        <f t="shared" si="18"/>
        <v>7220.1237835137672</v>
      </c>
      <c r="BA58" s="274">
        <f t="shared" si="26"/>
        <v>177.06494040521855</v>
      </c>
      <c r="BB58" s="275">
        <f t="shared" si="27"/>
        <v>177.06494040521855</v>
      </c>
      <c r="BC58" s="276">
        <f t="shared" si="28"/>
        <v>7436.7274970191802</v>
      </c>
      <c r="BD58" s="274">
        <f t="shared" si="29"/>
        <v>182.3768886173751</v>
      </c>
      <c r="BE58" s="275">
        <f t="shared" si="30"/>
        <v>182.3768886173751</v>
      </c>
      <c r="BF58" s="276">
        <f t="shared" si="31"/>
        <v>7659.8293219297557</v>
      </c>
      <c r="BG58" s="274">
        <f t="shared" si="5"/>
        <v>187.84819527589636</v>
      </c>
      <c r="BH58" s="275">
        <f t="shared" si="6"/>
        <v>187.84819527589636</v>
      </c>
      <c r="BI58" s="276">
        <f t="shared" si="7"/>
        <v>7889.6242015876487</v>
      </c>
    </row>
    <row r="59" spans="1:61" ht="15" thickBot="1">
      <c r="A59" s="133"/>
      <c r="B59" s="134" t="s">
        <v>156</v>
      </c>
      <c r="C59" s="142"/>
      <c r="D59" s="136"/>
      <c r="E59" s="137"/>
      <c r="F59" s="142"/>
      <c r="G59" s="136"/>
      <c r="H59" s="137"/>
      <c r="I59" s="142"/>
      <c r="J59" s="136"/>
      <c r="K59" s="137"/>
      <c r="L59" s="142"/>
      <c r="M59" s="136"/>
      <c r="N59" s="137"/>
      <c r="O59" s="142"/>
      <c r="P59" s="136"/>
      <c r="Q59" s="137"/>
      <c r="R59" s="136"/>
      <c r="S59" s="136"/>
      <c r="T59" s="136"/>
      <c r="U59" s="142"/>
      <c r="V59" s="136"/>
      <c r="W59" s="137"/>
      <c r="X59" s="136"/>
      <c r="Y59" s="136"/>
      <c r="Z59" s="136"/>
      <c r="AA59" s="142"/>
      <c r="AB59" s="136"/>
      <c r="AC59" s="137"/>
      <c r="AD59" s="136"/>
      <c r="AE59" s="139"/>
      <c r="AF59" s="137"/>
      <c r="AG59" s="136">
        <v>205.64</v>
      </c>
      <c r="AH59" s="139">
        <f>+AH58+AG59</f>
        <v>470.20857684440193</v>
      </c>
      <c r="AI59" s="137">
        <f t="shared" si="21"/>
        <v>19748.760227464882</v>
      </c>
      <c r="AJ59" s="136">
        <f t="shared" si="34"/>
        <v>211.8092</v>
      </c>
      <c r="AK59" s="139">
        <f>+AK58+AJ59</f>
        <v>484.314834149734</v>
      </c>
      <c r="AL59" s="137">
        <f>AK59*42</f>
        <v>20341.223034288829</v>
      </c>
      <c r="AM59" s="256" t="s">
        <v>155</v>
      </c>
      <c r="AN59" s="274">
        <v>127.0617238937528</v>
      </c>
      <c r="AO59" s="275">
        <v>284.38163008375284</v>
      </c>
      <c r="AP59" s="276">
        <v>11944.028463517619</v>
      </c>
      <c r="AQ59" s="256" t="s">
        <v>155</v>
      </c>
      <c r="AR59" s="274">
        <f t="shared" si="10"/>
        <v>130.87357561056538</v>
      </c>
      <c r="AS59" s="275">
        <f t="shared" si="11"/>
        <v>292.91307898626542</v>
      </c>
      <c r="AT59" s="276">
        <f t="shared" si="12"/>
        <v>12302.349317423148</v>
      </c>
      <c r="AU59" s="274">
        <f t="shared" si="13"/>
        <v>134.79978287888235</v>
      </c>
      <c r="AV59" s="275">
        <f t="shared" si="14"/>
        <v>301.70047135585338</v>
      </c>
      <c r="AW59" s="276">
        <f t="shared" si="15"/>
        <v>12671.419796945844</v>
      </c>
      <c r="AX59" s="274">
        <f t="shared" si="16"/>
        <v>138.84377636524883</v>
      </c>
      <c r="AY59" s="275">
        <f t="shared" si="17"/>
        <v>310.75148549652897</v>
      </c>
      <c r="AZ59" s="276">
        <f t="shared" si="18"/>
        <v>13051.56239085422</v>
      </c>
      <c r="BA59" s="274">
        <f t="shared" si="26"/>
        <v>143.0090896562063</v>
      </c>
      <c r="BB59" s="275">
        <f t="shared" si="27"/>
        <v>320.07403006142482</v>
      </c>
      <c r="BC59" s="276">
        <f t="shared" si="28"/>
        <v>13443.109262579846</v>
      </c>
      <c r="BD59" s="274">
        <f t="shared" si="29"/>
        <v>147.29936234589249</v>
      </c>
      <c r="BE59" s="275">
        <f t="shared" si="30"/>
        <v>329.67625096326759</v>
      </c>
      <c r="BF59" s="276">
        <f t="shared" si="31"/>
        <v>13846.402540457242</v>
      </c>
      <c r="BG59" s="274">
        <f t="shared" si="5"/>
        <v>151.71834321626926</v>
      </c>
      <c r="BH59" s="275">
        <f t="shared" si="6"/>
        <v>339.56653849216565</v>
      </c>
      <c r="BI59" s="276">
        <f t="shared" si="7"/>
        <v>14261.794616670959</v>
      </c>
    </row>
    <row r="60" spans="1:61" ht="15" thickBot="1">
      <c r="A60" s="101" t="s">
        <v>103</v>
      </c>
      <c r="B60" s="101"/>
      <c r="C60" s="101"/>
      <c r="D60" s="101"/>
      <c r="E60" s="101"/>
      <c r="F60" s="151"/>
      <c r="G60" s="151"/>
      <c r="H60" s="151"/>
      <c r="I60" s="151"/>
      <c r="J60" s="151"/>
      <c r="K60" s="151"/>
      <c r="L60" s="151"/>
      <c r="M60" s="151"/>
      <c r="N60" s="151"/>
      <c r="O60" s="151"/>
      <c r="P60" s="151"/>
      <c r="Q60" s="151"/>
      <c r="AE60" s="117"/>
      <c r="AF60" s="117"/>
      <c r="AM60" s="255" t="s">
        <v>156</v>
      </c>
      <c r="AN60" s="277">
        <v>218.163476</v>
      </c>
      <c r="AO60" s="278">
        <v>502.54510608375284</v>
      </c>
      <c r="AP60" s="279">
        <v>21106.89445551762</v>
      </c>
      <c r="AQ60" s="255" t="s">
        <v>156</v>
      </c>
      <c r="AR60" s="277">
        <f t="shared" si="10"/>
        <v>224.70838028</v>
      </c>
      <c r="AS60" s="278">
        <f t="shared" si="11"/>
        <v>517.62145926626545</v>
      </c>
      <c r="AT60" s="279">
        <f t="shared" si="12"/>
        <v>21740.101289183149</v>
      </c>
      <c r="AU60" s="277">
        <f t="shared" si="13"/>
        <v>231.44963168840002</v>
      </c>
      <c r="AV60" s="278">
        <f t="shared" si="14"/>
        <v>533.15010304425346</v>
      </c>
      <c r="AW60" s="279">
        <f t="shared" si="15"/>
        <v>22392.304327858645</v>
      </c>
      <c r="AX60" s="277">
        <f t="shared" si="16"/>
        <v>238.39312063905203</v>
      </c>
      <c r="AY60" s="278">
        <f t="shared" si="17"/>
        <v>549.14460613558106</v>
      </c>
      <c r="AZ60" s="279">
        <f t="shared" si="18"/>
        <v>23064.073457694405</v>
      </c>
      <c r="BA60" s="277">
        <f t="shared" si="26"/>
        <v>245.5449142582236</v>
      </c>
      <c r="BB60" s="278">
        <f t="shared" si="27"/>
        <v>565.61894431964845</v>
      </c>
      <c r="BC60" s="279">
        <f t="shared" si="28"/>
        <v>23755.995661425237</v>
      </c>
      <c r="BD60" s="277">
        <f t="shared" si="29"/>
        <v>252.91126168597032</v>
      </c>
      <c r="BE60" s="278">
        <f t="shared" si="30"/>
        <v>582.58751264923796</v>
      </c>
      <c r="BF60" s="279">
        <f t="shared" si="31"/>
        <v>24468.675531267996</v>
      </c>
      <c r="BG60" s="277">
        <f t="shared" si="5"/>
        <v>260.49859953654942</v>
      </c>
      <c r="BH60" s="278">
        <f t="shared" si="6"/>
        <v>600.06513802871507</v>
      </c>
      <c r="BI60" s="279">
        <f t="shared" si="7"/>
        <v>25202.735797206038</v>
      </c>
    </row>
    <row r="61" spans="1:61" ht="15" thickBot="1">
      <c r="A61" s="102" t="s">
        <v>104</v>
      </c>
      <c r="B61" s="103"/>
      <c r="C61" s="102"/>
      <c r="D61" s="102"/>
      <c r="E61" s="102"/>
      <c r="F61" s="117"/>
      <c r="G61" s="117"/>
      <c r="H61" s="151"/>
      <c r="I61" s="117"/>
      <c r="J61" s="117"/>
      <c r="K61" s="117"/>
      <c r="L61" s="151"/>
      <c r="M61" s="151"/>
      <c r="N61" s="151"/>
      <c r="O61" s="151"/>
      <c r="P61" s="151"/>
      <c r="Q61" s="151"/>
      <c r="AE61" s="117"/>
      <c r="AF61" s="117"/>
      <c r="AG61" s="92"/>
      <c r="AM61" s="260" t="s">
        <v>212</v>
      </c>
      <c r="AN61" s="281">
        <v>43.568999999999996</v>
      </c>
      <c r="AO61" s="282">
        <v>43.568999999999996</v>
      </c>
      <c r="AP61" s="279">
        <v>1829.8979999999999</v>
      </c>
      <c r="AQ61" s="260" t="s">
        <v>212</v>
      </c>
      <c r="AR61" s="281">
        <f t="shared" si="10"/>
        <v>44.876069999999999</v>
      </c>
      <c r="AS61" s="282">
        <f t="shared" si="11"/>
        <v>44.876069999999999</v>
      </c>
      <c r="AT61" s="279">
        <f t="shared" si="12"/>
        <v>1884.79494</v>
      </c>
      <c r="AU61" s="281">
        <f t="shared" si="13"/>
        <v>46.222352100000002</v>
      </c>
      <c r="AV61" s="282">
        <f t="shared" si="14"/>
        <v>46.222352100000002</v>
      </c>
      <c r="AW61" s="279">
        <f t="shared" si="15"/>
        <v>1941.3387882</v>
      </c>
      <c r="AX61" s="281">
        <f t="shared" si="16"/>
        <v>47.609022663000005</v>
      </c>
      <c r="AY61" s="282">
        <f t="shared" si="17"/>
        <v>47.609022663000005</v>
      </c>
      <c r="AZ61" s="279">
        <f t="shared" si="18"/>
        <v>1999.5789518460001</v>
      </c>
      <c r="BA61" s="281">
        <f t="shared" si="26"/>
        <v>49.037293342890003</v>
      </c>
      <c r="BB61" s="282">
        <f t="shared" si="27"/>
        <v>49.037293342890003</v>
      </c>
      <c r="BC61" s="279">
        <f t="shared" si="28"/>
        <v>2059.5663204013804</v>
      </c>
      <c r="BD61" s="281">
        <f t="shared" si="29"/>
        <v>50.508412143176706</v>
      </c>
      <c r="BE61" s="282">
        <f t="shared" si="30"/>
        <v>50.508412143176706</v>
      </c>
      <c r="BF61" s="279">
        <f t="shared" si="31"/>
        <v>2121.3533100134218</v>
      </c>
      <c r="BG61" s="281">
        <f t="shared" si="5"/>
        <v>52.023664507472006</v>
      </c>
      <c r="BH61" s="282">
        <f t="shared" si="6"/>
        <v>52.023664507472006</v>
      </c>
      <c r="BI61" s="279">
        <f t="shared" si="7"/>
        <v>2184.9939093138246</v>
      </c>
    </row>
    <row r="62" spans="1:61" ht="15" customHeight="1">
      <c r="A62" s="104" t="s">
        <v>105</v>
      </c>
      <c r="B62" s="104"/>
      <c r="C62" s="104"/>
      <c r="D62" s="104"/>
      <c r="E62" s="104"/>
      <c r="F62" s="117"/>
      <c r="G62" s="117"/>
      <c r="H62" s="151"/>
      <c r="I62" s="117"/>
      <c r="J62" s="117"/>
      <c r="K62" s="117"/>
      <c r="L62" s="117"/>
      <c r="M62" s="117"/>
      <c r="N62" s="117"/>
      <c r="O62" s="117"/>
      <c r="P62" s="117"/>
      <c r="Q62" s="117"/>
      <c r="AE62" s="117"/>
      <c r="AF62" s="117"/>
      <c r="AM62" s="101"/>
      <c r="AQ62" s="101"/>
    </row>
    <row r="63" spans="1:61" ht="14.25">
      <c r="A63" s="105" t="s">
        <v>106</v>
      </c>
      <c r="B63" s="105"/>
      <c r="C63" s="105"/>
      <c r="D63" s="105"/>
      <c r="E63" s="105"/>
      <c r="F63" s="152"/>
      <c r="G63" s="152"/>
      <c r="H63" s="152"/>
      <c r="I63" s="117"/>
      <c r="J63" s="117"/>
      <c r="K63" s="117"/>
      <c r="L63" s="117"/>
      <c r="M63" s="117"/>
      <c r="N63" s="117"/>
      <c r="O63" s="117"/>
      <c r="P63" s="117"/>
      <c r="Q63" s="117"/>
      <c r="AE63" s="117"/>
      <c r="AF63" s="117"/>
      <c r="AM63" s="103"/>
      <c r="AQ63" s="103"/>
    </row>
    <row r="64" spans="1:61" ht="14.25">
      <c r="A64" s="106" t="s">
        <v>146</v>
      </c>
      <c r="B64" s="106"/>
      <c r="C64" s="106"/>
      <c r="D64" s="106"/>
      <c r="E64" s="106"/>
      <c r="F64" s="152"/>
      <c r="G64" s="152"/>
      <c r="H64" s="152"/>
      <c r="I64" s="117"/>
      <c r="J64" s="117"/>
      <c r="K64" s="117"/>
      <c r="L64" s="117"/>
      <c r="M64" s="117"/>
      <c r="N64" s="117"/>
      <c r="O64" s="117"/>
      <c r="P64" s="117"/>
      <c r="Q64" s="117"/>
      <c r="AE64" s="117"/>
      <c r="AF64" s="117"/>
      <c r="AM64" s="104"/>
      <c r="AQ64" s="104"/>
    </row>
    <row r="65" spans="1:61" ht="15" thickBot="1">
      <c r="A65" s="153" t="s">
        <v>157</v>
      </c>
      <c r="B65" s="153"/>
      <c r="C65" s="153"/>
      <c r="D65" s="153"/>
      <c r="E65" s="153"/>
      <c r="F65" s="152"/>
      <c r="G65" s="152"/>
      <c r="H65" s="152"/>
      <c r="I65" s="117"/>
      <c r="J65" s="117"/>
      <c r="K65" s="117"/>
      <c r="L65" s="117"/>
      <c r="M65" s="117"/>
      <c r="N65" s="117"/>
      <c r="O65" s="117"/>
      <c r="P65" s="117"/>
      <c r="Q65" s="117"/>
      <c r="AE65" s="117"/>
      <c r="AF65" s="117"/>
      <c r="AM65" s="105"/>
      <c r="AQ65" s="105"/>
    </row>
    <row r="66" spans="1:61" ht="15.75" thickBot="1">
      <c r="A66" s="154">
        <v>279</v>
      </c>
      <c r="B66" s="155" t="s">
        <v>107</v>
      </c>
      <c r="C66" s="156"/>
      <c r="D66" s="156"/>
      <c r="E66" s="156"/>
      <c r="F66" s="156"/>
      <c r="G66" s="156"/>
      <c r="H66" s="156"/>
      <c r="I66" s="156"/>
      <c r="J66" s="156"/>
      <c r="K66" s="157">
        <v>6.4899999999999999E-2</v>
      </c>
      <c r="L66" s="117"/>
      <c r="M66" s="117"/>
      <c r="N66" s="157">
        <v>5.5E-2</v>
      </c>
      <c r="O66" s="117"/>
      <c r="P66" s="117"/>
      <c r="Q66" s="157">
        <v>4.8500000000000001E-2</v>
      </c>
      <c r="T66" s="157"/>
      <c r="V66" s="158" t="s">
        <v>108</v>
      </c>
      <c r="W66" s="157">
        <v>4.48E-2</v>
      </c>
      <c r="Y66" s="158" t="s">
        <v>109</v>
      </c>
      <c r="Z66" s="157">
        <v>5.6899999999999999E-2</v>
      </c>
      <c r="AB66" s="158"/>
      <c r="AC66" s="157">
        <v>7.6700000000000004E-2</v>
      </c>
      <c r="AE66" s="158"/>
      <c r="AF66" s="157">
        <v>0.02</v>
      </c>
      <c r="AG66" s="159" t="s">
        <v>143</v>
      </c>
      <c r="AI66" s="160">
        <v>3.1699999999999999E-2</v>
      </c>
      <c r="AJ66" s="159" t="s">
        <v>158</v>
      </c>
      <c r="AL66" s="160">
        <v>3.73E-2</v>
      </c>
      <c r="AM66" s="106"/>
      <c r="AQ66" s="106"/>
    </row>
    <row r="67" spans="1:61" ht="13.5" thickBot="1">
      <c r="A67" s="161"/>
      <c r="B67" s="162" t="s">
        <v>110</v>
      </c>
      <c r="C67" s="163" t="s">
        <v>111</v>
      </c>
      <c r="D67" s="164"/>
      <c r="E67" s="164"/>
      <c r="F67" s="165" t="s">
        <v>112</v>
      </c>
      <c r="G67" s="166"/>
      <c r="H67" s="166"/>
      <c r="I67" s="165" t="s">
        <v>113</v>
      </c>
      <c r="J67" s="166"/>
      <c r="K67" s="166"/>
      <c r="L67" s="165" t="s">
        <v>114</v>
      </c>
      <c r="M67" s="166"/>
      <c r="N67" s="166"/>
      <c r="O67" s="165" t="s">
        <v>115</v>
      </c>
      <c r="P67" s="166"/>
      <c r="Q67" s="166"/>
      <c r="R67" s="165" t="s">
        <v>115</v>
      </c>
      <c r="S67" s="166"/>
      <c r="T67" s="166"/>
      <c r="U67" s="165" t="s">
        <v>116</v>
      </c>
      <c r="V67" s="166"/>
      <c r="W67" s="166"/>
      <c r="X67" s="167" t="s">
        <v>117</v>
      </c>
      <c r="Y67" s="168"/>
      <c r="Z67" s="169"/>
      <c r="AA67" s="167" t="s">
        <v>118</v>
      </c>
      <c r="AB67" s="170"/>
      <c r="AC67" s="169"/>
      <c r="AD67" s="167" t="s">
        <v>119</v>
      </c>
      <c r="AE67" s="170"/>
      <c r="AF67" s="169"/>
      <c r="AG67" s="167" t="s">
        <v>144</v>
      </c>
      <c r="AH67" s="170"/>
      <c r="AI67" s="169"/>
      <c r="AJ67" s="167" t="s">
        <v>159</v>
      </c>
      <c r="AK67" s="170"/>
      <c r="AL67" s="169"/>
      <c r="AM67" s="153"/>
      <c r="AQ67" s="153"/>
    </row>
    <row r="68" spans="1:61" ht="13.5" thickBot="1">
      <c r="A68" s="171"/>
      <c r="B68" s="164" t="s">
        <v>120</v>
      </c>
      <c r="C68" s="164">
        <v>306.31</v>
      </c>
      <c r="D68" s="164">
        <v>306.31</v>
      </c>
      <c r="E68" s="172">
        <v>12865.02</v>
      </c>
      <c r="F68" s="164">
        <v>327.72</v>
      </c>
      <c r="G68" s="164">
        <v>327.72</v>
      </c>
      <c r="H68" s="172">
        <v>13764.240000000002</v>
      </c>
      <c r="I68" s="172">
        <v>348.98902800000002</v>
      </c>
      <c r="J68" s="172">
        <v>348.98902800000002</v>
      </c>
      <c r="K68" s="172">
        <v>14657.539176</v>
      </c>
      <c r="L68" s="172">
        <v>368.18342454000003</v>
      </c>
      <c r="M68" s="172">
        <v>368.18342454000003</v>
      </c>
      <c r="N68" s="172">
        <v>15463.703830680002</v>
      </c>
      <c r="O68" s="172">
        <v>386.04032063019002</v>
      </c>
      <c r="P68" s="172">
        <v>386.04032063019002</v>
      </c>
      <c r="Q68" s="172">
        <v>16213.693466467981</v>
      </c>
      <c r="R68" s="172">
        <v>386.04032063019002</v>
      </c>
      <c r="S68" s="172">
        <v>386.04032063019002</v>
      </c>
      <c r="T68" s="172">
        <v>16213.693466467981</v>
      </c>
      <c r="U68" s="172">
        <v>403.33492699442252</v>
      </c>
      <c r="V68" s="172">
        <v>403.33492699442252</v>
      </c>
      <c r="W68" s="172">
        <v>16940.066933765745</v>
      </c>
      <c r="X68" s="172">
        <v>426.28468434040514</v>
      </c>
      <c r="Y68" s="172">
        <v>426.28468434040514</v>
      </c>
      <c r="Z68" s="172">
        <v>17903.956742297014</v>
      </c>
      <c r="AA68" s="172">
        <v>458.98071962931419</v>
      </c>
      <c r="AB68" s="172">
        <v>458.98071962931419</v>
      </c>
      <c r="AC68" s="172">
        <v>19277.190224431197</v>
      </c>
      <c r="AD68" s="172">
        <v>468.16</v>
      </c>
      <c r="AE68" s="172">
        <v>468.16</v>
      </c>
      <c r="AF68" s="172">
        <f>AE68*42</f>
        <v>19662.72</v>
      </c>
      <c r="AG68" s="172">
        <f>AD68*(1+$AI$66)</f>
        <v>483.00067200000007</v>
      </c>
      <c r="AH68" s="172">
        <f>AE68*(1+$AI$66)</f>
        <v>483.00067200000007</v>
      </c>
      <c r="AI68" s="172">
        <f>AH68*42</f>
        <v>20286.028224000002</v>
      </c>
      <c r="AJ68" s="172">
        <f>AG68*(1+$AL$66)</f>
        <v>501.01659706560014</v>
      </c>
      <c r="AK68" s="172">
        <f>AH68*(1+$AL$66)</f>
        <v>501.01659706560014</v>
      </c>
      <c r="AL68" s="172">
        <f>AK68*42</f>
        <v>21042.697076755205</v>
      </c>
      <c r="AM68" s="153"/>
      <c r="AQ68" s="153"/>
    </row>
    <row r="69" spans="1:61" ht="13.5" thickBot="1">
      <c r="A69" s="171"/>
      <c r="B69" s="164" t="s">
        <v>121</v>
      </c>
      <c r="C69" s="173"/>
      <c r="D69" s="156"/>
      <c r="E69" s="174"/>
      <c r="F69" s="165" t="s">
        <v>122</v>
      </c>
      <c r="G69" s="170"/>
      <c r="H69" s="175"/>
      <c r="I69" s="165" t="s">
        <v>113</v>
      </c>
      <c r="J69" s="176"/>
      <c r="K69" s="175"/>
      <c r="L69" s="165" t="s">
        <v>114</v>
      </c>
      <c r="M69" s="176"/>
      <c r="N69" s="175"/>
      <c r="O69" s="165" t="s">
        <v>114</v>
      </c>
      <c r="P69" s="176"/>
      <c r="Q69" s="175"/>
      <c r="R69" s="165" t="s">
        <v>115</v>
      </c>
      <c r="S69" s="176"/>
      <c r="T69" s="175"/>
      <c r="U69" s="165" t="s">
        <v>116</v>
      </c>
      <c r="V69" s="176"/>
      <c r="W69" s="175"/>
      <c r="X69" s="167" t="s">
        <v>117</v>
      </c>
      <c r="Y69" s="176"/>
      <c r="Z69" s="175"/>
      <c r="AA69" s="167" t="s">
        <v>118</v>
      </c>
      <c r="AB69" s="176"/>
      <c r="AC69" s="175"/>
      <c r="AD69" s="167" t="s">
        <v>119</v>
      </c>
      <c r="AE69" s="176"/>
      <c r="AF69" s="175"/>
      <c r="AG69" s="167" t="s">
        <v>144</v>
      </c>
      <c r="AH69" s="176"/>
      <c r="AI69" s="175"/>
      <c r="AJ69" s="167" t="s">
        <v>159</v>
      </c>
      <c r="AK69" s="176"/>
      <c r="AL69" s="175"/>
      <c r="AM69" s="261"/>
      <c r="AQ69" s="261"/>
    </row>
    <row r="70" spans="1:61" ht="13.5" thickBot="1">
      <c r="A70" s="164"/>
      <c r="B70" s="164" t="s">
        <v>123</v>
      </c>
      <c r="C70" s="173"/>
      <c r="D70" s="156"/>
      <c r="E70" s="177"/>
      <c r="F70" s="172">
        <v>323</v>
      </c>
      <c r="G70" s="172">
        <v>323</v>
      </c>
      <c r="H70" s="172">
        <v>13566</v>
      </c>
      <c r="I70" s="172">
        <v>343.96269999999998</v>
      </c>
      <c r="J70" s="172">
        <v>343.96269999999998</v>
      </c>
      <c r="K70" s="172">
        <v>14446.4334</v>
      </c>
      <c r="L70" s="172">
        <v>362.88064850000001</v>
      </c>
      <c r="M70" s="172">
        <v>362.88064850000001</v>
      </c>
      <c r="N70" s="172">
        <v>15240.987237000001</v>
      </c>
      <c r="O70" s="172">
        <v>380.48035995225001</v>
      </c>
      <c r="P70" s="172">
        <v>380.48035995225001</v>
      </c>
      <c r="Q70" s="172">
        <v>15980.1751179945</v>
      </c>
      <c r="R70" s="172">
        <v>380.48035995225001</v>
      </c>
      <c r="S70" s="172">
        <v>380.48035995225001</v>
      </c>
      <c r="T70" s="172">
        <v>15980.1751179945</v>
      </c>
      <c r="U70" s="172">
        <v>397.52588007811079</v>
      </c>
      <c r="V70" s="172">
        <v>397.52588007811079</v>
      </c>
      <c r="W70" s="172">
        <v>16696.086963280653</v>
      </c>
      <c r="X70" s="172">
        <v>420.14510265455527</v>
      </c>
      <c r="Y70" s="172">
        <v>420.14510265455527</v>
      </c>
      <c r="Z70" s="172">
        <v>17646.094311491321</v>
      </c>
      <c r="AA70" s="172">
        <v>452.37023202815965</v>
      </c>
      <c r="AB70" s="172">
        <v>452.37023202815965</v>
      </c>
      <c r="AC70" s="172">
        <v>18999.549745182707</v>
      </c>
      <c r="AD70" s="172">
        <v>461.42</v>
      </c>
      <c r="AE70" s="172">
        <v>461.42</v>
      </c>
      <c r="AF70" s="172">
        <f>AE70*42</f>
        <v>19379.64</v>
      </c>
      <c r="AG70" s="172">
        <f>AD70*(1+$AI$66)</f>
        <v>476.04701400000005</v>
      </c>
      <c r="AH70" s="172">
        <f>AE70*(1+$AI$66)</f>
        <v>476.04701400000005</v>
      </c>
      <c r="AI70" s="172">
        <f>AH70*42</f>
        <v>19993.974588000001</v>
      </c>
      <c r="AJ70" s="172">
        <f>AG70*(1+$AL$66)</f>
        <v>493.80356762220009</v>
      </c>
      <c r="AK70" s="172">
        <f>AH70*(1+$AL$66)</f>
        <v>493.80356762220009</v>
      </c>
      <c r="AL70" s="172">
        <f>AK70*42</f>
        <v>20739.749840132405</v>
      </c>
      <c r="AM70" s="117"/>
      <c r="AQ70" s="117"/>
    </row>
    <row r="71" spans="1:61" ht="24.75" thickBot="1">
      <c r="A71" s="116"/>
      <c r="B71" s="164" t="s">
        <v>121</v>
      </c>
      <c r="C71" s="116"/>
      <c r="D71" s="116"/>
      <c r="E71" s="151"/>
      <c r="F71" s="116"/>
      <c r="G71" s="116"/>
      <c r="H71" s="151"/>
      <c r="I71" s="151"/>
      <c r="J71" s="151"/>
      <c r="K71" s="151"/>
      <c r="L71" s="117"/>
      <c r="M71" s="117"/>
      <c r="N71" s="151"/>
      <c r="O71" s="117"/>
      <c r="P71" s="117"/>
      <c r="Q71" s="151"/>
      <c r="T71" s="151"/>
      <c r="W71" s="151"/>
      <c r="Z71" s="151"/>
      <c r="AC71" s="151"/>
      <c r="AE71" s="117"/>
      <c r="AF71" s="151"/>
      <c r="AM71" s="262" t="s">
        <v>213</v>
      </c>
      <c r="AN71" s="283" t="s">
        <v>216</v>
      </c>
      <c r="AO71" s="284"/>
      <c r="AP71" s="285">
        <v>2.4400000000000002E-2</v>
      </c>
      <c r="AQ71" s="262" t="s">
        <v>213</v>
      </c>
      <c r="AR71" s="283" t="s">
        <v>232</v>
      </c>
      <c r="AS71" s="284"/>
      <c r="AT71" s="285">
        <v>1.9400000000000001E-2</v>
      </c>
      <c r="AU71" s="283" t="s">
        <v>233</v>
      </c>
      <c r="AV71" s="284"/>
      <c r="AW71" s="285">
        <v>3.6600000000000001E-2</v>
      </c>
      <c r="AX71" s="283" t="s">
        <v>235</v>
      </c>
      <c r="AY71" s="284"/>
      <c r="AZ71" s="285">
        <v>6.7699999999999996E-2</v>
      </c>
      <c r="BA71" s="283" t="s">
        <v>240</v>
      </c>
      <c r="BB71" s="284"/>
      <c r="BC71" s="285">
        <v>5.7500000000000002E-2</v>
      </c>
      <c r="BD71" s="283" t="s">
        <v>240</v>
      </c>
      <c r="BE71" s="284"/>
      <c r="BF71" s="285">
        <v>5.7500000000000002E-2</v>
      </c>
      <c r="BG71" s="283" t="s">
        <v>240</v>
      </c>
      <c r="BH71" s="284"/>
      <c r="BI71" s="285">
        <v>5.7500000000000002E-2</v>
      </c>
    </row>
    <row r="72" spans="1:61" ht="14.25" thickTop="1" thickBot="1">
      <c r="A72" s="178"/>
      <c r="B72" s="179" t="s">
        <v>124</v>
      </c>
      <c r="C72" s="180" t="s">
        <v>125</v>
      </c>
      <c r="D72" s="178"/>
      <c r="E72" s="181"/>
      <c r="F72" s="180" t="s">
        <v>122</v>
      </c>
      <c r="G72" s="182"/>
      <c r="H72" s="183"/>
      <c r="I72" s="184" t="s">
        <v>126</v>
      </c>
      <c r="J72" s="185"/>
      <c r="K72" s="185"/>
      <c r="L72" s="117"/>
      <c r="M72" s="117"/>
      <c r="N72" s="117"/>
      <c r="O72" s="117"/>
      <c r="P72" s="117"/>
      <c r="Q72" s="117"/>
      <c r="AD72" s="186"/>
      <c r="AE72" s="117"/>
      <c r="AF72" s="117"/>
      <c r="AM72" s="263" t="s">
        <v>110</v>
      </c>
      <c r="AN72" s="684" t="s">
        <v>217</v>
      </c>
      <c r="AO72" s="684"/>
      <c r="AP72" s="685"/>
      <c r="AQ72" s="263" t="s">
        <v>110</v>
      </c>
      <c r="AR72" s="684" t="s">
        <v>217</v>
      </c>
      <c r="AS72" s="684"/>
      <c r="AT72" s="685"/>
      <c r="AU72" s="684" t="s">
        <v>217</v>
      </c>
      <c r="AV72" s="684"/>
      <c r="AW72" s="685"/>
      <c r="AX72" s="684" t="s">
        <v>217</v>
      </c>
      <c r="AY72" s="684"/>
      <c r="AZ72" s="685"/>
      <c r="BA72" s="684" t="s">
        <v>217</v>
      </c>
      <c r="BB72" s="684"/>
      <c r="BC72" s="685"/>
      <c r="BD72" s="684" t="s">
        <v>217</v>
      </c>
      <c r="BE72" s="684"/>
      <c r="BF72" s="685"/>
      <c r="BG72" s="684" t="s">
        <v>217</v>
      </c>
      <c r="BH72" s="684"/>
      <c r="BI72" s="685"/>
    </row>
    <row r="73" spans="1:61" ht="14.25" thickTop="1" thickBot="1">
      <c r="A73" s="187"/>
      <c r="B73" s="178" t="s">
        <v>127</v>
      </c>
      <c r="C73" s="188">
        <v>320.31</v>
      </c>
      <c r="D73" s="188">
        <v>320.31</v>
      </c>
      <c r="E73" s="189">
        <v>13453.02</v>
      </c>
      <c r="F73" s="189">
        <v>297.03999999999996</v>
      </c>
      <c r="G73" s="189">
        <v>297.03999999999996</v>
      </c>
      <c r="H73" s="189">
        <v>12475.679999999998</v>
      </c>
      <c r="I73" s="181">
        <v>299.55292800000001</v>
      </c>
      <c r="J73" s="181">
        <v>299.55292800000001</v>
      </c>
      <c r="K73" s="181">
        <v>12581.222976000001</v>
      </c>
      <c r="L73" s="117"/>
      <c r="M73" s="117"/>
      <c r="N73" s="117"/>
      <c r="O73" s="117"/>
      <c r="P73" s="117"/>
      <c r="Q73" s="117"/>
      <c r="AE73" s="117"/>
      <c r="AF73" s="117"/>
      <c r="AM73" s="264" t="s">
        <v>120</v>
      </c>
      <c r="AN73" s="286">
        <v>513.24140203400077</v>
      </c>
      <c r="AO73" s="286">
        <v>513.24140203400077</v>
      </c>
      <c r="AP73" s="287">
        <v>21556.13888542803</v>
      </c>
      <c r="AQ73" s="264" t="s">
        <v>120</v>
      </c>
      <c r="AR73" s="286">
        <f>AN73*(1+$AT$71)</f>
        <v>523.19828523346041</v>
      </c>
      <c r="AS73" s="286">
        <f>AO73*(1+$AT$71)</f>
        <v>523.19828523346041</v>
      </c>
      <c r="AT73" s="286">
        <f>AP73*(1+$AT$71)</f>
        <v>21974.327979805337</v>
      </c>
      <c r="AU73" s="286">
        <f>AR73*(1+$AW$71)</f>
        <v>542.34734247300503</v>
      </c>
      <c r="AV73" s="286">
        <f>AS73*(1+$AW$71)</f>
        <v>542.34734247300503</v>
      </c>
      <c r="AW73" s="286">
        <f>AT73*(1+$AW$71)</f>
        <v>22778.588383866212</v>
      </c>
      <c r="AX73" s="286">
        <f>AU73*(1+$AZ$71)</f>
        <v>579.06425755842747</v>
      </c>
      <c r="AY73" s="286">
        <f>AV73*(1+$AZ$71)</f>
        <v>579.06425755842747</v>
      </c>
      <c r="AZ73" s="286">
        <f>AW73*(1+$AZ$71)</f>
        <v>24320.698817453958</v>
      </c>
      <c r="BA73" s="286">
        <f t="shared" ref="BA73:BF73" si="35">AX73*(1+$BC$71)</f>
        <v>612.36045236803716</v>
      </c>
      <c r="BB73" s="286">
        <f t="shared" si="35"/>
        <v>612.36045236803716</v>
      </c>
      <c r="BC73" s="286">
        <f t="shared" si="35"/>
        <v>25719.138999457562</v>
      </c>
      <c r="BD73" s="286">
        <f t="shared" si="35"/>
        <v>647.57117837919941</v>
      </c>
      <c r="BE73" s="286">
        <f t="shared" si="35"/>
        <v>647.57117837919941</v>
      </c>
      <c r="BF73" s="286">
        <f t="shared" si="35"/>
        <v>27197.989491926375</v>
      </c>
      <c r="BG73" s="286">
        <f>BD73*(1+$BC$71)</f>
        <v>684.80652113600343</v>
      </c>
      <c r="BH73" s="286">
        <f>BE73*(1+$BC$71)</f>
        <v>684.80652113600343</v>
      </c>
      <c r="BI73" s="286">
        <f>BF73*(1+$BC$71)</f>
        <v>28761.873887712143</v>
      </c>
    </row>
    <row r="74" spans="1:61" ht="14.25" thickTop="1" thickBot="1">
      <c r="A74" s="190"/>
      <c r="B74" s="191" t="s">
        <v>110</v>
      </c>
      <c r="C74" s="116"/>
      <c r="D74" s="116"/>
      <c r="E74" s="151"/>
      <c r="F74" s="151"/>
      <c r="G74" s="151"/>
      <c r="H74" s="151"/>
      <c r="I74" s="192" t="s">
        <v>128</v>
      </c>
      <c r="J74" s="193"/>
      <c r="K74" s="194"/>
      <c r="L74" s="192" t="s">
        <v>129</v>
      </c>
      <c r="M74" s="193"/>
      <c r="N74" s="194"/>
      <c r="O74" s="192" t="s">
        <v>129</v>
      </c>
      <c r="P74" s="193"/>
      <c r="Q74" s="194"/>
      <c r="R74" s="192" t="s">
        <v>115</v>
      </c>
      <c r="S74" s="193"/>
      <c r="T74" s="194"/>
      <c r="U74" s="192" t="s">
        <v>116</v>
      </c>
      <c r="V74" s="193"/>
      <c r="W74" s="194"/>
      <c r="X74" s="195" t="s">
        <v>117</v>
      </c>
      <c r="Y74" s="193"/>
      <c r="Z74" s="194"/>
      <c r="AA74" s="195" t="s">
        <v>118</v>
      </c>
      <c r="AB74" s="193"/>
      <c r="AC74" s="194"/>
      <c r="AD74" s="195" t="s">
        <v>119</v>
      </c>
      <c r="AE74" s="193"/>
      <c r="AF74" s="194"/>
      <c r="AG74" s="195" t="s">
        <v>144</v>
      </c>
      <c r="AH74" s="193"/>
      <c r="AI74" s="194"/>
      <c r="AJ74" s="195" t="s">
        <v>159</v>
      </c>
      <c r="AK74" s="193"/>
      <c r="AL74" s="194"/>
      <c r="AM74" s="264" t="s">
        <v>121</v>
      </c>
      <c r="AN74" s="671" t="s">
        <v>218</v>
      </c>
      <c r="AO74" s="671"/>
      <c r="AP74" s="672"/>
      <c r="AQ74" s="264" t="s">
        <v>121</v>
      </c>
      <c r="AR74" s="671"/>
      <c r="AS74" s="671"/>
      <c r="AT74" s="672"/>
      <c r="AU74" s="671"/>
      <c r="AV74" s="671"/>
      <c r="AW74" s="672"/>
      <c r="AX74" s="671"/>
      <c r="AY74" s="671"/>
      <c r="AZ74" s="672"/>
      <c r="BA74" s="671"/>
      <c r="BB74" s="671"/>
      <c r="BC74" s="672"/>
      <c r="BD74" s="671"/>
      <c r="BE74" s="671"/>
      <c r="BF74" s="672"/>
      <c r="BG74" s="671"/>
      <c r="BH74" s="671"/>
      <c r="BI74" s="672"/>
    </row>
    <row r="75" spans="1:61" ht="14.25" thickTop="1" thickBot="1">
      <c r="A75" s="196"/>
      <c r="B75" s="197" t="s">
        <v>121</v>
      </c>
      <c r="C75" s="198"/>
      <c r="D75" s="198"/>
      <c r="E75" s="199"/>
      <c r="F75" s="199"/>
      <c r="G75" s="199"/>
      <c r="H75" s="199"/>
      <c r="I75" s="189">
        <v>313.76052800000002</v>
      </c>
      <c r="J75" s="200">
        <v>313.76052800000002</v>
      </c>
      <c r="K75" s="201">
        <v>13177.942176</v>
      </c>
      <c r="L75" s="189">
        <v>329.66471903999997</v>
      </c>
      <c r="M75" s="200">
        <v>329.66471903999997</v>
      </c>
      <c r="N75" s="201">
        <v>13845.918199679998</v>
      </c>
      <c r="O75" s="189">
        <v>344.64763738343999</v>
      </c>
      <c r="P75" s="200">
        <v>344.64763738343999</v>
      </c>
      <c r="Q75" s="201">
        <v>14475.200770104479</v>
      </c>
      <c r="R75" s="189">
        <v>344.64763738343999</v>
      </c>
      <c r="S75" s="200">
        <v>344.64763738343999</v>
      </c>
      <c r="T75" s="201">
        <v>14475.200770104479</v>
      </c>
      <c r="U75" s="189">
        <v>358.65642186221817</v>
      </c>
      <c r="V75" s="200">
        <v>358.65642186221817</v>
      </c>
      <c r="W75" s="201">
        <v>15063.569718213163</v>
      </c>
      <c r="X75" s="189">
        <v>373.79802924783672</v>
      </c>
      <c r="Y75" s="200">
        <v>373.79802924783672</v>
      </c>
      <c r="Z75" s="201">
        <v>15699.517228409142</v>
      </c>
      <c r="AA75" s="189">
        <v>393.82793640870153</v>
      </c>
      <c r="AB75" s="200">
        <v>393.82793640870153</v>
      </c>
      <c r="AC75" s="201">
        <v>16540.773329165466</v>
      </c>
      <c r="AD75" s="189">
        <f>38.72*1.0649*1.055*1.0485*1.0448*1.0569*1.0767*1.02+AE40</f>
        <v>405.09297489725367</v>
      </c>
      <c r="AE75" s="200">
        <f>AD75</f>
        <v>405.09297489725367</v>
      </c>
      <c r="AF75" s="201">
        <f>AE75*42</f>
        <v>17013.904945684655</v>
      </c>
      <c r="AG75" s="189">
        <f>38.72*1.0649*1.055*1.0485*1.0448*1.0569*1.0767*1.02*1.0317+AH40</f>
        <v>417.33979620149665</v>
      </c>
      <c r="AH75" s="200">
        <f>AG75</f>
        <v>417.33979620149665</v>
      </c>
      <c r="AI75" s="201">
        <f>AH75*42</f>
        <v>17528.27144046286</v>
      </c>
      <c r="AJ75" s="189">
        <f>38.72*1.0649*1.055*1.0485*1.0448*1.0569*1.0767*1.02*1.0317*1.0373+AK40</f>
        <v>430.27657477981245</v>
      </c>
      <c r="AK75" s="200">
        <f>AJ75</f>
        <v>430.27657477981245</v>
      </c>
      <c r="AL75" s="201">
        <f>AK75*42</f>
        <v>18071.616140752121</v>
      </c>
      <c r="AM75" s="264" t="s">
        <v>123</v>
      </c>
      <c r="AN75" s="286">
        <v>505.85237467218178</v>
      </c>
      <c r="AO75" s="286">
        <v>505.85237467218178</v>
      </c>
      <c r="AP75" s="287">
        <v>21245.799736231635</v>
      </c>
      <c r="AQ75" s="264" t="s">
        <v>123</v>
      </c>
      <c r="AR75" s="286">
        <f>AN75*(1+$AT$71)</f>
        <v>515.66591074082214</v>
      </c>
      <c r="AS75" s="286">
        <f>AO75*(1+$AT$71)</f>
        <v>515.66591074082214</v>
      </c>
      <c r="AT75" s="286">
        <f>AP75*(1+$AT$71)</f>
        <v>21657.968251114529</v>
      </c>
      <c r="AU75" s="286">
        <f>AR75*(1+$AW$71)</f>
        <v>534.53928307393619</v>
      </c>
      <c r="AV75" s="286">
        <f>AS75*(1+$AW$71)</f>
        <v>534.53928307393619</v>
      </c>
      <c r="AW75" s="286">
        <f>AT75*(1+$AW$71)</f>
        <v>22450.64988910532</v>
      </c>
      <c r="AX75" s="286">
        <f>AU75*(1+$AZ$71)</f>
        <v>570.72759253804168</v>
      </c>
      <c r="AY75" s="286">
        <f>AV75*(1+$AZ$71)</f>
        <v>570.72759253804168</v>
      </c>
      <c r="AZ75" s="286">
        <f>AW75*(1+$AZ$71)</f>
        <v>23970.558886597752</v>
      </c>
      <c r="BA75" s="286">
        <f t="shared" ref="BA75:BF75" si="36">AX75*(1+$BC$71)</f>
        <v>603.5444291089791</v>
      </c>
      <c r="BB75" s="286">
        <f t="shared" si="36"/>
        <v>603.5444291089791</v>
      </c>
      <c r="BC75" s="286">
        <f t="shared" si="36"/>
        <v>25348.866022577124</v>
      </c>
      <c r="BD75" s="286">
        <f t="shared" si="36"/>
        <v>638.2482337827455</v>
      </c>
      <c r="BE75" s="286">
        <f t="shared" si="36"/>
        <v>638.2482337827455</v>
      </c>
      <c r="BF75" s="286">
        <f t="shared" si="36"/>
        <v>26806.425818875312</v>
      </c>
      <c r="BG75" s="286">
        <f>BD75*(1+$BC$71)</f>
        <v>674.94750722525339</v>
      </c>
      <c r="BH75" s="286">
        <f>BE75*(1+$BC$71)</f>
        <v>674.94750722525339</v>
      </c>
      <c r="BI75" s="286">
        <f>BF75*(1+$BC$71)</f>
        <v>28347.795303460643</v>
      </c>
    </row>
    <row r="76" spans="1:61" ht="12.75" customHeight="1" thickTop="1">
      <c r="A76" s="202"/>
      <c r="B76" s="203" t="s">
        <v>130</v>
      </c>
      <c r="C76" s="117"/>
      <c r="D76" s="117"/>
      <c r="E76" s="117"/>
      <c r="G76" s="117"/>
      <c r="H76" s="117"/>
      <c r="I76" s="186">
        <v>41.232927999999994</v>
      </c>
      <c r="J76" s="117"/>
      <c r="K76" s="117"/>
      <c r="L76" s="186">
        <v>43.500739039999992</v>
      </c>
      <c r="M76" s="117"/>
      <c r="N76" s="117"/>
      <c r="O76" s="186">
        <v>45.610524883439993</v>
      </c>
      <c r="P76" s="117"/>
      <c r="Q76" s="117"/>
      <c r="R76" s="186">
        <v>45.610524883439993</v>
      </c>
      <c r="U76" s="186">
        <v>47.653876398218102</v>
      </c>
      <c r="X76" s="186">
        <v>50.355381965276713</v>
      </c>
      <c r="AA76" s="186">
        <v>54.227639762013432</v>
      </c>
      <c r="AD76" s="186">
        <v>55.31</v>
      </c>
      <c r="AE76" s="117"/>
      <c r="AF76" s="117"/>
      <c r="AG76" s="204">
        <f>AD76*(1+AI66)</f>
        <v>57.063327000000008</v>
      </c>
      <c r="AJ76" s="289">
        <f>AG76*(1+AL66)</f>
        <v>59.191789097100013</v>
      </c>
      <c r="AM76" s="264" t="s">
        <v>121</v>
      </c>
      <c r="AN76" s="662"/>
      <c r="AO76" s="663"/>
      <c r="AP76" s="664"/>
      <c r="AQ76" s="264" t="s">
        <v>121</v>
      </c>
      <c r="AR76" s="662"/>
      <c r="AS76" s="663"/>
      <c r="AT76" s="664"/>
      <c r="AU76" s="662"/>
      <c r="AV76" s="663"/>
      <c r="AW76" s="664"/>
      <c r="AX76" s="662"/>
      <c r="AY76" s="663"/>
      <c r="AZ76" s="664"/>
      <c r="BA76" s="662"/>
      <c r="BB76" s="663"/>
      <c r="BC76" s="664"/>
      <c r="BD76" s="662"/>
      <c r="BE76" s="663"/>
      <c r="BF76" s="664"/>
      <c r="BG76" s="662"/>
      <c r="BH76" s="663"/>
      <c r="BI76" s="664"/>
    </row>
    <row r="77" spans="1:61">
      <c r="A77" s="205" t="s">
        <v>131</v>
      </c>
      <c r="B77" s="117"/>
      <c r="C77" s="117"/>
      <c r="D77" s="117"/>
      <c r="E77" s="117"/>
      <c r="F77" s="151"/>
      <c r="G77" s="117"/>
      <c r="H77" s="117"/>
      <c r="I77" s="117"/>
      <c r="J77" s="117"/>
      <c r="K77" s="117"/>
      <c r="L77" s="117"/>
      <c r="M77" s="117"/>
      <c r="N77" s="117"/>
      <c r="O77" s="117"/>
      <c r="P77" s="117"/>
      <c r="Q77" s="117"/>
      <c r="AM77" s="265" t="s">
        <v>124</v>
      </c>
      <c r="AN77" s="665"/>
      <c r="AO77" s="666"/>
      <c r="AP77" s="667"/>
      <c r="AQ77" s="265" t="s">
        <v>124</v>
      </c>
      <c r="AR77" s="665"/>
      <c r="AS77" s="666"/>
      <c r="AT77" s="667"/>
      <c r="AU77" s="665"/>
      <c r="AV77" s="666"/>
      <c r="AW77" s="667"/>
      <c r="AX77" s="665"/>
      <c r="AY77" s="666"/>
      <c r="AZ77" s="667"/>
      <c r="BA77" s="665"/>
      <c r="BB77" s="666"/>
      <c r="BC77" s="667"/>
      <c r="BD77" s="665"/>
      <c r="BE77" s="666"/>
      <c r="BF77" s="667"/>
      <c r="BG77" s="665"/>
      <c r="BH77" s="666"/>
      <c r="BI77" s="667"/>
    </row>
    <row r="78" spans="1:61">
      <c r="A78" s="205" t="s">
        <v>132</v>
      </c>
      <c r="B78" s="117"/>
      <c r="C78" s="117"/>
      <c r="D78" s="117"/>
      <c r="E78" s="117"/>
      <c r="F78" s="151"/>
      <c r="G78" s="117"/>
      <c r="H78" s="117"/>
      <c r="I78" s="117"/>
      <c r="J78" s="117"/>
      <c r="K78" s="117"/>
      <c r="L78" s="206"/>
      <c r="M78" s="117"/>
      <c r="N78" s="117"/>
      <c r="O78" s="207"/>
      <c r="P78" s="117"/>
      <c r="Q78" s="117"/>
      <c r="AC78" s="208"/>
      <c r="AM78" s="264" t="s">
        <v>127</v>
      </c>
      <c r="AN78" s="668"/>
      <c r="AO78" s="669"/>
      <c r="AP78" s="670"/>
      <c r="AQ78" s="264" t="s">
        <v>127</v>
      </c>
      <c r="AR78" s="668"/>
      <c r="AS78" s="669"/>
      <c r="AT78" s="670"/>
      <c r="AU78" s="668"/>
      <c r="AV78" s="669"/>
      <c r="AW78" s="670"/>
      <c r="AX78" s="668"/>
      <c r="AY78" s="669"/>
      <c r="AZ78" s="670"/>
      <c r="BA78" s="668"/>
      <c r="BB78" s="669"/>
      <c r="BC78" s="670"/>
      <c r="BD78" s="668"/>
      <c r="BE78" s="669"/>
      <c r="BF78" s="670"/>
      <c r="BG78" s="668"/>
      <c r="BH78" s="669"/>
      <c r="BI78" s="670"/>
    </row>
    <row r="79" spans="1:61">
      <c r="A79" s="202"/>
      <c r="B79" s="117"/>
      <c r="C79" s="117"/>
      <c r="D79" s="117"/>
      <c r="E79" s="117"/>
      <c r="F79" s="117"/>
      <c r="G79" s="117"/>
      <c r="H79" s="117"/>
      <c r="I79" s="117"/>
      <c r="J79" s="117"/>
      <c r="K79" s="117"/>
      <c r="L79" s="117"/>
      <c r="M79" s="117"/>
      <c r="N79" s="117"/>
      <c r="O79" s="117"/>
      <c r="P79" s="117"/>
      <c r="Q79" s="117"/>
      <c r="AC79" s="186"/>
      <c r="AM79" s="264" t="s">
        <v>110</v>
      </c>
      <c r="AN79" s="671" t="s">
        <v>218</v>
      </c>
      <c r="AO79" s="671"/>
      <c r="AP79" s="672"/>
      <c r="AQ79" s="264" t="s">
        <v>110</v>
      </c>
      <c r="AR79" s="671"/>
      <c r="AS79" s="671"/>
      <c r="AT79" s="672"/>
      <c r="AU79" s="671"/>
      <c r="AV79" s="671"/>
      <c r="AW79" s="672"/>
      <c r="AX79" s="671"/>
      <c r="AY79" s="671"/>
      <c r="AZ79" s="672"/>
      <c r="BA79" s="671"/>
      <c r="BB79" s="671"/>
      <c r="BC79" s="672"/>
      <c r="BD79" s="671"/>
      <c r="BE79" s="671"/>
      <c r="BF79" s="672"/>
      <c r="BG79" s="671"/>
      <c r="BH79" s="671"/>
      <c r="BI79" s="672"/>
    </row>
    <row r="80" spans="1:61">
      <c r="A80" s="117"/>
      <c r="B80" s="117"/>
      <c r="C80" s="117"/>
      <c r="D80" s="117"/>
      <c r="E80" s="117"/>
      <c r="F80" s="117"/>
      <c r="G80" s="117"/>
      <c r="H80" s="117"/>
      <c r="I80" s="117"/>
      <c r="J80" s="117"/>
      <c r="K80" s="117"/>
      <c r="L80" s="117"/>
      <c r="M80" s="117"/>
      <c r="N80" s="117"/>
      <c r="O80" s="117"/>
      <c r="P80" s="117"/>
      <c r="Q80" s="117"/>
      <c r="AM80" s="264" t="s">
        <v>121</v>
      </c>
      <c r="AN80" s="286">
        <v>442.85011881106925</v>
      </c>
      <c r="AO80" s="286">
        <v>442.85011881106925</v>
      </c>
      <c r="AP80" s="287">
        <v>18599.704990064907</v>
      </c>
      <c r="AQ80" s="264" t="s">
        <v>121</v>
      </c>
      <c r="AR80" s="286">
        <f>AN80*(1+$AT$71)</f>
        <v>451.44141111600402</v>
      </c>
      <c r="AS80" s="286">
        <f>AO80*(1+$AT$71)</f>
        <v>451.44141111600402</v>
      </c>
      <c r="AT80" s="286">
        <f>AP80*(1+$AT$71)</f>
        <v>18960.539266872169</v>
      </c>
      <c r="AU80" s="286">
        <f>AR80*(1+$AW$71)</f>
        <v>467.96416676284974</v>
      </c>
      <c r="AV80" s="286">
        <f>AS80*(1+$AW$71)</f>
        <v>467.96416676284974</v>
      </c>
      <c r="AW80" s="286">
        <f>AT80*(1+$AW$71)</f>
        <v>19654.495004039691</v>
      </c>
      <c r="AX80" s="286">
        <f>AU80*(1+$AZ$71)</f>
        <v>499.64534085269469</v>
      </c>
      <c r="AY80" s="286">
        <f>AV80*(1+$AZ$71)</f>
        <v>499.64534085269469</v>
      </c>
      <c r="AZ80" s="286">
        <f>AW80*(1+$AZ$71)</f>
        <v>20985.10431581318</v>
      </c>
      <c r="BA80" s="286">
        <f t="shared" ref="BA80:BF80" si="37">AX80*(1+$BC$71)</f>
        <v>528.37494795172472</v>
      </c>
      <c r="BB80" s="286">
        <f t="shared" si="37"/>
        <v>528.37494795172472</v>
      </c>
      <c r="BC80" s="286">
        <f t="shared" si="37"/>
        <v>22191.747813972441</v>
      </c>
      <c r="BD80" s="286">
        <f t="shared" si="37"/>
        <v>558.75650745894893</v>
      </c>
      <c r="BE80" s="286">
        <f t="shared" si="37"/>
        <v>558.75650745894893</v>
      </c>
      <c r="BF80" s="286">
        <f t="shared" si="37"/>
        <v>23467.773313275859</v>
      </c>
      <c r="BG80" s="286">
        <f>BD80*(1+$BC$71)</f>
        <v>590.8850066378385</v>
      </c>
      <c r="BH80" s="286">
        <f>BE80*(1+$BC$71)</f>
        <v>590.8850066378385</v>
      </c>
      <c r="BI80" s="286">
        <f>BF80*(1+$BC$71)</f>
        <v>24817.170278789225</v>
      </c>
    </row>
    <row r="81" spans="1:61" ht="14.25" customHeight="1" thickBot="1">
      <c r="A81" s="117"/>
      <c r="B81" s="117"/>
      <c r="C81" s="117"/>
      <c r="D81" s="117"/>
      <c r="E81" s="117"/>
      <c r="F81" s="117"/>
      <c r="G81" s="117"/>
      <c r="H81" s="117"/>
      <c r="I81" s="117"/>
      <c r="J81" s="117"/>
      <c r="K81" s="117"/>
      <c r="L81" s="117"/>
      <c r="M81" s="117"/>
      <c r="N81" s="117"/>
      <c r="O81" s="117"/>
      <c r="P81" s="117"/>
      <c r="Q81" s="117"/>
      <c r="Z81" s="695" t="s">
        <v>133</v>
      </c>
      <c r="AA81" s="695"/>
      <c r="AD81" s="695" t="s">
        <v>134</v>
      </c>
      <c r="AE81" s="695"/>
      <c r="AG81" s="695" t="s">
        <v>160</v>
      </c>
      <c r="AH81" s="695"/>
      <c r="AJ81" s="695" t="s">
        <v>160</v>
      </c>
      <c r="AK81" s="695"/>
      <c r="AM81" s="266" t="s">
        <v>130</v>
      </c>
      <c r="AN81" s="290">
        <v>60.636068751069253</v>
      </c>
      <c r="AO81" s="673"/>
      <c r="AP81" s="674"/>
      <c r="AQ81" s="266" t="s">
        <v>130</v>
      </c>
      <c r="AR81" s="290">
        <f>AN81*(1+$AT$71)</f>
        <v>61.812408484839999</v>
      </c>
      <c r="AS81" s="673"/>
      <c r="AT81" s="674"/>
      <c r="AU81" s="290">
        <f>AR81*(1+$AW$71)</f>
        <v>64.074742635385135</v>
      </c>
      <c r="AV81" s="673"/>
      <c r="AW81" s="674"/>
      <c r="AX81" s="290">
        <f>AU81*(1+$AZ$71)</f>
        <v>68.412602711800716</v>
      </c>
      <c r="AY81" s="673"/>
      <c r="AZ81" s="674"/>
      <c r="BA81" s="290">
        <f>AX81*(1+$BC$71)</f>
        <v>72.346327367729259</v>
      </c>
      <c r="BB81" s="673"/>
      <c r="BC81" s="674"/>
      <c r="BD81" s="290">
        <f>BA81*(1+$BC$71)</f>
        <v>76.506241191373704</v>
      </c>
      <c r="BE81" s="673"/>
      <c r="BF81" s="674"/>
      <c r="BG81" s="290">
        <f>BD81*(1+$BC$71)</f>
        <v>80.905350059877705</v>
      </c>
      <c r="BH81" s="673"/>
      <c r="BI81" s="674"/>
    </row>
    <row r="82" spans="1:61">
      <c r="A82" s="117"/>
      <c r="B82" s="117"/>
      <c r="C82" s="117"/>
      <c r="D82" s="117"/>
      <c r="E82" s="117"/>
      <c r="F82" s="117"/>
      <c r="G82" s="117"/>
      <c r="H82" s="117"/>
      <c r="I82" s="117"/>
      <c r="J82" s="117"/>
      <c r="K82" s="117"/>
      <c r="L82" s="117"/>
      <c r="M82" s="117"/>
      <c r="N82" s="117"/>
      <c r="O82" s="117"/>
      <c r="P82" s="117"/>
      <c r="Q82" s="117"/>
      <c r="Z82" s="695"/>
      <c r="AA82" s="695"/>
      <c r="AD82" s="695"/>
      <c r="AE82" s="695"/>
      <c r="AG82" s="695"/>
      <c r="AH82" s="695"/>
      <c r="AJ82" s="695"/>
      <c r="AK82" s="695"/>
    </row>
    <row r="83" spans="1:61" ht="83.25" customHeight="1">
      <c r="A83" s="117"/>
      <c r="B83" s="117"/>
      <c r="C83" s="117"/>
      <c r="D83" s="117"/>
      <c r="E83" s="117"/>
      <c r="F83" s="117"/>
      <c r="G83" s="117"/>
      <c r="H83" s="117"/>
      <c r="I83" s="117"/>
      <c r="J83" s="117"/>
      <c r="K83" s="117"/>
      <c r="L83" s="117"/>
      <c r="M83" s="117"/>
      <c r="N83" s="117"/>
      <c r="O83" s="117"/>
      <c r="P83" s="117"/>
      <c r="Q83" s="117"/>
      <c r="Z83" s="693" t="s">
        <v>135</v>
      </c>
      <c r="AA83" s="693"/>
      <c r="AD83" s="693" t="s">
        <v>136</v>
      </c>
      <c r="AE83" s="693"/>
      <c r="AG83" s="209" t="s">
        <v>161</v>
      </c>
      <c r="AJ83" s="209" t="s">
        <v>161</v>
      </c>
    </row>
    <row r="84" spans="1:61">
      <c r="A84" s="117"/>
      <c r="B84" s="117"/>
      <c r="C84" s="117"/>
      <c r="D84" s="117"/>
      <c r="E84" s="117"/>
      <c r="F84" s="117"/>
      <c r="G84" s="117"/>
      <c r="H84" s="117"/>
      <c r="I84" s="117"/>
      <c r="J84" s="117"/>
      <c r="K84" s="117"/>
      <c r="L84" s="117"/>
      <c r="M84" s="117"/>
      <c r="N84" s="117"/>
      <c r="O84" s="117"/>
      <c r="P84" s="117"/>
      <c r="Q84" s="117"/>
      <c r="AD84" s="693"/>
      <c r="AE84" s="693"/>
    </row>
    <row r="85" spans="1:61">
      <c r="A85" s="117"/>
      <c r="B85" s="117"/>
      <c r="C85" s="117"/>
      <c r="D85" s="117"/>
      <c r="E85" s="117"/>
      <c r="F85" s="117"/>
      <c r="G85" s="117"/>
      <c r="H85" s="117"/>
      <c r="I85" s="117"/>
      <c r="J85" s="117"/>
      <c r="K85" s="117"/>
      <c r="L85" s="117"/>
      <c r="M85" s="117"/>
      <c r="N85" s="117"/>
      <c r="O85" s="117"/>
      <c r="P85" s="117"/>
      <c r="Q85" s="117"/>
      <c r="AD85" s="693"/>
      <c r="AE85" s="693"/>
    </row>
    <row r="86" spans="1:61">
      <c r="A86" s="117"/>
      <c r="B86" s="117"/>
      <c r="C86" s="117"/>
      <c r="D86" s="117"/>
      <c r="E86" s="117"/>
      <c r="F86" s="117"/>
      <c r="G86" s="117"/>
      <c r="H86" s="117"/>
      <c r="I86" s="117"/>
      <c r="J86" s="117"/>
      <c r="K86" s="117"/>
      <c r="L86" s="117"/>
      <c r="M86" s="117"/>
      <c r="N86" s="117"/>
      <c r="O86" s="117"/>
      <c r="P86" s="117"/>
      <c r="Q86" s="117"/>
      <c r="AD86" s="693"/>
      <c r="AE86" s="693"/>
    </row>
    <row r="87" spans="1:61">
      <c r="A87" s="117"/>
      <c r="B87" s="117"/>
      <c r="C87" s="117"/>
      <c r="D87" s="117"/>
      <c r="E87" s="117"/>
      <c r="F87" s="117"/>
      <c r="G87" s="117"/>
      <c r="H87" s="117"/>
      <c r="I87" s="117"/>
      <c r="J87" s="117"/>
      <c r="K87" s="117"/>
      <c r="L87" s="117"/>
      <c r="M87" s="117"/>
      <c r="N87" s="117"/>
      <c r="O87" s="117"/>
      <c r="P87" s="117"/>
      <c r="Q87" s="117"/>
      <c r="AD87" s="693"/>
      <c r="AE87" s="693"/>
    </row>
    <row r="88" spans="1:61">
      <c r="A88" s="117"/>
      <c r="B88" s="117"/>
      <c r="C88" s="117"/>
      <c r="D88" s="117"/>
      <c r="E88" s="117"/>
      <c r="F88" s="117"/>
      <c r="G88" s="117"/>
      <c r="H88" s="117"/>
      <c r="I88" s="117"/>
      <c r="J88" s="117"/>
      <c r="K88" s="117"/>
      <c r="L88" s="117"/>
      <c r="M88" s="117"/>
      <c r="N88" s="117"/>
      <c r="O88" s="117"/>
      <c r="P88" s="117"/>
      <c r="Q88" s="117"/>
      <c r="AD88" s="693"/>
      <c r="AE88" s="693"/>
    </row>
    <row r="89" spans="1:61">
      <c r="A89" s="117"/>
      <c r="B89" s="117"/>
      <c r="C89" s="117"/>
      <c r="D89" s="117"/>
      <c r="E89" s="117"/>
      <c r="F89" s="117"/>
      <c r="G89" s="117"/>
      <c r="H89" s="117"/>
      <c r="I89" s="117"/>
      <c r="J89" s="117"/>
      <c r="K89" s="117"/>
      <c r="L89" s="117"/>
      <c r="M89" s="117"/>
      <c r="N89" s="117"/>
      <c r="O89" s="117"/>
      <c r="P89" s="117"/>
      <c r="Q89" s="117"/>
      <c r="AD89" s="693"/>
      <c r="AE89" s="693"/>
    </row>
    <row r="90" spans="1:61">
      <c r="A90" s="117"/>
      <c r="B90" s="117"/>
      <c r="C90" s="117"/>
      <c r="D90" s="117"/>
      <c r="E90" s="117"/>
      <c r="F90" s="117"/>
      <c r="G90" s="117"/>
      <c r="H90" s="117"/>
      <c r="I90" s="117"/>
      <c r="J90" s="117"/>
      <c r="K90" s="117"/>
      <c r="L90" s="117"/>
      <c r="M90" s="117"/>
      <c r="N90" s="117"/>
      <c r="O90" s="117"/>
      <c r="P90" s="117"/>
      <c r="Q90" s="117"/>
      <c r="AD90" s="117" t="s">
        <v>137</v>
      </c>
      <c r="AG90" s="118" t="s">
        <v>162</v>
      </c>
      <c r="AJ90" s="118" t="s">
        <v>162</v>
      </c>
    </row>
    <row r="91" spans="1:61">
      <c r="A91" s="117"/>
      <c r="B91" s="117"/>
      <c r="C91" s="117"/>
      <c r="D91" s="117"/>
      <c r="E91" s="117"/>
      <c r="F91" s="117"/>
      <c r="G91" s="117"/>
      <c r="H91" s="117"/>
      <c r="I91" s="117"/>
      <c r="J91" s="117"/>
      <c r="K91" s="117"/>
      <c r="L91" s="117"/>
      <c r="M91" s="117"/>
      <c r="N91" s="117"/>
      <c r="O91" s="117"/>
      <c r="P91" s="117"/>
      <c r="Q91" s="117"/>
    </row>
    <row r="92" spans="1:61">
      <c r="A92" s="117"/>
      <c r="B92" s="117"/>
      <c r="C92" s="117"/>
      <c r="D92" s="117"/>
      <c r="E92" s="117"/>
      <c r="F92" s="117"/>
      <c r="G92" s="117"/>
      <c r="H92" s="117"/>
      <c r="I92" s="117"/>
      <c r="J92" s="117"/>
      <c r="K92" s="117"/>
      <c r="L92" s="117"/>
      <c r="M92" s="117"/>
      <c r="N92" s="117"/>
      <c r="O92" s="117"/>
      <c r="P92" s="117"/>
      <c r="Q92" s="117"/>
    </row>
    <row r="93" spans="1:61">
      <c r="A93" s="117"/>
      <c r="B93" s="117"/>
      <c r="C93" s="117"/>
      <c r="D93" s="117"/>
      <c r="E93" s="117"/>
      <c r="F93" s="117"/>
      <c r="G93" s="117"/>
      <c r="H93" s="117"/>
      <c r="I93" s="117"/>
      <c r="J93" s="117"/>
      <c r="K93" s="117"/>
      <c r="L93" s="117"/>
      <c r="M93" s="117"/>
      <c r="N93" s="117"/>
      <c r="O93" s="117"/>
      <c r="P93" s="117"/>
      <c r="Q93" s="117"/>
    </row>
    <row r="94" spans="1:61">
      <c r="A94" s="117"/>
      <c r="B94" s="117"/>
      <c r="C94" s="117"/>
      <c r="D94" s="117"/>
      <c r="E94" s="117"/>
      <c r="F94" s="117"/>
      <c r="G94" s="117"/>
      <c r="H94" s="117"/>
      <c r="I94" s="117"/>
      <c r="J94" s="117"/>
      <c r="K94" s="117"/>
      <c r="L94" s="117"/>
      <c r="M94" s="117"/>
      <c r="N94" s="117"/>
      <c r="O94" s="117"/>
      <c r="P94" s="117"/>
      <c r="Q94" s="117"/>
    </row>
    <row r="95" spans="1:61">
      <c r="A95" s="117"/>
      <c r="B95" s="117"/>
      <c r="C95" s="117"/>
      <c r="D95" s="117"/>
      <c r="E95" s="117"/>
      <c r="F95" s="117"/>
      <c r="G95" s="117"/>
      <c r="H95" s="117"/>
      <c r="I95" s="117"/>
      <c r="J95" s="117"/>
      <c r="K95" s="117"/>
      <c r="L95" s="117"/>
      <c r="M95" s="117"/>
      <c r="N95" s="117"/>
      <c r="O95" s="117"/>
      <c r="P95" s="117"/>
      <c r="Q95" s="117"/>
    </row>
    <row r="96" spans="1:61">
      <c r="A96" s="117"/>
      <c r="B96" s="117"/>
      <c r="C96" s="117"/>
      <c r="D96" s="117"/>
      <c r="E96" s="117"/>
      <c r="F96" s="117"/>
      <c r="G96" s="117"/>
      <c r="H96" s="117"/>
      <c r="I96" s="117"/>
      <c r="J96" s="117"/>
      <c r="K96" s="117"/>
      <c r="L96" s="117"/>
      <c r="M96" s="117"/>
      <c r="N96" s="117"/>
      <c r="O96" s="117"/>
      <c r="P96" s="117"/>
      <c r="Q96" s="117"/>
    </row>
    <row r="97" spans="1:236">
      <c r="A97" s="117"/>
      <c r="B97" s="117"/>
      <c r="C97" s="117"/>
      <c r="D97" s="117"/>
      <c r="E97" s="117"/>
      <c r="F97" s="117"/>
      <c r="G97" s="117"/>
      <c r="H97" s="117"/>
      <c r="I97" s="117"/>
      <c r="J97" s="117"/>
      <c r="K97" s="117"/>
      <c r="L97" s="117"/>
      <c r="M97" s="117"/>
      <c r="N97" s="117"/>
      <c r="O97" s="117"/>
      <c r="P97" s="117"/>
      <c r="Q97" s="117"/>
    </row>
    <row r="98" spans="1:236">
      <c r="A98" s="117"/>
      <c r="B98" s="117"/>
      <c r="C98" s="117"/>
      <c r="D98" s="117"/>
      <c r="E98" s="117"/>
      <c r="F98" s="117"/>
      <c r="G98" s="117"/>
      <c r="H98" s="117"/>
      <c r="I98" s="117"/>
      <c r="J98" s="117"/>
      <c r="K98" s="117"/>
      <c r="L98" s="117"/>
      <c r="M98" s="117"/>
      <c r="N98" s="117"/>
      <c r="O98" s="117"/>
      <c r="P98" s="117"/>
      <c r="Q98" s="117"/>
    </row>
    <row r="99" spans="1:236">
      <c r="A99" s="117"/>
      <c r="B99" s="117"/>
      <c r="C99" s="117"/>
      <c r="D99" s="117"/>
      <c r="E99" s="117"/>
      <c r="F99" s="117"/>
      <c r="G99" s="117"/>
      <c r="H99" s="117"/>
      <c r="I99" s="117"/>
      <c r="J99" s="117"/>
      <c r="K99" s="117"/>
      <c r="L99" s="117"/>
      <c r="M99" s="117"/>
      <c r="N99" s="117"/>
      <c r="O99" s="117"/>
      <c r="P99" s="117"/>
      <c r="Q99" s="117"/>
    </row>
    <row r="100" spans="1:236">
      <c r="A100" s="117"/>
      <c r="B100" s="117"/>
      <c r="C100" s="117"/>
      <c r="D100" s="117"/>
      <c r="E100" s="117"/>
      <c r="F100" s="117"/>
      <c r="G100" s="117"/>
      <c r="H100" s="117"/>
      <c r="I100" s="117"/>
      <c r="J100" s="117"/>
      <c r="K100" s="117"/>
      <c r="L100" s="117"/>
      <c r="M100" s="117"/>
      <c r="N100" s="117"/>
      <c r="O100" s="117"/>
      <c r="P100" s="117"/>
      <c r="Q100" s="117"/>
    </row>
    <row r="101" spans="1:236">
      <c r="A101" s="117"/>
      <c r="B101" s="117"/>
      <c r="C101" s="117"/>
      <c r="D101" s="117"/>
      <c r="E101" s="117"/>
      <c r="F101" s="117"/>
      <c r="G101" s="117"/>
      <c r="H101" s="117"/>
      <c r="I101" s="117"/>
      <c r="J101" s="117"/>
      <c r="K101" s="117"/>
      <c r="L101" s="117"/>
      <c r="M101" s="117"/>
      <c r="N101" s="117"/>
      <c r="O101" s="117"/>
      <c r="P101" s="117"/>
      <c r="Q101" s="117"/>
    </row>
    <row r="102" spans="1:236">
      <c r="A102" s="117"/>
      <c r="B102" s="117"/>
      <c r="C102" s="117"/>
      <c r="D102" s="117"/>
      <c r="E102" s="117"/>
      <c r="F102" s="117"/>
      <c r="G102" s="117"/>
      <c r="H102" s="117"/>
      <c r="I102" s="117"/>
      <c r="J102" s="117"/>
      <c r="K102" s="117"/>
      <c r="L102" s="117"/>
      <c r="M102" s="117"/>
      <c r="N102" s="117"/>
      <c r="O102" s="117"/>
      <c r="P102" s="117"/>
      <c r="Q102" s="117"/>
    </row>
    <row r="103" spans="1:236" s="79" customFormat="1" ht="14.25">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c r="BM103" s="118"/>
      <c r="BN103" s="118"/>
      <c r="BO103" s="118"/>
      <c r="BP103" s="118"/>
      <c r="BQ103" s="118"/>
      <c r="BR103" s="118"/>
      <c r="BS103" s="118"/>
      <c r="BT103" s="118"/>
      <c r="BU103" s="118"/>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c r="DC103" s="118"/>
      <c r="DD103" s="118"/>
      <c r="DE103" s="118"/>
      <c r="DF103" s="118"/>
      <c r="DG103" s="118"/>
      <c r="DH103" s="118"/>
      <c r="DI103" s="118"/>
      <c r="DJ103" s="118"/>
      <c r="DK103" s="118"/>
      <c r="DL103" s="118"/>
      <c r="DM103" s="118"/>
      <c r="DN103" s="118"/>
      <c r="DO103" s="118"/>
      <c r="DP103" s="118"/>
      <c r="DQ103" s="118"/>
      <c r="DR103" s="118"/>
      <c r="DS103" s="118"/>
      <c r="DT103" s="118"/>
      <c r="DU103" s="118"/>
      <c r="DV103" s="118"/>
      <c r="DW103" s="118"/>
      <c r="DX103" s="118"/>
      <c r="DY103" s="118"/>
      <c r="DZ103" s="118"/>
      <c r="EA103" s="118"/>
      <c r="EB103" s="118"/>
      <c r="EC103" s="118"/>
      <c r="ED103" s="118"/>
      <c r="EE103" s="118"/>
      <c r="EF103" s="118"/>
      <c r="EG103" s="118"/>
      <c r="EH103" s="118"/>
      <c r="EI103" s="118"/>
      <c r="EJ103" s="118"/>
      <c r="EK103" s="118"/>
      <c r="EL103" s="118"/>
      <c r="EM103" s="118"/>
      <c r="EN103" s="118"/>
      <c r="EO103" s="118"/>
      <c r="EP103" s="118"/>
      <c r="EQ103" s="118"/>
      <c r="ER103" s="118"/>
      <c r="ES103" s="118"/>
      <c r="ET103" s="118"/>
      <c r="EU103" s="118"/>
      <c r="EV103" s="118"/>
      <c r="EW103" s="118"/>
      <c r="EX103" s="118"/>
      <c r="EY103" s="118"/>
      <c r="EZ103" s="118"/>
      <c r="FA103" s="118"/>
      <c r="FB103" s="118"/>
      <c r="FC103" s="118"/>
      <c r="FD103" s="118"/>
      <c r="FE103" s="118"/>
      <c r="FF103" s="118"/>
      <c r="FG103" s="118"/>
      <c r="FH103" s="118"/>
      <c r="FI103" s="118"/>
      <c r="FJ103" s="118"/>
      <c r="FK103" s="118"/>
      <c r="FL103" s="118"/>
      <c r="FM103" s="118"/>
      <c r="FN103" s="118"/>
      <c r="FO103" s="118"/>
      <c r="FP103" s="118"/>
      <c r="FQ103" s="118"/>
      <c r="FR103" s="118"/>
      <c r="FS103" s="118"/>
      <c r="FT103" s="118"/>
      <c r="FU103" s="118"/>
      <c r="FV103" s="118"/>
      <c r="FW103" s="118"/>
      <c r="FX103" s="118"/>
      <c r="FY103" s="118"/>
      <c r="FZ103" s="118"/>
      <c r="GA103" s="118"/>
      <c r="GB103" s="118"/>
      <c r="GC103" s="118"/>
      <c r="GD103" s="118"/>
      <c r="GE103" s="118"/>
      <c r="GF103" s="118"/>
      <c r="GG103" s="118"/>
      <c r="GH103" s="118"/>
      <c r="GI103" s="118"/>
      <c r="GJ103" s="118"/>
      <c r="GK103" s="118"/>
      <c r="GL103" s="118"/>
      <c r="GM103" s="118"/>
      <c r="GN103" s="118"/>
      <c r="GO103" s="118"/>
      <c r="GP103" s="118"/>
      <c r="GQ103" s="118"/>
      <c r="GR103" s="118"/>
      <c r="GS103" s="118"/>
      <c r="GT103" s="118"/>
      <c r="GU103" s="118"/>
      <c r="GV103" s="118"/>
      <c r="GW103" s="118"/>
      <c r="GX103" s="118"/>
      <c r="GY103" s="118"/>
      <c r="GZ103" s="118"/>
      <c r="HA103" s="118"/>
      <c r="HB103" s="118"/>
      <c r="HC103" s="118"/>
      <c r="HD103" s="118"/>
      <c r="HE103" s="118"/>
      <c r="HF103" s="118"/>
      <c r="HG103" s="118"/>
      <c r="HH103" s="118"/>
      <c r="HI103" s="118"/>
      <c r="HJ103" s="118"/>
      <c r="HK103" s="118"/>
      <c r="HL103" s="118"/>
      <c r="HM103" s="118"/>
      <c r="HN103" s="118"/>
      <c r="HO103" s="118"/>
      <c r="HP103" s="118"/>
      <c r="HQ103" s="118"/>
      <c r="HR103" s="118"/>
      <c r="HS103" s="118"/>
      <c r="HT103" s="118"/>
      <c r="HU103" s="118"/>
      <c r="HV103" s="118"/>
      <c r="HW103" s="118"/>
      <c r="HX103" s="118"/>
      <c r="HY103" s="118"/>
      <c r="HZ103" s="118"/>
      <c r="IA103" s="118"/>
      <c r="IB103" s="118"/>
    </row>
    <row r="104" spans="1:236" s="79" customFormat="1" ht="14.25">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c r="BM104" s="118"/>
      <c r="BN104" s="118"/>
      <c r="BO104" s="118"/>
      <c r="BP104" s="118"/>
      <c r="BQ104" s="118"/>
      <c r="BR104" s="118"/>
      <c r="BS104" s="118"/>
      <c r="BT104" s="118"/>
      <c r="BU104" s="118"/>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8"/>
      <c r="DD104" s="118"/>
      <c r="DE104" s="118"/>
      <c r="DF104" s="118"/>
      <c r="DG104" s="118"/>
      <c r="DH104" s="118"/>
      <c r="DI104" s="118"/>
      <c r="DJ104" s="118"/>
      <c r="DK104" s="118"/>
      <c r="DL104" s="118"/>
      <c r="DM104" s="118"/>
      <c r="DN104" s="118"/>
      <c r="DO104" s="118"/>
      <c r="DP104" s="118"/>
      <c r="DQ104" s="118"/>
      <c r="DR104" s="118"/>
      <c r="DS104" s="118"/>
      <c r="DT104" s="118"/>
      <c r="DU104" s="118"/>
      <c r="DV104" s="118"/>
      <c r="DW104" s="118"/>
      <c r="DX104" s="118"/>
      <c r="DY104" s="118"/>
      <c r="DZ104" s="118"/>
      <c r="EA104" s="118"/>
      <c r="EB104" s="118"/>
      <c r="EC104" s="118"/>
      <c r="ED104" s="118"/>
      <c r="EE104" s="118"/>
      <c r="EF104" s="118"/>
      <c r="EG104" s="118"/>
      <c r="EH104" s="118"/>
      <c r="EI104" s="118"/>
      <c r="EJ104" s="118"/>
      <c r="EK104" s="118"/>
      <c r="EL104" s="118"/>
      <c r="EM104" s="118"/>
      <c r="EN104" s="118"/>
      <c r="EO104" s="118"/>
      <c r="EP104" s="118"/>
      <c r="EQ104" s="118"/>
      <c r="ER104" s="118"/>
      <c r="ES104" s="118"/>
      <c r="ET104" s="118"/>
      <c r="EU104" s="118"/>
      <c r="EV104" s="118"/>
      <c r="EW104" s="118"/>
      <c r="EX104" s="118"/>
      <c r="EY104" s="118"/>
      <c r="EZ104" s="118"/>
      <c r="FA104" s="118"/>
      <c r="FB104" s="118"/>
      <c r="FC104" s="118"/>
      <c r="FD104" s="118"/>
      <c r="FE104" s="118"/>
      <c r="FF104" s="118"/>
      <c r="FG104" s="118"/>
      <c r="FH104" s="118"/>
      <c r="FI104" s="118"/>
      <c r="FJ104" s="118"/>
      <c r="FK104" s="118"/>
      <c r="FL104" s="118"/>
      <c r="FM104" s="118"/>
      <c r="FN104" s="118"/>
      <c r="FO104" s="118"/>
      <c r="FP104" s="118"/>
      <c r="FQ104" s="118"/>
      <c r="FR104" s="118"/>
      <c r="FS104" s="118"/>
      <c r="FT104" s="118"/>
      <c r="FU104" s="118"/>
      <c r="FV104" s="118"/>
      <c r="FW104" s="118"/>
      <c r="FX104" s="118"/>
      <c r="FY104" s="118"/>
      <c r="FZ104" s="118"/>
      <c r="GA104" s="118"/>
      <c r="GB104" s="118"/>
      <c r="GC104" s="118"/>
      <c r="GD104" s="118"/>
      <c r="GE104" s="118"/>
      <c r="GF104" s="118"/>
      <c r="GG104" s="118"/>
      <c r="GH104" s="118"/>
      <c r="GI104" s="118"/>
      <c r="GJ104" s="118"/>
      <c r="GK104" s="118"/>
      <c r="GL104" s="118"/>
      <c r="GM104" s="118"/>
      <c r="GN104" s="118"/>
      <c r="GO104" s="118"/>
      <c r="GP104" s="118"/>
      <c r="GQ104" s="118"/>
      <c r="GR104" s="118"/>
      <c r="GS104" s="118"/>
      <c r="GT104" s="118"/>
      <c r="GU104" s="118"/>
      <c r="GV104" s="118"/>
      <c r="GW104" s="118"/>
      <c r="GX104" s="118"/>
      <c r="GY104" s="118"/>
      <c r="GZ104" s="118"/>
      <c r="HA104" s="118"/>
      <c r="HB104" s="118"/>
      <c r="HC104" s="118"/>
      <c r="HD104" s="118"/>
      <c r="HE104" s="118"/>
      <c r="HF104" s="118"/>
      <c r="HG104" s="118"/>
      <c r="HH104" s="118"/>
      <c r="HI104" s="118"/>
      <c r="HJ104" s="118"/>
      <c r="HK104" s="118"/>
      <c r="HL104" s="118"/>
      <c r="HM104" s="118"/>
      <c r="HN104" s="118"/>
      <c r="HO104" s="118"/>
      <c r="HP104" s="118"/>
      <c r="HQ104" s="118"/>
      <c r="HR104" s="118"/>
      <c r="HS104" s="118"/>
      <c r="HT104" s="118"/>
      <c r="HU104" s="118"/>
      <c r="HV104" s="118"/>
      <c r="HW104" s="118"/>
      <c r="HX104" s="118"/>
      <c r="HY104" s="118"/>
      <c r="HZ104" s="118"/>
      <c r="IA104" s="118"/>
      <c r="IB104" s="118"/>
    </row>
    <row r="105" spans="1:236" s="79" customFormat="1" ht="14.25">
      <c r="A105" s="117"/>
      <c r="B105" s="117"/>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c r="BI105" s="118"/>
      <c r="BJ105" s="118"/>
      <c r="BK105" s="118"/>
      <c r="BL105" s="118"/>
      <c r="BM105" s="118"/>
      <c r="BN105" s="118"/>
      <c r="BO105" s="118"/>
      <c r="BP105" s="118"/>
      <c r="BQ105" s="118"/>
      <c r="BR105" s="118"/>
      <c r="BS105" s="118"/>
      <c r="BT105" s="118"/>
      <c r="BU105" s="118"/>
      <c r="BV105" s="118"/>
      <c r="BW105" s="118"/>
      <c r="BX105" s="118"/>
      <c r="BY105" s="118"/>
      <c r="BZ105" s="118"/>
      <c r="CA105" s="118"/>
      <c r="CB105" s="118"/>
      <c r="CC105" s="118"/>
      <c r="CD105" s="118"/>
      <c r="CE105" s="118"/>
      <c r="CF105" s="118"/>
      <c r="CG105" s="118"/>
      <c r="CH105" s="118"/>
      <c r="CI105" s="118"/>
      <c r="CJ105" s="118"/>
      <c r="CK105" s="118"/>
      <c r="CL105" s="118"/>
      <c r="CM105" s="118"/>
      <c r="CN105" s="118"/>
      <c r="CO105" s="118"/>
      <c r="CP105" s="118"/>
      <c r="CQ105" s="118"/>
      <c r="CR105" s="118"/>
      <c r="CS105" s="118"/>
      <c r="CT105" s="118"/>
      <c r="CU105" s="118"/>
      <c r="CV105" s="118"/>
      <c r="CW105" s="118"/>
      <c r="CX105" s="118"/>
      <c r="CY105" s="118"/>
      <c r="CZ105" s="118"/>
      <c r="DA105" s="118"/>
      <c r="DB105" s="118"/>
      <c r="DC105" s="118"/>
      <c r="DD105" s="118"/>
      <c r="DE105" s="118"/>
      <c r="DF105" s="118"/>
      <c r="DG105" s="118"/>
      <c r="DH105" s="118"/>
      <c r="DI105" s="118"/>
      <c r="DJ105" s="118"/>
      <c r="DK105" s="118"/>
      <c r="DL105" s="118"/>
      <c r="DM105" s="118"/>
      <c r="DN105" s="118"/>
      <c r="DO105" s="118"/>
      <c r="DP105" s="118"/>
      <c r="DQ105" s="118"/>
      <c r="DR105" s="118"/>
      <c r="DS105" s="118"/>
      <c r="DT105" s="118"/>
      <c r="DU105" s="118"/>
      <c r="DV105" s="118"/>
      <c r="DW105" s="118"/>
      <c r="DX105" s="118"/>
      <c r="DY105" s="118"/>
      <c r="DZ105" s="118"/>
      <c r="EA105" s="118"/>
      <c r="EB105" s="118"/>
      <c r="EC105" s="118"/>
      <c r="ED105" s="118"/>
      <c r="EE105" s="118"/>
      <c r="EF105" s="118"/>
      <c r="EG105" s="118"/>
      <c r="EH105" s="118"/>
      <c r="EI105" s="118"/>
      <c r="EJ105" s="118"/>
      <c r="EK105" s="118"/>
      <c r="EL105" s="118"/>
      <c r="EM105" s="118"/>
      <c r="EN105" s="118"/>
      <c r="EO105" s="118"/>
      <c r="EP105" s="118"/>
      <c r="EQ105" s="118"/>
      <c r="ER105" s="118"/>
      <c r="ES105" s="118"/>
      <c r="ET105" s="118"/>
      <c r="EU105" s="118"/>
      <c r="EV105" s="118"/>
      <c r="EW105" s="118"/>
      <c r="EX105" s="118"/>
      <c r="EY105" s="118"/>
      <c r="EZ105" s="118"/>
      <c r="FA105" s="118"/>
      <c r="FB105" s="118"/>
      <c r="FC105" s="118"/>
      <c r="FD105" s="118"/>
      <c r="FE105" s="118"/>
      <c r="FF105" s="118"/>
      <c r="FG105" s="118"/>
      <c r="FH105" s="118"/>
      <c r="FI105" s="118"/>
      <c r="FJ105" s="118"/>
      <c r="FK105" s="118"/>
      <c r="FL105" s="118"/>
      <c r="FM105" s="118"/>
      <c r="FN105" s="118"/>
      <c r="FO105" s="118"/>
      <c r="FP105" s="118"/>
      <c r="FQ105" s="118"/>
      <c r="FR105" s="118"/>
      <c r="FS105" s="118"/>
      <c r="FT105" s="118"/>
      <c r="FU105" s="118"/>
      <c r="FV105" s="118"/>
      <c r="FW105" s="118"/>
      <c r="FX105" s="118"/>
      <c r="FY105" s="118"/>
      <c r="FZ105" s="118"/>
      <c r="GA105" s="118"/>
      <c r="GB105" s="118"/>
      <c r="GC105" s="118"/>
      <c r="GD105" s="118"/>
      <c r="GE105" s="118"/>
      <c r="GF105" s="118"/>
      <c r="GG105" s="118"/>
      <c r="GH105" s="118"/>
      <c r="GI105" s="118"/>
      <c r="GJ105" s="118"/>
      <c r="GK105" s="118"/>
      <c r="GL105" s="118"/>
      <c r="GM105" s="118"/>
      <c r="GN105" s="118"/>
      <c r="GO105" s="118"/>
      <c r="GP105" s="118"/>
      <c r="GQ105" s="118"/>
      <c r="GR105" s="118"/>
      <c r="GS105" s="118"/>
      <c r="GT105" s="118"/>
      <c r="GU105" s="118"/>
      <c r="GV105" s="118"/>
      <c r="GW105" s="118"/>
      <c r="GX105" s="118"/>
      <c r="GY105" s="118"/>
      <c r="GZ105" s="118"/>
      <c r="HA105" s="118"/>
      <c r="HB105" s="118"/>
      <c r="HC105" s="118"/>
      <c r="HD105" s="118"/>
      <c r="HE105" s="118"/>
      <c r="HF105" s="118"/>
      <c r="HG105" s="118"/>
      <c r="HH105" s="118"/>
      <c r="HI105" s="118"/>
      <c r="HJ105" s="118"/>
      <c r="HK105" s="118"/>
      <c r="HL105" s="118"/>
      <c r="HM105" s="118"/>
      <c r="HN105" s="118"/>
      <c r="HO105" s="118"/>
      <c r="HP105" s="118"/>
      <c r="HQ105" s="118"/>
      <c r="HR105" s="118"/>
      <c r="HS105" s="118"/>
      <c r="HT105" s="118"/>
      <c r="HU105" s="118"/>
      <c r="HV105" s="118"/>
      <c r="HW105" s="118"/>
      <c r="HX105" s="118"/>
      <c r="HY105" s="118"/>
      <c r="HZ105" s="118"/>
      <c r="IA105" s="118"/>
      <c r="IB105" s="118"/>
    </row>
    <row r="106" spans="1:236" s="79" customFormat="1" ht="14.25">
      <c r="A106" s="117"/>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c r="BI106" s="118"/>
      <c r="BJ106" s="118"/>
      <c r="BK106" s="118"/>
      <c r="BL106" s="118"/>
      <c r="BM106" s="118"/>
      <c r="BN106" s="118"/>
      <c r="BO106" s="118"/>
      <c r="BP106" s="118"/>
      <c r="BQ106" s="118"/>
      <c r="BR106" s="118"/>
      <c r="BS106" s="118"/>
      <c r="BT106" s="118"/>
      <c r="BU106" s="118"/>
      <c r="BV106" s="118"/>
      <c r="BW106" s="118"/>
      <c r="BX106" s="118"/>
      <c r="BY106" s="118"/>
      <c r="BZ106" s="118"/>
      <c r="CA106" s="118"/>
      <c r="CB106" s="118"/>
      <c r="CC106" s="118"/>
      <c r="CD106" s="118"/>
      <c r="CE106" s="118"/>
      <c r="CF106" s="118"/>
      <c r="CG106" s="118"/>
      <c r="CH106" s="118"/>
      <c r="CI106" s="118"/>
      <c r="CJ106" s="118"/>
      <c r="CK106" s="118"/>
      <c r="CL106" s="118"/>
      <c r="CM106" s="118"/>
      <c r="CN106" s="118"/>
      <c r="CO106" s="118"/>
      <c r="CP106" s="118"/>
      <c r="CQ106" s="118"/>
      <c r="CR106" s="118"/>
      <c r="CS106" s="118"/>
      <c r="CT106" s="118"/>
      <c r="CU106" s="118"/>
      <c r="CV106" s="118"/>
      <c r="CW106" s="118"/>
      <c r="CX106" s="118"/>
      <c r="CY106" s="118"/>
      <c r="CZ106" s="118"/>
      <c r="DA106" s="118"/>
      <c r="DB106" s="118"/>
      <c r="DC106" s="118"/>
      <c r="DD106" s="118"/>
      <c r="DE106" s="118"/>
      <c r="DF106" s="118"/>
      <c r="DG106" s="118"/>
      <c r="DH106" s="118"/>
      <c r="DI106" s="118"/>
      <c r="DJ106" s="118"/>
      <c r="DK106" s="118"/>
      <c r="DL106" s="118"/>
      <c r="DM106" s="118"/>
      <c r="DN106" s="118"/>
      <c r="DO106" s="118"/>
      <c r="DP106" s="118"/>
      <c r="DQ106" s="118"/>
      <c r="DR106" s="118"/>
      <c r="DS106" s="118"/>
      <c r="DT106" s="118"/>
      <c r="DU106" s="118"/>
      <c r="DV106" s="118"/>
      <c r="DW106" s="118"/>
      <c r="DX106" s="118"/>
      <c r="DY106" s="118"/>
      <c r="DZ106" s="118"/>
      <c r="EA106" s="118"/>
      <c r="EB106" s="118"/>
      <c r="EC106" s="118"/>
      <c r="ED106" s="118"/>
      <c r="EE106" s="118"/>
      <c r="EF106" s="118"/>
      <c r="EG106" s="118"/>
      <c r="EH106" s="118"/>
      <c r="EI106" s="118"/>
      <c r="EJ106" s="118"/>
      <c r="EK106" s="118"/>
      <c r="EL106" s="118"/>
      <c r="EM106" s="118"/>
      <c r="EN106" s="118"/>
      <c r="EO106" s="118"/>
      <c r="EP106" s="118"/>
      <c r="EQ106" s="118"/>
      <c r="ER106" s="118"/>
      <c r="ES106" s="118"/>
      <c r="ET106" s="118"/>
      <c r="EU106" s="118"/>
      <c r="EV106" s="118"/>
      <c r="EW106" s="118"/>
      <c r="EX106" s="118"/>
      <c r="EY106" s="118"/>
      <c r="EZ106" s="118"/>
      <c r="FA106" s="118"/>
      <c r="FB106" s="118"/>
      <c r="FC106" s="118"/>
      <c r="FD106" s="118"/>
      <c r="FE106" s="118"/>
      <c r="FF106" s="118"/>
      <c r="FG106" s="118"/>
      <c r="FH106" s="118"/>
      <c r="FI106" s="118"/>
      <c r="FJ106" s="118"/>
      <c r="FK106" s="118"/>
      <c r="FL106" s="118"/>
      <c r="FM106" s="118"/>
      <c r="FN106" s="118"/>
      <c r="FO106" s="118"/>
      <c r="FP106" s="118"/>
      <c r="FQ106" s="118"/>
      <c r="FR106" s="118"/>
      <c r="FS106" s="118"/>
      <c r="FT106" s="118"/>
      <c r="FU106" s="118"/>
      <c r="FV106" s="118"/>
      <c r="FW106" s="118"/>
      <c r="FX106" s="118"/>
      <c r="FY106" s="118"/>
      <c r="FZ106" s="118"/>
      <c r="GA106" s="118"/>
      <c r="GB106" s="118"/>
      <c r="GC106" s="118"/>
      <c r="GD106" s="118"/>
      <c r="GE106" s="118"/>
      <c r="GF106" s="118"/>
      <c r="GG106" s="118"/>
      <c r="GH106" s="118"/>
      <c r="GI106" s="118"/>
      <c r="GJ106" s="118"/>
      <c r="GK106" s="118"/>
      <c r="GL106" s="118"/>
      <c r="GM106" s="118"/>
      <c r="GN106" s="118"/>
      <c r="GO106" s="118"/>
      <c r="GP106" s="118"/>
      <c r="GQ106" s="118"/>
      <c r="GR106" s="118"/>
      <c r="GS106" s="118"/>
      <c r="GT106" s="118"/>
      <c r="GU106" s="118"/>
      <c r="GV106" s="118"/>
      <c r="GW106" s="118"/>
      <c r="GX106" s="118"/>
      <c r="GY106" s="118"/>
      <c r="GZ106" s="118"/>
      <c r="HA106" s="118"/>
      <c r="HB106" s="118"/>
      <c r="HC106" s="118"/>
      <c r="HD106" s="118"/>
      <c r="HE106" s="118"/>
      <c r="HF106" s="118"/>
      <c r="HG106" s="118"/>
      <c r="HH106" s="118"/>
      <c r="HI106" s="118"/>
      <c r="HJ106" s="118"/>
      <c r="HK106" s="118"/>
      <c r="HL106" s="118"/>
      <c r="HM106" s="118"/>
      <c r="HN106" s="118"/>
      <c r="HO106" s="118"/>
      <c r="HP106" s="118"/>
      <c r="HQ106" s="118"/>
      <c r="HR106" s="118"/>
      <c r="HS106" s="118"/>
      <c r="HT106" s="118"/>
      <c r="HU106" s="118"/>
      <c r="HV106" s="118"/>
      <c r="HW106" s="118"/>
      <c r="HX106" s="118"/>
      <c r="HY106" s="118"/>
      <c r="HZ106" s="118"/>
      <c r="IA106" s="118"/>
      <c r="IB106" s="118"/>
    </row>
    <row r="107" spans="1:236" s="79" customFormat="1" ht="14.25">
      <c r="A107" s="117"/>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8"/>
      <c r="BU107" s="118"/>
      <c r="BV107" s="118"/>
      <c r="BW107" s="118"/>
      <c r="BX107" s="118"/>
      <c r="BY107" s="118"/>
      <c r="BZ107" s="118"/>
      <c r="CA107" s="118"/>
      <c r="CB107" s="118"/>
      <c r="CC107" s="118"/>
      <c r="CD107" s="118"/>
      <c r="CE107" s="118"/>
      <c r="CF107" s="118"/>
      <c r="CG107" s="118"/>
      <c r="CH107" s="118"/>
      <c r="CI107" s="118"/>
      <c r="CJ107" s="118"/>
      <c r="CK107" s="118"/>
      <c r="CL107" s="118"/>
      <c r="CM107" s="118"/>
      <c r="CN107" s="118"/>
      <c r="CO107" s="118"/>
      <c r="CP107" s="118"/>
      <c r="CQ107" s="118"/>
      <c r="CR107" s="118"/>
      <c r="CS107" s="118"/>
      <c r="CT107" s="118"/>
      <c r="CU107" s="118"/>
      <c r="CV107" s="118"/>
      <c r="CW107" s="118"/>
      <c r="CX107" s="118"/>
      <c r="CY107" s="118"/>
      <c r="CZ107" s="118"/>
      <c r="DA107" s="118"/>
      <c r="DB107" s="118"/>
      <c r="DC107" s="118"/>
      <c r="DD107" s="118"/>
      <c r="DE107" s="118"/>
      <c r="DF107" s="118"/>
      <c r="DG107" s="118"/>
      <c r="DH107" s="118"/>
      <c r="DI107" s="118"/>
      <c r="DJ107" s="118"/>
      <c r="DK107" s="118"/>
      <c r="DL107" s="118"/>
      <c r="DM107" s="118"/>
      <c r="DN107" s="118"/>
      <c r="DO107" s="118"/>
      <c r="DP107" s="118"/>
      <c r="DQ107" s="118"/>
      <c r="DR107" s="118"/>
      <c r="DS107" s="118"/>
      <c r="DT107" s="118"/>
      <c r="DU107" s="118"/>
      <c r="DV107" s="118"/>
      <c r="DW107" s="118"/>
      <c r="DX107" s="118"/>
      <c r="DY107" s="118"/>
      <c r="DZ107" s="118"/>
      <c r="EA107" s="118"/>
      <c r="EB107" s="118"/>
      <c r="EC107" s="118"/>
      <c r="ED107" s="118"/>
      <c r="EE107" s="118"/>
      <c r="EF107" s="118"/>
      <c r="EG107" s="118"/>
      <c r="EH107" s="118"/>
      <c r="EI107" s="118"/>
      <c r="EJ107" s="118"/>
      <c r="EK107" s="118"/>
      <c r="EL107" s="118"/>
      <c r="EM107" s="118"/>
      <c r="EN107" s="118"/>
      <c r="EO107" s="118"/>
      <c r="EP107" s="118"/>
      <c r="EQ107" s="118"/>
      <c r="ER107" s="118"/>
      <c r="ES107" s="118"/>
      <c r="ET107" s="118"/>
      <c r="EU107" s="118"/>
      <c r="EV107" s="118"/>
      <c r="EW107" s="118"/>
      <c r="EX107" s="118"/>
      <c r="EY107" s="118"/>
      <c r="EZ107" s="118"/>
      <c r="FA107" s="118"/>
      <c r="FB107" s="118"/>
      <c r="FC107" s="118"/>
      <c r="FD107" s="118"/>
      <c r="FE107" s="118"/>
      <c r="FF107" s="118"/>
      <c r="FG107" s="118"/>
      <c r="FH107" s="118"/>
      <c r="FI107" s="118"/>
      <c r="FJ107" s="118"/>
      <c r="FK107" s="118"/>
      <c r="FL107" s="118"/>
      <c r="FM107" s="118"/>
      <c r="FN107" s="118"/>
      <c r="FO107" s="118"/>
      <c r="FP107" s="118"/>
      <c r="FQ107" s="118"/>
      <c r="FR107" s="118"/>
      <c r="FS107" s="118"/>
      <c r="FT107" s="118"/>
      <c r="FU107" s="118"/>
      <c r="FV107" s="118"/>
      <c r="FW107" s="118"/>
      <c r="FX107" s="118"/>
      <c r="FY107" s="118"/>
      <c r="FZ107" s="118"/>
      <c r="GA107" s="118"/>
      <c r="GB107" s="118"/>
      <c r="GC107" s="118"/>
      <c r="GD107" s="118"/>
      <c r="GE107" s="118"/>
      <c r="GF107" s="118"/>
      <c r="GG107" s="118"/>
      <c r="GH107" s="118"/>
      <c r="GI107" s="118"/>
      <c r="GJ107" s="118"/>
      <c r="GK107" s="118"/>
      <c r="GL107" s="118"/>
      <c r="GM107" s="118"/>
      <c r="GN107" s="118"/>
      <c r="GO107" s="118"/>
      <c r="GP107" s="118"/>
      <c r="GQ107" s="118"/>
      <c r="GR107" s="118"/>
      <c r="GS107" s="118"/>
      <c r="GT107" s="118"/>
      <c r="GU107" s="118"/>
      <c r="GV107" s="118"/>
      <c r="GW107" s="118"/>
      <c r="GX107" s="118"/>
      <c r="GY107" s="118"/>
      <c r="GZ107" s="118"/>
      <c r="HA107" s="118"/>
      <c r="HB107" s="118"/>
      <c r="HC107" s="118"/>
      <c r="HD107" s="118"/>
      <c r="HE107" s="118"/>
      <c r="HF107" s="118"/>
      <c r="HG107" s="118"/>
      <c r="HH107" s="118"/>
      <c r="HI107" s="118"/>
      <c r="HJ107" s="118"/>
      <c r="HK107" s="118"/>
      <c r="HL107" s="118"/>
      <c r="HM107" s="118"/>
      <c r="HN107" s="118"/>
      <c r="HO107" s="118"/>
      <c r="HP107" s="118"/>
      <c r="HQ107" s="118"/>
      <c r="HR107" s="118"/>
      <c r="HS107" s="118"/>
      <c r="HT107" s="118"/>
      <c r="HU107" s="118"/>
      <c r="HV107" s="118"/>
      <c r="HW107" s="118"/>
      <c r="HX107" s="118"/>
      <c r="HY107" s="118"/>
      <c r="HZ107" s="118"/>
      <c r="IA107" s="118"/>
      <c r="IB107" s="118"/>
    </row>
    <row r="108" spans="1:236" s="79" customFormat="1" ht="14.25">
      <c r="A108" s="117"/>
      <c r="B108" s="117"/>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c r="BL108" s="117"/>
      <c r="BM108" s="117"/>
      <c r="BN108" s="117"/>
      <c r="BO108" s="117"/>
      <c r="BP108" s="117"/>
      <c r="BQ108" s="117"/>
      <c r="BR108" s="117"/>
      <c r="BS108" s="117"/>
      <c r="BT108" s="117"/>
      <c r="BU108" s="117"/>
      <c r="BV108" s="117"/>
      <c r="BW108" s="117"/>
      <c r="BX108" s="117"/>
      <c r="BY108" s="117"/>
      <c r="BZ108" s="117"/>
      <c r="CA108" s="117"/>
      <c r="CB108" s="117"/>
      <c r="CC108" s="117"/>
      <c r="CD108" s="117"/>
      <c r="CE108" s="117"/>
      <c r="CF108" s="117"/>
      <c r="CG108" s="117"/>
      <c r="CH108" s="117"/>
      <c r="CI108" s="117"/>
      <c r="CJ108" s="117"/>
      <c r="CK108" s="117"/>
      <c r="CL108" s="117"/>
      <c r="CM108" s="117"/>
      <c r="CN108" s="117"/>
      <c r="CO108" s="117"/>
      <c r="CP108" s="117"/>
      <c r="CQ108" s="117"/>
      <c r="CR108" s="117"/>
      <c r="CS108" s="117"/>
      <c r="CT108" s="117"/>
      <c r="CU108" s="117"/>
      <c r="CV108" s="117"/>
      <c r="CW108" s="117"/>
      <c r="CX108" s="117"/>
      <c r="CY108" s="117"/>
      <c r="CZ108" s="117"/>
      <c r="DA108" s="117"/>
      <c r="DB108" s="117"/>
      <c r="DC108" s="117"/>
      <c r="DD108" s="117"/>
      <c r="DE108" s="117"/>
      <c r="DF108" s="117"/>
      <c r="DG108" s="117"/>
      <c r="DH108" s="117"/>
      <c r="DI108" s="117"/>
      <c r="DJ108" s="117"/>
      <c r="DK108" s="117"/>
      <c r="DL108" s="117"/>
      <c r="DM108" s="117"/>
      <c r="DN108" s="117"/>
      <c r="DO108" s="117"/>
      <c r="DP108" s="117"/>
      <c r="DQ108" s="117"/>
      <c r="DR108" s="117"/>
      <c r="DS108" s="117"/>
      <c r="DT108" s="117"/>
      <c r="DU108" s="117"/>
      <c r="DV108" s="117"/>
      <c r="DW108" s="117"/>
      <c r="DX108" s="117"/>
      <c r="DY108" s="117"/>
      <c r="DZ108" s="117"/>
      <c r="EA108" s="117"/>
      <c r="EB108" s="117"/>
      <c r="EC108" s="117"/>
      <c r="ED108" s="117"/>
      <c r="EE108" s="117"/>
      <c r="EF108" s="117"/>
      <c r="EG108" s="117"/>
      <c r="EH108" s="117"/>
      <c r="EI108" s="117"/>
      <c r="EJ108" s="117"/>
      <c r="EK108" s="117"/>
      <c r="EL108" s="117"/>
      <c r="EM108" s="117"/>
      <c r="EN108" s="117"/>
      <c r="EO108" s="117"/>
      <c r="EP108" s="117"/>
      <c r="EQ108" s="117"/>
      <c r="ER108" s="117"/>
      <c r="ES108" s="117"/>
      <c r="ET108" s="117"/>
      <c r="EU108" s="117"/>
      <c r="EV108" s="117"/>
      <c r="EW108" s="117"/>
      <c r="EX108" s="117"/>
      <c r="EY108" s="117"/>
      <c r="EZ108" s="117"/>
      <c r="FA108" s="117"/>
      <c r="FB108" s="117"/>
      <c r="FC108" s="117"/>
      <c r="FD108" s="117"/>
      <c r="FE108" s="117"/>
      <c r="FF108" s="117"/>
      <c r="FG108" s="117"/>
      <c r="FH108" s="117"/>
      <c r="FI108" s="117"/>
      <c r="FJ108" s="117"/>
      <c r="FK108" s="117"/>
      <c r="FL108" s="117"/>
      <c r="FM108" s="117"/>
      <c r="FN108" s="117"/>
      <c r="FO108" s="117"/>
      <c r="FP108" s="117"/>
      <c r="FQ108" s="117"/>
      <c r="FR108" s="117"/>
      <c r="FS108" s="117"/>
      <c r="FT108" s="117"/>
      <c r="FU108" s="117"/>
      <c r="FV108" s="117"/>
      <c r="FW108" s="117"/>
      <c r="FX108" s="117"/>
      <c r="FY108" s="117"/>
      <c r="FZ108" s="117"/>
      <c r="GA108" s="117"/>
      <c r="GB108" s="117"/>
      <c r="GC108" s="117"/>
      <c r="GD108" s="117"/>
      <c r="GE108" s="117"/>
      <c r="GF108" s="117"/>
      <c r="GG108" s="117"/>
      <c r="GH108" s="117"/>
      <c r="GI108" s="117"/>
      <c r="GJ108" s="117"/>
      <c r="GK108" s="117"/>
      <c r="GL108" s="117"/>
      <c r="GM108" s="117"/>
      <c r="GN108" s="117"/>
      <c r="GO108" s="117"/>
      <c r="GP108" s="117"/>
      <c r="GQ108" s="117"/>
      <c r="GR108" s="117"/>
      <c r="GS108" s="117"/>
      <c r="GT108" s="117"/>
      <c r="GU108" s="117"/>
      <c r="GV108" s="117"/>
      <c r="GW108" s="117"/>
      <c r="GX108" s="117"/>
      <c r="GY108" s="117"/>
      <c r="GZ108" s="117"/>
      <c r="HA108" s="117"/>
      <c r="HB108" s="117"/>
      <c r="HC108" s="117"/>
      <c r="HD108" s="117"/>
      <c r="HE108" s="117"/>
      <c r="HF108" s="117"/>
      <c r="HG108" s="117"/>
      <c r="HH108" s="117"/>
      <c r="HI108" s="117"/>
      <c r="HJ108" s="117"/>
      <c r="HK108" s="117"/>
      <c r="HL108" s="117"/>
      <c r="HM108" s="117"/>
      <c r="HN108" s="117"/>
      <c r="HO108" s="117"/>
      <c r="HP108" s="117"/>
      <c r="HQ108" s="117"/>
      <c r="HR108" s="117"/>
      <c r="HS108" s="117"/>
      <c r="HT108" s="117"/>
      <c r="HU108" s="117"/>
      <c r="HV108" s="117"/>
      <c r="HW108" s="117"/>
      <c r="HX108" s="117"/>
      <c r="HY108" s="117"/>
      <c r="HZ108" s="117"/>
      <c r="IA108" s="117"/>
      <c r="IB108" s="117"/>
    </row>
    <row r="109" spans="1:236" s="79" customFormat="1" ht="14.25">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c r="BL109" s="117"/>
      <c r="BM109" s="117"/>
      <c r="BN109" s="117"/>
      <c r="BO109" s="117"/>
      <c r="BP109" s="117"/>
      <c r="BQ109" s="117"/>
      <c r="BR109" s="117"/>
      <c r="BS109" s="117"/>
      <c r="BT109" s="117"/>
      <c r="BU109" s="117"/>
      <c r="BV109" s="117"/>
      <c r="BW109" s="117"/>
      <c r="BX109" s="117"/>
      <c r="BY109" s="117"/>
      <c r="BZ109" s="117"/>
      <c r="CA109" s="117"/>
      <c r="CB109" s="117"/>
      <c r="CC109" s="117"/>
      <c r="CD109" s="117"/>
      <c r="CE109" s="117"/>
      <c r="CF109" s="117"/>
      <c r="CG109" s="117"/>
      <c r="CH109" s="117"/>
      <c r="CI109" s="117"/>
      <c r="CJ109" s="117"/>
      <c r="CK109" s="117"/>
      <c r="CL109" s="117"/>
      <c r="CM109" s="117"/>
      <c r="CN109" s="117"/>
      <c r="CO109" s="117"/>
      <c r="CP109" s="117"/>
      <c r="CQ109" s="117"/>
      <c r="CR109" s="117"/>
      <c r="CS109" s="117"/>
      <c r="CT109" s="117"/>
      <c r="CU109" s="117"/>
      <c r="CV109" s="117"/>
      <c r="CW109" s="117"/>
      <c r="CX109" s="117"/>
      <c r="CY109" s="117"/>
      <c r="CZ109" s="117"/>
      <c r="DA109" s="117"/>
      <c r="DB109" s="117"/>
      <c r="DC109" s="117"/>
      <c r="DD109" s="117"/>
      <c r="DE109" s="117"/>
      <c r="DF109" s="117"/>
      <c r="DG109" s="117"/>
      <c r="DH109" s="117"/>
      <c r="DI109" s="117"/>
      <c r="DJ109" s="117"/>
      <c r="DK109" s="117"/>
      <c r="DL109" s="117"/>
      <c r="DM109" s="117"/>
      <c r="DN109" s="117"/>
      <c r="DO109" s="117"/>
      <c r="DP109" s="117"/>
      <c r="DQ109" s="117"/>
      <c r="DR109" s="117"/>
      <c r="DS109" s="117"/>
      <c r="DT109" s="117"/>
      <c r="DU109" s="117"/>
      <c r="DV109" s="117"/>
      <c r="DW109" s="117"/>
      <c r="DX109" s="117"/>
      <c r="DY109" s="117"/>
      <c r="DZ109" s="117"/>
      <c r="EA109" s="117"/>
      <c r="EB109" s="117"/>
      <c r="EC109" s="117"/>
      <c r="ED109" s="117"/>
      <c r="EE109" s="117"/>
      <c r="EF109" s="117"/>
      <c r="EG109" s="117"/>
      <c r="EH109" s="117"/>
      <c r="EI109" s="117"/>
      <c r="EJ109" s="117"/>
      <c r="EK109" s="117"/>
      <c r="EL109" s="117"/>
      <c r="EM109" s="117"/>
      <c r="EN109" s="117"/>
      <c r="EO109" s="117"/>
      <c r="EP109" s="117"/>
      <c r="EQ109" s="117"/>
      <c r="ER109" s="117"/>
      <c r="ES109" s="117"/>
      <c r="ET109" s="117"/>
      <c r="EU109" s="117"/>
      <c r="EV109" s="117"/>
      <c r="EW109" s="117"/>
      <c r="EX109" s="117"/>
      <c r="EY109" s="117"/>
      <c r="EZ109" s="117"/>
      <c r="FA109" s="117"/>
      <c r="FB109" s="117"/>
      <c r="FC109" s="117"/>
      <c r="FD109" s="117"/>
      <c r="FE109" s="117"/>
      <c r="FF109" s="117"/>
      <c r="FG109" s="117"/>
      <c r="FH109" s="117"/>
      <c r="FI109" s="117"/>
      <c r="FJ109" s="117"/>
      <c r="FK109" s="117"/>
      <c r="FL109" s="117"/>
      <c r="FM109" s="117"/>
      <c r="FN109" s="117"/>
      <c r="FO109" s="117"/>
      <c r="FP109" s="117"/>
      <c r="FQ109" s="117"/>
      <c r="FR109" s="117"/>
      <c r="FS109" s="117"/>
      <c r="FT109" s="117"/>
      <c r="FU109" s="117"/>
      <c r="FV109" s="117"/>
      <c r="FW109" s="117"/>
      <c r="FX109" s="117"/>
      <c r="FY109" s="117"/>
      <c r="FZ109" s="117"/>
      <c r="GA109" s="117"/>
      <c r="GB109" s="117"/>
      <c r="GC109" s="117"/>
      <c r="GD109" s="117"/>
      <c r="GE109" s="117"/>
      <c r="GF109" s="117"/>
      <c r="GG109" s="117"/>
      <c r="GH109" s="117"/>
      <c r="GI109" s="117"/>
      <c r="GJ109" s="117"/>
      <c r="GK109" s="117"/>
      <c r="GL109" s="117"/>
      <c r="GM109" s="117"/>
      <c r="GN109" s="117"/>
      <c r="GO109" s="117"/>
      <c r="GP109" s="117"/>
      <c r="GQ109" s="117"/>
      <c r="GR109" s="117"/>
      <c r="GS109" s="117"/>
      <c r="GT109" s="117"/>
      <c r="GU109" s="117"/>
      <c r="GV109" s="117"/>
      <c r="GW109" s="117"/>
      <c r="GX109" s="117"/>
      <c r="GY109" s="117"/>
      <c r="GZ109" s="117"/>
      <c r="HA109" s="117"/>
      <c r="HB109" s="117"/>
      <c r="HC109" s="117"/>
      <c r="HD109" s="117"/>
      <c r="HE109" s="117"/>
      <c r="HF109" s="117"/>
      <c r="HG109" s="117"/>
      <c r="HH109" s="117"/>
      <c r="HI109" s="117"/>
      <c r="HJ109" s="117"/>
      <c r="HK109" s="117"/>
      <c r="HL109" s="117"/>
      <c r="HM109" s="117"/>
      <c r="HN109" s="117"/>
      <c r="HO109" s="117"/>
      <c r="HP109" s="117"/>
      <c r="HQ109" s="117"/>
      <c r="HR109" s="117"/>
      <c r="HS109" s="117"/>
      <c r="HT109" s="117"/>
      <c r="HU109" s="117"/>
      <c r="HV109" s="117"/>
      <c r="HW109" s="117"/>
      <c r="HX109" s="117"/>
      <c r="HY109" s="117"/>
      <c r="HZ109" s="117"/>
      <c r="IA109" s="117"/>
      <c r="IB109" s="117"/>
    </row>
    <row r="110" spans="1:236" s="79" customFormat="1" ht="14.25">
      <c r="A110" s="117"/>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7"/>
      <c r="BS110" s="117"/>
      <c r="BT110" s="117"/>
      <c r="BU110" s="117"/>
      <c r="BV110" s="117"/>
      <c r="BW110" s="117"/>
      <c r="BX110" s="117"/>
      <c r="BY110" s="117"/>
      <c r="BZ110" s="117"/>
      <c r="CA110" s="117"/>
      <c r="CB110" s="117"/>
      <c r="CC110" s="117"/>
      <c r="CD110" s="117"/>
      <c r="CE110" s="117"/>
      <c r="CF110" s="117"/>
      <c r="CG110" s="117"/>
      <c r="CH110" s="117"/>
      <c r="CI110" s="117"/>
      <c r="CJ110" s="117"/>
      <c r="CK110" s="117"/>
      <c r="CL110" s="117"/>
      <c r="CM110" s="117"/>
      <c r="CN110" s="117"/>
      <c r="CO110" s="117"/>
      <c r="CP110" s="117"/>
      <c r="CQ110" s="117"/>
      <c r="CR110" s="117"/>
      <c r="CS110" s="117"/>
      <c r="CT110" s="117"/>
      <c r="CU110" s="117"/>
      <c r="CV110" s="117"/>
      <c r="CW110" s="117"/>
      <c r="CX110" s="117"/>
      <c r="CY110" s="117"/>
      <c r="CZ110" s="117"/>
      <c r="DA110" s="117"/>
      <c r="DB110" s="117"/>
      <c r="DC110" s="117"/>
      <c r="DD110" s="117"/>
      <c r="DE110" s="117"/>
      <c r="DF110" s="117"/>
      <c r="DG110" s="117"/>
      <c r="DH110" s="117"/>
      <c r="DI110" s="117"/>
      <c r="DJ110" s="117"/>
      <c r="DK110" s="117"/>
      <c r="DL110" s="117"/>
      <c r="DM110" s="117"/>
      <c r="DN110" s="117"/>
      <c r="DO110" s="117"/>
      <c r="DP110" s="117"/>
      <c r="DQ110" s="117"/>
      <c r="DR110" s="117"/>
      <c r="DS110" s="117"/>
      <c r="DT110" s="117"/>
      <c r="DU110" s="117"/>
      <c r="DV110" s="117"/>
      <c r="DW110" s="117"/>
      <c r="DX110" s="117"/>
      <c r="DY110" s="117"/>
      <c r="DZ110" s="117"/>
      <c r="EA110" s="117"/>
      <c r="EB110" s="117"/>
      <c r="EC110" s="117"/>
      <c r="ED110" s="117"/>
      <c r="EE110" s="117"/>
      <c r="EF110" s="117"/>
      <c r="EG110" s="117"/>
      <c r="EH110" s="117"/>
      <c r="EI110" s="117"/>
      <c r="EJ110" s="117"/>
      <c r="EK110" s="117"/>
      <c r="EL110" s="117"/>
      <c r="EM110" s="117"/>
      <c r="EN110" s="117"/>
      <c r="EO110" s="117"/>
      <c r="EP110" s="117"/>
      <c r="EQ110" s="117"/>
      <c r="ER110" s="117"/>
      <c r="ES110" s="117"/>
      <c r="ET110" s="117"/>
      <c r="EU110" s="117"/>
      <c r="EV110" s="117"/>
      <c r="EW110" s="117"/>
      <c r="EX110" s="117"/>
      <c r="EY110" s="117"/>
      <c r="EZ110" s="117"/>
      <c r="FA110" s="117"/>
      <c r="FB110" s="117"/>
      <c r="FC110" s="117"/>
      <c r="FD110" s="117"/>
      <c r="FE110" s="117"/>
      <c r="FF110" s="117"/>
      <c r="FG110" s="117"/>
      <c r="FH110" s="117"/>
      <c r="FI110" s="117"/>
      <c r="FJ110" s="117"/>
      <c r="FK110" s="117"/>
      <c r="FL110" s="117"/>
      <c r="FM110" s="117"/>
      <c r="FN110" s="117"/>
      <c r="FO110" s="117"/>
      <c r="FP110" s="117"/>
      <c r="FQ110" s="117"/>
      <c r="FR110" s="117"/>
      <c r="FS110" s="117"/>
      <c r="FT110" s="117"/>
      <c r="FU110" s="117"/>
      <c r="FV110" s="117"/>
      <c r="FW110" s="117"/>
      <c r="FX110" s="117"/>
      <c r="FY110" s="117"/>
      <c r="FZ110" s="117"/>
      <c r="GA110" s="117"/>
      <c r="GB110" s="117"/>
      <c r="GC110" s="117"/>
      <c r="GD110" s="117"/>
      <c r="GE110" s="117"/>
      <c r="GF110" s="117"/>
      <c r="GG110" s="117"/>
      <c r="GH110" s="117"/>
      <c r="GI110" s="117"/>
      <c r="GJ110" s="117"/>
      <c r="GK110" s="117"/>
      <c r="GL110" s="117"/>
      <c r="GM110" s="117"/>
      <c r="GN110" s="117"/>
      <c r="GO110" s="117"/>
      <c r="GP110" s="117"/>
      <c r="GQ110" s="117"/>
      <c r="GR110" s="117"/>
      <c r="GS110" s="117"/>
      <c r="GT110" s="117"/>
      <c r="GU110" s="117"/>
      <c r="GV110" s="117"/>
      <c r="GW110" s="117"/>
      <c r="GX110" s="117"/>
      <c r="GY110" s="117"/>
      <c r="GZ110" s="117"/>
      <c r="HA110" s="117"/>
      <c r="HB110" s="117"/>
      <c r="HC110" s="117"/>
      <c r="HD110" s="117"/>
      <c r="HE110" s="117"/>
      <c r="HF110" s="117"/>
      <c r="HG110" s="117"/>
      <c r="HH110" s="117"/>
      <c r="HI110" s="117"/>
      <c r="HJ110" s="117"/>
      <c r="HK110" s="117"/>
      <c r="HL110" s="117"/>
      <c r="HM110" s="117"/>
      <c r="HN110" s="117"/>
      <c r="HO110" s="117"/>
      <c r="HP110" s="117"/>
      <c r="HQ110" s="117"/>
      <c r="HR110" s="117"/>
      <c r="HS110" s="117"/>
      <c r="HT110" s="117"/>
      <c r="HU110" s="117"/>
      <c r="HV110" s="117"/>
      <c r="HW110" s="117"/>
      <c r="HX110" s="117"/>
      <c r="HY110" s="117"/>
      <c r="HZ110" s="117"/>
      <c r="IA110" s="117"/>
      <c r="IB110" s="117"/>
    </row>
    <row r="111" spans="1:236" s="79" customFormat="1" ht="14.25">
      <c r="A111" s="117"/>
      <c r="B111" s="117"/>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c r="BL111" s="117"/>
      <c r="BM111" s="117"/>
      <c r="BN111" s="117"/>
      <c r="BO111" s="117"/>
      <c r="BP111" s="117"/>
      <c r="BQ111" s="117"/>
      <c r="BR111" s="117"/>
      <c r="BS111" s="117"/>
      <c r="BT111" s="117"/>
      <c r="BU111" s="117"/>
      <c r="BV111" s="117"/>
      <c r="BW111" s="117"/>
      <c r="BX111" s="117"/>
      <c r="BY111" s="117"/>
      <c r="BZ111" s="117"/>
      <c r="CA111" s="117"/>
      <c r="CB111" s="117"/>
      <c r="CC111" s="117"/>
      <c r="CD111" s="117"/>
      <c r="CE111" s="117"/>
      <c r="CF111" s="117"/>
      <c r="CG111" s="117"/>
      <c r="CH111" s="117"/>
      <c r="CI111" s="117"/>
      <c r="CJ111" s="117"/>
      <c r="CK111" s="117"/>
      <c r="CL111" s="117"/>
      <c r="CM111" s="117"/>
      <c r="CN111" s="117"/>
      <c r="CO111" s="117"/>
      <c r="CP111" s="117"/>
      <c r="CQ111" s="117"/>
      <c r="CR111" s="117"/>
      <c r="CS111" s="117"/>
      <c r="CT111" s="117"/>
      <c r="CU111" s="117"/>
      <c r="CV111" s="117"/>
      <c r="CW111" s="117"/>
      <c r="CX111" s="117"/>
      <c r="CY111" s="117"/>
      <c r="CZ111" s="117"/>
      <c r="DA111" s="117"/>
      <c r="DB111" s="117"/>
      <c r="DC111" s="117"/>
      <c r="DD111" s="117"/>
      <c r="DE111" s="117"/>
      <c r="DF111" s="117"/>
      <c r="DG111" s="117"/>
      <c r="DH111" s="117"/>
      <c r="DI111" s="117"/>
      <c r="DJ111" s="117"/>
      <c r="DK111" s="117"/>
      <c r="DL111" s="117"/>
      <c r="DM111" s="117"/>
      <c r="DN111" s="117"/>
      <c r="DO111" s="117"/>
      <c r="DP111" s="117"/>
      <c r="DQ111" s="117"/>
      <c r="DR111" s="117"/>
      <c r="DS111" s="117"/>
      <c r="DT111" s="117"/>
      <c r="DU111" s="117"/>
      <c r="DV111" s="117"/>
      <c r="DW111" s="117"/>
      <c r="DX111" s="117"/>
      <c r="DY111" s="117"/>
      <c r="DZ111" s="117"/>
      <c r="EA111" s="117"/>
      <c r="EB111" s="117"/>
      <c r="EC111" s="117"/>
      <c r="ED111" s="117"/>
      <c r="EE111" s="117"/>
      <c r="EF111" s="117"/>
      <c r="EG111" s="117"/>
      <c r="EH111" s="117"/>
      <c r="EI111" s="117"/>
      <c r="EJ111" s="117"/>
      <c r="EK111" s="117"/>
      <c r="EL111" s="117"/>
      <c r="EM111" s="117"/>
      <c r="EN111" s="117"/>
      <c r="EO111" s="117"/>
      <c r="EP111" s="117"/>
      <c r="EQ111" s="117"/>
      <c r="ER111" s="117"/>
      <c r="ES111" s="117"/>
      <c r="ET111" s="117"/>
      <c r="EU111" s="117"/>
      <c r="EV111" s="117"/>
      <c r="EW111" s="117"/>
      <c r="EX111" s="117"/>
      <c r="EY111" s="117"/>
      <c r="EZ111" s="117"/>
      <c r="FA111" s="117"/>
      <c r="FB111" s="117"/>
      <c r="FC111" s="117"/>
      <c r="FD111" s="117"/>
      <c r="FE111" s="117"/>
      <c r="FF111" s="117"/>
      <c r="FG111" s="117"/>
      <c r="FH111" s="117"/>
      <c r="FI111" s="117"/>
      <c r="FJ111" s="117"/>
      <c r="FK111" s="117"/>
      <c r="FL111" s="117"/>
      <c r="FM111" s="117"/>
      <c r="FN111" s="117"/>
      <c r="FO111" s="117"/>
      <c r="FP111" s="117"/>
      <c r="FQ111" s="117"/>
      <c r="FR111" s="117"/>
      <c r="FS111" s="117"/>
      <c r="FT111" s="117"/>
      <c r="FU111" s="117"/>
      <c r="FV111" s="117"/>
      <c r="FW111" s="117"/>
      <c r="FX111" s="117"/>
      <c r="FY111" s="117"/>
      <c r="FZ111" s="117"/>
      <c r="GA111" s="117"/>
      <c r="GB111" s="117"/>
      <c r="GC111" s="117"/>
      <c r="GD111" s="117"/>
      <c r="GE111" s="117"/>
      <c r="GF111" s="117"/>
      <c r="GG111" s="117"/>
      <c r="GH111" s="117"/>
      <c r="GI111" s="117"/>
      <c r="GJ111" s="117"/>
      <c r="GK111" s="117"/>
      <c r="GL111" s="117"/>
      <c r="GM111" s="117"/>
      <c r="GN111" s="117"/>
      <c r="GO111" s="117"/>
      <c r="GP111" s="117"/>
      <c r="GQ111" s="117"/>
      <c r="GR111" s="117"/>
      <c r="GS111" s="117"/>
      <c r="GT111" s="117"/>
      <c r="GU111" s="117"/>
      <c r="GV111" s="117"/>
      <c r="GW111" s="117"/>
      <c r="GX111" s="117"/>
      <c r="GY111" s="117"/>
      <c r="GZ111" s="117"/>
      <c r="HA111" s="117"/>
      <c r="HB111" s="117"/>
      <c r="HC111" s="117"/>
      <c r="HD111" s="117"/>
      <c r="HE111" s="117"/>
      <c r="HF111" s="117"/>
      <c r="HG111" s="117"/>
      <c r="HH111" s="117"/>
      <c r="HI111" s="117"/>
      <c r="HJ111" s="117"/>
      <c r="HK111" s="117"/>
      <c r="HL111" s="117"/>
      <c r="HM111" s="117"/>
      <c r="HN111" s="117"/>
      <c r="HO111" s="117"/>
      <c r="HP111" s="117"/>
      <c r="HQ111" s="117"/>
      <c r="HR111" s="117"/>
      <c r="HS111" s="117"/>
      <c r="HT111" s="117"/>
      <c r="HU111" s="117"/>
      <c r="HV111" s="117"/>
      <c r="HW111" s="117"/>
      <c r="HX111" s="117"/>
      <c r="HY111" s="117"/>
      <c r="HZ111" s="117"/>
      <c r="IA111" s="117"/>
      <c r="IB111" s="117"/>
    </row>
    <row r="112" spans="1:236" s="79" customFormat="1" ht="14.25">
      <c r="A112" s="117"/>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c r="BL112" s="117"/>
      <c r="BM112" s="117"/>
      <c r="BN112" s="117"/>
      <c r="BO112" s="117"/>
      <c r="BP112" s="117"/>
      <c r="BQ112" s="117"/>
      <c r="BR112" s="117"/>
      <c r="BS112" s="117"/>
      <c r="BT112" s="117"/>
      <c r="BU112" s="117"/>
      <c r="BV112" s="117"/>
      <c r="BW112" s="117"/>
      <c r="BX112" s="117"/>
      <c r="BY112" s="117"/>
      <c r="BZ112" s="117"/>
      <c r="CA112" s="117"/>
      <c r="CB112" s="117"/>
      <c r="CC112" s="117"/>
      <c r="CD112" s="117"/>
      <c r="CE112" s="117"/>
      <c r="CF112" s="117"/>
      <c r="CG112" s="117"/>
      <c r="CH112" s="117"/>
      <c r="CI112" s="117"/>
      <c r="CJ112" s="117"/>
      <c r="CK112" s="117"/>
      <c r="CL112" s="117"/>
      <c r="CM112" s="117"/>
      <c r="CN112" s="117"/>
      <c r="CO112" s="117"/>
      <c r="CP112" s="117"/>
      <c r="CQ112" s="117"/>
      <c r="CR112" s="117"/>
      <c r="CS112" s="117"/>
      <c r="CT112" s="117"/>
      <c r="CU112" s="117"/>
      <c r="CV112" s="117"/>
      <c r="CW112" s="117"/>
      <c r="CX112" s="117"/>
      <c r="CY112" s="117"/>
      <c r="CZ112" s="117"/>
      <c r="DA112" s="117"/>
      <c r="DB112" s="117"/>
      <c r="DC112" s="117"/>
      <c r="DD112" s="117"/>
      <c r="DE112" s="117"/>
      <c r="DF112" s="117"/>
      <c r="DG112" s="117"/>
      <c r="DH112" s="117"/>
      <c r="DI112" s="117"/>
      <c r="DJ112" s="117"/>
      <c r="DK112" s="117"/>
      <c r="DL112" s="117"/>
      <c r="DM112" s="117"/>
      <c r="DN112" s="117"/>
      <c r="DO112" s="117"/>
      <c r="DP112" s="117"/>
      <c r="DQ112" s="117"/>
      <c r="DR112" s="117"/>
      <c r="DS112" s="117"/>
      <c r="DT112" s="117"/>
      <c r="DU112" s="117"/>
      <c r="DV112" s="117"/>
      <c r="DW112" s="117"/>
      <c r="DX112" s="117"/>
      <c r="DY112" s="117"/>
      <c r="DZ112" s="117"/>
      <c r="EA112" s="117"/>
      <c r="EB112" s="117"/>
      <c r="EC112" s="117"/>
      <c r="ED112" s="117"/>
      <c r="EE112" s="117"/>
      <c r="EF112" s="117"/>
      <c r="EG112" s="117"/>
      <c r="EH112" s="117"/>
      <c r="EI112" s="117"/>
      <c r="EJ112" s="117"/>
      <c r="EK112" s="117"/>
      <c r="EL112" s="117"/>
      <c r="EM112" s="117"/>
      <c r="EN112" s="117"/>
      <c r="EO112" s="117"/>
      <c r="EP112" s="117"/>
      <c r="EQ112" s="117"/>
      <c r="ER112" s="117"/>
      <c r="ES112" s="117"/>
      <c r="ET112" s="117"/>
      <c r="EU112" s="117"/>
      <c r="EV112" s="117"/>
      <c r="EW112" s="117"/>
      <c r="EX112" s="117"/>
      <c r="EY112" s="117"/>
      <c r="EZ112" s="117"/>
      <c r="FA112" s="117"/>
      <c r="FB112" s="117"/>
      <c r="FC112" s="117"/>
      <c r="FD112" s="117"/>
      <c r="FE112" s="117"/>
      <c r="FF112" s="117"/>
      <c r="FG112" s="117"/>
      <c r="FH112" s="117"/>
      <c r="FI112" s="117"/>
      <c r="FJ112" s="117"/>
      <c r="FK112" s="117"/>
      <c r="FL112" s="117"/>
      <c r="FM112" s="117"/>
      <c r="FN112" s="117"/>
      <c r="FO112" s="117"/>
      <c r="FP112" s="117"/>
      <c r="FQ112" s="117"/>
      <c r="FR112" s="117"/>
      <c r="FS112" s="117"/>
      <c r="FT112" s="117"/>
      <c r="FU112" s="117"/>
      <c r="FV112" s="117"/>
      <c r="FW112" s="117"/>
      <c r="FX112" s="117"/>
      <c r="FY112" s="117"/>
      <c r="FZ112" s="117"/>
      <c r="GA112" s="117"/>
      <c r="GB112" s="117"/>
      <c r="GC112" s="117"/>
      <c r="GD112" s="117"/>
      <c r="GE112" s="117"/>
      <c r="GF112" s="117"/>
      <c r="GG112" s="117"/>
      <c r="GH112" s="117"/>
      <c r="GI112" s="117"/>
      <c r="GJ112" s="117"/>
      <c r="GK112" s="117"/>
      <c r="GL112" s="117"/>
      <c r="GM112" s="117"/>
      <c r="GN112" s="117"/>
      <c r="GO112" s="117"/>
      <c r="GP112" s="117"/>
      <c r="GQ112" s="117"/>
      <c r="GR112" s="117"/>
      <c r="GS112" s="117"/>
      <c r="GT112" s="117"/>
      <c r="GU112" s="117"/>
      <c r="GV112" s="117"/>
      <c r="GW112" s="117"/>
      <c r="GX112" s="117"/>
      <c r="GY112" s="117"/>
      <c r="GZ112" s="117"/>
      <c r="HA112" s="117"/>
      <c r="HB112" s="117"/>
      <c r="HC112" s="117"/>
      <c r="HD112" s="117"/>
      <c r="HE112" s="117"/>
      <c r="HF112" s="117"/>
      <c r="HG112" s="117"/>
      <c r="HH112" s="117"/>
      <c r="HI112" s="117"/>
      <c r="HJ112" s="117"/>
      <c r="HK112" s="117"/>
      <c r="HL112" s="117"/>
      <c r="HM112" s="117"/>
      <c r="HN112" s="117"/>
      <c r="HO112" s="117"/>
      <c r="HP112" s="117"/>
      <c r="HQ112" s="117"/>
      <c r="HR112" s="117"/>
      <c r="HS112" s="117"/>
      <c r="HT112" s="117"/>
      <c r="HU112" s="117"/>
      <c r="HV112" s="117"/>
      <c r="HW112" s="117"/>
      <c r="HX112" s="117"/>
      <c r="HY112" s="117"/>
      <c r="HZ112" s="117"/>
      <c r="IA112" s="117"/>
      <c r="IB112" s="117"/>
    </row>
    <row r="113" spans="1:236" s="79" customFormat="1" ht="14.25">
      <c r="A113" s="117"/>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7"/>
      <c r="CB113" s="117"/>
      <c r="CC113" s="117"/>
      <c r="CD113" s="117"/>
      <c r="CE113" s="117"/>
      <c r="CF113" s="117"/>
      <c r="CG113" s="117"/>
      <c r="CH113" s="117"/>
      <c r="CI113" s="117"/>
      <c r="CJ113" s="117"/>
      <c r="CK113" s="117"/>
      <c r="CL113" s="117"/>
      <c r="CM113" s="117"/>
      <c r="CN113" s="117"/>
      <c r="CO113" s="117"/>
      <c r="CP113" s="117"/>
      <c r="CQ113" s="117"/>
      <c r="CR113" s="117"/>
      <c r="CS113" s="117"/>
      <c r="CT113" s="117"/>
      <c r="CU113" s="117"/>
      <c r="CV113" s="117"/>
      <c r="CW113" s="117"/>
      <c r="CX113" s="117"/>
      <c r="CY113" s="117"/>
      <c r="CZ113" s="117"/>
      <c r="DA113" s="117"/>
      <c r="DB113" s="117"/>
      <c r="DC113" s="117"/>
      <c r="DD113" s="117"/>
      <c r="DE113" s="117"/>
      <c r="DF113" s="117"/>
      <c r="DG113" s="117"/>
      <c r="DH113" s="117"/>
      <c r="DI113" s="117"/>
      <c r="DJ113" s="117"/>
      <c r="DK113" s="117"/>
      <c r="DL113" s="117"/>
      <c r="DM113" s="117"/>
      <c r="DN113" s="117"/>
      <c r="DO113" s="117"/>
      <c r="DP113" s="117"/>
      <c r="DQ113" s="117"/>
      <c r="DR113" s="117"/>
      <c r="DS113" s="117"/>
      <c r="DT113" s="117"/>
      <c r="DU113" s="117"/>
      <c r="DV113" s="117"/>
      <c r="DW113" s="117"/>
      <c r="DX113" s="117"/>
      <c r="DY113" s="117"/>
      <c r="DZ113" s="117"/>
      <c r="EA113" s="117"/>
      <c r="EB113" s="117"/>
      <c r="EC113" s="117"/>
      <c r="ED113" s="117"/>
      <c r="EE113" s="117"/>
      <c r="EF113" s="117"/>
      <c r="EG113" s="117"/>
      <c r="EH113" s="117"/>
      <c r="EI113" s="117"/>
      <c r="EJ113" s="117"/>
      <c r="EK113" s="117"/>
      <c r="EL113" s="117"/>
      <c r="EM113" s="117"/>
      <c r="EN113" s="117"/>
      <c r="EO113" s="117"/>
      <c r="EP113" s="117"/>
      <c r="EQ113" s="117"/>
      <c r="ER113" s="117"/>
      <c r="ES113" s="117"/>
      <c r="ET113" s="117"/>
      <c r="EU113" s="117"/>
      <c r="EV113" s="117"/>
      <c r="EW113" s="117"/>
      <c r="EX113" s="117"/>
      <c r="EY113" s="117"/>
      <c r="EZ113" s="117"/>
      <c r="FA113" s="117"/>
      <c r="FB113" s="117"/>
      <c r="FC113" s="117"/>
      <c r="FD113" s="117"/>
      <c r="FE113" s="117"/>
      <c r="FF113" s="117"/>
      <c r="FG113" s="117"/>
      <c r="FH113" s="117"/>
      <c r="FI113" s="117"/>
      <c r="FJ113" s="117"/>
      <c r="FK113" s="117"/>
      <c r="FL113" s="117"/>
      <c r="FM113" s="117"/>
      <c r="FN113" s="117"/>
      <c r="FO113" s="117"/>
      <c r="FP113" s="117"/>
      <c r="FQ113" s="117"/>
      <c r="FR113" s="117"/>
      <c r="FS113" s="117"/>
      <c r="FT113" s="117"/>
      <c r="FU113" s="117"/>
      <c r="FV113" s="117"/>
      <c r="FW113" s="117"/>
      <c r="FX113" s="117"/>
      <c r="FY113" s="117"/>
      <c r="FZ113" s="117"/>
      <c r="GA113" s="117"/>
      <c r="GB113" s="117"/>
      <c r="GC113" s="117"/>
      <c r="GD113" s="117"/>
      <c r="GE113" s="117"/>
      <c r="GF113" s="117"/>
      <c r="GG113" s="117"/>
      <c r="GH113" s="117"/>
      <c r="GI113" s="117"/>
      <c r="GJ113" s="117"/>
      <c r="GK113" s="117"/>
      <c r="GL113" s="117"/>
      <c r="GM113" s="117"/>
      <c r="GN113" s="117"/>
      <c r="GO113" s="117"/>
      <c r="GP113" s="117"/>
      <c r="GQ113" s="117"/>
      <c r="GR113" s="117"/>
      <c r="GS113" s="117"/>
      <c r="GT113" s="117"/>
      <c r="GU113" s="117"/>
      <c r="GV113" s="117"/>
      <c r="GW113" s="117"/>
      <c r="GX113" s="117"/>
      <c r="GY113" s="117"/>
      <c r="GZ113" s="117"/>
      <c r="HA113" s="117"/>
      <c r="HB113" s="117"/>
      <c r="HC113" s="117"/>
      <c r="HD113" s="117"/>
      <c r="HE113" s="117"/>
      <c r="HF113" s="117"/>
      <c r="HG113" s="117"/>
      <c r="HH113" s="117"/>
      <c r="HI113" s="117"/>
      <c r="HJ113" s="117"/>
      <c r="HK113" s="117"/>
      <c r="HL113" s="117"/>
      <c r="HM113" s="117"/>
      <c r="HN113" s="117"/>
      <c r="HO113" s="117"/>
      <c r="HP113" s="117"/>
      <c r="HQ113" s="117"/>
      <c r="HR113" s="117"/>
      <c r="HS113" s="117"/>
      <c r="HT113" s="117"/>
      <c r="HU113" s="117"/>
      <c r="HV113" s="117"/>
      <c r="HW113" s="117"/>
      <c r="HX113" s="117"/>
      <c r="HY113" s="117"/>
      <c r="HZ113" s="117"/>
      <c r="IA113" s="117"/>
      <c r="IB113" s="117"/>
    </row>
    <row r="114" spans="1:236" s="79" customFormat="1" ht="14.25">
      <c r="A114" s="117"/>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117"/>
      <c r="BX114" s="117"/>
      <c r="BY114" s="117"/>
      <c r="BZ114" s="117"/>
      <c r="CA114" s="117"/>
      <c r="CB114" s="117"/>
      <c r="CC114" s="117"/>
      <c r="CD114" s="117"/>
      <c r="CE114" s="117"/>
      <c r="CF114" s="117"/>
      <c r="CG114" s="117"/>
      <c r="CH114" s="117"/>
      <c r="CI114" s="117"/>
      <c r="CJ114" s="117"/>
      <c r="CK114" s="117"/>
      <c r="CL114" s="117"/>
      <c r="CM114" s="117"/>
      <c r="CN114" s="117"/>
      <c r="CO114" s="117"/>
      <c r="CP114" s="117"/>
      <c r="CQ114" s="117"/>
      <c r="CR114" s="117"/>
      <c r="CS114" s="117"/>
      <c r="CT114" s="117"/>
      <c r="CU114" s="117"/>
      <c r="CV114" s="117"/>
      <c r="CW114" s="117"/>
      <c r="CX114" s="117"/>
      <c r="CY114" s="117"/>
      <c r="CZ114" s="117"/>
      <c r="DA114" s="117"/>
      <c r="DB114" s="117"/>
      <c r="DC114" s="117"/>
      <c r="DD114" s="117"/>
      <c r="DE114" s="117"/>
      <c r="DF114" s="117"/>
      <c r="DG114" s="117"/>
      <c r="DH114" s="117"/>
      <c r="DI114" s="117"/>
      <c r="DJ114" s="117"/>
      <c r="DK114" s="117"/>
      <c r="DL114" s="117"/>
      <c r="DM114" s="117"/>
      <c r="DN114" s="117"/>
      <c r="DO114" s="117"/>
      <c r="DP114" s="117"/>
      <c r="DQ114" s="117"/>
      <c r="DR114" s="117"/>
      <c r="DS114" s="117"/>
      <c r="DT114" s="117"/>
      <c r="DU114" s="117"/>
      <c r="DV114" s="117"/>
      <c r="DW114" s="117"/>
      <c r="DX114" s="117"/>
      <c r="DY114" s="117"/>
      <c r="DZ114" s="117"/>
      <c r="EA114" s="117"/>
      <c r="EB114" s="117"/>
      <c r="EC114" s="117"/>
      <c r="ED114" s="117"/>
      <c r="EE114" s="117"/>
      <c r="EF114" s="117"/>
      <c r="EG114" s="117"/>
      <c r="EH114" s="117"/>
      <c r="EI114" s="117"/>
      <c r="EJ114" s="117"/>
      <c r="EK114" s="117"/>
      <c r="EL114" s="117"/>
      <c r="EM114" s="117"/>
      <c r="EN114" s="117"/>
      <c r="EO114" s="117"/>
      <c r="EP114" s="117"/>
      <c r="EQ114" s="117"/>
      <c r="ER114" s="117"/>
      <c r="ES114" s="117"/>
      <c r="ET114" s="117"/>
      <c r="EU114" s="117"/>
      <c r="EV114" s="117"/>
      <c r="EW114" s="117"/>
      <c r="EX114" s="117"/>
      <c r="EY114" s="117"/>
      <c r="EZ114" s="117"/>
      <c r="FA114" s="117"/>
      <c r="FB114" s="117"/>
      <c r="FC114" s="117"/>
      <c r="FD114" s="117"/>
      <c r="FE114" s="117"/>
      <c r="FF114" s="117"/>
      <c r="FG114" s="117"/>
      <c r="FH114" s="117"/>
      <c r="FI114" s="117"/>
      <c r="FJ114" s="117"/>
      <c r="FK114" s="117"/>
      <c r="FL114" s="117"/>
      <c r="FM114" s="117"/>
      <c r="FN114" s="117"/>
      <c r="FO114" s="117"/>
      <c r="FP114" s="117"/>
      <c r="FQ114" s="117"/>
      <c r="FR114" s="117"/>
      <c r="FS114" s="117"/>
      <c r="FT114" s="117"/>
      <c r="FU114" s="117"/>
      <c r="FV114" s="117"/>
      <c r="FW114" s="117"/>
      <c r="FX114" s="117"/>
      <c r="FY114" s="117"/>
      <c r="FZ114" s="117"/>
      <c r="GA114" s="117"/>
      <c r="GB114" s="117"/>
      <c r="GC114" s="117"/>
      <c r="GD114" s="117"/>
      <c r="GE114" s="117"/>
      <c r="GF114" s="117"/>
      <c r="GG114" s="117"/>
      <c r="GH114" s="117"/>
      <c r="GI114" s="117"/>
      <c r="GJ114" s="117"/>
      <c r="GK114" s="117"/>
      <c r="GL114" s="117"/>
      <c r="GM114" s="117"/>
      <c r="GN114" s="117"/>
      <c r="GO114" s="117"/>
      <c r="GP114" s="117"/>
      <c r="GQ114" s="117"/>
      <c r="GR114" s="117"/>
      <c r="GS114" s="117"/>
      <c r="GT114" s="117"/>
      <c r="GU114" s="117"/>
      <c r="GV114" s="117"/>
      <c r="GW114" s="117"/>
      <c r="GX114" s="117"/>
      <c r="GY114" s="117"/>
      <c r="GZ114" s="117"/>
      <c r="HA114" s="117"/>
      <c r="HB114" s="117"/>
      <c r="HC114" s="117"/>
      <c r="HD114" s="117"/>
      <c r="HE114" s="117"/>
      <c r="HF114" s="117"/>
      <c r="HG114" s="117"/>
      <c r="HH114" s="117"/>
      <c r="HI114" s="117"/>
      <c r="HJ114" s="117"/>
      <c r="HK114" s="117"/>
      <c r="HL114" s="117"/>
      <c r="HM114" s="117"/>
      <c r="HN114" s="117"/>
      <c r="HO114" s="117"/>
      <c r="HP114" s="117"/>
      <c r="HQ114" s="117"/>
      <c r="HR114" s="117"/>
      <c r="HS114" s="117"/>
      <c r="HT114" s="117"/>
      <c r="HU114" s="117"/>
      <c r="HV114" s="117"/>
      <c r="HW114" s="117"/>
      <c r="HX114" s="117"/>
      <c r="HY114" s="117"/>
      <c r="HZ114" s="117"/>
      <c r="IA114" s="117"/>
      <c r="IB114" s="117"/>
    </row>
    <row r="115" spans="1:236" s="79" customFormat="1" ht="14.25">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117"/>
      <c r="BX115" s="117"/>
      <c r="BY115" s="117"/>
      <c r="BZ115" s="117"/>
      <c r="CA115" s="117"/>
      <c r="CB115" s="117"/>
      <c r="CC115" s="117"/>
      <c r="CD115" s="117"/>
      <c r="CE115" s="117"/>
      <c r="CF115" s="117"/>
      <c r="CG115" s="117"/>
      <c r="CH115" s="117"/>
      <c r="CI115" s="117"/>
      <c r="CJ115" s="117"/>
      <c r="CK115" s="117"/>
      <c r="CL115" s="117"/>
      <c r="CM115" s="117"/>
      <c r="CN115" s="117"/>
      <c r="CO115" s="117"/>
      <c r="CP115" s="117"/>
      <c r="CQ115" s="117"/>
      <c r="CR115" s="117"/>
      <c r="CS115" s="117"/>
      <c r="CT115" s="117"/>
      <c r="CU115" s="117"/>
      <c r="CV115" s="117"/>
      <c r="CW115" s="117"/>
      <c r="CX115" s="117"/>
      <c r="CY115" s="117"/>
      <c r="CZ115" s="117"/>
      <c r="DA115" s="117"/>
      <c r="DB115" s="117"/>
      <c r="DC115" s="117"/>
      <c r="DD115" s="117"/>
      <c r="DE115" s="117"/>
      <c r="DF115" s="117"/>
      <c r="DG115" s="117"/>
      <c r="DH115" s="117"/>
      <c r="DI115" s="117"/>
      <c r="DJ115" s="117"/>
      <c r="DK115" s="117"/>
      <c r="DL115" s="117"/>
      <c r="DM115" s="117"/>
      <c r="DN115" s="117"/>
      <c r="DO115" s="117"/>
      <c r="DP115" s="117"/>
      <c r="DQ115" s="117"/>
      <c r="DR115" s="117"/>
      <c r="DS115" s="117"/>
      <c r="DT115" s="117"/>
      <c r="DU115" s="117"/>
      <c r="DV115" s="117"/>
      <c r="DW115" s="117"/>
      <c r="DX115" s="117"/>
      <c r="DY115" s="117"/>
      <c r="DZ115" s="117"/>
      <c r="EA115" s="117"/>
      <c r="EB115" s="117"/>
      <c r="EC115" s="117"/>
      <c r="ED115" s="117"/>
      <c r="EE115" s="117"/>
      <c r="EF115" s="117"/>
      <c r="EG115" s="117"/>
      <c r="EH115" s="117"/>
      <c r="EI115" s="117"/>
      <c r="EJ115" s="117"/>
      <c r="EK115" s="117"/>
      <c r="EL115" s="117"/>
      <c r="EM115" s="117"/>
      <c r="EN115" s="117"/>
      <c r="EO115" s="117"/>
      <c r="EP115" s="117"/>
      <c r="EQ115" s="117"/>
      <c r="ER115" s="117"/>
      <c r="ES115" s="117"/>
      <c r="ET115" s="117"/>
      <c r="EU115" s="117"/>
      <c r="EV115" s="117"/>
      <c r="EW115" s="117"/>
      <c r="EX115" s="117"/>
      <c r="EY115" s="117"/>
      <c r="EZ115" s="117"/>
      <c r="FA115" s="117"/>
      <c r="FB115" s="117"/>
      <c r="FC115" s="117"/>
      <c r="FD115" s="117"/>
      <c r="FE115" s="117"/>
      <c r="FF115" s="117"/>
      <c r="FG115" s="117"/>
      <c r="FH115" s="117"/>
      <c r="FI115" s="117"/>
      <c r="FJ115" s="117"/>
      <c r="FK115" s="117"/>
      <c r="FL115" s="117"/>
      <c r="FM115" s="117"/>
      <c r="FN115" s="117"/>
      <c r="FO115" s="117"/>
      <c r="FP115" s="117"/>
      <c r="FQ115" s="117"/>
      <c r="FR115" s="117"/>
      <c r="FS115" s="117"/>
      <c r="FT115" s="117"/>
      <c r="FU115" s="117"/>
      <c r="FV115" s="117"/>
      <c r="FW115" s="117"/>
      <c r="FX115" s="117"/>
      <c r="FY115" s="117"/>
      <c r="FZ115" s="117"/>
      <c r="GA115" s="117"/>
      <c r="GB115" s="117"/>
      <c r="GC115" s="117"/>
      <c r="GD115" s="117"/>
      <c r="GE115" s="117"/>
      <c r="GF115" s="117"/>
      <c r="GG115" s="117"/>
      <c r="GH115" s="117"/>
      <c r="GI115" s="117"/>
      <c r="GJ115" s="117"/>
      <c r="GK115" s="117"/>
      <c r="GL115" s="117"/>
      <c r="GM115" s="117"/>
      <c r="GN115" s="117"/>
      <c r="GO115" s="117"/>
      <c r="GP115" s="117"/>
      <c r="GQ115" s="117"/>
      <c r="GR115" s="117"/>
      <c r="GS115" s="117"/>
      <c r="GT115" s="117"/>
      <c r="GU115" s="117"/>
      <c r="GV115" s="117"/>
      <c r="GW115" s="117"/>
      <c r="GX115" s="117"/>
      <c r="GY115" s="117"/>
      <c r="GZ115" s="117"/>
      <c r="HA115" s="117"/>
      <c r="HB115" s="117"/>
      <c r="HC115" s="117"/>
      <c r="HD115" s="117"/>
      <c r="HE115" s="117"/>
      <c r="HF115" s="117"/>
      <c r="HG115" s="117"/>
      <c r="HH115" s="117"/>
      <c r="HI115" s="117"/>
      <c r="HJ115" s="117"/>
      <c r="HK115" s="117"/>
      <c r="HL115" s="117"/>
      <c r="HM115" s="117"/>
      <c r="HN115" s="117"/>
      <c r="HO115" s="117"/>
      <c r="HP115" s="117"/>
      <c r="HQ115" s="117"/>
      <c r="HR115" s="117"/>
      <c r="HS115" s="117"/>
      <c r="HT115" s="117"/>
      <c r="HU115" s="117"/>
      <c r="HV115" s="117"/>
      <c r="HW115" s="117"/>
      <c r="HX115" s="117"/>
      <c r="HY115" s="117"/>
      <c r="HZ115" s="117"/>
      <c r="IA115" s="117"/>
      <c r="IB115" s="117"/>
    </row>
    <row r="116" spans="1:236" s="79" customFormat="1" ht="14.25">
      <c r="A116" s="117"/>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c r="BL116" s="117"/>
      <c r="BM116" s="117"/>
      <c r="BN116" s="117"/>
      <c r="BO116" s="117"/>
      <c r="BP116" s="117"/>
      <c r="BQ116" s="117"/>
      <c r="BR116" s="117"/>
      <c r="BS116" s="117"/>
      <c r="BT116" s="117"/>
      <c r="BU116" s="117"/>
      <c r="BV116" s="117"/>
      <c r="BW116" s="117"/>
      <c r="BX116" s="117"/>
      <c r="BY116" s="117"/>
      <c r="BZ116" s="117"/>
      <c r="CA116" s="117"/>
      <c r="CB116" s="117"/>
      <c r="CC116" s="117"/>
      <c r="CD116" s="117"/>
      <c r="CE116" s="117"/>
      <c r="CF116" s="117"/>
      <c r="CG116" s="117"/>
      <c r="CH116" s="117"/>
      <c r="CI116" s="117"/>
      <c r="CJ116" s="117"/>
      <c r="CK116" s="117"/>
      <c r="CL116" s="117"/>
      <c r="CM116" s="117"/>
      <c r="CN116" s="117"/>
      <c r="CO116" s="117"/>
      <c r="CP116" s="117"/>
      <c r="CQ116" s="117"/>
      <c r="CR116" s="117"/>
      <c r="CS116" s="117"/>
      <c r="CT116" s="117"/>
      <c r="CU116" s="117"/>
      <c r="CV116" s="117"/>
      <c r="CW116" s="117"/>
      <c r="CX116" s="117"/>
      <c r="CY116" s="117"/>
      <c r="CZ116" s="117"/>
      <c r="DA116" s="117"/>
      <c r="DB116" s="117"/>
      <c r="DC116" s="117"/>
      <c r="DD116" s="117"/>
      <c r="DE116" s="117"/>
      <c r="DF116" s="117"/>
      <c r="DG116" s="117"/>
      <c r="DH116" s="117"/>
      <c r="DI116" s="117"/>
      <c r="DJ116" s="117"/>
      <c r="DK116" s="117"/>
      <c r="DL116" s="117"/>
      <c r="DM116" s="117"/>
      <c r="DN116" s="117"/>
      <c r="DO116" s="117"/>
      <c r="DP116" s="117"/>
      <c r="DQ116" s="117"/>
      <c r="DR116" s="117"/>
      <c r="DS116" s="117"/>
      <c r="DT116" s="117"/>
      <c r="DU116" s="117"/>
      <c r="DV116" s="117"/>
      <c r="DW116" s="117"/>
      <c r="DX116" s="117"/>
      <c r="DY116" s="117"/>
      <c r="DZ116" s="117"/>
      <c r="EA116" s="117"/>
      <c r="EB116" s="117"/>
      <c r="EC116" s="117"/>
      <c r="ED116" s="117"/>
      <c r="EE116" s="117"/>
      <c r="EF116" s="117"/>
      <c r="EG116" s="117"/>
      <c r="EH116" s="117"/>
      <c r="EI116" s="117"/>
      <c r="EJ116" s="117"/>
      <c r="EK116" s="117"/>
      <c r="EL116" s="117"/>
      <c r="EM116" s="117"/>
      <c r="EN116" s="117"/>
      <c r="EO116" s="117"/>
      <c r="EP116" s="117"/>
      <c r="EQ116" s="117"/>
      <c r="ER116" s="117"/>
      <c r="ES116" s="117"/>
      <c r="ET116" s="117"/>
      <c r="EU116" s="117"/>
      <c r="EV116" s="117"/>
      <c r="EW116" s="117"/>
      <c r="EX116" s="117"/>
      <c r="EY116" s="117"/>
      <c r="EZ116" s="117"/>
      <c r="FA116" s="117"/>
      <c r="FB116" s="117"/>
      <c r="FC116" s="117"/>
      <c r="FD116" s="117"/>
      <c r="FE116" s="117"/>
      <c r="FF116" s="117"/>
      <c r="FG116" s="117"/>
      <c r="FH116" s="117"/>
      <c r="FI116" s="117"/>
      <c r="FJ116" s="117"/>
      <c r="FK116" s="117"/>
      <c r="FL116" s="117"/>
      <c r="FM116" s="117"/>
      <c r="FN116" s="117"/>
      <c r="FO116" s="117"/>
      <c r="FP116" s="117"/>
      <c r="FQ116" s="117"/>
      <c r="FR116" s="117"/>
      <c r="FS116" s="117"/>
      <c r="FT116" s="117"/>
      <c r="FU116" s="117"/>
      <c r="FV116" s="117"/>
      <c r="FW116" s="117"/>
      <c r="FX116" s="117"/>
      <c r="FY116" s="117"/>
      <c r="FZ116" s="117"/>
      <c r="GA116" s="117"/>
      <c r="GB116" s="117"/>
      <c r="GC116" s="117"/>
      <c r="GD116" s="117"/>
      <c r="GE116" s="117"/>
      <c r="GF116" s="117"/>
      <c r="GG116" s="117"/>
      <c r="GH116" s="117"/>
      <c r="GI116" s="117"/>
      <c r="GJ116" s="117"/>
      <c r="GK116" s="117"/>
      <c r="GL116" s="117"/>
      <c r="GM116" s="117"/>
      <c r="GN116" s="117"/>
      <c r="GO116" s="117"/>
      <c r="GP116" s="117"/>
      <c r="GQ116" s="117"/>
      <c r="GR116" s="117"/>
      <c r="GS116" s="117"/>
      <c r="GT116" s="117"/>
      <c r="GU116" s="117"/>
      <c r="GV116" s="117"/>
      <c r="GW116" s="117"/>
      <c r="GX116" s="117"/>
      <c r="GY116" s="117"/>
      <c r="GZ116" s="117"/>
      <c r="HA116" s="117"/>
      <c r="HB116" s="117"/>
      <c r="HC116" s="117"/>
      <c r="HD116" s="117"/>
      <c r="HE116" s="117"/>
      <c r="HF116" s="117"/>
      <c r="HG116" s="117"/>
      <c r="HH116" s="117"/>
      <c r="HI116" s="117"/>
      <c r="HJ116" s="117"/>
      <c r="HK116" s="117"/>
      <c r="HL116" s="117"/>
      <c r="HM116" s="117"/>
      <c r="HN116" s="117"/>
      <c r="HO116" s="117"/>
      <c r="HP116" s="117"/>
      <c r="HQ116" s="117"/>
      <c r="HR116" s="117"/>
      <c r="HS116" s="117"/>
      <c r="HT116" s="117"/>
      <c r="HU116" s="117"/>
      <c r="HV116" s="117"/>
      <c r="HW116" s="117"/>
      <c r="HX116" s="117"/>
      <c r="HY116" s="117"/>
      <c r="HZ116" s="117"/>
      <c r="IA116" s="117"/>
      <c r="IB116" s="117"/>
    </row>
    <row r="117" spans="1:236" s="79" customFormat="1" ht="14.25">
      <c r="A117" s="117"/>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117"/>
      <c r="BP117" s="117"/>
      <c r="BQ117" s="117"/>
      <c r="BR117" s="117"/>
      <c r="BS117" s="117"/>
      <c r="BT117" s="117"/>
      <c r="BU117" s="117"/>
      <c r="BV117" s="117"/>
      <c r="BW117" s="117"/>
      <c r="BX117" s="117"/>
      <c r="BY117" s="117"/>
      <c r="BZ117" s="117"/>
      <c r="CA117" s="117"/>
      <c r="CB117" s="117"/>
      <c r="CC117" s="117"/>
      <c r="CD117" s="117"/>
      <c r="CE117" s="117"/>
      <c r="CF117" s="117"/>
      <c r="CG117" s="117"/>
      <c r="CH117" s="117"/>
      <c r="CI117" s="117"/>
      <c r="CJ117" s="117"/>
      <c r="CK117" s="117"/>
      <c r="CL117" s="117"/>
      <c r="CM117" s="117"/>
      <c r="CN117" s="117"/>
      <c r="CO117" s="117"/>
      <c r="CP117" s="117"/>
      <c r="CQ117" s="117"/>
      <c r="CR117" s="117"/>
      <c r="CS117" s="117"/>
      <c r="CT117" s="117"/>
      <c r="CU117" s="117"/>
      <c r="CV117" s="117"/>
      <c r="CW117" s="117"/>
      <c r="CX117" s="117"/>
      <c r="CY117" s="117"/>
      <c r="CZ117" s="117"/>
      <c r="DA117" s="117"/>
      <c r="DB117" s="117"/>
      <c r="DC117" s="117"/>
      <c r="DD117" s="117"/>
      <c r="DE117" s="117"/>
      <c r="DF117" s="117"/>
      <c r="DG117" s="117"/>
      <c r="DH117" s="117"/>
      <c r="DI117" s="117"/>
      <c r="DJ117" s="117"/>
      <c r="DK117" s="117"/>
      <c r="DL117" s="117"/>
      <c r="DM117" s="117"/>
      <c r="DN117" s="117"/>
      <c r="DO117" s="117"/>
      <c r="DP117" s="117"/>
      <c r="DQ117" s="117"/>
      <c r="DR117" s="117"/>
      <c r="DS117" s="117"/>
      <c r="DT117" s="117"/>
      <c r="DU117" s="117"/>
      <c r="DV117" s="117"/>
      <c r="DW117" s="117"/>
      <c r="DX117" s="117"/>
      <c r="DY117" s="117"/>
      <c r="DZ117" s="117"/>
      <c r="EA117" s="117"/>
      <c r="EB117" s="117"/>
      <c r="EC117" s="117"/>
      <c r="ED117" s="117"/>
      <c r="EE117" s="117"/>
      <c r="EF117" s="117"/>
      <c r="EG117" s="117"/>
      <c r="EH117" s="117"/>
      <c r="EI117" s="117"/>
      <c r="EJ117" s="117"/>
      <c r="EK117" s="117"/>
      <c r="EL117" s="117"/>
      <c r="EM117" s="117"/>
      <c r="EN117" s="117"/>
      <c r="EO117" s="117"/>
      <c r="EP117" s="117"/>
      <c r="EQ117" s="117"/>
      <c r="ER117" s="117"/>
      <c r="ES117" s="117"/>
      <c r="ET117" s="117"/>
      <c r="EU117" s="117"/>
      <c r="EV117" s="117"/>
      <c r="EW117" s="117"/>
      <c r="EX117" s="117"/>
      <c r="EY117" s="117"/>
      <c r="EZ117" s="117"/>
      <c r="FA117" s="117"/>
      <c r="FB117" s="117"/>
      <c r="FC117" s="117"/>
      <c r="FD117" s="117"/>
      <c r="FE117" s="117"/>
      <c r="FF117" s="117"/>
      <c r="FG117" s="117"/>
      <c r="FH117" s="117"/>
      <c r="FI117" s="117"/>
      <c r="FJ117" s="117"/>
      <c r="FK117" s="117"/>
      <c r="FL117" s="117"/>
      <c r="FM117" s="117"/>
      <c r="FN117" s="117"/>
      <c r="FO117" s="117"/>
      <c r="FP117" s="117"/>
      <c r="FQ117" s="117"/>
      <c r="FR117" s="117"/>
      <c r="FS117" s="117"/>
      <c r="FT117" s="117"/>
      <c r="FU117" s="117"/>
      <c r="FV117" s="117"/>
      <c r="FW117" s="117"/>
      <c r="FX117" s="117"/>
      <c r="FY117" s="117"/>
      <c r="FZ117" s="117"/>
      <c r="GA117" s="117"/>
      <c r="GB117" s="117"/>
      <c r="GC117" s="117"/>
      <c r="GD117" s="117"/>
      <c r="GE117" s="117"/>
      <c r="GF117" s="117"/>
      <c r="GG117" s="117"/>
      <c r="GH117" s="117"/>
      <c r="GI117" s="117"/>
      <c r="GJ117" s="117"/>
      <c r="GK117" s="117"/>
      <c r="GL117" s="117"/>
      <c r="GM117" s="117"/>
      <c r="GN117" s="117"/>
      <c r="GO117" s="117"/>
      <c r="GP117" s="117"/>
      <c r="GQ117" s="117"/>
      <c r="GR117" s="117"/>
      <c r="GS117" s="117"/>
      <c r="GT117" s="117"/>
      <c r="GU117" s="117"/>
      <c r="GV117" s="117"/>
      <c r="GW117" s="117"/>
      <c r="GX117" s="117"/>
      <c r="GY117" s="117"/>
      <c r="GZ117" s="117"/>
      <c r="HA117" s="117"/>
      <c r="HB117" s="117"/>
      <c r="HC117" s="117"/>
      <c r="HD117" s="117"/>
      <c r="HE117" s="117"/>
      <c r="HF117" s="117"/>
      <c r="HG117" s="117"/>
      <c r="HH117" s="117"/>
      <c r="HI117" s="117"/>
      <c r="HJ117" s="117"/>
      <c r="HK117" s="117"/>
      <c r="HL117" s="117"/>
      <c r="HM117" s="117"/>
      <c r="HN117" s="117"/>
      <c r="HO117" s="117"/>
      <c r="HP117" s="117"/>
      <c r="HQ117" s="117"/>
      <c r="HR117" s="117"/>
      <c r="HS117" s="117"/>
      <c r="HT117" s="117"/>
      <c r="HU117" s="117"/>
      <c r="HV117" s="117"/>
      <c r="HW117" s="117"/>
      <c r="HX117" s="117"/>
      <c r="HY117" s="117"/>
      <c r="HZ117" s="117"/>
      <c r="IA117" s="117"/>
      <c r="IB117" s="117"/>
    </row>
    <row r="118" spans="1:236" s="79" customFormat="1" ht="14.25">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c r="BL118" s="117"/>
      <c r="BM118" s="117"/>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c r="CH118" s="117"/>
      <c r="CI118" s="117"/>
      <c r="CJ118" s="117"/>
      <c r="CK118" s="117"/>
      <c r="CL118" s="117"/>
      <c r="CM118" s="117"/>
      <c r="CN118" s="117"/>
      <c r="CO118" s="117"/>
      <c r="CP118" s="117"/>
      <c r="CQ118" s="117"/>
      <c r="CR118" s="117"/>
      <c r="CS118" s="117"/>
      <c r="CT118" s="117"/>
      <c r="CU118" s="117"/>
      <c r="CV118" s="117"/>
      <c r="CW118" s="117"/>
      <c r="CX118" s="117"/>
      <c r="CY118" s="117"/>
      <c r="CZ118" s="117"/>
      <c r="DA118" s="117"/>
      <c r="DB118" s="117"/>
      <c r="DC118" s="117"/>
      <c r="DD118" s="117"/>
      <c r="DE118" s="117"/>
      <c r="DF118" s="117"/>
      <c r="DG118" s="117"/>
      <c r="DH118" s="117"/>
      <c r="DI118" s="117"/>
      <c r="DJ118" s="117"/>
      <c r="DK118" s="117"/>
      <c r="DL118" s="117"/>
      <c r="DM118" s="117"/>
      <c r="DN118" s="117"/>
      <c r="DO118" s="117"/>
      <c r="DP118" s="117"/>
      <c r="DQ118" s="117"/>
      <c r="DR118" s="117"/>
      <c r="DS118" s="117"/>
      <c r="DT118" s="117"/>
      <c r="DU118" s="117"/>
      <c r="DV118" s="117"/>
      <c r="DW118" s="117"/>
      <c r="DX118" s="117"/>
      <c r="DY118" s="117"/>
      <c r="DZ118" s="117"/>
      <c r="EA118" s="117"/>
      <c r="EB118" s="117"/>
      <c r="EC118" s="117"/>
      <c r="ED118" s="117"/>
      <c r="EE118" s="117"/>
      <c r="EF118" s="117"/>
      <c r="EG118" s="117"/>
      <c r="EH118" s="117"/>
      <c r="EI118" s="117"/>
      <c r="EJ118" s="117"/>
      <c r="EK118" s="117"/>
      <c r="EL118" s="117"/>
      <c r="EM118" s="117"/>
      <c r="EN118" s="117"/>
      <c r="EO118" s="117"/>
      <c r="EP118" s="117"/>
      <c r="EQ118" s="117"/>
      <c r="ER118" s="117"/>
      <c r="ES118" s="117"/>
      <c r="ET118" s="117"/>
      <c r="EU118" s="117"/>
      <c r="EV118" s="117"/>
      <c r="EW118" s="117"/>
      <c r="EX118" s="117"/>
      <c r="EY118" s="117"/>
      <c r="EZ118" s="117"/>
      <c r="FA118" s="117"/>
      <c r="FB118" s="117"/>
      <c r="FC118" s="117"/>
      <c r="FD118" s="117"/>
      <c r="FE118" s="117"/>
      <c r="FF118" s="117"/>
      <c r="FG118" s="117"/>
      <c r="FH118" s="117"/>
      <c r="FI118" s="117"/>
      <c r="FJ118" s="117"/>
      <c r="FK118" s="117"/>
      <c r="FL118" s="117"/>
      <c r="FM118" s="117"/>
      <c r="FN118" s="117"/>
      <c r="FO118" s="117"/>
      <c r="FP118" s="117"/>
      <c r="FQ118" s="117"/>
      <c r="FR118" s="117"/>
      <c r="FS118" s="117"/>
      <c r="FT118" s="117"/>
      <c r="FU118" s="117"/>
      <c r="FV118" s="117"/>
      <c r="FW118" s="117"/>
      <c r="FX118" s="117"/>
      <c r="FY118" s="117"/>
      <c r="FZ118" s="117"/>
      <c r="GA118" s="117"/>
      <c r="GB118" s="117"/>
      <c r="GC118" s="117"/>
      <c r="GD118" s="117"/>
      <c r="GE118" s="117"/>
      <c r="GF118" s="117"/>
      <c r="GG118" s="117"/>
      <c r="GH118" s="117"/>
      <c r="GI118" s="117"/>
      <c r="GJ118" s="117"/>
      <c r="GK118" s="117"/>
      <c r="GL118" s="117"/>
      <c r="GM118" s="117"/>
      <c r="GN118" s="117"/>
      <c r="GO118" s="117"/>
      <c r="GP118" s="117"/>
      <c r="GQ118" s="117"/>
      <c r="GR118" s="117"/>
      <c r="GS118" s="117"/>
      <c r="GT118" s="117"/>
      <c r="GU118" s="117"/>
      <c r="GV118" s="117"/>
      <c r="GW118" s="117"/>
      <c r="GX118" s="117"/>
      <c r="GY118" s="117"/>
      <c r="GZ118" s="117"/>
      <c r="HA118" s="117"/>
      <c r="HB118" s="117"/>
      <c r="HC118" s="117"/>
      <c r="HD118" s="117"/>
      <c r="HE118" s="117"/>
      <c r="HF118" s="117"/>
      <c r="HG118" s="117"/>
      <c r="HH118" s="117"/>
      <c r="HI118" s="117"/>
      <c r="HJ118" s="117"/>
      <c r="HK118" s="117"/>
      <c r="HL118" s="117"/>
      <c r="HM118" s="117"/>
      <c r="HN118" s="117"/>
      <c r="HO118" s="117"/>
      <c r="HP118" s="117"/>
      <c r="HQ118" s="117"/>
      <c r="HR118" s="117"/>
      <c r="HS118" s="117"/>
      <c r="HT118" s="117"/>
      <c r="HU118" s="117"/>
      <c r="HV118" s="117"/>
      <c r="HW118" s="117"/>
      <c r="HX118" s="117"/>
      <c r="HY118" s="117"/>
      <c r="HZ118" s="117"/>
      <c r="IA118" s="117"/>
      <c r="IB118" s="117"/>
    </row>
    <row r="119" spans="1:236" s="79" customFormat="1" ht="14.25">
      <c r="A119" s="117"/>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c r="BL119" s="117"/>
      <c r="BM119" s="117"/>
      <c r="BN119" s="117"/>
      <c r="BO119" s="117"/>
      <c r="BP119" s="117"/>
      <c r="BQ119" s="117"/>
      <c r="BR119" s="117"/>
      <c r="BS119" s="117"/>
      <c r="BT119" s="117"/>
      <c r="BU119" s="117"/>
      <c r="BV119" s="117"/>
      <c r="BW119" s="117"/>
      <c r="BX119" s="117"/>
      <c r="BY119" s="117"/>
      <c r="BZ119" s="117"/>
      <c r="CA119" s="117"/>
      <c r="CB119" s="117"/>
      <c r="CC119" s="117"/>
      <c r="CD119" s="117"/>
      <c r="CE119" s="117"/>
      <c r="CF119" s="117"/>
      <c r="CG119" s="117"/>
      <c r="CH119" s="117"/>
      <c r="CI119" s="117"/>
      <c r="CJ119" s="117"/>
      <c r="CK119" s="117"/>
      <c r="CL119" s="117"/>
      <c r="CM119" s="117"/>
      <c r="CN119" s="117"/>
      <c r="CO119" s="117"/>
      <c r="CP119" s="117"/>
      <c r="CQ119" s="117"/>
      <c r="CR119" s="117"/>
      <c r="CS119" s="117"/>
      <c r="CT119" s="117"/>
      <c r="CU119" s="117"/>
      <c r="CV119" s="117"/>
      <c r="CW119" s="117"/>
      <c r="CX119" s="117"/>
      <c r="CY119" s="117"/>
      <c r="CZ119" s="117"/>
      <c r="DA119" s="117"/>
      <c r="DB119" s="117"/>
      <c r="DC119" s="117"/>
      <c r="DD119" s="117"/>
      <c r="DE119" s="117"/>
      <c r="DF119" s="117"/>
      <c r="DG119" s="117"/>
      <c r="DH119" s="117"/>
      <c r="DI119" s="117"/>
      <c r="DJ119" s="117"/>
      <c r="DK119" s="117"/>
      <c r="DL119" s="117"/>
      <c r="DM119" s="117"/>
      <c r="DN119" s="117"/>
      <c r="DO119" s="117"/>
      <c r="DP119" s="117"/>
      <c r="DQ119" s="117"/>
      <c r="DR119" s="117"/>
      <c r="DS119" s="117"/>
      <c r="DT119" s="117"/>
      <c r="DU119" s="117"/>
      <c r="DV119" s="117"/>
      <c r="DW119" s="117"/>
      <c r="DX119" s="117"/>
      <c r="DY119" s="117"/>
      <c r="DZ119" s="117"/>
      <c r="EA119" s="117"/>
      <c r="EB119" s="117"/>
      <c r="EC119" s="117"/>
      <c r="ED119" s="117"/>
      <c r="EE119" s="117"/>
      <c r="EF119" s="117"/>
      <c r="EG119" s="117"/>
      <c r="EH119" s="117"/>
      <c r="EI119" s="117"/>
      <c r="EJ119" s="117"/>
      <c r="EK119" s="117"/>
      <c r="EL119" s="117"/>
      <c r="EM119" s="117"/>
      <c r="EN119" s="117"/>
      <c r="EO119" s="117"/>
      <c r="EP119" s="117"/>
      <c r="EQ119" s="117"/>
      <c r="ER119" s="117"/>
      <c r="ES119" s="117"/>
      <c r="ET119" s="117"/>
      <c r="EU119" s="117"/>
      <c r="EV119" s="117"/>
      <c r="EW119" s="117"/>
      <c r="EX119" s="117"/>
      <c r="EY119" s="117"/>
      <c r="EZ119" s="117"/>
      <c r="FA119" s="117"/>
      <c r="FB119" s="117"/>
      <c r="FC119" s="117"/>
      <c r="FD119" s="117"/>
      <c r="FE119" s="117"/>
      <c r="FF119" s="117"/>
      <c r="FG119" s="117"/>
      <c r="FH119" s="117"/>
      <c r="FI119" s="117"/>
      <c r="FJ119" s="117"/>
      <c r="FK119" s="117"/>
      <c r="FL119" s="117"/>
      <c r="FM119" s="117"/>
      <c r="FN119" s="117"/>
      <c r="FO119" s="117"/>
      <c r="FP119" s="117"/>
      <c r="FQ119" s="117"/>
      <c r="FR119" s="117"/>
      <c r="FS119" s="117"/>
      <c r="FT119" s="117"/>
      <c r="FU119" s="117"/>
      <c r="FV119" s="117"/>
      <c r="FW119" s="117"/>
      <c r="FX119" s="117"/>
      <c r="FY119" s="117"/>
      <c r="FZ119" s="117"/>
      <c r="GA119" s="117"/>
      <c r="GB119" s="117"/>
      <c r="GC119" s="117"/>
      <c r="GD119" s="117"/>
      <c r="GE119" s="117"/>
      <c r="GF119" s="117"/>
      <c r="GG119" s="117"/>
      <c r="GH119" s="117"/>
      <c r="GI119" s="117"/>
      <c r="GJ119" s="117"/>
      <c r="GK119" s="117"/>
      <c r="GL119" s="117"/>
      <c r="GM119" s="117"/>
      <c r="GN119" s="117"/>
      <c r="GO119" s="117"/>
      <c r="GP119" s="117"/>
      <c r="GQ119" s="117"/>
      <c r="GR119" s="117"/>
      <c r="GS119" s="117"/>
      <c r="GT119" s="117"/>
      <c r="GU119" s="117"/>
      <c r="GV119" s="117"/>
      <c r="GW119" s="117"/>
      <c r="GX119" s="117"/>
      <c r="GY119" s="117"/>
      <c r="GZ119" s="117"/>
      <c r="HA119" s="117"/>
      <c r="HB119" s="117"/>
      <c r="HC119" s="117"/>
      <c r="HD119" s="117"/>
      <c r="HE119" s="117"/>
      <c r="HF119" s="117"/>
      <c r="HG119" s="117"/>
      <c r="HH119" s="117"/>
      <c r="HI119" s="117"/>
      <c r="HJ119" s="117"/>
      <c r="HK119" s="117"/>
      <c r="HL119" s="117"/>
      <c r="HM119" s="117"/>
      <c r="HN119" s="117"/>
      <c r="HO119" s="117"/>
      <c r="HP119" s="117"/>
      <c r="HQ119" s="117"/>
      <c r="HR119" s="117"/>
      <c r="HS119" s="117"/>
      <c r="HT119" s="117"/>
      <c r="HU119" s="117"/>
      <c r="HV119" s="117"/>
      <c r="HW119" s="117"/>
      <c r="HX119" s="117"/>
      <c r="HY119" s="117"/>
      <c r="HZ119" s="117"/>
      <c r="IA119" s="117"/>
      <c r="IB119" s="117"/>
    </row>
    <row r="120" spans="1:236" s="79" customFormat="1" ht="14.25">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c r="BL120" s="117"/>
      <c r="BM120" s="117"/>
      <c r="BN120" s="117"/>
      <c r="BO120" s="117"/>
      <c r="BP120" s="117"/>
      <c r="BQ120" s="117"/>
      <c r="BR120" s="117"/>
      <c r="BS120" s="117"/>
      <c r="BT120" s="117"/>
      <c r="BU120" s="117"/>
      <c r="BV120" s="117"/>
      <c r="BW120" s="117"/>
      <c r="BX120" s="117"/>
      <c r="BY120" s="117"/>
      <c r="BZ120" s="117"/>
      <c r="CA120" s="117"/>
      <c r="CB120" s="117"/>
      <c r="CC120" s="117"/>
      <c r="CD120" s="117"/>
      <c r="CE120" s="117"/>
      <c r="CF120" s="117"/>
      <c r="CG120" s="117"/>
      <c r="CH120" s="117"/>
      <c r="CI120" s="117"/>
      <c r="CJ120" s="117"/>
      <c r="CK120" s="117"/>
      <c r="CL120" s="117"/>
      <c r="CM120" s="117"/>
      <c r="CN120" s="117"/>
      <c r="CO120" s="117"/>
      <c r="CP120" s="117"/>
      <c r="CQ120" s="117"/>
      <c r="CR120" s="117"/>
      <c r="CS120" s="117"/>
      <c r="CT120" s="117"/>
      <c r="CU120" s="117"/>
      <c r="CV120" s="117"/>
      <c r="CW120" s="117"/>
      <c r="CX120" s="117"/>
      <c r="CY120" s="117"/>
      <c r="CZ120" s="117"/>
      <c r="DA120" s="117"/>
      <c r="DB120" s="117"/>
      <c r="DC120" s="117"/>
      <c r="DD120" s="117"/>
      <c r="DE120" s="117"/>
      <c r="DF120" s="117"/>
      <c r="DG120" s="117"/>
      <c r="DH120" s="117"/>
      <c r="DI120" s="117"/>
      <c r="DJ120" s="117"/>
      <c r="DK120" s="117"/>
      <c r="DL120" s="117"/>
      <c r="DM120" s="117"/>
      <c r="DN120" s="117"/>
      <c r="DO120" s="117"/>
      <c r="DP120" s="117"/>
      <c r="DQ120" s="117"/>
      <c r="DR120" s="117"/>
      <c r="DS120" s="117"/>
      <c r="DT120" s="117"/>
      <c r="DU120" s="117"/>
      <c r="DV120" s="117"/>
      <c r="DW120" s="117"/>
      <c r="DX120" s="117"/>
      <c r="DY120" s="117"/>
      <c r="DZ120" s="117"/>
      <c r="EA120" s="117"/>
      <c r="EB120" s="117"/>
      <c r="EC120" s="117"/>
      <c r="ED120" s="117"/>
      <c r="EE120" s="117"/>
      <c r="EF120" s="117"/>
      <c r="EG120" s="117"/>
      <c r="EH120" s="117"/>
      <c r="EI120" s="117"/>
      <c r="EJ120" s="117"/>
      <c r="EK120" s="117"/>
      <c r="EL120" s="117"/>
      <c r="EM120" s="117"/>
      <c r="EN120" s="117"/>
      <c r="EO120" s="117"/>
      <c r="EP120" s="117"/>
      <c r="EQ120" s="117"/>
      <c r="ER120" s="117"/>
      <c r="ES120" s="117"/>
      <c r="ET120" s="117"/>
      <c r="EU120" s="117"/>
      <c r="EV120" s="117"/>
      <c r="EW120" s="117"/>
      <c r="EX120" s="117"/>
      <c r="EY120" s="117"/>
      <c r="EZ120" s="117"/>
      <c r="FA120" s="117"/>
      <c r="FB120" s="117"/>
      <c r="FC120" s="117"/>
      <c r="FD120" s="117"/>
      <c r="FE120" s="117"/>
      <c r="FF120" s="117"/>
      <c r="FG120" s="117"/>
      <c r="FH120" s="117"/>
      <c r="FI120" s="117"/>
      <c r="FJ120" s="117"/>
      <c r="FK120" s="117"/>
      <c r="FL120" s="117"/>
      <c r="FM120" s="117"/>
      <c r="FN120" s="117"/>
      <c r="FO120" s="117"/>
      <c r="FP120" s="117"/>
      <c r="FQ120" s="117"/>
      <c r="FR120" s="117"/>
      <c r="FS120" s="117"/>
      <c r="FT120" s="117"/>
      <c r="FU120" s="117"/>
      <c r="FV120" s="117"/>
      <c r="FW120" s="117"/>
      <c r="FX120" s="117"/>
      <c r="FY120" s="117"/>
      <c r="FZ120" s="117"/>
      <c r="GA120" s="117"/>
      <c r="GB120" s="117"/>
      <c r="GC120" s="117"/>
      <c r="GD120" s="117"/>
      <c r="GE120" s="117"/>
      <c r="GF120" s="117"/>
      <c r="GG120" s="117"/>
      <c r="GH120" s="117"/>
      <c r="GI120" s="117"/>
      <c r="GJ120" s="117"/>
      <c r="GK120" s="117"/>
      <c r="GL120" s="117"/>
      <c r="GM120" s="117"/>
      <c r="GN120" s="117"/>
      <c r="GO120" s="117"/>
      <c r="GP120" s="117"/>
      <c r="GQ120" s="117"/>
      <c r="GR120" s="117"/>
      <c r="GS120" s="117"/>
      <c r="GT120" s="117"/>
      <c r="GU120" s="117"/>
      <c r="GV120" s="117"/>
      <c r="GW120" s="117"/>
      <c r="GX120" s="117"/>
      <c r="GY120" s="117"/>
      <c r="GZ120" s="117"/>
      <c r="HA120" s="117"/>
      <c r="HB120" s="117"/>
      <c r="HC120" s="117"/>
      <c r="HD120" s="117"/>
      <c r="HE120" s="117"/>
      <c r="HF120" s="117"/>
      <c r="HG120" s="117"/>
      <c r="HH120" s="117"/>
      <c r="HI120" s="117"/>
      <c r="HJ120" s="117"/>
      <c r="HK120" s="117"/>
      <c r="HL120" s="117"/>
      <c r="HM120" s="117"/>
      <c r="HN120" s="117"/>
      <c r="HO120" s="117"/>
      <c r="HP120" s="117"/>
      <c r="HQ120" s="117"/>
      <c r="HR120" s="117"/>
      <c r="HS120" s="117"/>
      <c r="HT120" s="117"/>
      <c r="HU120" s="117"/>
      <c r="HV120" s="117"/>
      <c r="HW120" s="117"/>
      <c r="HX120" s="117"/>
      <c r="HY120" s="117"/>
      <c r="HZ120" s="117"/>
      <c r="IA120" s="117"/>
      <c r="IB120" s="117"/>
    </row>
    <row r="121" spans="1:236" s="79" customFormat="1" ht="14.25">
      <c r="A121" s="117"/>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c r="BL121" s="117"/>
      <c r="BM121" s="117"/>
      <c r="BN121" s="117"/>
      <c r="BO121" s="117"/>
      <c r="BP121" s="117"/>
      <c r="BQ121" s="117"/>
      <c r="BR121" s="117"/>
      <c r="BS121" s="117"/>
      <c r="BT121" s="117"/>
      <c r="BU121" s="117"/>
      <c r="BV121" s="117"/>
      <c r="BW121" s="117"/>
      <c r="BX121" s="117"/>
      <c r="BY121" s="117"/>
      <c r="BZ121" s="117"/>
      <c r="CA121" s="117"/>
      <c r="CB121" s="117"/>
      <c r="CC121" s="117"/>
      <c r="CD121" s="117"/>
      <c r="CE121" s="117"/>
      <c r="CF121" s="117"/>
      <c r="CG121" s="117"/>
      <c r="CH121" s="117"/>
      <c r="CI121" s="117"/>
      <c r="CJ121" s="117"/>
      <c r="CK121" s="117"/>
      <c r="CL121" s="117"/>
      <c r="CM121" s="117"/>
      <c r="CN121" s="117"/>
      <c r="CO121" s="117"/>
      <c r="CP121" s="117"/>
      <c r="CQ121" s="117"/>
      <c r="CR121" s="117"/>
      <c r="CS121" s="117"/>
      <c r="CT121" s="117"/>
      <c r="CU121" s="117"/>
      <c r="CV121" s="117"/>
      <c r="CW121" s="117"/>
      <c r="CX121" s="117"/>
      <c r="CY121" s="117"/>
      <c r="CZ121" s="117"/>
      <c r="DA121" s="117"/>
      <c r="DB121" s="117"/>
      <c r="DC121" s="117"/>
      <c r="DD121" s="117"/>
      <c r="DE121" s="117"/>
      <c r="DF121" s="117"/>
      <c r="DG121" s="117"/>
      <c r="DH121" s="117"/>
      <c r="DI121" s="117"/>
      <c r="DJ121" s="117"/>
      <c r="DK121" s="117"/>
      <c r="DL121" s="117"/>
      <c r="DM121" s="117"/>
      <c r="DN121" s="117"/>
      <c r="DO121" s="117"/>
      <c r="DP121" s="117"/>
      <c r="DQ121" s="117"/>
      <c r="DR121" s="117"/>
      <c r="DS121" s="117"/>
      <c r="DT121" s="117"/>
      <c r="DU121" s="117"/>
      <c r="DV121" s="117"/>
      <c r="DW121" s="117"/>
      <c r="DX121" s="117"/>
      <c r="DY121" s="117"/>
      <c r="DZ121" s="117"/>
      <c r="EA121" s="117"/>
      <c r="EB121" s="117"/>
      <c r="EC121" s="117"/>
      <c r="ED121" s="117"/>
      <c r="EE121" s="117"/>
      <c r="EF121" s="117"/>
      <c r="EG121" s="117"/>
      <c r="EH121" s="117"/>
      <c r="EI121" s="117"/>
      <c r="EJ121" s="117"/>
      <c r="EK121" s="117"/>
      <c r="EL121" s="117"/>
      <c r="EM121" s="117"/>
      <c r="EN121" s="117"/>
      <c r="EO121" s="117"/>
      <c r="EP121" s="117"/>
      <c r="EQ121" s="117"/>
      <c r="ER121" s="117"/>
      <c r="ES121" s="117"/>
      <c r="ET121" s="117"/>
      <c r="EU121" s="117"/>
      <c r="EV121" s="117"/>
      <c r="EW121" s="117"/>
      <c r="EX121" s="117"/>
      <c r="EY121" s="117"/>
      <c r="EZ121" s="117"/>
      <c r="FA121" s="117"/>
      <c r="FB121" s="117"/>
      <c r="FC121" s="117"/>
      <c r="FD121" s="117"/>
      <c r="FE121" s="117"/>
      <c r="FF121" s="117"/>
      <c r="FG121" s="117"/>
      <c r="FH121" s="117"/>
      <c r="FI121" s="117"/>
      <c r="FJ121" s="117"/>
      <c r="FK121" s="117"/>
      <c r="FL121" s="117"/>
      <c r="FM121" s="117"/>
      <c r="FN121" s="117"/>
      <c r="FO121" s="117"/>
      <c r="FP121" s="117"/>
      <c r="FQ121" s="117"/>
      <c r="FR121" s="117"/>
      <c r="FS121" s="117"/>
      <c r="FT121" s="117"/>
      <c r="FU121" s="117"/>
      <c r="FV121" s="117"/>
      <c r="FW121" s="117"/>
      <c r="FX121" s="117"/>
      <c r="FY121" s="117"/>
      <c r="FZ121" s="117"/>
      <c r="GA121" s="117"/>
      <c r="GB121" s="117"/>
      <c r="GC121" s="117"/>
      <c r="GD121" s="117"/>
      <c r="GE121" s="117"/>
      <c r="GF121" s="117"/>
      <c r="GG121" s="117"/>
      <c r="GH121" s="117"/>
      <c r="GI121" s="117"/>
      <c r="GJ121" s="117"/>
      <c r="GK121" s="117"/>
      <c r="GL121" s="117"/>
      <c r="GM121" s="117"/>
      <c r="GN121" s="117"/>
      <c r="GO121" s="117"/>
      <c r="GP121" s="117"/>
      <c r="GQ121" s="117"/>
      <c r="GR121" s="117"/>
      <c r="GS121" s="117"/>
      <c r="GT121" s="117"/>
      <c r="GU121" s="117"/>
      <c r="GV121" s="117"/>
      <c r="GW121" s="117"/>
      <c r="GX121" s="117"/>
      <c r="GY121" s="117"/>
      <c r="GZ121" s="117"/>
      <c r="HA121" s="117"/>
      <c r="HB121" s="117"/>
      <c r="HC121" s="117"/>
      <c r="HD121" s="117"/>
      <c r="HE121" s="117"/>
      <c r="HF121" s="117"/>
      <c r="HG121" s="117"/>
      <c r="HH121" s="117"/>
      <c r="HI121" s="117"/>
      <c r="HJ121" s="117"/>
      <c r="HK121" s="117"/>
      <c r="HL121" s="117"/>
      <c r="HM121" s="117"/>
      <c r="HN121" s="117"/>
      <c r="HO121" s="117"/>
      <c r="HP121" s="117"/>
      <c r="HQ121" s="117"/>
      <c r="HR121" s="117"/>
      <c r="HS121" s="117"/>
      <c r="HT121" s="117"/>
      <c r="HU121" s="117"/>
      <c r="HV121" s="117"/>
      <c r="HW121" s="117"/>
      <c r="HX121" s="117"/>
      <c r="HY121" s="117"/>
      <c r="HZ121" s="117"/>
      <c r="IA121" s="117"/>
      <c r="IB121" s="117"/>
    </row>
    <row r="122" spans="1:236" s="79" customFormat="1" ht="14.25">
      <c r="A122" s="117"/>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7"/>
      <c r="CB122" s="117"/>
      <c r="CC122" s="117"/>
      <c r="CD122" s="117"/>
      <c r="CE122" s="117"/>
      <c r="CF122" s="117"/>
      <c r="CG122" s="117"/>
      <c r="CH122" s="117"/>
      <c r="CI122" s="117"/>
      <c r="CJ122" s="117"/>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c r="DE122" s="117"/>
      <c r="DF122" s="117"/>
      <c r="DG122" s="117"/>
      <c r="DH122" s="117"/>
      <c r="DI122" s="117"/>
      <c r="DJ122" s="117"/>
      <c r="DK122" s="117"/>
      <c r="DL122" s="117"/>
      <c r="DM122" s="117"/>
      <c r="DN122" s="117"/>
      <c r="DO122" s="117"/>
      <c r="DP122" s="117"/>
      <c r="DQ122" s="117"/>
      <c r="DR122" s="117"/>
      <c r="DS122" s="117"/>
      <c r="DT122" s="117"/>
      <c r="DU122" s="117"/>
      <c r="DV122" s="117"/>
      <c r="DW122" s="117"/>
      <c r="DX122" s="117"/>
      <c r="DY122" s="117"/>
      <c r="DZ122" s="117"/>
      <c r="EA122" s="117"/>
      <c r="EB122" s="117"/>
      <c r="EC122" s="117"/>
      <c r="ED122" s="117"/>
      <c r="EE122" s="117"/>
      <c r="EF122" s="117"/>
      <c r="EG122" s="117"/>
      <c r="EH122" s="117"/>
      <c r="EI122" s="117"/>
      <c r="EJ122" s="117"/>
      <c r="EK122" s="117"/>
      <c r="EL122" s="117"/>
      <c r="EM122" s="117"/>
      <c r="EN122" s="117"/>
      <c r="EO122" s="117"/>
      <c r="EP122" s="117"/>
      <c r="EQ122" s="117"/>
      <c r="ER122" s="117"/>
      <c r="ES122" s="117"/>
      <c r="ET122" s="117"/>
      <c r="EU122" s="117"/>
      <c r="EV122" s="117"/>
      <c r="EW122" s="117"/>
      <c r="EX122" s="117"/>
      <c r="EY122" s="117"/>
      <c r="EZ122" s="117"/>
      <c r="FA122" s="117"/>
      <c r="FB122" s="117"/>
      <c r="FC122" s="117"/>
      <c r="FD122" s="117"/>
      <c r="FE122" s="117"/>
      <c r="FF122" s="117"/>
      <c r="FG122" s="117"/>
      <c r="FH122" s="117"/>
      <c r="FI122" s="117"/>
      <c r="FJ122" s="117"/>
      <c r="FK122" s="117"/>
      <c r="FL122" s="117"/>
      <c r="FM122" s="117"/>
      <c r="FN122" s="117"/>
      <c r="FO122" s="117"/>
      <c r="FP122" s="117"/>
      <c r="FQ122" s="117"/>
      <c r="FR122" s="117"/>
      <c r="FS122" s="117"/>
      <c r="FT122" s="117"/>
      <c r="FU122" s="117"/>
      <c r="FV122" s="117"/>
      <c r="FW122" s="117"/>
      <c r="FX122" s="117"/>
      <c r="FY122" s="117"/>
      <c r="FZ122" s="117"/>
      <c r="GA122" s="117"/>
      <c r="GB122" s="117"/>
      <c r="GC122" s="117"/>
      <c r="GD122" s="117"/>
      <c r="GE122" s="117"/>
      <c r="GF122" s="117"/>
      <c r="GG122" s="117"/>
      <c r="GH122" s="117"/>
      <c r="GI122" s="117"/>
      <c r="GJ122" s="117"/>
      <c r="GK122" s="117"/>
      <c r="GL122" s="117"/>
      <c r="GM122" s="117"/>
      <c r="GN122" s="117"/>
      <c r="GO122" s="117"/>
      <c r="GP122" s="117"/>
      <c r="GQ122" s="117"/>
      <c r="GR122" s="117"/>
      <c r="GS122" s="117"/>
      <c r="GT122" s="117"/>
      <c r="GU122" s="117"/>
      <c r="GV122" s="117"/>
      <c r="GW122" s="117"/>
      <c r="GX122" s="117"/>
      <c r="GY122" s="117"/>
      <c r="GZ122" s="117"/>
      <c r="HA122" s="117"/>
      <c r="HB122" s="117"/>
      <c r="HC122" s="117"/>
      <c r="HD122" s="117"/>
      <c r="HE122" s="117"/>
      <c r="HF122" s="117"/>
      <c r="HG122" s="117"/>
      <c r="HH122" s="117"/>
      <c r="HI122" s="117"/>
      <c r="HJ122" s="117"/>
      <c r="HK122" s="117"/>
      <c r="HL122" s="117"/>
      <c r="HM122" s="117"/>
      <c r="HN122" s="117"/>
      <c r="HO122" s="117"/>
      <c r="HP122" s="117"/>
      <c r="HQ122" s="117"/>
      <c r="HR122" s="117"/>
      <c r="HS122" s="117"/>
      <c r="HT122" s="117"/>
      <c r="HU122" s="117"/>
      <c r="HV122" s="117"/>
      <c r="HW122" s="117"/>
      <c r="HX122" s="117"/>
      <c r="HY122" s="117"/>
      <c r="HZ122" s="117"/>
      <c r="IA122" s="117"/>
      <c r="IB122" s="117"/>
    </row>
    <row r="123" spans="1:236" s="79" customFormat="1" ht="14.25">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c r="BL123" s="117"/>
      <c r="BM123" s="117"/>
      <c r="BN123" s="117"/>
      <c r="BO123" s="117"/>
      <c r="BP123" s="117"/>
      <c r="BQ123" s="117"/>
      <c r="BR123" s="117"/>
      <c r="BS123" s="117"/>
      <c r="BT123" s="117"/>
      <c r="BU123" s="117"/>
      <c r="BV123" s="117"/>
      <c r="BW123" s="117"/>
      <c r="BX123" s="117"/>
      <c r="BY123" s="117"/>
      <c r="BZ123" s="117"/>
      <c r="CA123" s="117"/>
      <c r="CB123" s="117"/>
      <c r="CC123" s="117"/>
      <c r="CD123" s="117"/>
      <c r="CE123" s="117"/>
      <c r="CF123" s="117"/>
      <c r="CG123" s="117"/>
      <c r="CH123" s="117"/>
      <c r="CI123" s="117"/>
      <c r="CJ123" s="117"/>
      <c r="CK123" s="117"/>
      <c r="CL123" s="117"/>
      <c r="CM123" s="117"/>
      <c r="CN123" s="117"/>
      <c r="CO123" s="117"/>
      <c r="CP123" s="117"/>
      <c r="CQ123" s="117"/>
      <c r="CR123" s="117"/>
      <c r="CS123" s="117"/>
      <c r="CT123" s="117"/>
      <c r="CU123" s="117"/>
      <c r="CV123" s="117"/>
      <c r="CW123" s="117"/>
      <c r="CX123" s="117"/>
      <c r="CY123" s="117"/>
      <c r="CZ123" s="117"/>
      <c r="DA123" s="117"/>
      <c r="DB123" s="117"/>
      <c r="DC123" s="117"/>
      <c r="DD123" s="117"/>
      <c r="DE123" s="117"/>
      <c r="DF123" s="117"/>
      <c r="DG123" s="117"/>
      <c r="DH123" s="117"/>
      <c r="DI123" s="117"/>
      <c r="DJ123" s="117"/>
      <c r="DK123" s="117"/>
      <c r="DL123" s="117"/>
      <c r="DM123" s="117"/>
      <c r="DN123" s="117"/>
      <c r="DO123" s="117"/>
      <c r="DP123" s="117"/>
      <c r="DQ123" s="117"/>
      <c r="DR123" s="117"/>
      <c r="DS123" s="117"/>
      <c r="DT123" s="117"/>
      <c r="DU123" s="117"/>
      <c r="DV123" s="117"/>
      <c r="DW123" s="117"/>
      <c r="DX123" s="117"/>
      <c r="DY123" s="117"/>
      <c r="DZ123" s="117"/>
      <c r="EA123" s="117"/>
      <c r="EB123" s="117"/>
      <c r="EC123" s="117"/>
      <c r="ED123" s="117"/>
      <c r="EE123" s="117"/>
      <c r="EF123" s="117"/>
      <c r="EG123" s="117"/>
      <c r="EH123" s="117"/>
      <c r="EI123" s="117"/>
      <c r="EJ123" s="117"/>
      <c r="EK123" s="117"/>
      <c r="EL123" s="117"/>
      <c r="EM123" s="117"/>
      <c r="EN123" s="117"/>
      <c r="EO123" s="117"/>
      <c r="EP123" s="117"/>
      <c r="EQ123" s="117"/>
      <c r="ER123" s="117"/>
      <c r="ES123" s="117"/>
      <c r="ET123" s="117"/>
      <c r="EU123" s="117"/>
      <c r="EV123" s="117"/>
      <c r="EW123" s="117"/>
      <c r="EX123" s="117"/>
      <c r="EY123" s="117"/>
      <c r="EZ123" s="117"/>
      <c r="FA123" s="117"/>
      <c r="FB123" s="117"/>
      <c r="FC123" s="117"/>
      <c r="FD123" s="117"/>
      <c r="FE123" s="117"/>
      <c r="FF123" s="117"/>
      <c r="FG123" s="117"/>
      <c r="FH123" s="117"/>
      <c r="FI123" s="117"/>
      <c r="FJ123" s="117"/>
      <c r="FK123" s="117"/>
      <c r="FL123" s="117"/>
      <c r="FM123" s="117"/>
      <c r="FN123" s="117"/>
      <c r="FO123" s="117"/>
      <c r="FP123" s="117"/>
      <c r="FQ123" s="117"/>
      <c r="FR123" s="117"/>
      <c r="FS123" s="117"/>
      <c r="FT123" s="117"/>
      <c r="FU123" s="117"/>
      <c r="FV123" s="117"/>
      <c r="FW123" s="117"/>
      <c r="FX123" s="117"/>
      <c r="FY123" s="117"/>
      <c r="FZ123" s="117"/>
      <c r="GA123" s="117"/>
      <c r="GB123" s="117"/>
      <c r="GC123" s="117"/>
      <c r="GD123" s="117"/>
      <c r="GE123" s="117"/>
      <c r="GF123" s="117"/>
      <c r="GG123" s="117"/>
      <c r="GH123" s="117"/>
      <c r="GI123" s="117"/>
      <c r="GJ123" s="117"/>
      <c r="GK123" s="117"/>
      <c r="GL123" s="117"/>
      <c r="GM123" s="117"/>
      <c r="GN123" s="117"/>
      <c r="GO123" s="117"/>
      <c r="GP123" s="117"/>
      <c r="GQ123" s="117"/>
      <c r="GR123" s="117"/>
      <c r="GS123" s="117"/>
      <c r="GT123" s="117"/>
      <c r="GU123" s="117"/>
      <c r="GV123" s="117"/>
      <c r="GW123" s="117"/>
      <c r="GX123" s="117"/>
      <c r="GY123" s="117"/>
      <c r="GZ123" s="117"/>
      <c r="HA123" s="117"/>
      <c r="HB123" s="117"/>
      <c r="HC123" s="117"/>
      <c r="HD123" s="117"/>
      <c r="HE123" s="117"/>
      <c r="HF123" s="117"/>
      <c r="HG123" s="117"/>
      <c r="HH123" s="117"/>
      <c r="HI123" s="117"/>
      <c r="HJ123" s="117"/>
      <c r="HK123" s="117"/>
      <c r="HL123" s="117"/>
      <c r="HM123" s="117"/>
      <c r="HN123" s="117"/>
      <c r="HO123" s="117"/>
      <c r="HP123" s="117"/>
      <c r="HQ123" s="117"/>
      <c r="HR123" s="117"/>
      <c r="HS123" s="117"/>
      <c r="HT123" s="117"/>
      <c r="HU123" s="117"/>
      <c r="HV123" s="117"/>
      <c r="HW123" s="117"/>
      <c r="HX123" s="117"/>
      <c r="HY123" s="117"/>
      <c r="HZ123" s="117"/>
      <c r="IA123" s="117"/>
      <c r="IB123" s="117"/>
    </row>
    <row r="124" spans="1:236" s="79" customFormat="1" ht="14.25">
      <c r="A124" s="117"/>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17"/>
      <c r="BV124" s="117"/>
      <c r="BW124" s="117"/>
      <c r="BX124" s="117"/>
      <c r="BY124" s="117"/>
      <c r="BZ124" s="117"/>
      <c r="CA124" s="117"/>
      <c r="CB124" s="117"/>
      <c r="CC124" s="117"/>
      <c r="CD124" s="117"/>
      <c r="CE124" s="117"/>
      <c r="CF124" s="117"/>
      <c r="CG124" s="117"/>
      <c r="CH124" s="117"/>
      <c r="CI124" s="117"/>
      <c r="CJ124" s="117"/>
      <c r="CK124" s="117"/>
      <c r="CL124" s="117"/>
      <c r="CM124" s="117"/>
      <c r="CN124" s="117"/>
      <c r="CO124" s="117"/>
      <c r="CP124" s="117"/>
      <c r="CQ124" s="117"/>
      <c r="CR124" s="117"/>
      <c r="CS124" s="117"/>
      <c r="CT124" s="117"/>
      <c r="CU124" s="117"/>
      <c r="CV124" s="117"/>
      <c r="CW124" s="117"/>
      <c r="CX124" s="117"/>
      <c r="CY124" s="117"/>
      <c r="CZ124" s="117"/>
      <c r="DA124" s="117"/>
      <c r="DB124" s="117"/>
      <c r="DC124" s="117"/>
      <c r="DD124" s="117"/>
      <c r="DE124" s="117"/>
      <c r="DF124" s="117"/>
      <c r="DG124" s="117"/>
      <c r="DH124" s="117"/>
      <c r="DI124" s="117"/>
      <c r="DJ124" s="117"/>
      <c r="DK124" s="117"/>
      <c r="DL124" s="117"/>
      <c r="DM124" s="117"/>
      <c r="DN124" s="117"/>
      <c r="DO124" s="117"/>
      <c r="DP124" s="117"/>
      <c r="DQ124" s="117"/>
      <c r="DR124" s="117"/>
      <c r="DS124" s="117"/>
      <c r="DT124" s="117"/>
      <c r="DU124" s="117"/>
      <c r="DV124" s="117"/>
      <c r="DW124" s="117"/>
      <c r="DX124" s="117"/>
      <c r="DY124" s="117"/>
      <c r="DZ124" s="117"/>
      <c r="EA124" s="117"/>
      <c r="EB124" s="117"/>
      <c r="EC124" s="117"/>
      <c r="ED124" s="117"/>
      <c r="EE124" s="117"/>
      <c r="EF124" s="117"/>
      <c r="EG124" s="117"/>
      <c r="EH124" s="117"/>
      <c r="EI124" s="117"/>
      <c r="EJ124" s="117"/>
      <c r="EK124" s="117"/>
      <c r="EL124" s="117"/>
      <c r="EM124" s="117"/>
      <c r="EN124" s="117"/>
      <c r="EO124" s="117"/>
      <c r="EP124" s="117"/>
      <c r="EQ124" s="117"/>
      <c r="ER124" s="117"/>
      <c r="ES124" s="117"/>
      <c r="ET124" s="117"/>
      <c r="EU124" s="117"/>
      <c r="EV124" s="117"/>
      <c r="EW124" s="117"/>
      <c r="EX124" s="117"/>
      <c r="EY124" s="117"/>
      <c r="EZ124" s="117"/>
      <c r="FA124" s="117"/>
      <c r="FB124" s="117"/>
      <c r="FC124" s="117"/>
      <c r="FD124" s="117"/>
      <c r="FE124" s="117"/>
      <c r="FF124" s="117"/>
      <c r="FG124" s="117"/>
      <c r="FH124" s="117"/>
      <c r="FI124" s="117"/>
      <c r="FJ124" s="117"/>
      <c r="FK124" s="117"/>
      <c r="FL124" s="117"/>
      <c r="FM124" s="117"/>
      <c r="FN124" s="117"/>
      <c r="FO124" s="117"/>
      <c r="FP124" s="117"/>
      <c r="FQ124" s="117"/>
      <c r="FR124" s="117"/>
      <c r="FS124" s="117"/>
      <c r="FT124" s="117"/>
      <c r="FU124" s="117"/>
      <c r="FV124" s="117"/>
      <c r="FW124" s="117"/>
      <c r="FX124" s="117"/>
      <c r="FY124" s="117"/>
      <c r="FZ124" s="117"/>
      <c r="GA124" s="117"/>
      <c r="GB124" s="117"/>
      <c r="GC124" s="117"/>
      <c r="GD124" s="117"/>
      <c r="GE124" s="117"/>
      <c r="GF124" s="117"/>
      <c r="GG124" s="117"/>
      <c r="GH124" s="117"/>
      <c r="GI124" s="117"/>
      <c r="GJ124" s="117"/>
      <c r="GK124" s="117"/>
      <c r="GL124" s="117"/>
      <c r="GM124" s="117"/>
      <c r="GN124" s="117"/>
      <c r="GO124" s="117"/>
      <c r="GP124" s="117"/>
      <c r="GQ124" s="117"/>
      <c r="GR124" s="117"/>
      <c r="GS124" s="117"/>
      <c r="GT124" s="117"/>
      <c r="GU124" s="117"/>
      <c r="GV124" s="117"/>
      <c r="GW124" s="117"/>
      <c r="GX124" s="117"/>
      <c r="GY124" s="117"/>
      <c r="GZ124" s="117"/>
      <c r="HA124" s="117"/>
      <c r="HB124" s="117"/>
      <c r="HC124" s="117"/>
      <c r="HD124" s="117"/>
      <c r="HE124" s="117"/>
      <c r="HF124" s="117"/>
      <c r="HG124" s="117"/>
      <c r="HH124" s="117"/>
      <c r="HI124" s="117"/>
      <c r="HJ124" s="117"/>
      <c r="HK124" s="117"/>
      <c r="HL124" s="117"/>
      <c r="HM124" s="117"/>
      <c r="HN124" s="117"/>
      <c r="HO124" s="117"/>
      <c r="HP124" s="117"/>
      <c r="HQ124" s="117"/>
      <c r="HR124" s="117"/>
      <c r="HS124" s="117"/>
      <c r="HT124" s="117"/>
      <c r="HU124" s="117"/>
      <c r="HV124" s="117"/>
      <c r="HW124" s="117"/>
      <c r="HX124" s="117"/>
      <c r="HY124" s="117"/>
      <c r="HZ124" s="117"/>
      <c r="IA124" s="117"/>
      <c r="IB124" s="117"/>
    </row>
    <row r="125" spans="1:236" s="79" customFormat="1" ht="14.25">
      <c r="A125" s="117"/>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BZ125" s="117"/>
      <c r="CA125" s="117"/>
      <c r="CB125" s="117"/>
      <c r="CC125" s="117"/>
      <c r="CD125" s="117"/>
      <c r="CE125" s="117"/>
      <c r="CF125" s="117"/>
      <c r="CG125" s="117"/>
      <c r="CH125" s="117"/>
      <c r="CI125" s="117"/>
      <c r="CJ125" s="117"/>
      <c r="CK125" s="117"/>
      <c r="CL125" s="117"/>
      <c r="CM125" s="117"/>
      <c r="CN125" s="117"/>
      <c r="CO125" s="117"/>
      <c r="CP125" s="117"/>
      <c r="CQ125" s="117"/>
      <c r="CR125" s="117"/>
      <c r="CS125" s="117"/>
      <c r="CT125" s="117"/>
      <c r="CU125" s="117"/>
      <c r="CV125" s="117"/>
      <c r="CW125" s="117"/>
      <c r="CX125" s="117"/>
      <c r="CY125" s="117"/>
      <c r="CZ125" s="117"/>
      <c r="DA125" s="117"/>
      <c r="DB125" s="117"/>
      <c r="DC125" s="117"/>
      <c r="DD125" s="117"/>
      <c r="DE125" s="117"/>
      <c r="DF125" s="117"/>
      <c r="DG125" s="117"/>
      <c r="DH125" s="117"/>
      <c r="DI125" s="117"/>
      <c r="DJ125" s="117"/>
      <c r="DK125" s="117"/>
      <c r="DL125" s="117"/>
      <c r="DM125" s="117"/>
      <c r="DN125" s="117"/>
      <c r="DO125" s="117"/>
      <c r="DP125" s="117"/>
      <c r="DQ125" s="117"/>
      <c r="DR125" s="117"/>
      <c r="DS125" s="117"/>
      <c r="DT125" s="117"/>
      <c r="DU125" s="117"/>
      <c r="DV125" s="117"/>
      <c r="DW125" s="117"/>
      <c r="DX125" s="117"/>
      <c r="DY125" s="117"/>
      <c r="DZ125" s="117"/>
      <c r="EA125" s="117"/>
      <c r="EB125" s="117"/>
      <c r="EC125" s="117"/>
      <c r="ED125" s="117"/>
      <c r="EE125" s="117"/>
      <c r="EF125" s="117"/>
      <c r="EG125" s="117"/>
      <c r="EH125" s="117"/>
      <c r="EI125" s="117"/>
      <c r="EJ125" s="117"/>
      <c r="EK125" s="117"/>
      <c r="EL125" s="117"/>
      <c r="EM125" s="117"/>
      <c r="EN125" s="117"/>
      <c r="EO125" s="117"/>
      <c r="EP125" s="117"/>
      <c r="EQ125" s="117"/>
      <c r="ER125" s="117"/>
      <c r="ES125" s="117"/>
      <c r="ET125" s="117"/>
      <c r="EU125" s="117"/>
      <c r="EV125" s="117"/>
      <c r="EW125" s="117"/>
      <c r="EX125" s="117"/>
      <c r="EY125" s="117"/>
      <c r="EZ125" s="117"/>
      <c r="FA125" s="117"/>
      <c r="FB125" s="117"/>
      <c r="FC125" s="117"/>
      <c r="FD125" s="117"/>
      <c r="FE125" s="117"/>
      <c r="FF125" s="117"/>
      <c r="FG125" s="117"/>
      <c r="FH125" s="117"/>
      <c r="FI125" s="117"/>
      <c r="FJ125" s="117"/>
      <c r="FK125" s="117"/>
      <c r="FL125" s="117"/>
      <c r="FM125" s="117"/>
      <c r="FN125" s="117"/>
      <c r="FO125" s="117"/>
      <c r="FP125" s="117"/>
      <c r="FQ125" s="117"/>
      <c r="FR125" s="117"/>
      <c r="FS125" s="117"/>
      <c r="FT125" s="117"/>
      <c r="FU125" s="117"/>
      <c r="FV125" s="117"/>
      <c r="FW125" s="117"/>
      <c r="FX125" s="117"/>
      <c r="FY125" s="117"/>
      <c r="FZ125" s="117"/>
      <c r="GA125" s="117"/>
      <c r="GB125" s="117"/>
      <c r="GC125" s="117"/>
      <c r="GD125" s="117"/>
      <c r="GE125" s="117"/>
      <c r="GF125" s="117"/>
      <c r="GG125" s="117"/>
      <c r="GH125" s="117"/>
      <c r="GI125" s="117"/>
      <c r="GJ125" s="117"/>
      <c r="GK125" s="117"/>
      <c r="GL125" s="117"/>
      <c r="GM125" s="117"/>
      <c r="GN125" s="117"/>
      <c r="GO125" s="117"/>
      <c r="GP125" s="117"/>
      <c r="GQ125" s="117"/>
      <c r="GR125" s="117"/>
      <c r="GS125" s="117"/>
      <c r="GT125" s="117"/>
      <c r="GU125" s="117"/>
      <c r="GV125" s="117"/>
      <c r="GW125" s="117"/>
      <c r="GX125" s="117"/>
      <c r="GY125" s="117"/>
      <c r="GZ125" s="117"/>
      <c r="HA125" s="117"/>
      <c r="HB125" s="117"/>
      <c r="HC125" s="117"/>
      <c r="HD125" s="117"/>
      <c r="HE125" s="117"/>
      <c r="HF125" s="117"/>
      <c r="HG125" s="117"/>
      <c r="HH125" s="117"/>
      <c r="HI125" s="117"/>
      <c r="HJ125" s="117"/>
      <c r="HK125" s="117"/>
      <c r="HL125" s="117"/>
      <c r="HM125" s="117"/>
      <c r="HN125" s="117"/>
      <c r="HO125" s="117"/>
      <c r="HP125" s="117"/>
      <c r="HQ125" s="117"/>
      <c r="HR125" s="117"/>
      <c r="HS125" s="117"/>
      <c r="HT125" s="117"/>
      <c r="HU125" s="117"/>
      <c r="HV125" s="117"/>
      <c r="HW125" s="117"/>
      <c r="HX125" s="117"/>
      <c r="HY125" s="117"/>
      <c r="HZ125" s="117"/>
      <c r="IA125" s="117"/>
      <c r="IB125" s="117"/>
    </row>
    <row r="126" spans="1:236" s="79" customFormat="1" ht="14.25">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17"/>
      <c r="BV126" s="117"/>
      <c r="BW126" s="117"/>
      <c r="BX126" s="117"/>
      <c r="BY126" s="117"/>
      <c r="BZ126" s="117"/>
      <c r="CA126" s="117"/>
      <c r="CB126" s="117"/>
      <c r="CC126" s="117"/>
      <c r="CD126" s="117"/>
      <c r="CE126" s="117"/>
      <c r="CF126" s="117"/>
      <c r="CG126" s="117"/>
      <c r="CH126" s="117"/>
      <c r="CI126" s="117"/>
      <c r="CJ126" s="117"/>
      <c r="CK126" s="117"/>
      <c r="CL126" s="117"/>
      <c r="CM126" s="117"/>
      <c r="CN126" s="117"/>
      <c r="CO126" s="117"/>
      <c r="CP126" s="117"/>
      <c r="CQ126" s="117"/>
      <c r="CR126" s="117"/>
      <c r="CS126" s="117"/>
      <c r="CT126" s="117"/>
      <c r="CU126" s="117"/>
      <c r="CV126" s="117"/>
      <c r="CW126" s="117"/>
      <c r="CX126" s="117"/>
      <c r="CY126" s="117"/>
      <c r="CZ126" s="117"/>
      <c r="DA126" s="117"/>
      <c r="DB126" s="117"/>
      <c r="DC126" s="117"/>
      <c r="DD126" s="117"/>
      <c r="DE126" s="117"/>
      <c r="DF126" s="117"/>
      <c r="DG126" s="117"/>
      <c r="DH126" s="117"/>
      <c r="DI126" s="117"/>
      <c r="DJ126" s="117"/>
      <c r="DK126" s="117"/>
      <c r="DL126" s="117"/>
      <c r="DM126" s="117"/>
      <c r="DN126" s="117"/>
      <c r="DO126" s="117"/>
      <c r="DP126" s="117"/>
      <c r="DQ126" s="117"/>
      <c r="DR126" s="117"/>
      <c r="DS126" s="117"/>
      <c r="DT126" s="117"/>
      <c r="DU126" s="117"/>
      <c r="DV126" s="117"/>
      <c r="DW126" s="117"/>
      <c r="DX126" s="117"/>
      <c r="DY126" s="117"/>
      <c r="DZ126" s="117"/>
      <c r="EA126" s="117"/>
      <c r="EB126" s="117"/>
      <c r="EC126" s="117"/>
      <c r="ED126" s="117"/>
      <c r="EE126" s="117"/>
      <c r="EF126" s="117"/>
      <c r="EG126" s="117"/>
      <c r="EH126" s="117"/>
      <c r="EI126" s="117"/>
      <c r="EJ126" s="117"/>
      <c r="EK126" s="117"/>
      <c r="EL126" s="117"/>
      <c r="EM126" s="117"/>
      <c r="EN126" s="117"/>
      <c r="EO126" s="117"/>
      <c r="EP126" s="117"/>
      <c r="EQ126" s="117"/>
      <c r="ER126" s="117"/>
      <c r="ES126" s="117"/>
      <c r="ET126" s="117"/>
      <c r="EU126" s="117"/>
      <c r="EV126" s="117"/>
      <c r="EW126" s="117"/>
      <c r="EX126" s="117"/>
      <c r="EY126" s="117"/>
      <c r="EZ126" s="117"/>
      <c r="FA126" s="117"/>
      <c r="FB126" s="117"/>
      <c r="FC126" s="117"/>
      <c r="FD126" s="117"/>
      <c r="FE126" s="117"/>
      <c r="FF126" s="117"/>
      <c r="FG126" s="117"/>
      <c r="FH126" s="117"/>
      <c r="FI126" s="117"/>
      <c r="FJ126" s="117"/>
      <c r="FK126" s="117"/>
      <c r="FL126" s="117"/>
      <c r="FM126" s="117"/>
      <c r="FN126" s="117"/>
      <c r="FO126" s="117"/>
      <c r="FP126" s="117"/>
      <c r="FQ126" s="117"/>
      <c r="FR126" s="117"/>
      <c r="FS126" s="117"/>
      <c r="FT126" s="117"/>
      <c r="FU126" s="117"/>
      <c r="FV126" s="117"/>
      <c r="FW126" s="117"/>
      <c r="FX126" s="117"/>
      <c r="FY126" s="117"/>
      <c r="FZ126" s="117"/>
      <c r="GA126" s="117"/>
      <c r="GB126" s="117"/>
      <c r="GC126" s="117"/>
      <c r="GD126" s="117"/>
      <c r="GE126" s="117"/>
      <c r="GF126" s="117"/>
      <c r="GG126" s="117"/>
      <c r="GH126" s="117"/>
      <c r="GI126" s="117"/>
      <c r="GJ126" s="117"/>
      <c r="GK126" s="117"/>
      <c r="GL126" s="117"/>
      <c r="GM126" s="117"/>
      <c r="GN126" s="117"/>
      <c r="GO126" s="117"/>
      <c r="GP126" s="117"/>
      <c r="GQ126" s="117"/>
      <c r="GR126" s="117"/>
      <c r="GS126" s="117"/>
      <c r="GT126" s="117"/>
      <c r="GU126" s="117"/>
      <c r="GV126" s="117"/>
      <c r="GW126" s="117"/>
      <c r="GX126" s="117"/>
      <c r="GY126" s="117"/>
      <c r="GZ126" s="117"/>
      <c r="HA126" s="117"/>
      <c r="HB126" s="117"/>
      <c r="HC126" s="117"/>
      <c r="HD126" s="117"/>
      <c r="HE126" s="117"/>
      <c r="HF126" s="117"/>
      <c r="HG126" s="117"/>
      <c r="HH126" s="117"/>
      <c r="HI126" s="117"/>
      <c r="HJ126" s="117"/>
      <c r="HK126" s="117"/>
      <c r="HL126" s="117"/>
      <c r="HM126" s="117"/>
      <c r="HN126" s="117"/>
      <c r="HO126" s="117"/>
      <c r="HP126" s="117"/>
      <c r="HQ126" s="117"/>
      <c r="HR126" s="117"/>
      <c r="HS126" s="117"/>
      <c r="HT126" s="117"/>
      <c r="HU126" s="117"/>
      <c r="HV126" s="117"/>
      <c r="HW126" s="117"/>
      <c r="HX126" s="117"/>
      <c r="HY126" s="117"/>
      <c r="HZ126" s="117"/>
      <c r="IA126" s="117"/>
      <c r="IB126" s="117"/>
    </row>
    <row r="127" spans="1:236" s="79" customFormat="1" ht="14.25">
      <c r="A127" s="117"/>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c r="BL127" s="117"/>
      <c r="BM127" s="117"/>
      <c r="BN127" s="117"/>
      <c r="BO127" s="117"/>
      <c r="BP127" s="117"/>
      <c r="BQ127" s="117"/>
      <c r="BR127" s="117"/>
      <c r="BS127" s="117"/>
      <c r="BT127" s="117"/>
      <c r="BU127" s="117"/>
      <c r="BV127" s="117"/>
      <c r="BW127" s="117"/>
      <c r="BX127" s="117"/>
      <c r="BY127" s="117"/>
      <c r="BZ127" s="117"/>
      <c r="CA127" s="117"/>
      <c r="CB127" s="117"/>
      <c r="CC127" s="117"/>
      <c r="CD127" s="117"/>
      <c r="CE127" s="117"/>
      <c r="CF127" s="117"/>
      <c r="CG127" s="117"/>
      <c r="CH127" s="117"/>
      <c r="CI127" s="117"/>
      <c r="CJ127" s="117"/>
      <c r="CK127" s="117"/>
      <c r="CL127" s="117"/>
      <c r="CM127" s="117"/>
      <c r="CN127" s="117"/>
      <c r="CO127" s="117"/>
      <c r="CP127" s="117"/>
      <c r="CQ127" s="117"/>
      <c r="CR127" s="117"/>
      <c r="CS127" s="117"/>
      <c r="CT127" s="117"/>
      <c r="CU127" s="117"/>
      <c r="CV127" s="117"/>
      <c r="CW127" s="117"/>
      <c r="CX127" s="117"/>
      <c r="CY127" s="117"/>
      <c r="CZ127" s="117"/>
      <c r="DA127" s="117"/>
      <c r="DB127" s="117"/>
      <c r="DC127" s="117"/>
      <c r="DD127" s="117"/>
      <c r="DE127" s="117"/>
      <c r="DF127" s="117"/>
      <c r="DG127" s="117"/>
      <c r="DH127" s="117"/>
      <c r="DI127" s="117"/>
      <c r="DJ127" s="117"/>
      <c r="DK127" s="117"/>
      <c r="DL127" s="117"/>
      <c r="DM127" s="117"/>
      <c r="DN127" s="117"/>
      <c r="DO127" s="117"/>
      <c r="DP127" s="117"/>
      <c r="DQ127" s="117"/>
      <c r="DR127" s="117"/>
      <c r="DS127" s="117"/>
      <c r="DT127" s="117"/>
      <c r="DU127" s="117"/>
      <c r="DV127" s="117"/>
      <c r="DW127" s="117"/>
      <c r="DX127" s="117"/>
      <c r="DY127" s="117"/>
      <c r="DZ127" s="117"/>
      <c r="EA127" s="117"/>
      <c r="EB127" s="117"/>
      <c r="EC127" s="117"/>
      <c r="ED127" s="117"/>
      <c r="EE127" s="117"/>
      <c r="EF127" s="117"/>
      <c r="EG127" s="117"/>
      <c r="EH127" s="117"/>
      <c r="EI127" s="117"/>
      <c r="EJ127" s="117"/>
      <c r="EK127" s="117"/>
      <c r="EL127" s="117"/>
      <c r="EM127" s="117"/>
      <c r="EN127" s="117"/>
      <c r="EO127" s="117"/>
      <c r="EP127" s="117"/>
      <c r="EQ127" s="117"/>
      <c r="ER127" s="117"/>
      <c r="ES127" s="117"/>
      <c r="ET127" s="117"/>
      <c r="EU127" s="117"/>
      <c r="EV127" s="117"/>
      <c r="EW127" s="117"/>
      <c r="EX127" s="117"/>
      <c r="EY127" s="117"/>
      <c r="EZ127" s="117"/>
      <c r="FA127" s="117"/>
      <c r="FB127" s="117"/>
      <c r="FC127" s="117"/>
      <c r="FD127" s="117"/>
      <c r="FE127" s="117"/>
      <c r="FF127" s="117"/>
      <c r="FG127" s="117"/>
      <c r="FH127" s="117"/>
      <c r="FI127" s="117"/>
      <c r="FJ127" s="117"/>
      <c r="FK127" s="117"/>
      <c r="FL127" s="117"/>
      <c r="FM127" s="117"/>
      <c r="FN127" s="117"/>
      <c r="FO127" s="117"/>
      <c r="FP127" s="117"/>
      <c r="FQ127" s="117"/>
      <c r="FR127" s="117"/>
      <c r="FS127" s="117"/>
      <c r="FT127" s="117"/>
      <c r="FU127" s="117"/>
      <c r="FV127" s="117"/>
      <c r="FW127" s="117"/>
      <c r="FX127" s="117"/>
      <c r="FY127" s="117"/>
      <c r="FZ127" s="117"/>
      <c r="GA127" s="117"/>
      <c r="GB127" s="117"/>
      <c r="GC127" s="117"/>
      <c r="GD127" s="117"/>
      <c r="GE127" s="117"/>
      <c r="GF127" s="117"/>
      <c r="GG127" s="117"/>
      <c r="GH127" s="117"/>
      <c r="GI127" s="117"/>
      <c r="GJ127" s="117"/>
      <c r="GK127" s="117"/>
      <c r="GL127" s="117"/>
      <c r="GM127" s="117"/>
      <c r="GN127" s="117"/>
      <c r="GO127" s="117"/>
      <c r="GP127" s="117"/>
      <c r="GQ127" s="117"/>
      <c r="GR127" s="117"/>
      <c r="GS127" s="117"/>
      <c r="GT127" s="117"/>
      <c r="GU127" s="117"/>
      <c r="GV127" s="117"/>
      <c r="GW127" s="117"/>
      <c r="GX127" s="117"/>
      <c r="GY127" s="117"/>
      <c r="GZ127" s="117"/>
      <c r="HA127" s="117"/>
      <c r="HB127" s="117"/>
      <c r="HC127" s="117"/>
      <c r="HD127" s="117"/>
      <c r="HE127" s="117"/>
      <c r="HF127" s="117"/>
      <c r="HG127" s="117"/>
      <c r="HH127" s="117"/>
      <c r="HI127" s="117"/>
      <c r="HJ127" s="117"/>
      <c r="HK127" s="117"/>
      <c r="HL127" s="117"/>
      <c r="HM127" s="117"/>
      <c r="HN127" s="117"/>
      <c r="HO127" s="117"/>
      <c r="HP127" s="117"/>
      <c r="HQ127" s="117"/>
      <c r="HR127" s="117"/>
      <c r="HS127" s="117"/>
      <c r="HT127" s="117"/>
      <c r="HU127" s="117"/>
      <c r="HV127" s="117"/>
      <c r="HW127" s="117"/>
      <c r="HX127" s="117"/>
      <c r="HY127" s="117"/>
      <c r="HZ127" s="117"/>
      <c r="IA127" s="117"/>
      <c r="IB127" s="117"/>
    </row>
    <row r="128" spans="1:236" s="79" customFormat="1" ht="14.25">
      <c r="A128" s="117"/>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c r="BL128" s="117"/>
      <c r="BM128" s="117"/>
      <c r="BN128" s="117"/>
      <c r="BO128" s="117"/>
      <c r="BP128" s="117"/>
      <c r="BQ128" s="117"/>
      <c r="BR128" s="117"/>
      <c r="BS128" s="117"/>
      <c r="BT128" s="117"/>
      <c r="BU128" s="117"/>
      <c r="BV128" s="117"/>
      <c r="BW128" s="117"/>
      <c r="BX128" s="117"/>
      <c r="BY128" s="117"/>
      <c r="BZ128" s="117"/>
      <c r="CA128" s="117"/>
      <c r="CB128" s="117"/>
      <c r="CC128" s="117"/>
      <c r="CD128" s="117"/>
      <c r="CE128" s="117"/>
      <c r="CF128" s="117"/>
      <c r="CG128" s="117"/>
      <c r="CH128" s="117"/>
      <c r="CI128" s="117"/>
      <c r="CJ128" s="117"/>
      <c r="CK128" s="117"/>
      <c r="CL128" s="117"/>
      <c r="CM128" s="117"/>
      <c r="CN128" s="117"/>
      <c r="CO128" s="117"/>
      <c r="CP128" s="117"/>
      <c r="CQ128" s="117"/>
      <c r="CR128" s="117"/>
      <c r="CS128" s="117"/>
      <c r="CT128" s="117"/>
      <c r="CU128" s="117"/>
      <c r="CV128" s="117"/>
      <c r="CW128" s="117"/>
      <c r="CX128" s="117"/>
      <c r="CY128" s="117"/>
      <c r="CZ128" s="117"/>
      <c r="DA128" s="117"/>
      <c r="DB128" s="117"/>
      <c r="DC128" s="117"/>
      <c r="DD128" s="117"/>
      <c r="DE128" s="117"/>
      <c r="DF128" s="117"/>
      <c r="DG128" s="117"/>
      <c r="DH128" s="117"/>
      <c r="DI128" s="117"/>
      <c r="DJ128" s="117"/>
      <c r="DK128" s="117"/>
      <c r="DL128" s="117"/>
      <c r="DM128" s="117"/>
      <c r="DN128" s="117"/>
      <c r="DO128" s="117"/>
      <c r="DP128" s="117"/>
      <c r="DQ128" s="117"/>
      <c r="DR128" s="117"/>
      <c r="DS128" s="117"/>
      <c r="DT128" s="117"/>
      <c r="DU128" s="117"/>
      <c r="DV128" s="117"/>
      <c r="DW128" s="117"/>
      <c r="DX128" s="117"/>
      <c r="DY128" s="117"/>
      <c r="DZ128" s="117"/>
      <c r="EA128" s="117"/>
      <c r="EB128" s="117"/>
      <c r="EC128" s="117"/>
      <c r="ED128" s="117"/>
      <c r="EE128" s="117"/>
      <c r="EF128" s="117"/>
      <c r="EG128" s="117"/>
      <c r="EH128" s="117"/>
      <c r="EI128" s="117"/>
      <c r="EJ128" s="117"/>
      <c r="EK128" s="117"/>
      <c r="EL128" s="117"/>
      <c r="EM128" s="117"/>
      <c r="EN128" s="117"/>
      <c r="EO128" s="117"/>
      <c r="EP128" s="117"/>
      <c r="EQ128" s="117"/>
      <c r="ER128" s="117"/>
      <c r="ES128" s="117"/>
      <c r="ET128" s="117"/>
      <c r="EU128" s="117"/>
      <c r="EV128" s="117"/>
      <c r="EW128" s="117"/>
      <c r="EX128" s="117"/>
      <c r="EY128" s="117"/>
      <c r="EZ128" s="117"/>
      <c r="FA128" s="117"/>
      <c r="FB128" s="117"/>
      <c r="FC128" s="117"/>
      <c r="FD128" s="117"/>
      <c r="FE128" s="117"/>
      <c r="FF128" s="117"/>
      <c r="FG128" s="117"/>
      <c r="FH128" s="117"/>
      <c r="FI128" s="117"/>
      <c r="FJ128" s="117"/>
      <c r="FK128" s="117"/>
      <c r="FL128" s="117"/>
      <c r="FM128" s="117"/>
      <c r="FN128" s="117"/>
      <c r="FO128" s="117"/>
      <c r="FP128" s="117"/>
      <c r="FQ128" s="117"/>
      <c r="FR128" s="117"/>
      <c r="FS128" s="117"/>
      <c r="FT128" s="117"/>
      <c r="FU128" s="117"/>
      <c r="FV128" s="117"/>
      <c r="FW128" s="117"/>
      <c r="FX128" s="117"/>
      <c r="FY128" s="117"/>
      <c r="FZ128" s="117"/>
      <c r="GA128" s="117"/>
      <c r="GB128" s="117"/>
      <c r="GC128" s="117"/>
      <c r="GD128" s="117"/>
      <c r="GE128" s="117"/>
      <c r="GF128" s="117"/>
      <c r="GG128" s="117"/>
      <c r="GH128" s="117"/>
      <c r="GI128" s="117"/>
      <c r="GJ128" s="117"/>
      <c r="GK128" s="117"/>
      <c r="GL128" s="117"/>
      <c r="GM128" s="117"/>
      <c r="GN128" s="117"/>
      <c r="GO128" s="117"/>
      <c r="GP128" s="117"/>
      <c r="GQ128" s="117"/>
      <c r="GR128" s="117"/>
      <c r="GS128" s="117"/>
      <c r="GT128" s="117"/>
      <c r="GU128" s="117"/>
      <c r="GV128" s="117"/>
      <c r="GW128" s="117"/>
      <c r="GX128" s="117"/>
      <c r="GY128" s="117"/>
      <c r="GZ128" s="117"/>
      <c r="HA128" s="117"/>
      <c r="HB128" s="117"/>
      <c r="HC128" s="117"/>
      <c r="HD128" s="117"/>
      <c r="HE128" s="117"/>
      <c r="HF128" s="117"/>
      <c r="HG128" s="117"/>
      <c r="HH128" s="117"/>
      <c r="HI128" s="117"/>
      <c r="HJ128" s="117"/>
      <c r="HK128" s="117"/>
      <c r="HL128" s="117"/>
      <c r="HM128" s="117"/>
      <c r="HN128" s="117"/>
      <c r="HO128" s="117"/>
      <c r="HP128" s="117"/>
      <c r="HQ128" s="117"/>
      <c r="HR128" s="117"/>
      <c r="HS128" s="117"/>
      <c r="HT128" s="117"/>
      <c r="HU128" s="117"/>
      <c r="HV128" s="117"/>
      <c r="HW128" s="117"/>
      <c r="HX128" s="117"/>
      <c r="HY128" s="117"/>
      <c r="HZ128" s="117"/>
      <c r="IA128" s="117"/>
      <c r="IB128" s="117"/>
    </row>
    <row r="129" spans="1:236" s="79" customFormat="1" ht="14.25">
      <c r="A129" s="117"/>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c r="BL129" s="117"/>
      <c r="BM129" s="117"/>
      <c r="BN129" s="117"/>
      <c r="BO129" s="117"/>
      <c r="BP129" s="117"/>
      <c r="BQ129" s="117"/>
      <c r="BR129" s="117"/>
      <c r="BS129" s="117"/>
      <c r="BT129" s="117"/>
      <c r="BU129" s="117"/>
      <c r="BV129" s="117"/>
      <c r="BW129" s="117"/>
      <c r="BX129" s="117"/>
      <c r="BY129" s="117"/>
      <c r="BZ129" s="117"/>
      <c r="CA129" s="117"/>
      <c r="CB129" s="117"/>
      <c r="CC129" s="117"/>
      <c r="CD129" s="117"/>
      <c r="CE129" s="117"/>
      <c r="CF129" s="117"/>
      <c r="CG129" s="117"/>
      <c r="CH129" s="117"/>
      <c r="CI129" s="117"/>
      <c r="CJ129" s="117"/>
      <c r="CK129" s="117"/>
      <c r="CL129" s="117"/>
      <c r="CM129" s="117"/>
      <c r="CN129" s="117"/>
      <c r="CO129" s="117"/>
      <c r="CP129" s="117"/>
      <c r="CQ129" s="117"/>
      <c r="CR129" s="117"/>
      <c r="CS129" s="117"/>
      <c r="CT129" s="117"/>
      <c r="CU129" s="117"/>
      <c r="CV129" s="117"/>
      <c r="CW129" s="117"/>
      <c r="CX129" s="117"/>
      <c r="CY129" s="117"/>
      <c r="CZ129" s="117"/>
      <c r="DA129" s="117"/>
      <c r="DB129" s="117"/>
      <c r="DC129" s="117"/>
      <c r="DD129" s="117"/>
      <c r="DE129" s="117"/>
      <c r="DF129" s="117"/>
      <c r="DG129" s="117"/>
      <c r="DH129" s="117"/>
      <c r="DI129" s="117"/>
      <c r="DJ129" s="117"/>
      <c r="DK129" s="117"/>
      <c r="DL129" s="117"/>
      <c r="DM129" s="117"/>
      <c r="DN129" s="117"/>
      <c r="DO129" s="117"/>
      <c r="DP129" s="117"/>
      <c r="DQ129" s="117"/>
      <c r="DR129" s="117"/>
      <c r="DS129" s="117"/>
      <c r="DT129" s="117"/>
      <c r="DU129" s="117"/>
      <c r="DV129" s="117"/>
      <c r="DW129" s="117"/>
      <c r="DX129" s="117"/>
      <c r="DY129" s="117"/>
      <c r="DZ129" s="117"/>
      <c r="EA129" s="117"/>
      <c r="EB129" s="117"/>
      <c r="EC129" s="117"/>
      <c r="ED129" s="117"/>
      <c r="EE129" s="117"/>
      <c r="EF129" s="117"/>
      <c r="EG129" s="117"/>
      <c r="EH129" s="117"/>
      <c r="EI129" s="117"/>
      <c r="EJ129" s="117"/>
      <c r="EK129" s="117"/>
      <c r="EL129" s="117"/>
      <c r="EM129" s="117"/>
      <c r="EN129" s="117"/>
      <c r="EO129" s="117"/>
      <c r="EP129" s="117"/>
      <c r="EQ129" s="117"/>
      <c r="ER129" s="117"/>
      <c r="ES129" s="117"/>
      <c r="ET129" s="117"/>
      <c r="EU129" s="117"/>
      <c r="EV129" s="117"/>
      <c r="EW129" s="117"/>
      <c r="EX129" s="117"/>
      <c r="EY129" s="117"/>
      <c r="EZ129" s="117"/>
      <c r="FA129" s="117"/>
      <c r="FB129" s="117"/>
      <c r="FC129" s="117"/>
      <c r="FD129" s="117"/>
      <c r="FE129" s="117"/>
      <c r="FF129" s="117"/>
      <c r="FG129" s="117"/>
      <c r="FH129" s="117"/>
      <c r="FI129" s="117"/>
      <c r="FJ129" s="117"/>
      <c r="FK129" s="117"/>
      <c r="FL129" s="117"/>
      <c r="FM129" s="117"/>
      <c r="FN129" s="117"/>
      <c r="FO129" s="117"/>
      <c r="FP129" s="117"/>
      <c r="FQ129" s="117"/>
      <c r="FR129" s="117"/>
      <c r="FS129" s="117"/>
      <c r="FT129" s="117"/>
      <c r="FU129" s="117"/>
      <c r="FV129" s="117"/>
      <c r="FW129" s="117"/>
      <c r="FX129" s="117"/>
      <c r="FY129" s="117"/>
      <c r="FZ129" s="117"/>
      <c r="GA129" s="117"/>
      <c r="GB129" s="117"/>
      <c r="GC129" s="117"/>
      <c r="GD129" s="117"/>
      <c r="GE129" s="117"/>
      <c r="GF129" s="117"/>
      <c r="GG129" s="117"/>
      <c r="GH129" s="117"/>
      <c r="GI129" s="117"/>
      <c r="GJ129" s="117"/>
      <c r="GK129" s="117"/>
      <c r="GL129" s="117"/>
      <c r="GM129" s="117"/>
      <c r="GN129" s="117"/>
      <c r="GO129" s="117"/>
      <c r="GP129" s="117"/>
      <c r="GQ129" s="117"/>
      <c r="GR129" s="117"/>
      <c r="GS129" s="117"/>
      <c r="GT129" s="117"/>
      <c r="GU129" s="117"/>
      <c r="GV129" s="117"/>
      <c r="GW129" s="117"/>
      <c r="GX129" s="117"/>
      <c r="GY129" s="117"/>
      <c r="GZ129" s="117"/>
      <c r="HA129" s="117"/>
      <c r="HB129" s="117"/>
      <c r="HC129" s="117"/>
      <c r="HD129" s="117"/>
      <c r="HE129" s="117"/>
      <c r="HF129" s="117"/>
      <c r="HG129" s="117"/>
      <c r="HH129" s="117"/>
      <c r="HI129" s="117"/>
      <c r="HJ129" s="117"/>
      <c r="HK129" s="117"/>
      <c r="HL129" s="117"/>
      <c r="HM129" s="117"/>
      <c r="HN129" s="117"/>
      <c r="HO129" s="117"/>
      <c r="HP129" s="117"/>
      <c r="HQ129" s="117"/>
      <c r="HR129" s="117"/>
      <c r="HS129" s="117"/>
      <c r="HT129" s="117"/>
      <c r="HU129" s="117"/>
      <c r="HV129" s="117"/>
      <c r="HW129" s="117"/>
      <c r="HX129" s="117"/>
      <c r="HY129" s="117"/>
      <c r="HZ129" s="117"/>
      <c r="IA129" s="117"/>
      <c r="IB129" s="117"/>
    </row>
    <row r="130" spans="1:236" s="79" customFormat="1" ht="14.25">
      <c r="A130" s="117"/>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7"/>
      <c r="BM130" s="117"/>
      <c r="BN130" s="117"/>
      <c r="BO130" s="117"/>
      <c r="BP130" s="117"/>
      <c r="BQ130" s="117"/>
      <c r="BR130" s="117"/>
      <c r="BS130" s="117"/>
      <c r="BT130" s="117"/>
      <c r="BU130" s="117"/>
      <c r="BV130" s="117"/>
      <c r="BW130" s="117"/>
      <c r="BX130" s="117"/>
      <c r="BY130" s="117"/>
      <c r="BZ130" s="117"/>
      <c r="CA130" s="117"/>
      <c r="CB130" s="117"/>
      <c r="CC130" s="117"/>
      <c r="CD130" s="117"/>
      <c r="CE130" s="117"/>
      <c r="CF130" s="117"/>
      <c r="CG130" s="117"/>
      <c r="CH130" s="117"/>
      <c r="CI130" s="117"/>
      <c r="CJ130" s="117"/>
      <c r="CK130" s="117"/>
      <c r="CL130" s="117"/>
      <c r="CM130" s="117"/>
      <c r="CN130" s="117"/>
      <c r="CO130" s="117"/>
      <c r="CP130" s="117"/>
      <c r="CQ130" s="117"/>
      <c r="CR130" s="117"/>
      <c r="CS130" s="117"/>
      <c r="CT130" s="117"/>
      <c r="CU130" s="117"/>
      <c r="CV130" s="117"/>
      <c r="CW130" s="117"/>
      <c r="CX130" s="117"/>
      <c r="CY130" s="117"/>
      <c r="CZ130" s="117"/>
      <c r="DA130" s="117"/>
      <c r="DB130" s="117"/>
      <c r="DC130" s="117"/>
      <c r="DD130" s="117"/>
      <c r="DE130" s="117"/>
      <c r="DF130" s="117"/>
      <c r="DG130" s="117"/>
      <c r="DH130" s="117"/>
      <c r="DI130" s="117"/>
      <c r="DJ130" s="117"/>
      <c r="DK130" s="117"/>
      <c r="DL130" s="117"/>
      <c r="DM130" s="117"/>
      <c r="DN130" s="117"/>
      <c r="DO130" s="117"/>
      <c r="DP130" s="117"/>
      <c r="DQ130" s="117"/>
      <c r="DR130" s="117"/>
      <c r="DS130" s="117"/>
      <c r="DT130" s="117"/>
      <c r="DU130" s="117"/>
      <c r="DV130" s="117"/>
      <c r="DW130" s="117"/>
      <c r="DX130" s="117"/>
      <c r="DY130" s="117"/>
      <c r="DZ130" s="117"/>
      <c r="EA130" s="117"/>
      <c r="EB130" s="117"/>
      <c r="EC130" s="117"/>
      <c r="ED130" s="117"/>
      <c r="EE130" s="117"/>
      <c r="EF130" s="117"/>
      <c r="EG130" s="117"/>
      <c r="EH130" s="117"/>
      <c r="EI130" s="117"/>
      <c r="EJ130" s="117"/>
      <c r="EK130" s="117"/>
      <c r="EL130" s="117"/>
      <c r="EM130" s="117"/>
      <c r="EN130" s="117"/>
      <c r="EO130" s="117"/>
      <c r="EP130" s="117"/>
      <c r="EQ130" s="117"/>
      <c r="ER130" s="117"/>
      <c r="ES130" s="117"/>
      <c r="ET130" s="117"/>
      <c r="EU130" s="117"/>
      <c r="EV130" s="117"/>
      <c r="EW130" s="117"/>
      <c r="EX130" s="117"/>
      <c r="EY130" s="117"/>
      <c r="EZ130" s="117"/>
      <c r="FA130" s="117"/>
      <c r="FB130" s="117"/>
      <c r="FC130" s="117"/>
      <c r="FD130" s="117"/>
      <c r="FE130" s="117"/>
      <c r="FF130" s="117"/>
      <c r="FG130" s="117"/>
      <c r="FH130" s="117"/>
      <c r="FI130" s="117"/>
      <c r="FJ130" s="117"/>
      <c r="FK130" s="117"/>
      <c r="FL130" s="117"/>
      <c r="FM130" s="117"/>
      <c r="FN130" s="117"/>
      <c r="FO130" s="117"/>
      <c r="FP130" s="117"/>
      <c r="FQ130" s="117"/>
      <c r="FR130" s="117"/>
      <c r="FS130" s="117"/>
      <c r="FT130" s="117"/>
      <c r="FU130" s="117"/>
      <c r="FV130" s="117"/>
      <c r="FW130" s="117"/>
      <c r="FX130" s="117"/>
      <c r="FY130" s="117"/>
      <c r="FZ130" s="117"/>
      <c r="GA130" s="117"/>
      <c r="GB130" s="117"/>
      <c r="GC130" s="117"/>
      <c r="GD130" s="117"/>
      <c r="GE130" s="117"/>
      <c r="GF130" s="117"/>
      <c r="GG130" s="117"/>
      <c r="GH130" s="117"/>
      <c r="GI130" s="117"/>
      <c r="GJ130" s="117"/>
      <c r="GK130" s="117"/>
      <c r="GL130" s="117"/>
      <c r="GM130" s="117"/>
      <c r="GN130" s="117"/>
      <c r="GO130" s="117"/>
      <c r="GP130" s="117"/>
      <c r="GQ130" s="117"/>
      <c r="GR130" s="117"/>
      <c r="GS130" s="117"/>
      <c r="GT130" s="117"/>
      <c r="GU130" s="117"/>
      <c r="GV130" s="117"/>
      <c r="GW130" s="117"/>
      <c r="GX130" s="117"/>
      <c r="GY130" s="117"/>
      <c r="GZ130" s="117"/>
      <c r="HA130" s="117"/>
      <c r="HB130" s="117"/>
      <c r="HC130" s="117"/>
      <c r="HD130" s="117"/>
      <c r="HE130" s="117"/>
      <c r="HF130" s="117"/>
      <c r="HG130" s="117"/>
      <c r="HH130" s="117"/>
      <c r="HI130" s="117"/>
      <c r="HJ130" s="117"/>
      <c r="HK130" s="117"/>
      <c r="HL130" s="117"/>
      <c r="HM130" s="117"/>
      <c r="HN130" s="117"/>
      <c r="HO130" s="117"/>
      <c r="HP130" s="117"/>
      <c r="HQ130" s="117"/>
      <c r="HR130" s="117"/>
      <c r="HS130" s="117"/>
      <c r="HT130" s="117"/>
      <c r="HU130" s="117"/>
      <c r="HV130" s="117"/>
      <c r="HW130" s="117"/>
      <c r="HX130" s="117"/>
      <c r="HY130" s="117"/>
      <c r="HZ130" s="117"/>
      <c r="IA130" s="117"/>
      <c r="IB130" s="117"/>
    </row>
    <row r="131" spans="1:236" s="79" customFormat="1" ht="14.25">
      <c r="A131" s="117"/>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7"/>
      <c r="CB131" s="117"/>
      <c r="CC131" s="117"/>
      <c r="CD131" s="117"/>
      <c r="CE131" s="117"/>
      <c r="CF131" s="117"/>
      <c r="CG131" s="117"/>
      <c r="CH131" s="117"/>
      <c r="CI131" s="117"/>
      <c r="CJ131" s="117"/>
      <c r="CK131" s="117"/>
      <c r="CL131" s="117"/>
      <c r="CM131" s="117"/>
      <c r="CN131" s="117"/>
      <c r="CO131" s="117"/>
      <c r="CP131" s="117"/>
      <c r="CQ131" s="117"/>
      <c r="CR131" s="117"/>
      <c r="CS131" s="117"/>
      <c r="CT131" s="117"/>
      <c r="CU131" s="117"/>
      <c r="CV131" s="117"/>
      <c r="CW131" s="117"/>
      <c r="CX131" s="117"/>
      <c r="CY131" s="117"/>
      <c r="CZ131" s="117"/>
      <c r="DA131" s="117"/>
      <c r="DB131" s="117"/>
      <c r="DC131" s="117"/>
      <c r="DD131" s="117"/>
      <c r="DE131" s="117"/>
      <c r="DF131" s="117"/>
      <c r="DG131" s="117"/>
      <c r="DH131" s="117"/>
      <c r="DI131" s="117"/>
      <c r="DJ131" s="117"/>
      <c r="DK131" s="117"/>
      <c r="DL131" s="117"/>
      <c r="DM131" s="117"/>
      <c r="DN131" s="117"/>
      <c r="DO131" s="117"/>
      <c r="DP131" s="117"/>
      <c r="DQ131" s="117"/>
      <c r="DR131" s="117"/>
      <c r="DS131" s="117"/>
      <c r="DT131" s="117"/>
      <c r="DU131" s="117"/>
      <c r="DV131" s="117"/>
      <c r="DW131" s="117"/>
      <c r="DX131" s="117"/>
      <c r="DY131" s="117"/>
      <c r="DZ131" s="117"/>
      <c r="EA131" s="117"/>
      <c r="EB131" s="117"/>
      <c r="EC131" s="117"/>
      <c r="ED131" s="117"/>
      <c r="EE131" s="117"/>
      <c r="EF131" s="117"/>
      <c r="EG131" s="117"/>
      <c r="EH131" s="117"/>
      <c r="EI131" s="117"/>
      <c r="EJ131" s="117"/>
      <c r="EK131" s="117"/>
      <c r="EL131" s="117"/>
      <c r="EM131" s="117"/>
      <c r="EN131" s="117"/>
      <c r="EO131" s="117"/>
      <c r="EP131" s="117"/>
      <c r="EQ131" s="117"/>
      <c r="ER131" s="117"/>
      <c r="ES131" s="117"/>
      <c r="ET131" s="117"/>
      <c r="EU131" s="117"/>
      <c r="EV131" s="117"/>
      <c r="EW131" s="117"/>
      <c r="EX131" s="117"/>
      <c r="EY131" s="117"/>
      <c r="EZ131" s="117"/>
      <c r="FA131" s="117"/>
      <c r="FB131" s="117"/>
      <c r="FC131" s="117"/>
      <c r="FD131" s="117"/>
      <c r="FE131" s="117"/>
      <c r="FF131" s="117"/>
      <c r="FG131" s="117"/>
      <c r="FH131" s="117"/>
      <c r="FI131" s="117"/>
      <c r="FJ131" s="117"/>
      <c r="FK131" s="117"/>
      <c r="FL131" s="117"/>
      <c r="FM131" s="117"/>
      <c r="FN131" s="117"/>
      <c r="FO131" s="117"/>
      <c r="FP131" s="117"/>
      <c r="FQ131" s="117"/>
      <c r="FR131" s="117"/>
      <c r="FS131" s="117"/>
      <c r="FT131" s="117"/>
      <c r="FU131" s="117"/>
      <c r="FV131" s="117"/>
      <c r="FW131" s="117"/>
      <c r="FX131" s="117"/>
      <c r="FY131" s="117"/>
      <c r="FZ131" s="117"/>
      <c r="GA131" s="117"/>
      <c r="GB131" s="117"/>
      <c r="GC131" s="117"/>
      <c r="GD131" s="117"/>
      <c r="GE131" s="117"/>
      <c r="GF131" s="117"/>
      <c r="GG131" s="117"/>
      <c r="GH131" s="117"/>
      <c r="GI131" s="117"/>
      <c r="GJ131" s="117"/>
      <c r="GK131" s="117"/>
      <c r="GL131" s="117"/>
      <c r="GM131" s="117"/>
      <c r="GN131" s="117"/>
      <c r="GO131" s="117"/>
      <c r="GP131" s="117"/>
      <c r="GQ131" s="117"/>
      <c r="GR131" s="117"/>
      <c r="GS131" s="117"/>
      <c r="GT131" s="117"/>
      <c r="GU131" s="117"/>
      <c r="GV131" s="117"/>
      <c r="GW131" s="117"/>
      <c r="GX131" s="117"/>
      <c r="GY131" s="117"/>
      <c r="GZ131" s="117"/>
      <c r="HA131" s="117"/>
      <c r="HB131" s="117"/>
      <c r="HC131" s="117"/>
      <c r="HD131" s="117"/>
      <c r="HE131" s="117"/>
      <c r="HF131" s="117"/>
      <c r="HG131" s="117"/>
      <c r="HH131" s="117"/>
      <c r="HI131" s="117"/>
      <c r="HJ131" s="117"/>
      <c r="HK131" s="117"/>
      <c r="HL131" s="117"/>
      <c r="HM131" s="117"/>
      <c r="HN131" s="117"/>
      <c r="HO131" s="117"/>
      <c r="HP131" s="117"/>
      <c r="HQ131" s="117"/>
      <c r="HR131" s="117"/>
      <c r="HS131" s="117"/>
      <c r="HT131" s="117"/>
      <c r="HU131" s="117"/>
      <c r="HV131" s="117"/>
      <c r="HW131" s="117"/>
      <c r="HX131" s="117"/>
      <c r="HY131" s="117"/>
      <c r="HZ131" s="117"/>
      <c r="IA131" s="117"/>
      <c r="IB131" s="117"/>
    </row>
    <row r="132" spans="1:236" s="79" customFormat="1" ht="14.25">
      <c r="A132" s="117"/>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c r="BN132" s="117"/>
      <c r="BO132" s="117"/>
      <c r="BP132" s="117"/>
      <c r="BQ132" s="117"/>
      <c r="BR132" s="117"/>
      <c r="BS132" s="117"/>
      <c r="BT132" s="117"/>
      <c r="BU132" s="117"/>
      <c r="BV132" s="117"/>
      <c r="BW132" s="117"/>
      <c r="BX132" s="117"/>
      <c r="BY132" s="117"/>
      <c r="BZ132" s="117"/>
      <c r="CA132" s="117"/>
      <c r="CB132" s="117"/>
      <c r="CC132" s="117"/>
      <c r="CD132" s="117"/>
      <c r="CE132" s="117"/>
      <c r="CF132" s="117"/>
      <c r="CG132" s="117"/>
      <c r="CH132" s="117"/>
      <c r="CI132" s="117"/>
      <c r="CJ132" s="117"/>
      <c r="CK132" s="117"/>
      <c r="CL132" s="117"/>
      <c r="CM132" s="117"/>
      <c r="CN132" s="117"/>
      <c r="CO132" s="117"/>
      <c r="CP132" s="117"/>
      <c r="CQ132" s="117"/>
      <c r="CR132" s="117"/>
      <c r="CS132" s="117"/>
      <c r="CT132" s="117"/>
      <c r="CU132" s="117"/>
      <c r="CV132" s="117"/>
      <c r="CW132" s="117"/>
      <c r="CX132" s="117"/>
      <c r="CY132" s="117"/>
      <c r="CZ132" s="117"/>
      <c r="DA132" s="117"/>
      <c r="DB132" s="117"/>
      <c r="DC132" s="117"/>
      <c r="DD132" s="117"/>
      <c r="DE132" s="117"/>
      <c r="DF132" s="117"/>
      <c r="DG132" s="117"/>
      <c r="DH132" s="117"/>
      <c r="DI132" s="117"/>
      <c r="DJ132" s="117"/>
      <c r="DK132" s="117"/>
      <c r="DL132" s="117"/>
      <c r="DM132" s="117"/>
      <c r="DN132" s="117"/>
      <c r="DO132" s="117"/>
      <c r="DP132" s="117"/>
      <c r="DQ132" s="117"/>
      <c r="DR132" s="117"/>
      <c r="DS132" s="117"/>
      <c r="DT132" s="117"/>
      <c r="DU132" s="117"/>
      <c r="DV132" s="117"/>
      <c r="DW132" s="117"/>
      <c r="DX132" s="117"/>
      <c r="DY132" s="117"/>
      <c r="DZ132" s="117"/>
      <c r="EA132" s="117"/>
      <c r="EB132" s="117"/>
      <c r="EC132" s="117"/>
      <c r="ED132" s="117"/>
      <c r="EE132" s="117"/>
      <c r="EF132" s="117"/>
      <c r="EG132" s="117"/>
      <c r="EH132" s="117"/>
      <c r="EI132" s="117"/>
      <c r="EJ132" s="117"/>
      <c r="EK132" s="117"/>
      <c r="EL132" s="117"/>
      <c r="EM132" s="117"/>
      <c r="EN132" s="117"/>
      <c r="EO132" s="117"/>
      <c r="EP132" s="117"/>
      <c r="EQ132" s="117"/>
      <c r="ER132" s="117"/>
      <c r="ES132" s="117"/>
      <c r="ET132" s="117"/>
      <c r="EU132" s="117"/>
      <c r="EV132" s="117"/>
      <c r="EW132" s="117"/>
      <c r="EX132" s="117"/>
      <c r="EY132" s="117"/>
      <c r="EZ132" s="117"/>
      <c r="FA132" s="117"/>
      <c r="FB132" s="117"/>
      <c r="FC132" s="117"/>
      <c r="FD132" s="117"/>
      <c r="FE132" s="117"/>
      <c r="FF132" s="117"/>
      <c r="FG132" s="117"/>
      <c r="FH132" s="117"/>
      <c r="FI132" s="117"/>
      <c r="FJ132" s="117"/>
      <c r="FK132" s="117"/>
      <c r="FL132" s="117"/>
      <c r="FM132" s="117"/>
      <c r="FN132" s="117"/>
      <c r="FO132" s="117"/>
      <c r="FP132" s="117"/>
      <c r="FQ132" s="117"/>
      <c r="FR132" s="117"/>
      <c r="FS132" s="117"/>
      <c r="FT132" s="117"/>
      <c r="FU132" s="117"/>
      <c r="FV132" s="117"/>
      <c r="FW132" s="117"/>
      <c r="FX132" s="117"/>
      <c r="FY132" s="117"/>
      <c r="FZ132" s="117"/>
      <c r="GA132" s="117"/>
      <c r="GB132" s="117"/>
      <c r="GC132" s="117"/>
      <c r="GD132" s="117"/>
      <c r="GE132" s="117"/>
      <c r="GF132" s="117"/>
      <c r="GG132" s="117"/>
      <c r="GH132" s="117"/>
      <c r="GI132" s="117"/>
      <c r="GJ132" s="117"/>
      <c r="GK132" s="117"/>
      <c r="GL132" s="117"/>
      <c r="GM132" s="117"/>
      <c r="GN132" s="117"/>
      <c r="GO132" s="117"/>
      <c r="GP132" s="117"/>
      <c r="GQ132" s="117"/>
      <c r="GR132" s="117"/>
      <c r="GS132" s="117"/>
      <c r="GT132" s="117"/>
      <c r="GU132" s="117"/>
      <c r="GV132" s="117"/>
      <c r="GW132" s="117"/>
      <c r="GX132" s="117"/>
      <c r="GY132" s="117"/>
      <c r="GZ132" s="117"/>
      <c r="HA132" s="117"/>
      <c r="HB132" s="117"/>
      <c r="HC132" s="117"/>
      <c r="HD132" s="117"/>
      <c r="HE132" s="117"/>
      <c r="HF132" s="117"/>
      <c r="HG132" s="117"/>
      <c r="HH132" s="117"/>
      <c r="HI132" s="117"/>
      <c r="HJ132" s="117"/>
      <c r="HK132" s="117"/>
      <c r="HL132" s="117"/>
      <c r="HM132" s="117"/>
      <c r="HN132" s="117"/>
      <c r="HO132" s="117"/>
      <c r="HP132" s="117"/>
      <c r="HQ132" s="117"/>
      <c r="HR132" s="117"/>
      <c r="HS132" s="117"/>
      <c r="HT132" s="117"/>
      <c r="HU132" s="117"/>
      <c r="HV132" s="117"/>
      <c r="HW132" s="117"/>
      <c r="HX132" s="117"/>
      <c r="HY132" s="117"/>
      <c r="HZ132" s="117"/>
      <c r="IA132" s="117"/>
      <c r="IB132" s="117"/>
    </row>
    <row r="133" spans="1:236" s="79" customFormat="1" ht="14.25">
      <c r="A133" s="117"/>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117"/>
      <c r="BO133" s="117"/>
      <c r="BP133" s="117"/>
      <c r="BQ133" s="117"/>
      <c r="BR133" s="117"/>
      <c r="BS133" s="117"/>
      <c r="BT133" s="117"/>
      <c r="BU133" s="117"/>
      <c r="BV133" s="117"/>
      <c r="BW133" s="117"/>
      <c r="BX133" s="117"/>
      <c r="BY133" s="117"/>
      <c r="BZ133" s="117"/>
      <c r="CA133" s="117"/>
      <c r="CB133" s="117"/>
      <c r="CC133" s="117"/>
      <c r="CD133" s="117"/>
      <c r="CE133" s="117"/>
      <c r="CF133" s="117"/>
      <c r="CG133" s="117"/>
      <c r="CH133" s="117"/>
      <c r="CI133" s="117"/>
      <c r="CJ133" s="117"/>
      <c r="CK133" s="117"/>
      <c r="CL133" s="117"/>
      <c r="CM133" s="117"/>
      <c r="CN133" s="117"/>
      <c r="CO133" s="117"/>
      <c r="CP133" s="117"/>
      <c r="CQ133" s="117"/>
      <c r="CR133" s="117"/>
      <c r="CS133" s="117"/>
      <c r="CT133" s="117"/>
      <c r="CU133" s="117"/>
      <c r="CV133" s="117"/>
      <c r="CW133" s="117"/>
      <c r="CX133" s="117"/>
      <c r="CY133" s="117"/>
      <c r="CZ133" s="117"/>
      <c r="DA133" s="117"/>
      <c r="DB133" s="117"/>
      <c r="DC133" s="117"/>
      <c r="DD133" s="117"/>
      <c r="DE133" s="117"/>
      <c r="DF133" s="117"/>
      <c r="DG133" s="117"/>
      <c r="DH133" s="117"/>
      <c r="DI133" s="117"/>
      <c r="DJ133" s="117"/>
      <c r="DK133" s="117"/>
      <c r="DL133" s="117"/>
      <c r="DM133" s="117"/>
      <c r="DN133" s="117"/>
      <c r="DO133" s="117"/>
      <c r="DP133" s="117"/>
      <c r="DQ133" s="117"/>
      <c r="DR133" s="117"/>
      <c r="DS133" s="117"/>
      <c r="DT133" s="117"/>
      <c r="DU133" s="117"/>
      <c r="DV133" s="117"/>
      <c r="DW133" s="117"/>
      <c r="DX133" s="117"/>
      <c r="DY133" s="117"/>
      <c r="DZ133" s="117"/>
      <c r="EA133" s="117"/>
      <c r="EB133" s="117"/>
      <c r="EC133" s="117"/>
      <c r="ED133" s="117"/>
      <c r="EE133" s="117"/>
      <c r="EF133" s="117"/>
      <c r="EG133" s="117"/>
      <c r="EH133" s="117"/>
      <c r="EI133" s="117"/>
      <c r="EJ133" s="117"/>
      <c r="EK133" s="117"/>
      <c r="EL133" s="117"/>
      <c r="EM133" s="117"/>
      <c r="EN133" s="117"/>
      <c r="EO133" s="117"/>
      <c r="EP133" s="117"/>
      <c r="EQ133" s="117"/>
      <c r="ER133" s="117"/>
      <c r="ES133" s="117"/>
      <c r="ET133" s="117"/>
      <c r="EU133" s="117"/>
      <c r="EV133" s="117"/>
      <c r="EW133" s="117"/>
      <c r="EX133" s="117"/>
      <c r="EY133" s="117"/>
      <c r="EZ133" s="117"/>
      <c r="FA133" s="117"/>
      <c r="FB133" s="117"/>
      <c r="FC133" s="117"/>
      <c r="FD133" s="117"/>
      <c r="FE133" s="117"/>
      <c r="FF133" s="117"/>
      <c r="FG133" s="117"/>
      <c r="FH133" s="117"/>
      <c r="FI133" s="117"/>
      <c r="FJ133" s="117"/>
      <c r="FK133" s="117"/>
      <c r="FL133" s="117"/>
      <c r="FM133" s="117"/>
      <c r="FN133" s="117"/>
      <c r="FO133" s="117"/>
      <c r="FP133" s="117"/>
      <c r="FQ133" s="117"/>
      <c r="FR133" s="117"/>
      <c r="FS133" s="117"/>
      <c r="FT133" s="117"/>
      <c r="FU133" s="117"/>
      <c r="FV133" s="117"/>
      <c r="FW133" s="117"/>
      <c r="FX133" s="117"/>
      <c r="FY133" s="117"/>
      <c r="FZ133" s="117"/>
      <c r="GA133" s="117"/>
      <c r="GB133" s="117"/>
      <c r="GC133" s="117"/>
      <c r="GD133" s="117"/>
      <c r="GE133" s="117"/>
      <c r="GF133" s="117"/>
      <c r="GG133" s="117"/>
      <c r="GH133" s="117"/>
      <c r="GI133" s="117"/>
      <c r="GJ133" s="117"/>
      <c r="GK133" s="117"/>
      <c r="GL133" s="117"/>
      <c r="GM133" s="117"/>
      <c r="GN133" s="117"/>
      <c r="GO133" s="117"/>
      <c r="GP133" s="117"/>
      <c r="GQ133" s="117"/>
      <c r="GR133" s="117"/>
      <c r="GS133" s="117"/>
      <c r="GT133" s="117"/>
      <c r="GU133" s="117"/>
      <c r="GV133" s="117"/>
      <c r="GW133" s="117"/>
      <c r="GX133" s="117"/>
      <c r="GY133" s="117"/>
      <c r="GZ133" s="117"/>
      <c r="HA133" s="117"/>
      <c r="HB133" s="117"/>
      <c r="HC133" s="117"/>
      <c r="HD133" s="117"/>
      <c r="HE133" s="117"/>
      <c r="HF133" s="117"/>
      <c r="HG133" s="117"/>
      <c r="HH133" s="117"/>
      <c r="HI133" s="117"/>
      <c r="HJ133" s="117"/>
      <c r="HK133" s="117"/>
      <c r="HL133" s="117"/>
      <c r="HM133" s="117"/>
      <c r="HN133" s="117"/>
      <c r="HO133" s="117"/>
      <c r="HP133" s="117"/>
      <c r="HQ133" s="117"/>
      <c r="HR133" s="117"/>
      <c r="HS133" s="117"/>
      <c r="HT133" s="117"/>
      <c r="HU133" s="117"/>
      <c r="HV133" s="117"/>
      <c r="HW133" s="117"/>
      <c r="HX133" s="117"/>
      <c r="HY133" s="117"/>
      <c r="HZ133" s="117"/>
      <c r="IA133" s="117"/>
      <c r="IB133" s="117"/>
    </row>
    <row r="134" spans="1:236" s="79" customFormat="1" ht="14.25">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c r="DE134" s="117"/>
      <c r="DF134" s="117"/>
      <c r="DG134" s="117"/>
      <c r="DH134" s="117"/>
      <c r="DI134" s="117"/>
      <c r="DJ134" s="117"/>
      <c r="DK134" s="117"/>
      <c r="DL134" s="117"/>
      <c r="DM134" s="117"/>
      <c r="DN134" s="117"/>
      <c r="DO134" s="117"/>
      <c r="DP134" s="117"/>
      <c r="DQ134" s="117"/>
      <c r="DR134" s="117"/>
      <c r="DS134" s="117"/>
      <c r="DT134" s="117"/>
      <c r="DU134" s="117"/>
      <c r="DV134" s="117"/>
      <c r="DW134" s="117"/>
      <c r="DX134" s="117"/>
      <c r="DY134" s="117"/>
      <c r="DZ134" s="117"/>
      <c r="EA134" s="117"/>
      <c r="EB134" s="117"/>
      <c r="EC134" s="117"/>
      <c r="ED134" s="117"/>
      <c r="EE134" s="117"/>
      <c r="EF134" s="117"/>
      <c r="EG134" s="117"/>
      <c r="EH134" s="117"/>
      <c r="EI134" s="117"/>
      <c r="EJ134" s="117"/>
      <c r="EK134" s="117"/>
      <c r="EL134" s="117"/>
      <c r="EM134" s="117"/>
      <c r="EN134" s="117"/>
      <c r="EO134" s="117"/>
      <c r="EP134" s="117"/>
      <c r="EQ134" s="117"/>
      <c r="ER134" s="117"/>
      <c r="ES134" s="117"/>
      <c r="ET134" s="117"/>
      <c r="EU134" s="117"/>
      <c r="EV134" s="117"/>
      <c r="EW134" s="117"/>
      <c r="EX134" s="117"/>
      <c r="EY134" s="117"/>
      <c r="EZ134" s="117"/>
      <c r="FA134" s="117"/>
      <c r="FB134" s="117"/>
      <c r="FC134" s="117"/>
      <c r="FD134" s="117"/>
      <c r="FE134" s="117"/>
      <c r="FF134" s="117"/>
      <c r="FG134" s="117"/>
      <c r="FH134" s="117"/>
      <c r="FI134" s="117"/>
      <c r="FJ134" s="117"/>
      <c r="FK134" s="117"/>
      <c r="FL134" s="117"/>
      <c r="FM134" s="117"/>
      <c r="FN134" s="117"/>
      <c r="FO134" s="117"/>
      <c r="FP134" s="117"/>
      <c r="FQ134" s="117"/>
      <c r="FR134" s="117"/>
      <c r="FS134" s="117"/>
      <c r="FT134" s="117"/>
      <c r="FU134" s="117"/>
      <c r="FV134" s="117"/>
      <c r="FW134" s="117"/>
      <c r="FX134" s="117"/>
      <c r="FY134" s="117"/>
      <c r="FZ134" s="117"/>
      <c r="GA134" s="117"/>
      <c r="GB134" s="117"/>
      <c r="GC134" s="117"/>
      <c r="GD134" s="117"/>
      <c r="GE134" s="117"/>
      <c r="GF134" s="117"/>
      <c r="GG134" s="117"/>
      <c r="GH134" s="117"/>
      <c r="GI134" s="117"/>
      <c r="GJ134" s="117"/>
      <c r="GK134" s="117"/>
      <c r="GL134" s="117"/>
      <c r="GM134" s="117"/>
      <c r="GN134" s="117"/>
      <c r="GO134" s="117"/>
      <c r="GP134" s="117"/>
      <c r="GQ134" s="117"/>
      <c r="GR134" s="117"/>
      <c r="GS134" s="117"/>
      <c r="GT134" s="117"/>
      <c r="GU134" s="117"/>
      <c r="GV134" s="117"/>
      <c r="GW134" s="117"/>
      <c r="GX134" s="117"/>
      <c r="GY134" s="117"/>
      <c r="GZ134" s="117"/>
      <c r="HA134" s="117"/>
      <c r="HB134" s="117"/>
      <c r="HC134" s="117"/>
      <c r="HD134" s="117"/>
      <c r="HE134" s="117"/>
      <c r="HF134" s="117"/>
      <c r="HG134" s="117"/>
      <c r="HH134" s="117"/>
      <c r="HI134" s="117"/>
      <c r="HJ134" s="117"/>
      <c r="HK134" s="117"/>
      <c r="HL134" s="117"/>
      <c r="HM134" s="117"/>
      <c r="HN134" s="117"/>
      <c r="HO134" s="117"/>
      <c r="HP134" s="117"/>
      <c r="HQ134" s="117"/>
      <c r="HR134" s="117"/>
      <c r="HS134" s="117"/>
      <c r="HT134" s="117"/>
      <c r="HU134" s="117"/>
      <c r="HV134" s="117"/>
      <c r="HW134" s="117"/>
      <c r="HX134" s="117"/>
      <c r="HY134" s="117"/>
      <c r="HZ134" s="117"/>
      <c r="IA134" s="117"/>
      <c r="IB134" s="117"/>
    </row>
    <row r="135" spans="1:236" s="79" customFormat="1" ht="14.25">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c r="DE135" s="117"/>
      <c r="DF135" s="117"/>
      <c r="DG135" s="117"/>
      <c r="DH135" s="117"/>
      <c r="DI135" s="117"/>
      <c r="DJ135" s="117"/>
      <c r="DK135" s="117"/>
      <c r="DL135" s="117"/>
      <c r="DM135" s="117"/>
      <c r="DN135" s="117"/>
      <c r="DO135" s="117"/>
      <c r="DP135" s="117"/>
      <c r="DQ135" s="117"/>
      <c r="DR135" s="117"/>
      <c r="DS135" s="117"/>
      <c r="DT135" s="117"/>
      <c r="DU135" s="117"/>
      <c r="DV135" s="117"/>
      <c r="DW135" s="117"/>
      <c r="DX135" s="117"/>
      <c r="DY135" s="117"/>
      <c r="DZ135" s="117"/>
      <c r="EA135" s="117"/>
      <c r="EB135" s="117"/>
      <c r="EC135" s="117"/>
      <c r="ED135" s="117"/>
      <c r="EE135" s="117"/>
      <c r="EF135" s="117"/>
      <c r="EG135" s="117"/>
      <c r="EH135" s="117"/>
      <c r="EI135" s="117"/>
      <c r="EJ135" s="117"/>
      <c r="EK135" s="117"/>
      <c r="EL135" s="117"/>
      <c r="EM135" s="117"/>
      <c r="EN135" s="117"/>
      <c r="EO135" s="117"/>
      <c r="EP135" s="117"/>
      <c r="EQ135" s="117"/>
      <c r="ER135" s="117"/>
      <c r="ES135" s="117"/>
      <c r="ET135" s="117"/>
      <c r="EU135" s="117"/>
      <c r="EV135" s="117"/>
      <c r="EW135" s="117"/>
      <c r="EX135" s="117"/>
      <c r="EY135" s="117"/>
      <c r="EZ135" s="117"/>
      <c r="FA135" s="117"/>
      <c r="FB135" s="117"/>
      <c r="FC135" s="117"/>
      <c r="FD135" s="117"/>
      <c r="FE135" s="117"/>
      <c r="FF135" s="117"/>
      <c r="FG135" s="117"/>
      <c r="FH135" s="117"/>
      <c r="FI135" s="117"/>
      <c r="FJ135" s="117"/>
      <c r="FK135" s="117"/>
      <c r="FL135" s="117"/>
      <c r="FM135" s="117"/>
      <c r="FN135" s="117"/>
      <c r="FO135" s="117"/>
      <c r="FP135" s="117"/>
      <c r="FQ135" s="117"/>
      <c r="FR135" s="117"/>
      <c r="FS135" s="117"/>
      <c r="FT135" s="117"/>
      <c r="FU135" s="117"/>
      <c r="FV135" s="117"/>
      <c r="FW135" s="117"/>
      <c r="FX135" s="117"/>
      <c r="FY135" s="117"/>
      <c r="FZ135" s="117"/>
      <c r="GA135" s="117"/>
      <c r="GB135" s="117"/>
      <c r="GC135" s="117"/>
      <c r="GD135" s="117"/>
      <c r="GE135" s="117"/>
      <c r="GF135" s="117"/>
      <c r="GG135" s="117"/>
      <c r="GH135" s="117"/>
      <c r="GI135" s="117"/>
      <c r="GJ135" s="117"/>
      <c r="GK135" s="117"/>
      <c r="GL135" s="117"/>
      <c r="GM135" s="117"/>
      <c r="GN135" s="117"/>
      <c r="GO135" s="117"/>
      <c r="GP135" s="117"/>
      <c r="GQ135" s="117"/>
      <c r="GR135" s="117"/>
      <c r="GS135" s="117"/>
      <c r="GT135" s="117"/>
      <c r="GU135" s="117"/>
      <c r="GV135" s="117"/>
      <c r="GW135" s="117"/>
      <c r="GX135" s="117"/>
      <c r="GY135" s="117"/>
      <c r="GZ135" s="117"/>
      <c r="HA135" s="117"/>
      <c r="HB135" s="117"/>
      <c r="HC135" s="117"/>
      <c r="HD135" s="117"/>
      <c r="HE135" s="117"/>
      <c r="HF135" s="117"/>
      <c r="HG135" s="117"/>
      <c r="HH135" s="117"/>
      <c r="HI135" s="117"/>
      <c r="HJ135" s="117"/>
      <c r="HK135" s="117"/>
      <c r="HL135" s="117"/>
      <c r="HM135" s="117"/>
      <c r="HN135" s="117"/>
      <c r="HO135" s="117"/>
      <c r="HP135" s="117"/>
      <c r="HQ135" s="117"/>
      <c r="HR135" s="117"/>
      <c r="HS135" s="117"/>
      <c r="HT135" s="117"/>
      <c r="HU135" s="117"/>
      <c r="HV135" s="117"/>
      <c r="HW135" s="117"/>
      <c r="HX135" s="117"/>
      <c r="HY135" s="117"/>
      <c r="HZ135" s="117"/>
      <c r="IA135" s="117"/>
      <c r="IB135" s="117"/>
    </row>
    <row r="136" spans="1:236" s="79" customFormat="1" ht="14.25">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c r="DE136" s="117"/>
      <c r="DF136" s="117"/>
      <c r="DG136" s="117"/>
      <c r="DH136" s="117"/>
      <c r="DI136" s="117"/>
      <c r="DJ136" s="117"/>
      <c r="DK136" s="117"/>
      <c r="DL136" s="117"/>
      <c r="DM136" s="117"/>
      <c r="DN136" s="117"/>
      <c r="DO136" s="117"/>
      <c r="DP136" s="117"/>
      <c r="DQ136" s="117"/>
      <c r="DR136" s="117"/>
      <c r="DS136" s="117"/>
      <c r="DT136" s="117"/>
      <c r="DU136" s="117"/>
      <c r="DV136" s="117"/>
      <c r="DW136" s="117"/>
      <c r="DX136" s="117"/>
      <c r="DY136" s="117"/>
      <c r="DZ136" s="117"/>
      <c r="EA136" s="117"/>
      <c r="EB136" s="117"/>
      <c r="EC136" s="117"/>
      <c r="ED136" s="117"/>
      <c r="EE136" s="117"/>
      <c r="EF136" s="117"/>
      <c r="EG136" s="117"/>
      <c r="EH136" s="117"/>
      <c r="EI136" s="117"/>
      <c r="EJ136" s="117"/>
      <c r="EK136" s="117"/>
      <c r="EL136" s="117"/>
      <c r="EM136" s="117"/>
      <c r="EN136" s="117"/>
      <c r="EO136" s="117"/>
      <c r="EP136" s="117"/>
      <c r="EQ136" s="117"/>
      <c r="ER136" s="117"/>
      <c r="ES136" s="117"/>
      <c r="ET136" s="117"/>
      <c r="EU136" s="117"/>
      <c r="EV136" s="117"/>
      <c r="EW136" s="117"/>
      <c r="EX136" s="117"/>
      <c r="EY136" s="117"/>
      <c r="EZ136" s="117"/>
      <c r="FA136" s="117"/>
      <c r="FB136" s="117"/>
      <c r="FC136" s="117"/>
      <c r="FD136" s="117"/>
      <c r="FE136" s="117"/>
      <c r="FF136" s="117"/>
      <c r="FG136" s="117"/>
      <c r="FH136" s="117"/>
      <c r="FI136" s="117"/>
      <c r="FJ136" s="117"/>
      <c r="FK136" s="117"/>
      <c r="FL136" s="117"/>
      <c r="FM136" s="117"/>
      <c r="FN136" s="117"/>
      <c r="FO136" s="117"/>
      <c r="FP136" s="117"/>
      <c r="FQ136" s="117"/>
      <c r="FR136" s="117"/>
      <c r="FS136" s="117"/>
      <c r="FT136" s="117"/>
      <c r="FU136" s="117"/>
      <c r="FV136" s="117"/>
      <c r="FW136" s="117"/>
      <c r="FX136" s="117"/>
      <c r="FY136" s="117"/>
      <c r="FZ136" s="117"/>
      <c r="GA136" s="117"/>
      <c r="GB136" s="117"/>
      <c r="GC136" s="117"/>
      <c r="GD136" s="117"/>
      <c r="GE136" s="117"/>
      <c r="GF136" s="117"/>
      <c r="GG136" s="117"/>
      <c r="GH136" s="117"/>
      <c r="GI136" s="117"/>
      <c r="GJ136" s="117"/>
      <c r="GK136" s="117"/>
      <c r="GL136" s="117"/>
      <c r="GM136" s="117"/>
      <c r="GN136" s="117"/>
      <c r="GO136" s="117"/>
      <c r="GP136" s="117"/>
      <c r="GQ136" s="117"/>
      <c r="GR136" s="117"/>
      <c r="GS136" s="117"/>
      <c r="GT136" s="117"/>
      <c r="GU136" s="117"/>
      <c r="GV136" s="117"/>
      <c r="GW136" s="117"/>
      <c r="GX136" s="117"/>
      <c r="GY136" s="117"/>
      <c r="GZ136" s="117"/>
      <c r="HA136" s="117"/>
      <c r="HB136" s="117"/>
      <c r="HC136" s="117"/>
      <c r="HD136" s="117"/>
      <c r="HE136" s="117"/>
      <c r="HF136" s="117"/>
      <c r="HG136" s="117"/>
      <c r="HH136" s="117"/>
      <c r="HI136" s="117"/>
      <c r="HJ136" s="117"/>
      <c r="HK136" s="117"/>
      <c r="HL136" s="117"/>
      <c r="HM136" s="117"/>
      <c r="HN136" s="117"/>
      <c r="HO136" s="117"/>
      <c r="HP136" s="117"/>
      <c r="HQ136" s="117"/>
      <c r="HR136" s="117"/>
      <c r="HS136" s="117"/>
      <c r="HT136" s="117"/>
      <c r="HU136" s="117"/>
      <c r="HV136" s="117"/>
      <c r="HW136" s="117"/>
      <c r="HX136" s="117"/>
      <c r="HY136" s="117"/>
      <c r="HZ136" s="117"/>
      <c r="IA136" s="117"/>
      <c r="IB136" s="117"/>
    </row>
    <row r="137" spans="1:236" s="79" customFormat="1" ht="14.25">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c r="DE137" s="117"/>
      <c r="DF137" s="117"/>
      <c r="DG137" s="117"/>
      <c r="DH137" s="117"/>
      <c r="DI137" s="117"/>
      <c r="DJ137" s="117"/>
      <c r="DK137" s="117"/>
      <c r="DL137" s="117"/>
      <c r="DM137" s="117"/>
      <c r="DN137" s="117"/>
      <c r="DO137" s="117"/>
      <c r="DP137" s="117"/>
      <c r="DQ137" s="117"/>
      <c r="DR137" s="117"/>
      <c r="DS137" s="117"/>
      <c r="DT137" s="117"/>
      <c r="DU137" s="117"/>
      <c r="DV137" s="117"/>
      <c r="DW137" s="117"/>
      <c r="DX137" s="117"/>
      <c r="DY137" s="117"/>
      <c r="DZ137" s="117"/>
      <c r="EA137" s="117"/>
      <c r="EB137" s="117"/>
      <c r="EC137" s="117"/>
      <c r="ED137" s="117"/>
      <c r="EE137" s="117"/>
      <c r="EF137" s="117"/>
      <c r="EG137" s="117"/>
      <c r="EH137" s="117"/>
      <c r="EI137" s="117"/>
      <c r="EJ137" s="117"/>
      <c r="EK137" s="117"/>
      <c r="EL137" s="117"/>
      <c r="EM137" s="117"/>
      <c r="EN137" s="117"/>
      <c r="EO137" s="117"/>
      <c r="EP137" s="117"/>
      <c r="EQ137" s="117"/>
      <c r="ER137" s="117"/>
      <c r="ES137" s="117"/>
      <c r="ET137" s="117"/>
      <c r="EU137" s="117"/>
      <c r="EV137" s="117"/>
      <c r="EW137" s="117"/>
      <c r="EX137" s="117"/>
      <c r="EY137" s="117"/>
      <c r="EZ137" s="117"/>
      <c r="FA137" s="117"/>
      <c r="FB137" s="117"/>
      <c r="FC137" s="117"/>
      <c r="FD137" s="117"/>
      <c r="FE137" s="117"/>
      <c r="FF137" s="117"/>
      <c r="FG137" s="117"/>
      <c r="FH137" s="117"/>
      <c r="FI137" s="117"/>
      <c r="FJ137" s="117"/>
      <c r="FK137" s="117"/>
      <c r="FL137" s="117"/>
      <c r="FM137" s="117"/>
      <c r="FN137" s="117"/>
      <c r="FO137" s="117"/>
      <c r="FP137" s="117"/>
      <c r="FQ137" s="117"/>
      <c r="FR137" s="117"/>
      <c r="FS137" s="117"/>
      <c r="FT137" s="117"/>
      <c r="FU137" s="117"/>
      <c r="FV137" s="117"/>
      <c r="FW137" s="117"/>
      <c r="FX137" s="117"/>
      <c r="FY137" s="117"/>
      <c r="FZ137" s="117"/>
      <c r="GA137" s="117"/>
      <c r="GB137" s="117"/>
      <c r="GC137" s="117"/>
      <c r="GD137" s="117"/>
      <c r="GE137" s="117"/>
      <c r="GF137" s="117"/>
      <c r="GG137" s="117"/>
      <c r="GH137" s="117"/>
      <c r="GI137" s="117"/>
      <c r="GJ137" s="117"/>
      <c r="GK137" s="117"/>
      <c r="GL137" s="117"/>
      <c r="GM137" s="117"/>
      <c r="GN137" s="117"/>
      <c r="GO137" s="117"/>
      <c r="GP137" s="117"/>
      <c r="GQ137" s="117"/>
      <c r="GR137" s="117"/>
      <c r="GS137" s="117"/>
      <c r="GT137" s="117"/>
      <c r="GU137" s="117"/>
      <c r="GV137" s="117"/>
      <c r="GW137" s="117"/>
      <c r="GX137" s="117"/>
      <c r="GY137" s="117"/>
      <c r="GZ137" s="117"/>
      <c r="HA137" s="117"/>
      <c r="HB137" s="117"/>
      <c r="HC137" s="117"/>
      <c r="HD137" s="117"/>
      <c r="HE137" s="117"/>
      <c r="HF137" s="117"/>
      <c r="HG137" s="117"/>
      <c r="HH137" s="117"/>
      <c r="HI137" s="117"/>
      <c r="HJ137" s="117"/>
      <c r="HK137" s="117"/>
      <c r="HL137" s="117"/>
      <c r="HM137" s="117"/>
      <c r="HN137" s="117"/>
      <c r="HO137" s="117"/>
      <c r="HP137" s="117"/>
      <c r="HQ137" s="117"/>
      <c r="HR137" s="117"/>
      <c r="HS137" s="117"/>
      <c r="HT137" s="117"/>
      <c r="HU137" s="117"/>
      <c r="HV137" s="117"/>
      <c r="HW137" s="117"/>
      <c r="HX137" s="117"/>
      <c r="HY137" s="117"/>
      <c r="HZ137" s="117"/>
      <c r="IA137" s="117"/>
      <c r="IB137" s="117"/>
    </row>
    <row r="138" spans="1:236" s="79" customFormat="1" ht="14.25">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c r="DE138" s="117"/>
      <c r="DF138" s="117"/>
      <c r="DG138" s="117"/>
      <c r="DH138" s="117"/>
      <c r="DI138" s="117"/>
      <c r="DJ138" s="117"/>
      <c r="DK138" s="117"/>
      <c r="DL138" s="117"/>
      <c r="DM138" s="117"/>
      <c r="DN138" s="117"/>
      <c r="DO138" s="117"/>
      <c r="DP138" s="117"/>
      <c r="DQ138" s="117"/>
      <c r="DR138" s="117"/>
      <c r="DS138" s="117"/>
      <c r="DT138" s="117"/>
      <c r="DU138" s="117"/>
      <c r="DV138" s="117"/>
      <c r="DW138" s="117"/>
      <c r="DX138" s="117"/>
      <c r="DY138" s="117"/>
      <c r="DZ138" s="117"/>
      <c r="EA138" s="117"/>
      <c r="EB138" s="117"/>
      <c r="EC138" s="117"/>
      <c r="ED138" s="117"/>
      <c r="EE138" s="117"/>
      <c r="EF138" s="117"/>
      <c r="EG138" s="117"/>
      <c r="EH138" s="117"/>
      <c r="EI138" s="117"/>
      <c r="EJ138" s="117"/>
      <c r="EK138" s="117"/>
      <c r="EL138" s="117"/>
      <c r="EM138" s="117"/>
      <c r="EN138" s="117"/>
      <c r="EO138" s="117"/>
      <c r="EP138" s="117"/>
      <c r="EQ138" s="117"/>
      <c r="ER138" s="117"/>
      <c r="ES138" s="117"/>
      <c r="ET138" s="117"/>
      <c r="EU138" s="117"/>
      <c r="EV138" s="117"/>
      <c r="EW138" s="117"/>
      <c r="EX138" s="117"/>
      <c r="EY138" s="117"/>
      <c r="EZ138" s="117"/>
      <c r="FA138" s="117"/>
      <c r="FB138" s="117"/>
      <c r="FC138" s="117"/>
      <c r="FD138" s="117"/>
      <c r="FE138" s="117"/>
      <c r="FF138" s="117"/>
      <c r="FG138" s="117"/>
      <c r="FH138" s="117"/>
      <c r="FI138" s="117"/>
      <c r="FJ138" s="117"/>
      <c r="FK138" s="117"/>
      <c r="FL138" s="117"/>
      <c r="FM138" s="117"/>
      <c r="FN138" s="117"/>
      <c r="FO138" s="117"/>
      <c r="FP138" s="117"/>
      <c r="FQ138" s="117"/>
      <c r="FR138" s="117"/>
      <c r="FS138" s="117"/>
      <c r="FT138" s="117"/>
      <c r="FU138" s="117"/>
      <c r="FV138" s="117"/>
      <c r="FW138" s="117"/>
      <c r="FX138" s="117"/>
      <c r="FY138" s="117"/>
      <c r="FZ138" s="117"/>
      <c r="GA138" s="117"/>
      <c r="GB138" s="117"/>
      <c r="GC138" s="117"/>
      <c r="GD138" s="117"/>
      <c r="GE138" s="117"/>
      <c r="GF138" s="117"/>
      <c r="GG138" s="117"/>
      <c r="GH138" s="117"/>
      <c r="GI138" s="117"/>
      <c r="GJ138" s="117"/>
      <c r="GK138" s="117"/>
      <c r="GL138" s="117"/>
      <c r="GM138" s="117"/>
      <c r="GN138" s="117"/>
      <c r="GO138" s="117"/>
      <c r="GP138" s="117"/>
      <c r="GQ138" s="117"/>
      <c r="GR138" s="117"/>
      <c r="GS138" s="117"/>
      <c r="GT138" s="117"/>
      <c r="GU138" s="117"/>
      <c r="GV138" s="117"/>
      <c r="GW138" s="117"/>
      <c r="GX138" s="117"/>
      <c r="GY138" s="117"/>
      <c r="GZ138" s="117"/>
      <c r="HA138" s="117"/>
      <c r="HB138" s="117"/>
      <c r="HC138" s="117"/>
      <c r="HD138" s="117"/>
      <c r="HE138" s="117"/>
      <c r="HF138" s="117"/>
      <c r="HG138" s="117"/>
      <c r="HH138" s="117"/>
      <c r="HI138" s="117"/>
      <c r="HJ138" s="117"/>
      <c r="HK138" s="117"/>
      <c r="HL138" s="117"/>
      <c r="HM138" s="117"/>
      <c r="HN138" s="117"/>
      <c r="HO138" s="117"/>
      <c r="HP138" s="117"/>
      <c r="HQ138" s="117"/>
      <c r="HR138" s="117"/>
      <c r="HS138" s="117"/>
      <c r="HT138" s="117"/>
      <c r="HU138" s="117"/>
      <c r="HV138" s="117"/>
      <c r="HW138" s="117"/>
      <c r="HX138" s="117"/>
      <c r="HY138" s="117"/>
      <c r="HZ138" s="117"/>
      <c r="IA138" s="117"/>
      <c r="IB138" s="117"/>
    </row>
    <row r="139" spans="1:236" s="79" customFormat="1" ht="14.25">
      <c r="A139" s="117"/>
      <c r="B139" s="117"/>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c r="DE139" s="117"/>
      <c r="DF139" s="117"/>
      <c r="DG139" s="117"/>
      <c r="DH139" s="117"/>
      <c r="DI139" s="117"/>
      <c r="DJ139" s="117"/>
      <c r="DK139" s="117"/>
      <c r="DL139" s="117"/>
      <c r="DM139" s="117"/>
      <c r="DN139" s="117"/>
      <c r="DO139" s="117"/>
      <c r="DP139" s="117"/>
      <c r="DQ139" s="117"/>
      <c r="DR139" s="117"/>
      <c r="DS139" s="117"/>
      <c r="DT139" s="117"/>
      <c r="DU139" s="117"/>
      <c r="DV139" s="117"/>
      <c r="DW139" s="117"/>
      <c r="DX139" s="117"/>
      <c r="DY139" s="117"/>
      <c r="DZ139" s="117"/>
      <c r="EA139" s="117"/>
      <c r="EB139" s="117"/>
      <c r="EC139" s="117"/>
      <c r="ED139" s="117"/>
      <c r="EE139" s="117"/>
      <c r="EF139" s="117"/>
      <c r="EG139" s="117"/>
      <c r="EH139" s="117"/>
      <c r="EI139" s="117"/>
      <c r="EJ139" s="117"/>
      <c r="EK139" s="117"/>
      <c r="EL139" s="117"/>
      <c r="EM139" s="117"/>
      <c r="EN139" s="117"/>
      <c r="EO139" s="117"/>
      <c r="EP139" s="117"/>
      <c r="EQ139" s="117"/>
      <c r="ER139" s="117"/>
      <c r="ES139" s="117"/>
      <c r="ET139" s="117"/>
      <c r="EU139" s="117"/>
      <c r="EV139" s="117"/>
      <c r="EW139" s="117"/>
      <c r="EX139" s="117"/>
      <c r="EY139" s="117"/>
      <c r="EZ139" s="117"/>
      <c r="FA139" s="117"/>
      <c r="FB139" s="117"/>
      <c r="FC139" s="117"/>
      <c r="FD139" s="117"/>
      <c r="FE139" s="117"/>
      <c r="FF139" s="117"/>
      <c r="FG139" s="117"/>
      <c r="FH139" s="117"/>
      <c r="FI139" s="117"/>
      <c r="FJ139" s="117"/>
      <c r="FK139" s="117"/>
      <c r="FL139" s="117"/>
      <c r="FM139" s="117"/>
      <c r="FN139" s="117"/>
      <c r="FO139" s="117"/>
      <c r="FP139" s="117"/>
      <c r="FQ139" s="117"/>
      <c r="FR139" s="117"/>
      <c r="FS139" s="117"/>
      <c r="FT139" s="117"/>
      <c r="FU139" s="117"/>
      <c r="FV139" s="117"/>
      <c r="FW139" s="117"/>
      <c r="FX139" s="117"/>
      <c r="FY139" s="117"/>
      <c r="FZ139" s="117"/>
      <c r="GA139" s="117"/>
      <c r="GB139" s="117"/>
      <c r="GC139" s="117"/>
      <c r="GD139" s="117"/>
      <c r="GE139" s="117"/>
      <c r="GF139" s="117"/>
      <c r="GG139" s="117"/>
      <c r="GH139" s="117"/>
      <c r="GI139" s="117"/>
      <c r="GJ139" s="117"/>
      <c r="GK139" s="117"/>
      <c r="GL139" s="117"/>
      <c r="GM139" s="117"/>
      <c r="GN139" s="117"/>
      <c r="GO139" s="117"/>
      <c r="GP139" s="117"/>
      <c r="GQ139" s="117"/>
      <c r="GR139" s="117"/>
      <c r="GS139" s="117"/>
      <c r="GT139" s="117"/>
      <c r="GU139" s="117"/>
      <c r="GV139" s="117"/>
      <c r="GW139" s="117"/>
      <c r="GX139" s="117"/>
      <c r="GY139" s="117"/>
      <c r="GZ139" s="117"/>
      <c r="HA139" s="117"/>
      <c r="HB139" s="117"/>
      <c r="HC139" s="117"/>
      <c r="HD139" s="117"/>
      <c r="HE139" s="117"/>
      <c r="HF139" s="117"/>
      <c r="HG139" s="117"/>
      <c r="HH139" s="117"/>
      <c r="HI139" s="117"/>
      <c r="HJ139" s="117"/>
      <c r="HK139" s="117"/>
      <c r="HL139" s="117"/>
      <c r="HM139" s="117"/>
      <c r="HN139" s="117"/>
      <c r="HO139" s="117"/>
      <c r="HP139" s="117"/>
      <c r="HQ139" s="117"/>
      <c r="HR139" s="117"/>
      <c r="HS139" s="117"/>
      <c r="HT139" s="117"/>
      <c r="HU139" s="117"/>
      <c r="HV139" s="117"/>
      <c r="HW139" s="117"/>
      <c r="HX139" s="117"/>
      <c r="HY139" s="117"/>
      <c r="HZ139" s="117"/>
      <c r="IA139" s="117"/>
      <c r="IB139" s="117"/>
    </row>
    <row r="140" spans="1:236" s="79" customFormat="1" ht="14.25">
      <c r="A140" s="117"/>
      <c r="B140" s="117"/>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c r="DE140" s="117"/>
      <c r="DF140" s="117"/>
      <c r="DG140" s="117"/>
      <c r="DH140" s="117"/>
      <c r="DI140" s="117"/>
      <c r="DJ140" s="117"/>
      <c r="DK140" s="117"/>
      <c r="DL140" s="117"/>
      <c r="DM140" s="117"/>
      <c r="DN140" s="117"/>
      <c r="DO140" s="117"/>
      <c r="DP140" s="117"/>
      <c r="DQ140" s="117"/>
      <c r="DR140" s="117"/>
      <c r="DS140" s="117"/>
      <c r="DT140" s="117"/>
      <c r="DU140" s="117"/>
      <c r="DV140" s="117"/>
      <c r="DW140" s="117"/>
      <c r="DX140" s="117"/>
      <c r="DY140" s="117"/>
      <c r="DZ140" s="117"/>
      <c r="EA140" s="117"/>
      <c r="EB140" s="117"/>
      <c r="EC140" s="117"/>
      <c r="ED140" s="117"/>
      <c r="EE140" s="117"/>
      <c r="EF140" s="117"/>
      <c r="EG140" s="117"/>
      <c r="EH140" s="117"/>
      <c r="EI140" s="117"/>
      <c r="EJ140" s="117"/>
      <c r="EK140" s="117"/>
      <c r="EL140" s="117"/>
      <c r="EM140" s="117"/>
      <c r="EN140" s="117"/>
      <c r="EO140" s="117"/>
      <c r="EP140" s="117"/>
      <c r="EQ140" s="117"/>
      <c r="ER140" s="117"/>
      <c r="ES140" s="117"/>
      <c r="ET140" s="117"/>
      <c r="EU140" s="117"/>
      <c r="EV140" s="117"/>
      <c r="EW140" s="117"/>
      <c r="EX140" s="117"/>
      <c r="EY140" s="117"/>
      <c r="EZ140" s="117"/>
      <c r="FA140" s="117"/>
      <c r="FB140" s="117"/>
      <c r="FC140" s="117"/>
      <c r="FD140" s="117"/>
      <c r="FE140" s="117"/>
      <c r="FF140" s="117"/>
      <c r="FG140" s="117"/>
      <c r="FH140" s="117"/>
      <c r="FI140" s="117"/>
      <c r="FJ140" s="117"/>
      <c r="FK140" s="117"/>
      <c r="FL140" s="117"/>
      <c r="FM140" s="117"/>
      <c r="FN140" s="117"/>
      <c r="FO140" s="117"/>
      <c r="FP140" s="117"/>
      <c r="FQ140" s="117"/>
      <c r="FR140" s="117"/>
      <c r="FS140" s="117"/>
      <c r="FT140" s="117"/>
      <c r="FU140" s="117"/>
      <c r="FV140" s="117"/>
      <c r="FW140" s="117"/>
      <c r="FX140" s="117"/>
      <c r="FY140" s="117"/>
      <c r="FZ140" s="117"/>
      <c r="GA140" s="117"/>
      <c r="GB140" s="117"/>
      <c r="GC140" s="117"/>
      <c r="GD140" s="117"/>
      <c r="GE140" s="117"/>
      <c r="GF140" s="117"/>
      <c r="GG140" s="117"/>
      <c r="GH140" s="117"/>
      <c r="GI140" s="117"/>
      <c r="GJ140" s="117"/>
      <c r="GK140" s="117"/>
      <c r="GL140" s="117"/>
      <c r="GM140" s="117"/>
      <c r="GN140" s="117"/>
      <c r="GO140" s="117"/>
      <c r="GP140" s="117"/>
      <c r="GQ140" s="117"/>
      <c r="GR140" s="117"/>
      <c r="GS140" s="117"/>
      <c r="GT140" s="117"/>
      <c r="GU140" s="117"/>
      <c r="GV140" s="117"/>
      <c r="GW140" s="117"/>
      <c r="GX140" s="117"/>
      <c r="GY140" s="117"/>
      <c r="GZ140" s="117"/>
      <c r="HA140" s="117"/>
      <c r="HB140" s="117"/>
      <c r="HC140" s="117"/>
      <c r="HD140" s="117"/>
      <c r="HE140" s="117"/>
      <c r="HF140" s="117"/>
      <c r="HG140" s="117"/>
      <c r="HH140" s="117"/>
      <c r="HI140" s="117"/>
      <c r="HJ140" s="117"/>
      <c r="HK140" s="117"/>
      <c r="HL140" s="117"/>
      <c r="HM140" s="117"/>
      <c r="HN140" s="117"/>
      <c r="HO140" s="117"/>
      <c r="HP140" s="117"/>
      <c r="HQ140" s="117"/>
      <c r="HR140" s="117"/>
      <c r="HS140" s="117"/>
      <c r="HT140" s="117"/>
      <c r="HU140" s="117"/>
      <c r="HV140" s="117"/>
      <c r="HW140" s="117"/>
      <c r="HX140" s="117"/>
      <c r="HY140" s="117"/>
      <c r="HZ140" s="117"/>
      <c r="IA140" s="117"/>
      <c r="IB140" s="117"/>
    </row>
    <row r="141" spans="1:236" s="79" customFormat="1" ht="14.25">
      <c r="A141" s="117"/>
      <c r="B141" s="117"/>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c r="BL141" s="117"/>
      <c r="BM141" s="117"/>
      <c r="BN141" s="117"/>
      <c r="BO141" s="117"/>
      <c r="BP141" s="117"/>
      <c r="BQ141" s="117"/>
      <c r="BR141" s="117"/>
      <c r="BS141" s="117"/>
      <c r="BT141" s="117"/>
      <c r="BU141" s="117"/>
      <c r="BV141" s="117"/>
      <c r="BW141" s="117"/>
      <c r="BX141" s="117"/>
      <c r="BY141" s="117"/>
      <c r="BZ141" s="117"/>
      <c r="CA141" s="117"/>
      <c r="CB141" s="117"/>
      <c r="CC141" s="117"/>
      <c r="CD141" s="117"/>
      <c r="CE141" s="117"/>
      <c r="CF141" s="117"/>
      <c r="CG141" s="117"/>
      <c r="CH141" s="117"/>
      <c r="CI141" s="117"/>
      <c r="CJ141" s="117"/>
      <c r="CK141" s="117"/>
      <c r="CL141" s="117"/>
      <c r="CM141" s="117"/>
      <c r="CN141" s="117"/>
      <c r="CO141" s="117"/>
      <c r="CP141" s="117"/>
      <c r="CQ141" s="117"/>
      <c r="CR141" s="117"/>
      <c r="CS141" s="117"/>
      <c r="CT141" s="117"/>
      <c r="CU141" s="117"/>
      <c r="CV141" s="117"/>
      <c r="CW141" s="117"/>
      <c r="CX141" s="117"/>
      <c r="CY141" s="117"/>
      <c r="CZ141" s="117"/>
      <c r="DA141" s="117"/>
      <c r="DB141" s="117"/>
      <c r="DC141" s="117"/>
      <c r="DD141" s="117"/>
      <c r="DE141" s="117"/>
      <c r="DF141" s="117"/>
      <c r="DG141" s="117"/>
      <c r="DH141" s="117"/>
      <c r="DI141" s="117"/>
      <c r="DJ141" s="117"/>
      <c r="DK141" s="117"/>
      <c r="DL141" s="117"/>
      <c r="DM141" s="117"/>
      <c r="DN141" s="117"/>
      <c r="DO141" s="117"/>
      <c r="DP141" s="117"/>
      <c r="DQ141" s="117"/>
      <c r="DR141" s="117"/>
      <c r="DS141" s="117"/>
      <c r="DT141" s="117"/>
      <c r="DU141" s="117"/>
      <c r="DV141" s="117"/>
      <c r="DW141" s="117"/>
      <c r="DX141" s="117"/>
      <c r="DY141" s="117"/>
      <c r="DZ141" s="117"/>
      <c r="EA141" s="117"/>
      <c r="EB141" s="117"/>
      <c r="EC141" s="117"/>
      <c r="ED141" s="117"/>
      <c r="EE141" s="117"/>
      <c r="EF141" s="117"/>
      <c r="EG141" s="117"/>
      <c r="EH141" s="117"/>
      <c r="EI141" s="117"/>
      <c r="EJ141" s="117"/>
      <c r="EK141" s="117"/>
      <c r="EL141" s="117"/>
      <c r="EM141" s="117"/>
      <c r="EN141" s="117"/>
      <c r="EO141" s="117"/>
      <c r="EP141" s="117"/>
      <c r="EQ141" s="117"/>
      <c r="ER141" s="117"/>
      <c r="ES141" s="117"/>
      <c r="ET141" s="117"/>
      <c r="EU141" s="117"/>
      <c r="EV141" s="117"/>
      <c r="EW141" s="117"/>
      <c r="EX141" s="117"/>
      <c r="EY141" s="117"/>
      <c r="EZ141" s="117"/>
      <c r="FA141" s="117"/>
      <c r="FB141" s="117"/>
      <c r="FC141" s="117"/>
      <c r="FD141" s="117"/>
      <c r="FE141" s="117"/>
      <c r="FF141" s="117"/>
      <c r="FG141" s="117"/>
      <c r="FH141" s="117"/>
      <c r="FI141" s="117"/>
      <c r="FJ141" s="117"/>
      <c r="FK141" s="117"/>
      <c r="FL141" s="117"/>
      <c r="FM141" s="117"/>
      <c r="FN141" s="117"/>
      <c r="FO141" s="117"/>
      <c r="FP141" s="117"/>
      <c r="FQ141" s="117"/>
      <c r="FR141" s="117"/>
      <c r="FS141" s="117"/>
      <c r="FT141" s="117"/>
      <c r="FU141" s="117"/>
      <c r="FV141" s="117"/>
      <c r="FW141" s="117"/>
      <c r="FX141" s="117"/>
      <c r="FY141" s="117"/>
      <c r="FZ141" s="117"/>
      <c r="GA141" s="117"/>
      <c r="GB141" s="117"/>
      <c r="GC141" s="117"/>
      <c r="GD141" s="117"/>
      <c r="GE141" s="117"/>
      <c r="GF141" s="117"/>
      <c r="GG141" s="117"/>
      <c r="GH141" s="117"/>
      <c r="GI141" s="117"/>
      <c r="GJ141" s="117"/>
      <c r="GK141" s="117"/>
      <c r="GL141" s="117"/>
      <c r="GM141" s="117"/>
      <c r="GN141" s="117"/>
      <c r="GO141" s="117"/>
      <c r="GP141" s="117"/>
      <c r="GQ141" s="117"/>
      <c r="GR141" s="117"/>
      <c r="GS141" s="117"/>
      <c r="GT141" s="117"/>
      <c r="GU141" s="117"/>
      <c r="GV141" s="117"/>
      <c r="GW141" s="117"/>
      <c r="GX141" s="117"/>
      <c r="GY141" s="117"/>
      <c r="GZ141" s="117"/>
      <c r="HA141" s="117"/>
      <c r="HB141" s="117"/>
      <c r="HC141" s="117"/>
      <c r="HD141" s="117"/>
      <c r="HE141" s="117"/>
      <c r="HF141" s="117"/>
      <c r="HG141" s="117"/>
      <c r="HH141" s="117"/>
      <c r="HI141" s="117"/>
      <c r="HJ141" s="117"/>
      <c r="HK141" s="117"/>
      <c r="HL141" s="117"/>
      <c r="HM141" s="117"/>
      <c r="HN141" s="117"/>
      <c r="HO141" s="117"/>
      <c r="HP141" s="117"/>
      <c r="HQ141" s="117"/>
      <c r="HR141" s="117"/>
      <c r="HS141" s="117"/>
      <c r="HT141" s="117"/>
      <c r="HU141" s="117"/>
      <c r="HV141" s="117"/>
      <c r="HW141" s="117"/>
      <c r="HX141" s="117"/>
      <c r="HY141" s="117"/>
      <c r="HZ141" s="117"/>
      <c r="IA141" s="117"/>
      <c r="IB141" s="117"/>
    </row>
    <row r="142" spans="1:236" s="79" customFormat="1" ht="14.25">
      <c r="A142" s="117"/>
      <c r="B142" s="117"/>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c r="BL142" s="117"/>
      <c r="BM142" s="117"/>
      <c r="BN142" s="117"/>
      <c r="BO142" s="117"/>
      <c r="BP142" s="117"/>
      <c r="BQ142" s="117"/>
      <c r="BR142" s="117"/>
      <c r="BS142" s="117"/>
      <c r="BT142" s="117"/>
      <c r="BU142" s="117"/>
      <c r="BV142" s="117"/>
      <c r="BW142" s="117"/>
      <c r="BX142" s="117"/>
      <c r="BY142" s="117"/>
      <c r="BZ142" s="117"/>
      <c r="CA142" s="117"/>
      <c r="CB142" s="117"/>
      <c r="CC142" s="117"/>
      <c r="CD142" s="117"/>
      <c r="CE142" s="117"/>
      <c r="CF142" s="117"/>
      <c r="CG142" s="117"/>
      <c r="CH142" s="117"/>
      <c r="CI142" s="117"/>
      <c r="CJ142" s="117"/>
      <c r="CK142" s="117"/>
      <c r="CL142" s="117"/>
      <c r="CM142" s="117"/>
      <c r="CN142" s="117"/>
      <c r="CO142" s="117"/>
      <c r="CP142" s="117"/>
      <c r="CQ142" s="117"/>
      <c r="CR142" s="117"/>
      <c r="CS142" s="117"/>
      <c r="CT142" s="117"/>
      <c r="CU142" s="117"/>
      <c r="CV142" s="117"/>
      <c r="CW142" s="117"/>
      <c r="CX142" s="117"/>
      <c r="CY142" s="117"/>
      <c r="CZ142" s="117"/>
      <c r="DA142" s="117"/>
      <c r="DB142" s="117"/>
      <c r="DC142" s="117"/>
      <c r="DD142" s="117"/>
      <c r="DE142" s="117"/>
      <c r="DF142" s="117"/>
      <c r="DG142" s="117"/>
      <c r="DH142" s="117"/>
      <c r="DI142" s="117"/>
      <c r="DJ142" s="117"/>
      <c r="DK142" s="117"/>
      <c r="DL142" s="117"/>
      <c r="DM142" s="117"/>
      <c r="DN142" s="117"/>
      <c r="DO142" s="117"/>
      <c r="DP142" s="117"/>
      <c r="DQ142" s="117"/>
      <c r="DR142" s="117"/>
      <c r="DS142" s="117"/>
      <c r="DT142" s="117"/>
      <c r="DU142" s="117"/>
      <c r="DV142" s="117"/>
      <c r="DW142" s="117"/>
      <c r="DX142" s="117"/>
      <c r="DY142" s="117"/>
      <c r="DZ142" s="117"/>
      <c r="EA142" s="117"/>
      <c r="EB142" s="117"/>
      <c r="EC142" s="117"/>
      <c r="ED142" s="117"/>
      <c r="EE142" s="117"/>
      <c r="EF142" s="117"/>
      <c r="EG142" s="117"/>
      <c r="EH142" s="117"/>
      <c r="EI142" s="117"/>
      <c r="EJ142" s="117"/>
      <c r="EK142" s="117"/>
      <c r="EL142" s="117"/>
      <c r="EM142" s="117"/>
      <c r="EN142" s="117"/>
      <c r="EO142" s="117"/>
      <c r="EP142" s="117"/>
      <c r="EQ142" s="117"/>
      <c r="ER142" s="117"/>
      <c r="ES142" s="117"/>
      <c r="ET142" s="117"/>
      <c r="EU142" s="117"/>
      <c r="EV142" s="117"/>
      <c r="EW142" s="117"/>
      <c r="EX142" s="117"/>
      <c r="EY142" s="117"/>
      <c r="EZ142" s="117"/>
      <c r="FA142" s="117"/>
      <c r="FB142" s="117"/>
      <c r="FC142" s="117"/>
      <c r="FD142" s="117"/>
      <c r="FE142" s="117"/>
      <c r="FF142" s="117"/>
      <c r="FG142" s="117"/>
      <c r="FH142" s="117"/>
      <c r="FI142" s="117"/>
      <c r="FJ142" s="117"/>
      <c r="FK142" s="117"/>
      <c r="FL142" s="117"/>
      <c r="FM142" s="117"/>
      <c r="FN142" s="117"/>
      <c r="FO142" s="117"/>
      <c r="FP142" s="117"/>
      <c r="FQ142" s="117"/>
      <c r="FR142" s="117"/>
      <c r="FS142" s="117"/>
      <c r="FT142" s="117"/>
      <c r="FU142" s="117"/>
      <c r="FV142" s="117"/>
      <c r="FW142" s="117"/>
      <c r="FX142" s="117"/>
      <c r="FY142" s="117"/>
      <c r="FZ142" s="117"/>
      <c r="GA142" s="117"/>
      <c r="GB142" s="117"/>
      <c r="GC142" s="117"/>
      <c r="GD142" s="117"/>
      <c r="GE142" s="117"/>
      <c r="GF142" s="117"/>
      <c r="GG142" s="117"/>
      <c r="GH142" s="117"/>
      <c r="GI142" s="117"/>
      <c r="GJ142" s="117"/>
      <c r="GK142" s="117"/>
      <c r="GL142" s="117"/>
      <c r="GM142" s="117"/>
      <c r="GN142" s="117"/>
      <c r="GO142" s="117"/>
      <c r="GP142" s="117"/>
      <c r="GQ142" s="117"/>
      <c r="GR142" s="117"/>
      <c r="GS142" s="117"/>
      <c r="GT142" s="117"/>
      <c r="GU142" s="117"/>
      <c r="GV142" s="117"/>
      <c r="GW142" s="117"/>
      <c r="GX142" s="117"/>
      <c r="GY142" s="117"/>
      <c r="GZ142" s="117"/>
      <c r="HA142" s="117"/>
      <c r="HB142" s="117"/>
      <c r="HC142" s="117"/>
      <c r="HD142" s="117"/>
      <c r="HE142" s="117"/>
      <c r="HF142" s="117"/>
      <c r="HG142" s="117"/>
      <c r="HH142" s="117"/>
      <c r="HI142" s="117"/>
      <c r="HJ142" s="117"/>
      <c r="HK142" s="117"/>
      <c r="HL142" s="117"/>
      <c r="HM142" s="117"/>
      <c r="HN142" s="117"/>
      <c r="HO142" s="117"/>
      <c r="HP142" s="117"/>
      <c r="HQ142" s="117"/>
      <c r="HR142" s="117"/>
      <c r="HS142" s="117"/>
      <c r="HT142" s="117"/>
      <c r="HU142" s="117"/>
      <c r="HV142" s="117"/>
      <c r="HW142" s="117"/>
      <c r="HX142" s="117"/>
      <c r="HY142" s="117"/>
      <c r="HZ142" s="117"/>
      <c r="IA142" s="117"/>
      <c r="IB142" s="117"/>
    </row>
    <row r="143" spans="1:236" s="79" customFormat="1" ht="14.25">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c r="BF143" s="117"/>
      <c r="BG143" s="117"/>
      <c r="BH143" s="117"/>
      <c r="BI143" s="117"/>
      <c r="BJ143" s="117"/>
      <c r="BK143" s="117"/>
      <c r="BL143" s="117"/>
      <c r="BM143" s="117"/>
      <c r="BN143" s="117"/>
      <c r="BO143" s="117"/>
      <c r="BP143" s="117"/>
      <c r="BQ143" s="117"/>
      <c r="BR143" s="117"/>
      <c r="BS143" s="117"/>
      <c r="BT143" s="117"/>
      <c r="BU143" s="117"/>
      <c r="BV143" s="117"/>
      <c r="BW143" s="117"/>
      <c r="BX143" s="117"/>
      <c r="BY143" s="117"/>
      <c r="BZ143" s="117"/>
      <c r="CA143" s="117"/>
      <c r="CB143" s="117"/>
      <c r="CC143" s="117"/>
      <c r="CD143" s="117"/>
      <c r="CE143" s="117"/>
      <c r="CF143" s="117"/>
      <c r="CG143" s="117"/>
      <c r="CH143" s="117"/>
      <c r="CI143" s="117"/>
      <c r="CJ143" s="117"/>
      <c r="CK143" s="117"/>
      <c r="CL143" s="117"/>
      <c r="CM143" s="117"/>
      <c r="CN143" s="117"/>
      <c r="CO143" s="117"/>
      <c r="CP143" s="117"/>
      <c r="CQ143" s="117"/>
      <c r="CR143" s="117"/>
      <c r="CS143" s="117"/>
      <c r="CT143" s="117"/>
      <c r="CU143" s="117"/>
      <c r="CV143" s="117"/>
      <c r="CW143" s="117"/>
      <c r="CX143" s="117"/>
      <c r="CY143" s="117"/>
      <c r="CZ143" s="117"/>
      <c r="DA143" s="117"/>
      <c r="DB143" s="117"/>
      <c r="DC143" s="117"/>
      <c r="DD143" s="117"/>
      <c r="DE143" s="117"/>
      <c r="DF143" s="117"/>
      <c r="DG143" s="117"/>
      <c r="DH143" s="117"/>
      <c r="DI143" s="117"/>
      <c r="DJ143" s="117"/>
      <c r="DK143" s="117"/>
      <c r="DL143" s="117"/>
      <c r="DM143" s="117"/>
      <c r="DN143" s="117"/>
      <c r="DO143" s="117"/>
      <c r="DP143" s="117"/>
      <c r="DQ143" s="117"/>
      <c r="DR143" s="117"/>
      <c r="DS143" s="117"/>
      <c r="DT143" s="117"/>
      <c r="DU143" s="117"/>
      <c r="DV143" s="117"/>
      <c r="DW143" s="117"/>
      <c r="DX143" s="117"/>
      <c r="DY143" s="117"/>
      <c r="DZ143" s="117"/>
      <c r="EA143" s="117"/>
      <c r="EB143" s="117"/>
      <c r="EC143" s="117"/>
      <c r="ED143" s="117"/>
      <c r="EE143" s="117"/>
      <c r="EF143" s="117"/>
      <c r="EG143" s="117"/>
      <c r="EH143" s="117"/>
      <c r="EI143" s="117"/>
      <c r="EJ143" s="117"/>
      <c r="EK143" s="117"/>
      <c r="EL143" s="117"/>
      <c r="EM143" s="117"/>
      <c r="EN143" s="117"/>
      <c r="EO143" s="117"/>
      <c r="EP143" s="117"/>
      <c r="EQ143" s="117"/>
      <c r="ER143" s="117"/>
      <c r="ES143" s="117"/>
      <c r="ET143" s="117"/>
      <c r="EU143" s="117"/>
      <c r="EV143" s="117"/>
      <c r="EW143" s="117"/>
      <c r="EX143" s="117"/>
      <c r="EY143" s="117"/>
      <c r="EZ143" s="117"/>
      <c r="FA143" s="117"/>
      <c r="FB143" s="117"/>
      <c r="FC143" s="117"/>
      <c r="FD143" s="117"/>
      <c r="FE143" s="117"/>
      <c r="FF143" s="117"/>
      <c r="FG143" s="117"/>
      <c r="FH143" s="117"/>
      <c r="FI143" s="117"/>
      <c r="FJ143" s="117"/>
      <c r="FK143" s="117"/>
      <c r="FL143" s="117"/>
      <c r="FM143" s="117"/>
      <c r="FN143" s="117"/>
      <c r="FO143" s="117"/>
      <c r="FP143" s="117"/>
      <c r="FQ143" s="117"/>
      <c r="FR143" s="117"/>
      <c r="FS143" s="117"/>
      <c r="FT143" s="117"/>
      <c r="FU143" s="117"/>
      <c r="FV143" s="117"/>
      <c r="FW143" s="117"/>
      <c r="FX143" s="117"/>
      <c r="FY143" s="117"/>
      <c r="FZ143" s="117"/>
      <c r="GA143" s="117"/>
      <c r="GB143" s="117"/>
      <c r="GC143" s="117"/>
      <c r="GD143" s="117"/>
      <c r="GE143" s="117"/>
      <c r="GF143" s="117"/>
      <c r="GG143" s="117"/>
      <c r="GH143" s="117"/>
      <c r="GI143" s="117"/>
      <c r="GJ143" s="117"/>
      <c r="GK143" s="117"/>
      <c r="GL143" s="117"/>
      <c r="GM143" s="117"/>
      <c r="GN143" s="117"/>
      <c r="GO143" s="117"/>
      <c r="GP143" s="117"/>
      <c r="GQ143" s="117"/>
      <c r="GR143" s="117"/>
      <c r="GS143" s="117"/>
      <c r="GT143" s="117"/>
      <c r="GU143" s="117"/>
      <c r="GV143" s="117"/>
      <c r="GW143" s="117"/>
      <c r="GX143" s="117"/>
      <c r="GY143" s="117"/>
      <c r="GZ143" s="117"/>
      <c r="HA143" s="117"/>
      <c r="HB143" s="117"/>
      <c r="HC143" s="117"/>
      <c r="HD143" s="117"/>
      <c r="HE143" s="117"/>
      <c r="HF143" s="117"/>
      <c r="HG143" s="117"/>
      <c r="HH143" s="117"/>
      <c r="HI143" s="117"/>
      <c r="HJ143" s="117"/>
      <c r="HK143" s="117"/>
      <c r="HL143" s="117"/>
      <c r="HM143" s="117"/>
      <c r="HN143" s="117"/>
      <c r="HO143" s="117"/>
      <c r="HP143" s="117"/>
      <c r="HQ143" s="117"/>
      <c r="HR143" s="117"/>
      <c r="HS143" s="117"/>
      <c r="HT143" s="117"/>
      <c r="HU143" s="117"/>
      <c r="HV143" s="117"/>
      <c r="HW143" s="117"/>
      <c r="HX143" s="117"/>
      <c r="HY143" s="117"/>
      <c r="HZ143" s="117"/>
      <c r="IA143" s="117"/>
      <c r="IB143" s="117"/>
    </row>
    <row r="144" spans="1:236" s="79" customFormat="1" ht="14.25">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c r="BB144" s="117"/>
      <c r="BC144" s="117"/>
      <c r="BD144" s="117"/>
      <c r="BE144" s="117"/>
      <c r="BF144" s="117"/>
      <c r="BG144" s="117"/>
      <c r="BH144" s="117"/>
      <c r="BI144" s="117"/>
      <c r="BJ144" s="117"/>
      <c r="BK144" s="117"/>
      <c r="BL144" s="117"/>
      <c r="BM144" s="117"/>
      <c r="BN144" s="117"/>
      <c r="BO144" s="117"/>
      <c r="BP144" s="117"/>
      <c r="BQ144" s="117"/>
      <c r="BR144" s="117"/>
      <c r="BS144" s="117"/>
      <c r="BT144" s="117"/>
      <c r="BU144" s="117"/>
      <c r="BV144" s="117"/>
      <c r="BW144" s="117"/>
      <c r="BX144" s="117"/>
      <c r="BY144" s="117"/>
      <c r="BZ144" s="117"/>
      <c r="CA144" s="117"/>
      <c r="CB144" s="117"/>
      <c r="CC144" s="117"/>
      <c r="CD144" s="117"/>
      <c r="CE144" s="117"/>
      <c r="CF144" s="117"/>
      <c r="CG144" s="117"/>
      <c r="CH144" s="117"/>
      <c r="CI144" s="117"/>
      <c r="CJ144" s="117"/>
      <c r="CK144" s="117"/>
      <c r="CL144" s="117"/>
      <c r="CM144" s="117"/>
      <c r="CN144" s="117"/>
      <c r="CO144" s="117"/>
      <c r="CP144" s="117"/>
      <c r="CQ144" s="117"/>
      <c r="CR144" s="117"/>
      <c r="CS144" s="117"/>
      <c r="CT144" s="117"/>
      <c r="CU144" s="117"/>
      <c r="CV144" s="117"/>
      <c r="CW144" s="117"/>
      <c r="CX144" s="117"/>
      <c r="CY144" s="117"/>
      <c r="CZ144" s="117"/>
      <c r="DA144" s="117"/>
      <c r="DB144" s="117"/>
      <c r="DC144" s="117"/>
      <c r="DD144" s="117"/>
      <c r="DE144" s="117"/>
      <c r="DF144" s="117"/>
      <c r="DG144" s="117"/>
      <c r="DH144" s="117"/>
      <c r="DI144" s="117"/>
      <c r="DJ144" s="117"/>
      <c r="DK144" s="117"/>
      <c r="DL144" s="117"/>
      <c r="DM144" s="117"/>
      <c r="DN144" s="117"/>
      <c r="DO144" s="117"/>
      <c r="DP144" s="117"/>
      <c r="DQ144" s="117"/>
      <c r="DR144" s="117"/>
      <c r="DS144" s="117"/>
      <c r="DT144" s="117"/>
      <c r="DU144" s="117"/>
      <c r="DV144" s="117"/>
      <c r="DW144" s="117"/>
      <c r="DX144" s="117"/>
      <c r="DY144" s="117"/>
      <c r="DZ144" s="117"/>
      <c r="EA144" s="117"/>
      <c r="EB144" s="117"/>
      <c r="EC144" s="117"/>
      <c r="ED144" s="117"/>
      <c r="EE144" s="117"/>
      <c r="EF144" s="117"/>
      <c r="EG144" s="117"/>
      <c r="EH144" s="117"/>
      <c r="EI144" s="117"/>
      <c r="EJ144" s="117"/>
      <c r="EK144" s="117"/>
      <c r="EL144" s="117"/>
      <c r="EM144" s="117"/>
      <c r="EN144" s="117"/>
      <c r="EO144" s="117"/>
      <c r="EP144" s="117"/>
      <c r="EQ144" s="117"/>
      <c r="ER144" s="117"/>
      <c r="ES144" s="117"/>
      <c r="ET144" s="117"/>
      <c r="EU144" s="117"/>
      <c r="EV144" s="117"/>
      <c r="EW144" s="117"/>
      <c r="EX144" s="117"/>
      <c r="EY144" s="117"/>
      <c r="EZ144" s="117"/>
      <c r="FA144" s="117"/>
      <c r="FB144" s="117"/>
      <c r="FC144" s="117"/>
      <c r="FD144" s="117"/>
      <c r="FE144" s="117"/>
      <c r="FF144" s="117"/>
      <c r="FG144" s="117"/>
      <c r="FH144" s="117"/>
      <c r="FI144" s="117"/>
      <c r="FJ144" s="117"/>
      <c r="FK144" s="117"/>
      <c r="FL144" s="117"/>
      <c r="FM144" s="117"/>
      <c r="FN144" s="117"/>
      <c r="FO144" s="117"/>
      <c r="FP144" s="117"/>
      <c r="FQ144" s="117"/>
      <c r="FR144" s="117"/>
      <c r="FS144" s="117"/>
      <c r="FT144" s="117"/>
      <c r="FU144" s="117"/>
      <c r="FV144" s="117"/>
      <c r="FW144" s="117"/>
      <c r="FX144" s="117"/>
      <c r="FY144" s="117"/>
      <c r="FZ144" s="117"/>
      <c r="GA144" s="117"/>
      <c r="GB144" s="117"/>
      <c r="GC144" s="117"/>
      <c r="GD144" s="117"/>
      <c r="GE144" s="117"/>
      <c r="GF144" s="117"/>
      <c r="GG144" s="117"/>
      <c r="GH144" s="117"/>
      <c r="GI144" s="117"/>
      <c r="GJ144" s="117"/>
      <c r="GK144" s="117"/>
      <c r="GL144" s="117"/>
      <c r="GM144" s="117"/>
      <c r="GN144" s="117"/>
      <c r="GO144" s="117"/>
      <c r="GP144" s="117"/>
      <c r="GQ144" s="117"/>
      <c r="GR144" s="117"/>
      <c r="GS144" s="117"/>
      <c r="GT144" s="117"/>
      <c r="GU144" s="117"/>
      <c r="GV144" s="117"/>
      <c r="GW144" s="117"/>
      <c r="GX144" s="117"/>
      <c r="GY144" s="117"/>
      <c r="GZ144" s="117"/>
      <c r="HA144" s="117"/>
      <c r="HB144" s="117"/>
      <c r="HC144" s="117"/>
      <c r="HD144" s="117"/>
      <c r="HE144" s="117"/>
      <c r="HF144" s="117"/>
      <c r="HG144" s="117"/>
      <c r="HH144" s="117"/>
      <c r="HI144" s="117"/>
      <c r="HJ144" s="117"/>
      <c r="HK144" s="117"/>
      <c r="HL144" s="117"/>
      <c r="HM144" s="117"/>
      <c r="HN144" s="117"/>
      <c r="HO144" s="117"/>
      <c r="HP144" s="117"/>
      <c r="HQ144" s="117"/>
      <c r="HR144" s="117"/>
      <c r="HS144" s="117"/>
      <c r="HT144" s="117"/>
      <c r="HU144" s="117"/>
      <c r="HV144" s="117"/>
      <c r="HW144" s="117"/>
      <c r="HX144" s="117"/>
      <c r="HY144" s="117"/>
      <c r="HZ144" s="117"/>
      <c r="IA144" s="117"/>
      <c r="IB144" s="117"/>
    </row>
    <row r="145" spans="1:236" s="79" customFormat="1" ht="14.25">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c r="BL145" s="117"/>
      <c r="BM145" s="117"/>
      <c r="BN145" s="117"/>
      <c r="BO145" s="117"/>
      <c r="BP145" s="117"/>
      <c r="BQ145" s="117"/>
      <c r="BR145" s="117"/>
      <c r="BS145" s="117"/>
      <c r="BT145" s="117"/>
      <c r="BU145" s="117"/>
      <c r="BV145" s="117"/>
      <c r="BW145" s="117"/>
      <c r="BX145" s="117"/>
      <c r="BY145" s="117"/>
      <c r="BZ145" s="117"/>
      <c r="CA145" s="117"/>
      <c r="CB145" s="117"/>
      <c r="CC145" s="117"/>
      <c r="CD145" s="117"/>
      <c r="CE145" s="117"/>
      <c r="CF145" s="117"/>
      <c r="CG145" s="117"/>
      <c r="CH145" s="117"/>
      <c r="CI145" s="117"/>
      <c r="CJ145" s="117"/>
      <c r="CK145" s="117"/>
      <c r="CL145" s="117"/>
      <c r="CM145" s="117"/>
      <c r="CN145" s="117"/>
      <c r="CO145" s="117"/>
      <c r="CP145" s="117"/>
      <c r="CQ145" s="117"/>
      <c r="CR145" s="117"/>
      <c r="CS145" s="117"/>
      <c r="CT145" s="117"/>
      <c r="CU145" s="117"/>
      <c r="CV145" s="117"/>
      <c r="CW145" s="117"/>
      <c r="CX145" s="117"/>
      <c r="CY145" s="117"/>
      <c r="CZ145" s="117"/>
      <c r="DA145" s="117"/>
      <c r="DB145" s="117"/>
      <c r="DC145" s="117"/>
      <c r="DD145" s="117"/>
      <c r="DE145" s="117"/>
      <c r="DF145" s="117"/>
      <c r="DG145" s="117"/>
      <c r="DH145" s="117"/>
      <c r="DI145" s="117"/>
      <c r="DJ145" s="117"/>
      <c r="DK145" s="117"/>
      <c r="DL145" s="117"/>
      <c r="DM145" s="117"/>
      <c r="DN145" s="117"/>
      <c r="DO145" s="117"/>
      <c r="DP145" s="117"/>
      <c r="DQ145" s="117"/>
      <c r="DR145" s="117"/>
      <c r="DS145" s="117"/>
      <c r="DT145" s="117"/>
      <c r="DU145" s="117"/>
      <c r="DV145" s="117"/>
      <c r="DW145" s="117"/>
      <c r="DX145" s="117"/>
      <c r="DY145" s="117"/>
      <c r="DZ145" s="117"/>
      <c r="EA145" s="117"/>
      <c r="EB145" s="117"/>
      <c r="EC145" s="117"/>
      <c r="ED145" s="117"/>
      <c r="EE145" s="117"/>
      <c r="EF145" s="117"/>
      <c r="EG145" s="117"/>
      <c r="EH145" s="117"/>
      <c r="EI145" s="117"/>
      <c r="EJ145" s="117"/>
      <c r="EK145" s="117"/>
      <c r="EL145" s="117"/>
      <c r="EM145" s="117"/>
      <c r="EN145" s="117"/>
      <c r="EO145" s="117"/>
      <c r="EP145" s="117"/>
      <c r="EQ145" s="117"/>
      <c r="ER145" s="117"/>
      <c r="ES145" s="117"/>
      <c r="ET145" s="117"/>
      <c r="EU145" s="117"/>
      <c r="EV145" s="117"/>
      <c r="EW145" s="117"/>
      <c r="EX145" s="117"/>
      <c r="EY145" s="117"/>
      <c r="EZ145" s="117"/>
      <c r="FA145" s="117"/>
      <c r="FB145" s="117"/>
      <c r="FC145" s="117"/>
      <c r="FD145" s="117"/>
      <c r="FE145" s="117"/>
      <c r="FF145" s="117"/>
      <c r="FG145" s="117"/>
      <c r="FH145" s="117"/>
      <c r="FI145" s="117"/>
      <c r="FJ145" s="117"/>
      <c r="FK145" s="117"/>
      <c r="FL145" s="117"/>
      <c r="FM145" s="117"/>
      <c r="FN145" s="117"/>
      <c r="FO145" s="117"/>
      <c r="FP145" s="117"/>
      <c r="FQ145" s="117"/>
      <c r="FR145" s="117"/>
      <c r="FS145" s="117"/>
      <c r="FT145" s="117"/>
      <c r="FU145" s="117"/>
      <c r="FV145" s="117"/>
      <c r="FW145" s="117"/>
      <c r="FX145" s="117"/>
      <c r="FY145" s="117"/>
      <c r="FZ145" s="117"/>
      <c r="GA145" s="117"/>
      <c r="GB145" s="117"/>
      <c r="GC145" s="117"/>
      <c r="GD145" s="117"/>
      <c r="GE145" s="117"/>
      <c r="GF145" s="117"/>
      <c r="GG145" s="117"/>
      <c r="GH145" s="117"/>
      <c r="GI145" s="117"/>
      <c r="GJ145" s="117"/>
      <c r="GK145" s="117"/>
      <c r="GL145" s="117"/>
      <c r="GM145" s="117"/>
      <c r="GN145" s="117"/>
      <c r="GO145" s="117"/>
      <c r="GP145" s="117"/>
      <c r="GQ145" s="117"/>
      <c r="GR145" s="117"/>
      <c r="GS145" s="117"/>
      <c r="GT145" s="117"/>
      <c r="GU145" s="117"/>
      <c r="GV145" s="117"/>
      <c r="GW145" s="117"/>
      <c r="GX145" s="117"/>
      <c r="GY145" s="117"/>
      <c r="GZ145" s="117"/>
      <c r="HA145" s="117"/>
      <c r="HB145" s="117"/>
      <c r="HC145" s="117"/>
      <c r="HD145" s="117"/>
      <c r="HE145" s="117"/>
      <c r="HF145" s="117"/>
      <c r="HG145" s="117"/>
      <c r="HH145" s="117"/>
      <c r="HI145" s="117"/>
      <c r="HJ145" s="117"/>
      <c r="HK145" s="117"/>
      <c r="HL145" s="117"/>
      <c r="HM145" s="117"/>
      <c r="HN145" s="117"/>
      <c r="HO145" s="117"/>
      <c r="HP145" s="117"/>
      <c r="HQ145" s="117"/>
      <c r="HR145" s="117"/>
      <c r="HS145" s="117"/>
      <c r="HT145" s="117"/>
      <c r="HU145" s="117"/>
      <c r="HV145" s="117"/>
      <c r="HW145" s="117"/>
      <c r="HX145" s="117"/>
      <c r="HY145" s="117"/>
      <c r="HZ145" s="117"/>
      <c r="IA145" s="117"/>
      <c r="IB145" s="117"/>
    </row>
    <row r="146" spans="1:236" s="79" customFormat="1" ht="14.25">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c r="BI146" s="117"/>
      <c r="BJ146" s="117"/>
      <c r="BK146" s="117"/>
      <c r="BL146" s="117"/>
      <c r="BM146" s="117"/>
      <c r="BN146" s="117"/>
      <c r="BO146" s="117"/>
      <c r="BP146" s="117"/>
      <c r="BQ146" s="117"/>
      <c r="BR146" s="117"/>
      <c r="BS146" s="117"/>
      <c r="BT146" s="117"/>
      <c r="BU146" s="117"/>
      <c r="BV146" s="117"/>
      <c r="BW146" s="117"/>
      <c r="BX146" s="117"/>
      <c r="BY146" s="117"/>
      <c r="BZ146" s="117"/>
      <c r="CA146" s="117"/>
      <c r="CB146" s="117"/>
      <c r="CC146" s="117"/>
      <c r="CD146" s="117"/>
      <c r="CE146" s="117"/>
      <c r="CF146" s="117"/>
      <c r="CG146" s="117"/>
      <c r="CH146" s="117"/>
      <c r="CI146" s="117"/>
      <c r="CJ146" s="117"/>
      <c r="CK146" s="117"/>
      <c r="CL146" s="117"/>
      <c r="CM146" s="117"/>
      <c r="CN146" s="117"/>
      <c r="CO146" s="117"/>
      <c r="CP146" s="117"/>
      <c r="CQ146" s="117"/>
      <c r="CR146" s="117"/>
      <c r="CS146" s="117"/>
      <c r="CT146" s="117"/>
      <c r="CU146" s="117"/>
      <c r="CV146" s="117"/>
      <c r="CW146" s="117"/>
      <c r="CX146" s="117"/>
      <c r="CY146" s="117"/>
      <c r="CZ146" s="117"/>
      <c r="DA146" s="117"/>
      <c r="DB146" s="117"/>
      <c r="DC146" s="117"/>
      <c r="DD146" s="117"/>
      <c r="DE146" s="117"/>
      <c r="DF146" s="117"/>
      <c r="DG146" s="117"/>
      <c r="DH146" s="117"/>
      <c r="DI146" s="117"/>
      <c r="DJ146" s="117"/>
      <c r="DK146" s="117"/>
      <c r="DL146" s="117"/>
      <c r="DM146" s="117"/>
      <c r="DN146" s="117"/>
      <c r="DO146" s="117"/>
      <c r="DP146" s="117"/>
      <c r="DQ146" s="117"/>
      <c r="DR146" s="117"/>
      <c r="DS146" s="117"/>
      <c r="DT146" s="117"/>
      <c r="DU146" s="117"/>
      <c r="DV146" s="117"/>
      <c r="DW146" s="117"/>
      <c r="DX146" s="117"/>
      <c r="DY146" s="117"/>
      <c r="DZ146" s="117"/>
      <c r="EA146" s="117"/>
      <c r="EB146" s="117"/>
      <c r="EC146" s="117"/>
      <c r="ED146" s="117"/>
      <c r="EE146" s="117"/>
      <c r="EF146" s="117"/>
      <c r="EG146" s="117"/>
      <c r="EH146" s="117"/>
      <c r="EI146" s="117"/>
      <c r="EJ146" s="117"/>
      <c r="EK146" s="117"/>
      <c r="EL146" s="117"/>
      <c r="EM146" s="117"/>
      <c r="EN146" s="117"/>
      <c r="EO146" s="117"/>
      <c r="EP146" s="117"/>
      <c r="EQ146" s="117"/>
      <c r="ER146" s="117"/>
      <c r="ES146" s="117"/>
      <c r="ET146" s="117"/>
      <c r="EU146" s="117"/>
      <c r="EV146" s="117"/>
      <c r="EW146" s="117"/>
      <c r="EX146" s="117"/>
      <c r="EY146" s="117"/>
      <c r="EZ146" s="117"/>
      <c r="FA146" s="117"/>
      <c r="FB146" s="117"/>
      <c r="FC146" s="117"/>
      <c r="FD146" s="117"/>
      <c r="FE146" s="117"/>
      <c r="FF146" s="117"/>
      <c r="FG146" s="117"/>
      <c r="FH146" s="117"/>
      <c r="FI146" s="117"/>
      <c r="FJ146" s="117"/>
      <c r="FK146" s="117"/>
      <c r="FL146" s="117"/>
      <c r="FM146" s="117"/>
      <c r="FN146" s="117"/>
      <c r="FO146" s="117"/>
      <c r="FP146" s="117"/>
      <c r="FQ146" s="117"/>
      <c r="FR146" s="117"/>
      <c r="FS146" s="117"/>
      <c r="FT146" s="117"/>
      <c r="FU146" s="117"/>
      <c r="FV146" s="117"/>
      <c r="FW146" s="117"/>
      <c r="FX146" s="117"/>
      <c r="FY146" s="117"/>
      <c r="FZ146" s="117"/>
      <c r="GA146" s="117"/>
      <c r="GB146" s="117"/>
      <c r="GC146" s="117"/>
      <c r="GD146" s="117"/>
      <c r="GE146" s="117"/>
      <c r="GF146" s="117"/>
      <c r="GG146" s="117"/>
      <c r="GH146" s="117"/>
      <c r="GI146" s="117"/>
      <c r="GJ146" s="117"/>
      <c r="GK146" s="117"/>
      <c r="GL146" s="117"/>
      <c r="GM146" s="117"/>
      <c r="GN146" s="117"/>
      <c r="GO146" s="117"/>
      <c r="GP146" s="117"/>
      <c r="GQ146" s="117"/>
      <c r="GR146" s="117"/>
      <c r="GS146" s="117"/>
      <c r="GT146" s="117"/>
      <c r="GU146" s="117"/>
      <c r="GV146" s="117"/>
      <c r="GW146" s="117"/>
      <c r="GX146" s="117"/>
      <c r="GY146" s="117"/>
      <c r="GZ146" s="117"/>
      <c r="HA146" s="117"/>
      <c r="HB146" s="117"/>
      <c r="HC146" s="117"/>
      <c r="HD146" s="117"/>
      <c r="HE146" s="117"/>
      <c r="HF146" s="117"/>
      <c r="HG146" s="117"/>
      <c r="HH146" s="117"/>
      <c r="HI146" s="117"/>
      <c r="HJ146" s="117"/>
      <c r="HK146" s="117"/>
      <c r="HL146" s="117"/>
      <c r="HM146" s="117"/>
      <c r="HN146" s="117"/>
      <c r="HO146" s="117"/>
      <c r="HP146" s="117"/>
      <c r="HQ146" s="117"/>
      <c r="HR146" s="117"/>
      <c r="HS146" s="117"/>
      <c r="HT146" s="117"/>
      <c r="HU146" s="117"/>
      <c r="HV146" s="117"/>
      <c r="HW146" s="117"/>
      <c r="HX146" s="117"/>
      <c r="HY146" s="117"/>
      <c r="HZ146" s="117"/>
      <c r="IA146" s="117"/>
      <c r="IB146" s="117"/>
    </row>
    <row r="147" spans="1:236" s="79" customFormat="1" ht="14.25">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7"/>
      <c r="BU147" s="117"/>
      <c r="BV147" s="117"/>
      <c r="BW147" s="117"/>
      <c r="BX147" s="117"/>
      <c r="BY147" s="117"/>
      <c r="BZ147" s="117"/>
      <c r="CA147" s="117"/>
      <c r="CB147" s="117"/>
      <c r="CC147" s="117"/>
      <c r="CD147" s="117"/>
      <c r="CE147" s="117"/>
      <c r="CF147" s="117"/>
      <c r="CG147" s="117"/>
      <c r="CH147" s="117"/>
      <c r="CI147" s="117"/>
      <c r="CJ147" s="117"/>
      <c r="CK147" s="117"/>
      <c r="CL147" s="117"/>
      <c r="CM147" s="117"/>
      <c r="CN147" s="117"/>
      <c r="CO147" s="117"/>
      <c r="CP147" s="117"/>
      <c r="CQ147" s="117"/>
      <c r="CR147" s="117"/>
      <c r="CS147" s="117"/>
      <c r="CT147" s="117"/>
      <c r="CU147" s="117"/>
      <c r="CV147" s="117"/>
      <c r="CW147" s="117"/>
      <c r="CX147" s="117"/>
      <c r="CY147" s="117"/>
      <c r="CZ147" s="117"/>
      <c r="DA147" s="117"/>
      <c r="DB147" s="117"/>
      <c r="DC147" s="117"/>
      <c r="DD147" s="117"/>
      <c r="DE147" s="117"/>
      <c r="DF147" s="117"/>
      <c r="DG147" s="117"/>
      <c r="DH147" s="117"/>
      <c r="DI147" s="117"/>
      <c r="DJ147" s="117"/>
      <c r="DK147" s="117"/>
      <c r="DL147" s="117"/>
      <c r="DM147" s="117"/>
      <c r="DN147" s="117"/>
      <c r="DO147" s="117"/>
      <c r="DP147" s="117"/>
      <c r="DQ147" s="117"/>
      <c r="DR147" s="117"/>
      <c r="DS147" s="117"/>
      <c r="DT147" s="117"/>
      <c r="DU147" s="117"/>
      <c r="DV147" s="117"/>
      <c r="DW147" s="117"/>
      <c r="DX147" s="117"/>
      <c r="DY147" s="117"/>
      <c r="DZ147" s="117"/>
      <c r="EA147" s="117"/>
      <c r="EB147" s="117"/>
      <c r="EC147" s="117"/>
      <c r="ED147" s="117"/>
      <c r="EE147" s="117"/>
      <c r="EF147" s="117"/>
      <c r="EG147" s="117"/>
      <c r="EH147" s="117"/>
      <c r="EI147" s="117"/>
      <c r="EJ147" s="117"/>
      <c r="EK147" s="117"/>
      <c r="EL147" s="117"/>
      <c r="EM147" s="117"/>
      <c r="EN147" s="117"/>
      <c r="EO147" s="117"/>
      <c r="EP147" s="117"/>
      <c r="EQ147" s="117"/>
      <c r="ER147" s="117"/>
      <c r="ES147" s="117"/>
      <c r="ET147" s="117"/>
      <c r="EU147" s="117"/>
      <c r="EV147" s="117"/>
      <c r="EW147" s="117"/>
      <c r="EX147" s="117"/>
      <c r="EY147" s="117"/>
      <c r="EZ147" s="117"/>
      <c r="FA147" s="117"/>
      <c r="FB147" s="117"/>
      <c r="FC147" s="117"/>
      <c r="FD147" s="117"/>
      <c r="FE147" s="117"/>
      <c r="FF147" s="117"/>
      <c r="FG147" s="117"/>
      <c r="FH147" s="117"/>
      <c r="FI147" s="117"/>
      <c r="FJ147" s="117"/>
      <c r="FK147" s="117"/>
      <c r="FL147" s="117"/>
      <c r="FM147" s="117"/>
      <c r="FN147" s="117"/>
      <c r="FO147" s="117"/>
      <c r="FP147" s="117"/>
      <c r="FQ147" s="117"/>
      <c r="FR147" s="117"/>
      <c r="FS147" s="117"/>
      <c r="FT147" s="117"/>
      <c r="FU147" s="117"/>
      <c r="FV147" s="117"/>
      <c r="FW147" s="117"/>
      <c r="FX147" s="117"/>
      <c r="FY147" s="117"/>
      <c r="FZ147" s="117"/>
      <c r="GA147" s="117"/>
      <c r="GB147" s="117"/>
      <c r="GC147" s="117"/>
      <c r="GD147" s="117"/>
      <c r="GE147" s="117"/>
      <c r="GF147" s="117"/>
      <c r="GG147" s="117"/>
      <c r="GH147" s="117"/>
      <c r="GI147" s="117"/>
      <c r="GJ147" s="117"/>
      <c r="GK147" s="117"/>
      <c r="GL147" s="117"/>
      <c r="GM147" s="117"/>
      <c r="GN147" s="117"/>
      <c r="GO147" s="117"/>
      <c r="GP147" s="117"/>
      <c r="GQ147" s="117"/>
      <c r="GR147" s="117"/>
      <c r="GS147" s="117"/>
      <c r="GT147" s="117"/>
      <c r="GU147" s="117"/>
      <c r="GV147" s="117"/>
      <c r="GW147" s="117"/>
      <c r="GX147" s="117"/>
      <c r="GY147" s="117"/>
      <c r="GZ147" s="117"/>
      <c r="HA147" s="117"/>
      <c r="HB147" s="117"/>
      <c r="HC147" s="117"/>
      <c r="HD147" s="117"/>
      <c r="HE147" s="117"/>
      <c r="HF147" s="117"/>
      <c r="HG147" s="117"/>
      <c r="HH147" s="117"/>
      <c r="HI147" s="117"/>
      <c r="HJ147" s="117"/>
      <c r="HK147" s="117"/>
      <c r="HL147" s="117"/>
      <c r="HM147" s="117"/>
      <c r="HN147" s="117"/>
      <c r="HO147" s="117"/>
      <c r="HP147" s="117"/>
      <c r="HQ147" s="117"/>
      <c r="HR147" s="117"/>
      <c r="HS147" s="117"/>
      <c r="HT147" s="117"/>
      <c r="HU147" s="117"/>
      <c r="HV147" s="117"/>
      <c r="HW147" s="117"/>
      <c r="HX147" s="117"/>
      <c r="HY147" s="117"/>
      <c r="HZ147" s="117"/>
      <c r="IA147" s="117"/>
      <c r="IB147" s="117"/>
    </row>
    <row r="148" spans="1:236" s="79" customFormat="1" ht="14.25">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7"/>
      <c r="AZ148" s="117"/>
      <c r="BA148" s="117"/>
      <c r="BB148" s="117"/>
      <c r="BC148" s="117"/>
      <c r="BD148" s="117"/>
      <c r="BE148" s="117"/>
      <c r="BF148" s="117"/>
      <c r="BG148" s="117"/>
      <c r="BH148" s="117"/>
      <c r="BI148" s="117"/>
      <c r="BJ148" s="117"/>
      <c r="BK148" s="117"/>
      <c r="BL148" s="117"/>
      <c r="BM148" s="117"/>
      <c r="BN148" s="117"/>
      <c r="BO148" s="117"/>
      <c r="BP148" s="117"/>
      <c r="BQ148" s="117"/>
      <c r="BR148" s="117"/>
      <c r="BS148" s="117"/>
      <c r="BT148" s="117"/>
      <c r="BU148" s="117"/>
      <c r="BV148" s="117"/>
      <c r="BW148" s="117"/>
      <c r="BX148" s="117"/>
      <c r="BY148" s="117"/>
      <c r="BZ148" s="117"/>
      <c r="CA148" s="117"/>
      <c r="CB148" s="117"/>
      <c r="CC148" s="117"/>
      <c r="CD148" s="117"/>
      <c r="CE148" s="117"/>
      <c r="CF148" s="117"/>
      <c r="CG148" s="117"/>
      <c r="CH148" s="117"/>
      <c r="CI148" s="117"/>
      <c r="CJ148" s="117"/>
      <c r="CK148" s="117"/>
      <c r="CL148" s="117"/>
      <c r="CM148" s="117"/>
      <c r="CN148" s="117"/>
      <c r="CO148" s="117"/>
      <c r="CP148" s="117"/>
      <c r="CQ148" s="117"/>
      <c r="CR148" s="117"/>
      <c r="CS148" s="117"/>
      <c r="CT148" s="117"/>
      <c r="CU148" s="117"/>
      <c r="CV148" s="117"/>
      <c r="CW148" s="117"/>
      <c r="CX148" s="117"/>
      <c r="CY148" s="117"/>
      <c r="CZ148" s="117"/>
      <c r="DA148" s="117"/>
      <c r="DB148" s="117"/>
      <c r="DC148" s="117"/>
      <c r="DD148" s="117"/>
      <c r="DE148" s="117"/>
      <c r="DF148" s="117"/>
      <c r="DG148" s="117"/>
      <c r="DH148" s="117"/>
      <c r="DI148" s="117"/>
      <c r="DJ148" s="117"/>
      <c r="DK148" s="117"/>
      <c r="DL148" s="117"/>
      <c r="DM148" s="117"/>
      <c r="DN148" s="117"/>
      <c r="DO148" s="117"/>
      <c r="DP148" s="117"/>
      <c r="DQ148" s="117"/>
      <c r="DR148" s="117"/>
      <c r="DS148" s="117"/>
      <c r="DT148" s="117"/>
      <c r="DU148" s="117"/>
      <c r="DV148" s="117"/>
      <c r="DW148" s="117"/>
      <c r="DX148" s="117"/>
      <c r="DY148" s="117"/>
      <c r="DZ148" s="117"/>
      <c r="EA148" s="117"/>
      <c r="EB148" s="117"/>
      <c r="EC148" s="117"/>
      <c r="ED148" s="117"/>
      <c r="EE148" s="117"/>
      <c r="EF148" s="117"/>
      <c r="EG148" s="117"/>
      <c r="EH148" s="117"/>
      <c r="EI148" s="117"/>
      <c r="EJ148" s="117"/>
      <c r="EK148" s="117"/>
      <c r="EL148" s="117"/>
      <c r="EM148" s="117"/>
      <c r="EN148" s="117"/>
      <c r="EO148" s="117"/>
      <c r="EP148" s="117"/>
      <c r="EQ148" s="117"/>
      <c r="ER148" s="117"/>
      <c r="ES148" s="117"/>
      <c r="ET148" s="117"/>
      <c r="EU148" s="117"/>
      <c r="EV148" s="117"/>
      <c r="EW148" s="117"/>
      <c r="EX148" s="117"/>
      <c r="EY148" s="117"/>
      <c r="EZ148" s="117"/>
      <c r="FA148" s="117"/>
      <c r="FB148" s="117"/>
      <c r="FC148" s="117"/>
      <c r="FD148" s="117"/>
      <c r="FE148" s="117"/>
      <c r="FF148" s="117"/>
      <c r="FG148" s="117"/>
      <c r="FH148" s="117"/>
      <c r="FI148" s="117"/>
      <c r="FJ148" s="117"/>
      <c r="FK148" s="117"/>
      <c r="FL148" s="117"/>
      <c r="FM148" s="117"/>
      <c r="FN148" s="117"/>
      <c r="FO148" s="117"/>
      <c r="FP148" s="117"/>
      <c r="FQ148" s="117"/>
      <c r="FR148" s="117"/>
      <c r="FS148" s="117"/>
      <c r="FT148" s="117"/>
      <c r="FU148" s="117"/>
      <c r="FV148" s="117"/>
      <c r="FW148" s="117"/>
      <c r="FX148" s="117"/>
      <c r="FY148" s="117"/>
      <c r="FZ148" s="117"/>
      <c r="GA148" s="117"/>
      <c r="GB148" s="117"/>
      <c r="GC148" s="117"/>
      <c r="GD148" s="117"/>
      <c r="GE148" s="117"/>
      <c r="GF148" s="117"/>
      <c r="GG148" s="117"/>
      <c r="GH148" s="117"/>
      <c r="GI148" s="117"/>
      <c r="GJ148" s="117"/>
      <c r="GK148" s="117"/>
      <c r="GL148" s="117"/>
      <c r="GM148" s="117"/>
      <c r="GN148" s="117"/>
      <c r="GO148" s="117"/>
      <c r="GP148" s="117"/>
      <c r="GQ148" s="117"/>
      <c r="GR148" s="117"/>
      <c r="GS148" s="117"/>
      <c r="GT148" s="117"/>
      <c r="GU148" s="117"/>
      <c r="GV148" s="117"/>
      <c r="GW148" s="117"/>
      <c r="GX148" s="117"/>
      <c r="GY148" s="117"/>
      <c r="GZ148" s="117"/>
      <c r="HA148" s="117"/>
      <c r="HB148" s="117"/>
      <c r="HC148" s="117"/>
      <c r="HD148" s="117"/>
      <c r="HE148" s="117"/>
      <c r="HF148" s="117"/>
      <c r="HG148" s="117"/>
      <c r="HH148" s="117"/>
      <c r="HI148" s="117"/>
      <c r="HJ148" s="117"/>
      <c r="HK148" s="117"/>
      <c r="HL148" s="117"/>
      <c r="HM148" s="117"/>
      <c r="HN148" s="117"/>
      <c r="HO148" s="117"/>
      <c r="HP148" s="117"/>
      <c r="HQ148" s="117"/>
      <c r="HR148" s="117"/>
      <c r="HS148" s="117"/>
      <c r="HT148" s="117"/>
      <c r="HU148" s="117"/>
      <c r="HV148" s="117"/>
      <c r="HW148" s="117"/>
      <c r="HX148" s="117"/>
      <c r="HY148" s="117"/>
      <c r="HZ148" s="117"/>
      <c r="IA148" s="117"/>
      <c r="IB148" s="117"/>
    </row>
    <row r="149" spans="1:236" s="79" customFormat="1" ht="14.25">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7"/>
      <c r="BH149" s="117"/>
      <c r="BI149" s="117"/>
      <c r="BJ149" s="117"/>
      <c r="BK149" s="117"/>
      <c r="BL149" s="117"/>
      <c r="BM149" s="117"/>
      <c r="BN149" s="117"/>
      <c r="BO149" s="117"/>
      <c r="BP149" s="117"/>
      <c r="BQ149" s="117"/>
      <c r="BR149" s="117"/>
      <c r="BS149" s="117"/>
      <c r="BT149" s="117"/>
      <c r="BU149" s="117"/>
      <c r="BV149" s="117"/>
      <c r="BW149" s="117"/>
      <c r="BX149" s="117"/>
      <c r="BY149" s="117"/>
      <c r="BZ149" s="117"/>
      <c r="CA149" s="117"/>
      <c r="CB149" s="117"/>
      <c r="CC149" s="117"/>
      <c r="CD149" s="117"/>
      <c r="CE149" s="117"/>
      <c r="CF149" s="117"/>
      <c r="CG149" s="117"/>
      <c r="CH149" s="117"/>
      <c r="CI149" s="117"/>
      <c r="CJ149" s="117"/>
      <c r="CK149" s="117"/>
      <c r="CL149" s="117"/>
      <c r="CM149" s="117"/>
      <c r="CN149" s="117"/>
      <c r="CO149" s="117"/>
      <c r="CP149" s="117"/>
      <c r="CQ149" s="117"/>
      <c r="CR149" s="117"/>
      <c r="CS149" s="117"/>
      <c r="CT149" s="117"/>
      <c r="CU149" s="117"/>
      <c r="CV149" s="117"/>
      <c r="CW149" s="117"/>
      <c r="CX149" s="117"/>
      <c r="CY149" s="117"/>
      <c r="CZ149" s="117"/>
      <c r="DA149" s="117"/>
      <c r="DB149" s="117"/>
      <c r="DC149" s="117"/>
      <c r="DD149" s="117"/>
      <c r="DE149" s="117"/>
      <c r="DF149" s="117"/>
      <c r="DG149" s="117"/>
      <c r="DH149" s="117"/>
      <c r="DI149" s="117"/>
      <c r="DJ149" s="117"/>
      <c r="DK149" s="117"/>
      <c r="DL149" s="117"/>
      <c r="DM149" s="117"/>
      <c r="DN149" s="117"/>
      <c r="DO149" s="117"/>
      <c r="DP149" s="117"/>
      <c r="DQ149" s="117"/>
      <c r="DR149" s="117"/>
      <c r="DS149" s="117"/>
      <c r="DT149" s="117"/>
      <c r="DU149" s="117"/>
      <c r="DV149" s="117"/>
      <c r="DW149" s="117"/>
      <c r="DX149" s="117"/>
      <c r="DY149" s="117"/>
      <c r="DZ149" s="117"/>
      <c r="EA149" s="117"/>
      <c r="EB149" s="117"/>
      <c r="EC149" s="117"/>
      <c r="ED149" s="117"/>
      <c r="EE149" s="117"/>
      <c r="EF149" s="117"/>
      <c r="EG149" s="117"/>
      <c r="EH149" s="117"/>
      <c r="EI149" s="117"/>
      <c r="EJ149" s="117"/>
      <c r="EK149" s="117"/>
      <c r="EL149" s="117"/>
      <c r="EM149" s="117"/>
      <c r="EN149" s="117"/>
      <c r="EO149" s="117"/>
      <c r="EP149" s="117"/>
      <c r="EQ149" s="117"/>
      <c r="ER149" s="117"/>
      <c r="ES149" s="117"/>
      <c r="ET149" s="117"/>
      <c r="EU149" s="117"/>
      <c r="EV149" s="117"/>
      <c r="EW149" s="117"/>
      <c r="EX149" s="117"/>
      <c r="EY149" s="117"/>
      <c r="EZ149" s="117"/>
      <c r="FA149" s="117"/>
      <c r="FB149" s="117"/>
      <c r="FC149" s="117"/>
      <c r="FD149" s="117"/>
      <c r="FE149" s="117"/>
      <c r="FF149" s="117"/>
      <c r="FG149" s="117"/>
      <c r="FH149" s="117"/>
      <c r="FI149" s="117"/>
      <c r="FJ149" s="117"/>
      <c r="FK149" s="117"/>
      <c r="FL149" s="117"/>
      <c r="FM149" s="117"/>
      <c r="FN149" s="117"/>
      <c r="FO149" s="117"/>
      <c r="FP149" s="117"/>
      <c r="FQ149" s="117"/>
      <c r="FR149" s="117"/>
      <c r="FS149" s="117"/>
      <c r="FT149" s="117"/>
      <c r="FU149" s="117"/>
      <c r="FV149" s="117"/>
      <c r="FW149" s="117"/>
      <c r="FX149" s="117"/>
      <c r="FY149" s="117"/>
      <c r="FZ149" s="117"/>
      <c r="GA149" s="117"/>
      <c r="GB149" s="117"/>
      <c r="GC149" s="117"/>
      <c r="GD149" s="117"/>
      <c r="GE149" s="117"/>
      <c r="GF149" s="117"/>
      <c r="GG149" s="117"/>
      <c r="GH149" s="117"/>
      <c r="GI149" s="117"/>
      <c r="GJ149" s="117"/>
      <c r="GK149" s="117"/>
      <c r="GL149" s="117"/>
      <c r="GM149" s="117"/>
      <c r="GN149" s="117"/>
      <c r="GO149" s="117"/>
      <c r="GP149" s="117"/>
      <c r="GQ149" s="117"/>
      <c r="GR149" s="117"/>
      <c r="GS149" s="117"/>
      <c r="GT149" s="117"/>
      <c r="GU149" s="117"/>
      <c r="GV149" s="117"/>
      <c r="GW149" s="117"/>
      <c r="GX149" s="117"/>
      <c r="GY149" s="117"/>
      <c r="GZ149" s="117"/>
      <c r="HA149" s="117"/>
      <c r="HB149" s="117"/>
      <c r="HC149" s="117"/>
      <c r="HD149" s="117"/>
      <c r="HE149" s="117"/>
      <c r="HF149" s="117"/>
      <c r="HG149" s="117"/>
      <c r="HH149" s="117"/>
      <c r="HI149" s="117"/>
      <c r="HJ149" s="117"/>
      <c r="HK149" s="117"/>
      <c r="HL149" s="117"/>
      <c r="HM149" s="117"/>
      <c r="HN149" s="117"/>
      <c r="HO149" s="117"/>
      <c r="HP149" s="117"/>
      <c r="HQ149" s="117"/>
      <c r="HR149" s="117"/>
      <c r="HS149" s="117"/>
      <c r="HT149" s="117"/>
      <c r="HU149" s="117"/>
      <c r="HV149" s="117"/>
      <c r="HW149" s="117"/>
      <c r="HX149" s="117"/>
      <c r="HY149" s="117"/>
      <c r="HZ149" s="117"/>
      <c r="IA149" s="117"/>
      <c r="IB149" s="117"/>
    </row>
    <row r="150" spans="1:236" s="79" customFormat="1" ht="14.25">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c r="BB150" s="117"/>
      <c r="BC150" s="117"/>
      <c r="BD150" s="117"/>
      <c r="BE150" s="117"/>
      <c r="BF150" s="117"/>
      <c r="BG150" s="117"/>
      <c r="BH150" s="117"/>
      <c r="BI150" s="117"/>
      <c r="BJ150" s="117"/>
      <c r="BK150" s="117"/>
      <c r="BL150" s="117"/>
      <c r="BM150" s="117"/>
      <c r="BN150" s="117"/>
      <c r="BO150" s="117"/>
      <c r="BP150" s="117"/>
      <c r="BQ150" s="117"/>
      <c r="BR150" s="117"/>
      <c r="BS150" s="117"/>
      <c r="BT150" s="117"/>
      <c r="BU150" s="117"/>
      <c r="BV150" s="117"/>
      <c r="BW150" s="117"/>
      <c r="BX150" s="117"/>
      <c r="BY150" s="117"/>
      <c r="BZ150" s="117"/>
      <c r="CA150" s="117"/>
      <c r="CB150" s="117"/>
      <c r="CC150" s="117"/>
      <c r="CD150" s="117"/>
      <c r="CE150" s="117"/>
      <c r="CF150" s="117"/>
      <c r="CG150" s="117"/>
      <c r="CH150" s="117"/>
      <c r="CI150" s="117"/>
      <c r="CJ150" s="117"/>
      <c r="CK150" s="117"/>
      <c r="CL150" s="117"/>
      <c r="CM150" s="117"/>
      <c r="CN150" s="117"/>
      <c r="CO150" s="117"/>
      <c r="CP150" s="117"/>
      <c r="CQ150" s="117"/>
      <c r="CR150" s="117"/>
      <c r="CS150" s="117"/>
      <c r="CT150" s="117"/>
      <c r="CU150" s="117"/>
      <c r="CV150" s="117"/>
      <c r="CW150" s="117"/>
      <c r="CX150" s="117"/>
      <c r="CY150" s="117"/>
      <c r="CZ150" s="117"/>
      <c r="DA150" s="117"/>
      <c r="DB150" s="117"/>
      <c r="DC150" s="117"/>
      <c r="DD150" s="117"/>
      <c r="DE150" s="117"/>
      <c r="DF150" s="117"/>
      <c r="DG150" s="117"/>
      <c r="DH150" s="117"/>
      <c r="DI150" s="117"/>
      <c r="DJ150" s="117"/>
      <c r="DK150" s="117"/>
      <c r="DL150" s="117"/>
      <c r="DM150" s="117"/>
      <c r="DN150" s="117"/>
      <c r="DO150" s="117"/>
      <c r="DP150" s="117"/>
      <c r="DQ150" s="117"/>
      <c r="DR150" s="117"/>
      <c r="DS150" s="117"/>
      <c r="DT150" s="117"/>
      <c r="DU150" s="117"/>
      <c r="DV150" s="117"/>
      <c r="DW150" s="117"/>
      <c r="DX150" s="117"/>
      <c r="DY150" s="117"/>
      <c r="DZ150" s="117"/>
      <c r="EA150" s="117"/>
      <c r="EB150" s="117"/>
      <c r="EC150" s="117"/>
      <c r="ED150" s="117"/>
      <c r="EE150" s="117"/>
      <c r="EF150" s="117"/>
      <c r="EG150" s="117"/>
      <c r="EH150" s="117"/>
      <c r="EI150" s="117"/>
      <c r="EJ150" s="117"/>
      <c r="EK150" s="117"/>
      <c r="EL150" s="117"/>
      <c r="EM150" s="117"/>
      <c r="EN150" s="117"/>
      <c r="EO150" s="117"/>
      <c r="EP150" s="117"/>
      <c r="EQ150" s="117"/>
      <c r="ER150" s="117"/>
      <c r="ES150" s="117"/>
      <c r="ET150" s="117"/>
      <c r="EU150" s="117"/>
      <c r="EV150" s="117"/>
      <c r="EW150" s="117"/>
      <c r="EX150" s="117"/>
      <c r="EY150" s="117"/>
      <c r="EZ150" s="117"/>
      <c r="FA150" s="117"/>
      <c r="FB150" s="117"/>
      <c r="FC150" s="117"/>
      <c r="FD150" s="117"/>
      <c r="FE150" s="117"/>
      <c r="FF150" s="117"/>
      <c r="FG150" s="117"/>
      <c r="FH150" s="117"/>
      <c r="FI150" s="117"/>
      <c r="FJ150" s="117"/>
      <c r="FK150" s="117"/>
      <c r="FL150" s="117"/>
      <c r="FM150" s="117"/>
      <c r="FN150" s="117"/>
      <c r="FO150" s="117"/>
      <c r="FP150" s="117"/>
      <c r="FQ150" s="117"/>
      <c r="FR150" s="117"/>
      <c r="FS150" s="117"/>
      <c r="FT150" s="117"/>
      <c r="FU150" s="117"/>
      <c r="FV150" s="117"/>
      <c r="FW150" s="117"/>
      <c r="FX150" s="117"/>
      <c r="FY150" s="117"/>
      <c r="FZ150" s="117"/>
      <c r="GA150" s="117"/>
      <c r="GB150" s="117"/>
      <c r="GC150" s="117"/>
      <c r="GD150" s="117"/>
      <c r="GE150" s="117"/>
      <c r="GF150" s="117"/>
      <c r="GG150" s="117"/>
      <c r="GH150" s="117"/>
      <c r="GI150" s="117"/>
      <c r="GJ150" s="117"/>
      <c r="GK150" s="117"/>
      <c r="GL150" s="117"/>
      <c r="GM150" s="117"/>
      <c r="GN150" s="117"/>
      <c r="GO150" s="117"/>
      <c r="GP150" s="117"/>
      <c r="GQ150" s="117"/>
      <c r="GR150" s="117"/>
      <c r="GS150" s="117"/>
      <c r="GT150" s="117"/>
      <c r="GU150" s="117"/>
      <c r="GV150" s="117"/>
      <c r="GW150" s="117"/>
      <c r="GX150" s="117"/>
      <c r="GY150" s="117"/>
      <c r="GZ150" s="117"/>
      <c r="HA150" s="117"/>
      <c r="HB150" s="117"/>
      <c r="HC150" s="117"/>
      <c r="HD150" s="117"/>
      <c r="HE150" s="117"/>
      <c r="HF150" s="117"/>
      <c r="HG150" s="117"/>
      <c r="HH150" s="117"/>
      <c r="HI150" s="117"/>
      <c r="HJ150" s="117"/>
      <c r="HK150" s="117"/>
      <c r="HL150" s="117"/>
      <c r="HM150" s="117"/>
      <c r="HN150" s="117"/>
      <c r="HO150" s="117"/>
      <c r="HP150" s="117"/>
      <c r="HQ150" s="117"/>
      <c r="HR150" s="117"/>
      <c r="HS150" s="117"/>
      <c r="HT150" s="117"/>
      <c r="HU150" s="117"/>
      <c r="HV150" s="117"/>
      <c r="HW150" s="117"/>
      <c r="HX150" s="117"/>
      <c r="HY150" s="117"/>
      <c r="HZ150" s="117"/>
      <c r="IA150" s="117"/>
      <c r="IB150" s="117"/>
    </row>
    <row r="151" spans="1:236" s="79" customFormat="1" ht="14.25">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c r="BL151" s="117"/>
      <c r="BM151" s="117"/>
      <c r="BN151" s="117"/>
      <c r="BO151" s="117"/>
      <c r="BP151" s="117"/>
      <c r="BQ151" s="117"/>
      <c r="BR151" s="117"/>
      <c r="BS151" s="117"/>
      <c r="BT151" s="117"/>
      <c r="BU151" s="117"/>
      <c r="BV151" s="117"/>
      <c r="BW151" s="117"/>
      <c r="BX151" s="117"/>
      <c r="BY151" s="117"/>
      <c r="BZ151" s="117"/>
      <c r="CA151" s="117"/>
      <c r="CB151" s="117"/>
      <c r="CC151" s="117"/>
      <c r="CD151" s="117"/>
      <c r="CE151" s="117"/>
      <c r="CF151" s="117"/>
      <c r="CG151" s="117"/>
      <c r="CH151" s="117"/>
      <c r="CI151" s="117"/>
      <c r="CJ151" s="117"/>
      <c r="CK151" s="117"/>
      <c r="CL151" s="117"/>
      <c r="CM151" s="117"/>
      <c r="CN151" s="117"/>
      <c r="CO151" s="117"/>
      <c r="CP151" s="117"/>
      <c r="CQ151" s="117"/>
      <c r="CR151" s="117"/>
      <c r="CS151" s="117"/>
      <c r="CT151" s="117"/>
      <c r="CU151" s="117"/>
      <c r="CV151" s="117"/>
      <c r="CW151" s="117"/>
      <c r="CX151" s="117"/>
      <c r="CY151" s="117"/>
      <c r="CZ151" s="117"/>
      <c r="DA151" s="117"/>
      <c r="DB151" s="117"/>
      <c r="DC151" s="117"/>
      <c r="DD151" s="117"/>
      <c r="DE151" s="117"/>
      <c r="DF151" s="117"/>
      <c r="DG151" s="117"/>
      <c r="DH151" s="117"/>
      <c r="DI151" s="117"/>
      <c r="DJ151" s="117"/>
      <c r="DK151" s="117"/>
      <c r="DL151" s="117"/>
      <c r="DM151" s="117"/>
      <c r="DN151" s="117"/>
      <c r="DO151" s="117"/>
      <c r="DP151" s="117"/>
      <c r="DQ151" s="117"/>
      <c r="DR151" s="117"/>
      <c r="DS151" s="117"/>
      <c r="DT151" s="117"/>
      <c r="DU151" s="117"/>
      <c r="DV151" s="117"/>
      <c r="DW151" s="117"/>
      <c r="DX151" s="117"/>
      <c r="DY151" s="117"/>
      <c r="DZ151" s="117"/>
      <c r="EA151" s="117"/>
      <c r="EB151" s="117"/>
      <c r="EC151" s="117"/>
      <c r="ED151" s="117"/>
      <c r="EE151" s="117"/>
      <c r="EF151" s="117"/>
      <c r="EG151" s="117"/>
      <c r="EH151" s="117"/>
      <c r="EI151" s="117"/>
      <c r="EJ151" s="117"/>
      <c r="EK151" s="117"/>
      <c r="EL151" s="117"/>
      <c r="EM151" s="117"/>
      <c r="EN151" s="117"/>
      <c r="EO151" s="117"/>
      <c r="EP151" s="117"/>
      <c r="EQ151" s="117"/>
      <c r="ER151" s="117"/>
      <c r="ES151" s="117"/>
      <c r="ET151" s="117"/>
      <c r="EU151" s="117"/>
      <c r="EV151" s="117"/>
      <c r="EW151" s="117"/>
      <c r="EX151" s="117"/>
      <c r="EY151" s="117"/>
      <c r="EZ151" s="117"/>
      <c r="FA151" s="117"/>
      <c r="FB151" s="117"/>
      <c r="FC151" s="117"/>
      <c r="FD151" s="117"/>
      <c r="FE151" s="117"/>
      <c r="FF151" s="117"/>
      <c r="FG151" s="117"/>
      <c r="FH151" s="117"/>
      <c r="FI151" s="117"/>
      <c r="FJ151" s="117"/>
      <c r="FK151" s="117"/>
      <c r="FL151" s="117"/>
      <c r="FM151" s="117"/>
      <c r="FN151" s="117"/>
      <c r="FO151" s="117"/>
      <c r="FP151" s="117"/>
      <c r="FQ151" s="117"/>
      <c r="FR151" s="117"/>
      <c r="FS151" s="117"/>
      <c r="FT151" s="117"/>
      <c r="FU151" s="117"/>
      <c r="FV151" s="117"/>
      <c r="FW151" s="117"/>
      <c r="FX151" s="117"/>
      <c r="FY151" s="117"/>
      <c r="FZ151" s="117"/>
      <c r="GA151" s="117"/>
      <c r="GB151" s="117"/>
      <c r="GC151" s="117"/>
      <c r="GD151" s="117"/>
      <c r="GE151" s="117"/>
      <c r="GF151" s="117"/>
      <c r="GG151" s="117"/>
      <c r="GH151" s="117"/>
      <c r="GI151" s="117"/>
      <c r="GJ151" s="117"/>
      <c r="GK151" s="117"/>
      <c r="GL151" s="117"/>
      <c r="GM151" s="117"/>
      <c r="GN151" s="117"/>
      <c r="GO151" s="117"/>
      <c r="GP151" s="117"/>
      <c r="GQ151" s="117"/>
      <c r="GR151" s="117"/>
      <c r="GS151" s="117"/>
      <c r="GT151" s="117"/>
      <c r="GU151" s="117"/>
      <c r="GV151" s="117"/>
      <c r="GW151" s="117"/>
      <c r="GX151" s="117"/>
      <c r="GY151" s="117"/>
      <c r="GZ151" s="117"/>
      <c r="HA151" s="117"/>
      <c r="HB151" s="117"/>
      <c r="HC151" s="117"/>
      <c r="HD151" s="117"/>
      <c r="HE151" s="117"/>
      <c r="HF151" s="117"/>
      <c r="HG151" s="117"/>
      <c r="HH151" s="117"/>
      <c r="HI151" s="117"/>
      <c r="HJ151" s="117"/>
      <c r="HK151" s="117"/>
      <c r="HL151" s="117"/>
      <c r="HM151" s="117"/>
      <c r="HN151" s="117"/>
      <c r="HO151" s="117"/>
      <c r="HP151" s="117"/>
      <c r="HQ151" s="117"/>
      <c r="HR151" s="117"/>
      <c r="HS151" s="117"/>
      <c r="HT151" s="117"/>
      <c r="HU151" s="117"/>
      <c r="HV151" s="117"/>
      <c r="HW151" s="117"/>
      <c r="HX151" s="117"/>
      <c r="HY151" s="117"/>
      <c r="HZ151" s="117"/>
      <c r="IA151" s="117"/>
      <c r="IB151" s="117"/>
    </row>
    <row r="152" spans="1:236" s="79" customFormat="1" ht="14.25">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c r="CF152" s="117"/>
      <c r="CG152" s="117"/>
      <c r="CH152" s="117"/>
      <c r="CI152" s="117"/>
      <c r="CJ152" s="117"/>
      <c r="CK152" s="117"/>
      <c r="CL152" s="117"/>
      <c r="CM152" s="117"/>
      <c r="CN152" s="117"/>
      <c r="CO152" s="117"/>
      <c r="CP152" s="117"/>
      <c r="CQ152" s="117"/>
      <c r="CR152" s="117"/>
      <c r="CS152" s="117"/>
      <c r="CT152" s="117"/>
      <c r="CU152" s="117"/>
      <c r="CV152" s="117"/>
      <c r="CW152" s="117"/>
      <c r="CX152" s="117"/>
      <c r="CY152" s="117"/>
      <c r="CZ152" s="117"/>
      <c r="DA152" s="117"/>
      <c r="DB152" s="117"/>
      <c r="DC152" s="117"/>
      <c r="DD152" s="117"/>
      <c r="DE152" s="117"/>
      <c r="DF152" s="117"/>
      <c r="DG152" s="117"/>
      <c r="DH152" s="117"/>
      <c r="DI152" s="117"/>
      <c r="DJ152" s="117"/>
      <c r="DK152" s="117"/>
      <c r="DL152" s="117"/>
      <c r="DM152" s="117"/>
      <c r="DN152" s="117"/>
      <c r="DO152" s="117"/>
      <c r="DP152" s="117"/>
      <c r="DQ152" s="117"/>
      <c r="DR152" s="117"/>
      <c r="DS152" s="117"/>
      <c r="DT152" s="117"/>
      <c r="DU152" s="117"/>
      <c r="DV152" s="117"/>
      <c r="DW152" s="117"/>
      <c r="DX152" s="117"/>
      <c r="DY152" s="117"/>
      <c r="DZ152" s="117"/>
      <c r="EA152" s="117"/>
      <c r="EB152" s="117"/>
      <c r="EC152" s="117"/>
      <c r="ED152" s="117"/>
      <c r="EE152" s="117"/>
      <c r="EF152" s="117"/>
      <c r="EG152" s="117"/>
      <c r="EH152" s="117"/>
      <c r="EI152" s="117"/>
      <c r="EJ152" s="117"/>
      <c r="EK152" s="117"/>
      <c r="EL152" s="117"/>
      <c r="EM152" s="117"/>
      <c r="EN152" s="117"/>
      <c r="EO152" s="117"/>
      <c r="EP152" s="117"/>
      <c r="EQ152" s="117"/>
      <c r="ER152" s="117"/>
      <c r="ES152" s="117"/>
      <c r="ET152" s="117"/>
      <c r="EU152" s="117"/>
      <c r="EV152" s="117"/>
      <c r="EW152" s="117"/>
      <c r="EX152" s="117"/>
      <c r="EY152" s="117"/>
      <c r="EZ152" s="117"/>
      <c r="FA152" s="117"/>
      <c r="FB152" s="117"/>
      <c r="FC152" s="117"/>
      <c r="FD152" s="117"/>
      <c r="FE152" s="117"/>
      <c r="FF152" s="117"/>
      <c r="FG152" s="117"/>
      <c r="FH152" s="117"/>
      <c r="FI152" s="117"/>
      <c r="FJ152" s="117"/>
      <c r="FK152" s="117"/>
      <c r="FL152" s="117"/>
      <c r="FM152" s="117"/>
      <c r="FN152" s="117"/>
      <c r="FO152" s="117"/>
      <c r="FP152" s="117"/>
      <c r="FQ152" s="117"/>
      <c r="FR152" s="117"/>
      <c r="FS152" s="117"/>
      <c r="FT152" s="117"/>
      <c r="FU152" s="117"/>
      <c r="FV152" s="117"/>
      <c r="FW152" s="117"/>
      <c r="FX152" s="117"/>
      <c r="FY152" s="117"/>
      <c r="FZ152" s="117"/>
      <c r="GA152" s="117"/>
      <c r="GB152" s="117"/>
      <c r="GC152" s="117"/>
      <c r="GD152" s="117"/>
      <c r="GE152" s="117"/>
      <c r="GF152" s="117"/>
      <c r="GG152" s="117"/>
      <c r="GH152" s="117"/>
      <c r="GI152" s="117"/>
      <c r="GJ152" s="117"/>
      <c r="GK152" s="117"/>
      <c r="GL152" s="117"/>
      <c r="GM152" s="117"/>
      <c r="GN152" s="117"/>
      <c r="GO152" s="117"/>
      <c r="GP152" s="117"/>
      <c r="GQ152" s="117"/>
      <c r="GR152" s="117"/>
      <c r="GS152" s="117"/>
      <c r="GT152" s="117"/>
      <c r="GU152" s="117"/>
      <c r="GV152" s="117"/>
      <c r="GW152" s="117"/>
      <c r="GX152" s="117"/>
      <c r="GY152" s="117"/>
      <c r="GZ152" s="117"/>
      <c r="HA152" s="117"/>
      <c r="HB152" s="117"/>
      <c r="HC152" s="117"/>
      <c r="HD152" s="117"/>
      <c r="HE152" s="117"/>
      <c r="HF152" s="117"/>
      <c r="HG152" s="117"/>
      <c r="HH152" s="117"/>
      <c r="HI152" s="117"/>
      <c r="HJ152" s="117"/>
      <c r="HK152" s="117"/>
      <c r="HL152" s="117"/>
      <c r="HM152" s="117"/>
      <c r="HN152" s="117"/>
      <c r="HO152" s="117"/>
      <c r="HP152" s="117"/>
      <c r="HQ152" s="117"/>
      <c r="HR152" s="117"/>
      <c r="HS152" s="117"/>
      <c r="HT152" s="117"/>
      <c r="HU152" s="117"/>
      <c r="HV152" s="117"/>
      <c r="HW152" s="117"/>
      <c r="HX152" s="117"/>
      <c r="HY152" s="117"/>
      <c r="HZ152" s="117"/>
      <c r="IA152" s="117"/>
      <c r="IB152" s="117"/>
    </row>
    <row r="153" spans="1:236" s="79" customFormat="1" ht="14.25">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117"/>
      <c r="BD153" s="117"/>
      <c r="BE153" s="117"/>
      <c r="BF153" s="117"/>
      <c r="BG153" s="117"/>
      <c r="BH153" s="117"/>
      <c r="BI153" s="117"/>
      <c r="BJ153" s="117"/>
      <c r="BK153" s="117"/>
      <c r="BL153" s="117"/>
      <c r="BM153" s="117"/>
      <c r="BN153" s="117"/>
      <c r="BO153" s="117"/>
      <c r="BP153" s="117"/>
      <c r="BQ153" s="117"/>
      <c r="BR153" s="117"/>
      <c r="BS153" s="117"/>
      <c r="BT153" s="117"/>
      <c r="BU153" s="117"/>
      <c r="BV153" s="117"/>
      <c r="BW153" s="117"/>
      <c r="BX153" s="117"/>
      <c r="BY153" s="117"/>
      <c r="BZ153" s="117"/>
      <c r="CA153" s="117"/>
      <c r="CB153" s="117"/>
      <c r="CC153" s="117"/>
      <c r="CD153" s="117"/>
      <c r="CE153" s="117"/>
      <c r="CF153" s="117"/>
      <c r="CG153" s="117"/>
      <c r="CH153" s="117"/>
      <c r="CI153" s="117"/>
      <c r="CJ153" s="117"/>
      <c r="CK153" s="117"/>
      <c r="CL153" s="117"/>
      <c r="CM153" s="117"/>
      <c r="CN153" s="117"/>
      <c r="CO153" s="117"/>
      <c r="CP153" s="117"/>
      <c r="CQ153" s="117"/>
      <c r="CR153" s="117"/>
      <c r="CS153" s="117"/>
      <c r="CT153" s="117"/>
      <c r="CU153" s="117"/>
      <c r="CV153" s="117"/>
      <c r="CW153" s="117"/>
      <c r="CX153" s="117"/>
      <c r="CY153" s="117"/>
      <c r="CZ153" s="117"/>
      <c r="DA153" s="117"/>
      <c r="DB153" s="117"/>
      <c r="DC153" s="117"/>
      <c r="DD153" s="117"/>
      <c r="DE153" s="117"/>
      <c r="DF153" s="117"/>
      <c r="DG153" s="117"/>
      <c r="DH153" s="117"/>
      <c r="DI153" s="117"/>
      <c r="DJ153" s="117"/>
      <c r="DK153" s="117"/>
      <c r="DL153" s="117"/>
      <c r="DM153" s="117"/>
      <c r="DN153" s="117"/>
      <c r="DO153" s="117"/>
      <c r="DP153" s="117"/>
      <c r="DQ153" s="117"/>
      <c r="DR153" s="117"/>
      <c r="DS153" s="117"/>
      <c r="DT153" s="117"/>
      <c r="DU153" s="117"/>
      <c r="DV153" s="117"/>
      <c r="DW153" s="117"/>
      <c r="DX153" s="117"/>
      <c r="DY153" s="117"/>
      <c r="DZ153" s="117"/>
      <c r="EA153" s="117"/>
      <c r="EB153" s="117"/>
      <c r="EC153" s="117"/>
      <c r="ED153" s="117"/>
      <c r="EE153" s="117"/>
      <c r="EF153" s="117"/>
      <c r="EG153" s="117"/>
      <c r="EH153" s="117"/>
      <c r="EI153" s="117"/>
      <c r="EJ153" s="117"/>
      <c r="EK153" s="117"/>
      <c r="EL153" s="117"/>
      <c r="EM153" s="117"/>
      <c r="EN153" s="117"/>
      <c r="EO153" s="117"/>
      <c r="EP153" s="117"/>
      <c r="EQ153" s="117"/>
      <c r="ER153" s="117"/>
      <c r="ES153" s="117"/>
      <c r="ET153" s="117"/>
      <c r="EU153" s="117"/>
      <c r="EV153" s="117"/>
      <c r="EW153" s="117"/>
      <c r="EX153" s="117"/>
      <c r="EY153" s="117"/>
      <c r="EZ153" s="117"/>
      <c r="FA153" s="117"/>
      <c r="FB153" s="117"/>
      <c r="FC153" s="117"/>
      <c r="FD153" s="117"/>
      <c r="FE153" s="117"/>
      <c r="FF153" s="117"/>
      <c r="FG153" s="117"/>
      <c r="FH153" s="117"/>
      <c r="FI153" s="117"/>
      <c r="FJ153" s="117"/>
      <c r="FK153" s="117"/>
      <c r="FL153" s="117"/>
      <c r="FM153" s="117"/>
      <c r="FN153" s="117"/>
      <c r="FO153" s="117"/>
      <c r="FP153" s="117"/>
      <c r="FQ153" s="117"/>
      <c r="FR153" s="117"/>
      <c r="FS153" s="117"/>
      <c r="FT153" s="117"/>
      <c r="FU153" s="117"/>
      <c r="FV153" s="117"/>
      <c r="FW153" s="117"/>
      <c r="FX153" s="117"/>
      <c r="FY153" s="117"/>
      <c r="FZ153" s="117"/>
      <c r="GA153" s="117"/>
      <c r="GB153" s="117"/>
      <c r="GC153" s="117"/>
      <c r="GD153" s="117"/>
      <c r="GE153" s="117"/>
      <c r="GF153" s="117"/>
      <c r="GG153" s="117"/>
      <c r="GH153" s="117"/>
      <c r="GI153" s="117"/>
      <c r="GJ153" s="117"/>
      <c r="GK153" s="117"/>
      <c r="GL153" s="117"/>
      <c r="GM153" s="117"/>
      <c r="GN153" s="117"/>
      <c r="GO153" s="117"/>
      <c r="GP153" s="117"/>
      <c r="GQ153" s="117"/>
      <c r="GR153" s="117"/>
      <c r="GS153" s="117"/>
      <c r="GT153" s="117"/>
      <c r="GU153" s="117"/>
      <c r="GV153" s="117"/>
      <c r="GW153" s="117"/>
      <c r="GX153" s="117"/>
      <c r="GY153" s="117"/>
      <c r="GZ153" s="117"/>
      <c r="HA153" s="117"/>
      <c r="HB153" s="117"/>
      <c r="HC153" s="117"/>
      <c r="HD153" s="117"/>
      <c r="HE153" s="117"/>
      <c r="HF153" s="117"/>
      <c r="HG153" s="117"/>
      <c r="HH153" s="117"/>
      <c r="HI153" s="117"/>
      <c r="HJ153" s="117"/>
      <c r="HK153" s="117"/>
      <c r="HL153" s="117"/>
      <c r="HM153" s="117"/>
      <c r="HN153" s="117"/>
      <c r="HO153" s="117"/>
      <c r="HP153" s="117"/>
      <c r="HQ153" s="117"/>
      <c r="HR153" s="117"/>
      <c r="HS153" s="117"/>
      <c r="HT153" s="117"/>
      <c r="HU153" s="117"/>
      <c r="HV153" s="117"/>
      <c r="HW153" s="117"/>
      <c r="HX153" s="117"/>
      <c r="HY153" s="117"/>
      <c r="HZ153" s="117"/>
      <c r="IA153" s="117"/>
      <c r="IB153" s="117"/>
    </row>
    <row r="154" spans="1:236" s="79" customFormat="1" ht="14.25">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7"/>
      <c r="AY154" s="117"/>
      <c r="AZ154" s="117"/>
      <c r="BA154" s="117"/>
      <c r="BB154" s="117"/>
      <c r="BC154" s="117"/>
      <c r="BD154" s="117"/>
      <c r="BE154" s="117"/>
      <c r="BF154" s="117"/>
      <c r="BG154" s="117"/>
      <c r="BH154" s="117"/>
      <c r="BI154" s="117"/>
      <c r="BJ154" s="117"/>
      <c r="BK154" s="117"/>
      <c r="BL154" s="117"/>
      <c r="BM154" s="117"/>
      <c r="BN154" s="117"/>
      <c r="BO154" s="117"/>
      <c r="BP154" s="117"/>
      <c r="BQ154" s="117"/>
      <c r="BR154" s="117"/>
      <c r="BS154" s="117"/>
      <c r="BT154" s="117"/>
      <c r="BU154" s="117"/>
      <c r="BV154" s="117"/>
      <c r="BW154" s="117"/>
      <c r="BX154" s="117"/>
      <c r="BY154" s="117"/>
      <c r="BZ154" s="117"/>
      <c r="CA154" s="117"/>
      <c r="CB154" s="117"/>
      <c r="CC154" s="117"/>
      <c r="CD154" s="117"/>
      <c r="CE154" s="117"/>
      <c r="CF154" s="117"/>
      <c r="CG154" s="117"/>
      <c r="CH154" s="117"/>
      <c r="CI154" s="117"/>
      <c r="CJ154" s="117"/>
      <c r="CK154" s="117"/>
      <c r="CL154" s="117"/>
      <c r="CM154" s="117"/>
      <c r="CN154" s="117"/>
      <c r="CO154" s="117"/>
      <c r="CP154" s="117"/>
      <c r="CQ154" s="117"/>
      <c r="CR154" s="117"/>
      <c r="CS154" s="117"/>
      <c r="CT154" s="117"/>
      <c r="CU154" s="117"/>
      <c r="CV154" s="117"/>
      <c r="CW154" s="117"/>
      <c r="CX154" s="117"/>
      <c r="CY154" s="117"/>
      <c r="CZ154" s="117"/>
      <c r="DA154" s="117"/>
      <c r="DB154" s="117"/>
      <c r="DC154" s="117"/>
      <c r="DD154" s="117"/>
      <c r="DE154" s="117"/>
      <c r="DF154" s="117"/>
      <c r="DG154" s="117"/>
      <c r="DH154" s="117"/>
      <c r="DI154" s="117"/>
      <c r="DJ154" s="117"/>
      <c r="DK154" s="117"/>
      <c r="DL154" s="117"/>
      <c r="DM154" s="117"/>
      <c r="DN154" s="117"/>
      <c r="DO154" s="117"/>
      <c r="DP154" s="117"/>
      <c r="DQ154" s="117"/>
      <c r="DR154" s="117"/>
      <c r="DS154" s="117"/>
      <c r="DT154" s="117"/>
      <c r="DU154" s="117"/>
      <c r="DV154" s="117"/>
      <c r="DW154" s="117"/>
      <c r="DX154" s="117"/>
      <c r="DY154" s="117"/>
      <c r="DZ154" s="117"/>
      <c r="EA154" s="117"/>
      <c r="EB154" s="117"/>
      <c r="EC154" s="117"/>
      <c r="ED154" s="117"/>
      <c r="EE154" s="117"/>
      <c r="EF154" s="117"/>
      <c r="EG154" s="117"/>
      <c r="EH154" s="117"/>
      <c r="EI154" s="117"/>
      <c r="EJ154" s="117"/>
      <c r="EK154" s="117"/>
      <c r="EL154" s="117"/>
      <c r="EM154" s="117"/>
      <c r="EN154" s="117"/>
      <c r="EO154" s="117"/>
      <c r="EP154" s="117"/>
      <c r="EQ154" s="117"/>
      <c r="ER154" s="117"/>
      <c r="ES154" s="117"/>
      <c r="ET154" s="117"/>
      <c r="EU154" s="117"/>
      <c r="EV154" s="117"/>
      <c r="EW154" s="117"/>
      <c r="EX154" s="117"/>
      <c r="EY154" s="117"/>
      <c r="EZ154" s="117"/>
      <c r="FA154" s="117"/>
      <c r="FB154" s="117"/>
      <c r="FC154" s="117"/>
      <c r="FD154" s="117"/>
      <c r="FE154" s="117"/>
      <c r="FF154" s="117"/>
      <c r="FG154" s="117"/>
      <c r="FH154" s="117"/>
      <c r="FI154" s="117"/>
      <c r="FJ154" s="117"/>
      <c r="FK154" s="117"/>
      <c r="FL154" s="117"/>
      <c r="FM154" s="117"/>
      <c r="FN154" s="117"/>
      <c r="FO154" s="117"/>
      <c r="FP154" s="117"/>
      <c r="FQ154" s="117"/>
      <c r="FR154" s="117"/>
      <c r="FS154" s="117"/>
      <c r="FT154" s="117"/>
      <c r="FU154" s="117"/>
      <c r="FV154" s="117"/>
      <c r="FW154" s="117"/>
      <c r="FX154" s="117"/>
      <c r="FY154" s="117"/>
      <c r="FZ154" s="117"/>
      <c r="GA154" s="117"/>
      <c r="GB154" s="117"/>
      <c r="GC154" s="117"/>
      <c r="GD154" s="117"/>
      <c r="GE154" s="117"/>
      <c r="GF154" s="117"/>
      <c r="GG154" s="117"/>
      <c r="GH154" s="117"/>
      <c r="GI154" s="117"/>
      <c r="GJ154" s="117"/>
      <c r="GK154" s="117"/>
      <c r="GL154" s="117"/>
      <c r="GM154" s="117"/>
      <c r="GN154" s="117"/>
      <c r="GO154" s="117"/>
      <c r="GP154" s="117"/>
      <c r="GQ154" s="117"/>
      <c r="GR154" s="117"/>
      <c r="GS154" s="117"/>
      <c r="GT154" s="117"/>
      <c r="GU154" s="117"/>
      <c r="GV154" s="117"/>
      <c r="GW154" s="117"/>
      <c r="GX154" s="117"/>
      <c r="GY154" s="117"/>
      <c r="GZ154" s="117"/>
      <c r="HA154" s="117"/>
      <c r="HB154" s="117"/>
      <c r="HC154" s="117"/>
      <c r="HD154" s="117"/>
      <c r="HE154" s="117"/>
      <c r="HF154" s="117"/>
      <c r="HG154" s="117"/>
      <c r="HH154" s="117"/>
      <c r="HI154" s="117"/>
      <c r="HJ154" s="117"/>
      <c r="HK154" s="117"/>
      <c r="HL154" s="117"/>
      <c r="HM154" s="117"/>
      <c r="HN154" s="117"/>
      <c r="HO154" s="117"/>
      <c r="HP154" s="117"/>
      <c r="HQ154" s="117"/>
      <c r="HR154" s="117"/>
      <c r="HS154" s="117"/>
      <c r="HT154" s="117"/>
      <c r="HU154" s="117"/>
      <c r="HV154" s="117"/>
      <c r="HW154" s="117"/>
      <c r="HX154" s="117"/>
      <c r="HY154" s="117"/>
      <c r="HZ154" s="117"/>
      <c r="IA154" s="117"/>
      <c r="IB154" s="117"/>
    </row>
    <row r="155" spans="1:236" s="79" customFormat="1" ht="14.25">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c r="BB155" s="117"/>
      <c r="BC155" s="117"/>
      <c r="BD155" s="117"/>
      <c r="BE155" s="117"/>
      <c r="BF155" s="117"/>
      <c r="BG155" s="117"/>
      <c r="BH155" s="117"/>
      <c r="BI155" s="117"/>
      <c r="BJ155" s="117"/>
      <c r="BK155" s="117"/>
      <c r="BL155" s="117"/>
      <c r="BM155" s="117"/>
      <c r="BN155" s="117"/>
      <c r="BO155" s="117"/>
      <c r="BP155" s="117"/>
      <c r="BQ155" s="117"/>
      <c r="BR155" s="117"/>
      <c r="BS155" s="117"/>
      <c r="BT155" s="117"/>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7"/>
      <c r="CW155" s="117"/>
      <c r="CX155" s="117"/>
      <c r="CY155" s="117"/>
      <c r="CZ155" s="117"/>
      <c r="DA155" s="117"/>
      <c r="DB155" s="117"/>
      <c r="DC155" s="117"/>
      <c r="DD155" s="117"/>
      <c r="DE155" s="117"/>
      <c r="DF155" s="117"/>
      <c r="DG155" s="117"/>
      <c r="DH155" s="117"/>
      <c r="DI155" s="117"/>
      <c r="DJ155" s="117"/>
      <c r="DK155" s="117"/>
      <c r="DL155" s="117"/>
      <c r="DM155" s="117"/>
      <c r="DN155" s="117"/>
      <c r="DO155" s="117"/>
      <c r="DP155" s="117"/>
      <c r="DQ155" s="117"/>
      <c r="DR155" s="117"/>
      <c r="DS155" s="117"/>
      <c r="DT155" s="117"/>
      <c r="DU155" s="117"/>
      <c r="DV155" s="117"/>
      <c r="DW155" s="117"/>
      <c r="DX155" s="117"/>
      <c r="DY155" s="117"/>
      <c r="DZ155" s="117"/>
      <c r="EA155" s="117"/>
      <c r="EB155" s="117"/>
      <c r="EC155" s="117"/>
      <c r="ED155" s="117"/>
      <c r="EE155" s="117"/>
      <c r="EF155" s="117"/>
      <c r="EG155" s="117"/>
      <c r="EH155" s="117"/>
      <c r="EI155" s="117"/>
      <c r="EJ155" s="117"/>
      <c r="EK155" s="117"/>
      <c r="EL155" s="117"/>
      <c r="EM155" s="117"/>
      <c r="EN155" s="117"/>
      <c r="EO155" s="117"/>
      <c r="EP155" s="117"/>
      <c r="EQ155" s="117"/>
      <c r="ER155" s="117"/>
      <c r="ES155" s="117"/>
      <c r="ET155" s="117"/>
      <c r="EU155" s="117"/>
      <c r="EV155" s="117"/>
      <c r="EW155" s="117"/>
      <c r="EX155" s="117"/>
      <c r="EY155" s="117"/>
      <c r="EZ155" s="117"/>
      <c r="FA155" s="117"/>
      <c r="FB155" s="117"/>
      <c r="FC155" s="117"/>
      <c r="FD155" s="117"/>
      <c r="FE155" s="117"/>
      <c r="FF155" s="117"/>
      <c r="FG155" s="117"/>
      <c r="FH155" s="117"/>
      <c r="FI155" s="117"/>
      <c r="FJ155" s="117"/>
      <c r="FK155" s="117"/>
      <c r="FL155" s="117"/>
      <c r="FM155" s="117"/>
      <c r="FN155" s="117"/>
      <c r="FO155" s="117"/>
      <c r="FP155" s="117"/>
      <c r="FQ155" s="117"/>
      <c r="FR155" s="117"/>
      <c r="FS155" s="117"/>
      <c r="FT155" s="117"/>
      <c r="FU155" s="117"/>
      <c r="FV155" s="117"/>
      <c r="FW155" s="117"/>
      <c r="FX155" s="117"/>
      <c r="FY155" s="117"/>
      <c r="FZ155" s="117"/>
      <c r="GA155" s="117"/>
      <c r="GB155" s="117"/>
      <c r="GC155" s="117"/>
      <c r="GD155" s="117"/>
      <c r="GE155" s="117"/>
      <c r="GF155" s="117"/>
      <c r="GG155" s="117"/>
      <c r="GH155" s="117"/>
      <c r="GI155" s="117"/>
      <c r="GJ155" s="117"/>
      <c r="GK155" s="117"/>
      <c r="GL155" s="117"/>
      <c r="GM155" s="117"/>
      <c r="GN155" s="117"/>
      <c r="GO155" s="117"/>
      <c r="GP155" s="117"/>
      <c r="GQ155" s="117"/>
      <c r="GR155" s="117"/>
      <c r="GS155" s="117"/>
      <c r="GT155" s="117"/>
      <c r="GU155" s="117"/>
      <c r="GV155" s="117"/>
      <c r="GW155" s="117"/>
      <c r="GX155" s="117"/>
      <c r="GY155" s="117"/>
      <c r="GZ155" s="117"/>
      <c r="HA155" s="117"/>
      <c r="HB155" s="117"/>
      <c r="HC155" s="117"/>
      <c r="HD155" s="117"/>
      <c r="HE155" s="117"/>
      <c r="HF155" s="117"/>
      <c r="HG155" s="117"/>
      <c r="HH155" s="117"/>
      <c r="HI155" s="117"/>
      <c r="HJ155" s="117"/>
      <c r="HK155" s="117"/>
      <c r="HL155" s="117"/>
      <c r="HM155" s="117"/>
      <c r="HN155" s="117"/>
      <c r="HO155" s="117"/>
      <c r="HP155" s="117"/>
      <c r="HQ155" s="117"/>
      <c r="HR155" s="117"/>
      <c r="HS155" s="117"/>
      <c r="HT155" s="117"/>
      <c r="HU155" s="117"/>
      <c r="HV155" s="117"/>
      <c r="HW155" s="117"/>
      <c r="HX155" s="117"/>
      <c r="HY155" s="117"/>
      <c r="HZ155" s="117"/>
      <c r="IA155" s="117"/>
      <c r="IB155" s="117"/>
    </row>
    <row r="156" spans="1:236" s="79" customFormat="1" ht="14.25">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17"/>
      <c r="BH156" s="117"/>
      <c r="BI156" s="117"/>
      <c r="BJ156" s="117"/>
      <c r="BK156" s="117"/>
      <c r="BL156" s="117"/>
      <c r="BM156" s="117"/>
      <c r="BN156" s="117"/>
      <c r="BO156" s="117"/>
      <c r="BP156" s="117"/>
      <c r="BQ156" s="117"/>
      <c r="BR156" s="117"/>
      <c r="BS156" s="117"/>
      <c r="BT156" s="117"/>
      <c r="BU156" s="117"/>
      <c r="BV156" s="117"/>
      <c r="BW156" s="117"/>
      <c r="BX156" s="117"/>
      <c r="BY156" s="117"/>
      <c r="BZ156" s="117"/>
      <c r="CA156" s="117"/>
      <c r="CB156" s="117"/>
      <c r="CC156" s="117"/>
      <c r="CD156" s="117"/>
      <c r="CE156" s="117"/>
      <c r="CF156" s="117"/>
      <c r="CG156" s="117"/>
      <c r="CH156" s="117"/>
      <c r="CI156" s="117"/>
      <c r="CJ156" s="117"/>
      <c r="CK156" s="117"/>
      <c r="CL156" s="117"/>
      <c r="CM156" s="117"/>
      <c r="CN156" s="117"/>
      <c r="CO156" s="117"/>
      <c r="CP156" s="117"/>
      <c r="CQ156" s="117"/>
      <c r="CR156" s="117"/>
      <c r="CS156" s="117"/>
      <c r="CT156" s="117"/>
      <c r="CU156" s="117"/>
      <c r="CV156" s="117"/>
      <c r="CW156" s="117"/>
      <c r="CX156" s="117"/>
      <c r="CY156" s="117"/>
      <c r="CZ156" s="117"/>
      <c r="DA156" s="117"/>
      <c r="DB156" s="117"/>
      <c r="DC156" s="117"/>
      <c r="DD156" s="117"/>
      <c r="DE156" s="117"/>
      <c r="DF156" s="117"/>
      <c r="DG156" s="117"/>
      <c r="DH156" s="117"/>
      <c r="DI156" s="117"/>
      <c r="DJ156" s="117"/>
      <c r="DK156" s="117"/>
      <c r="DL156" s="117"/>
      <c r="DM156" s="117"/>
      <c r="DN156" s="117"/>
      <c r="DO156" s="117"/>
      <c r="DP156" s="117"/>
      <c r="DQ156" s="117"/>
      <c r="DR156" s="117"/>
      <c r="DS156" s="117"/>
      <c r="DT156" s="117"/>
      <c r="DU156" s="117"/>
      <c r="DV156" s="117"/>
      <c r="DW156" s="117"/>
      <c r="DX156" s="117"/>
      <c r="DY156" s="117"/>
      <c r="DZ156" s="117"/>
      <c r="EA156" s="117"/>
      <c r="EB156" s="117"/>
      <c r="EC156" s="117"/>
      <c r="ED156" s="117"/>
      <c r="EE156" s="117"/>
      <c r="EF156" s="117"/>
      <c r="EG156" s="117"/>
      <c r="EH156" s="117"/>
      <c r="EI156" s="117"/>
      <c r="EJ156" s="117"/>
      <c r="EK156" s="117"/>
      <c r="EL156" s="117"/>
      <c r="EM156" s="117"/>
      <c r="EN156" s="117"/>
      <c r="EO156" s="117"/>
      <c r="EP156" s="117"/>
      <c r="EQ156" s="117"/>
      <c r="ER156" s="117"/>
      <c r="ES156" s="117"/>
      <c r="ET156" s="117"/>
      <c r="EU156" s="117"/>
      <c r="EV156" s="117"/>
      <c r="EW156" s="117"/>
      <c r="EX156" s="117"/>
      <c r="EY156" s="117"/>
      <c r="EZ156" s="117"/>
      <c r="FA156" s="117"/>
      <c r="FB156" s="117"/>
      <c r="FC156" s="117"/>
      <c r="FD156" s="117"/>
      <c r="FE156" s="117"/>
      <c r="FF156" s="117"/>
      <c r="FG156" s="117"/>
      <c r="FH156" s="117"/>
      <c r="FI156" s="117"/>
      <c r="FJ156" s="117"/>
      <c r="FK156" s="117"/>
      <c r="FL156" s="117"/>
      <c r="FM156" s="117"/>
      <c r="FN156" s="117"/>
      <c r="FO156" s="117"/>
      <c r="FP156" s="117"/>
      <c r="FQ156" s="117"/>
      <c r="FR156" s="117"/>
      <c r="FS156" s="117"/>
      <c r="FT156" s="117"/>
      <c r="FU156" s="117"/>
      <c r="FV156" s="117"/>
      <c r="FW156" s="117"/>
      <c r="FX156" s="117"/>
      <c r="FY156" s="117"/>
      <c r="FZ156" s="117"/>
      <c r="GA156" s="117"/>
      <c r="GB156" s="117"/>
      <c r="GC156" s="117"/>
      <c r="GD156" s="117"/>
      <c r="GE156" s="117"/>
      <c r="GF156" s="117"/>
      <c r="GG156" s="117"/>
      <c r="GH156" s="117"/>
      <c r="GI156" s="117"/>
      <c r="GJ156" s="117"/>
      <c r="GK156" s="117"/>
      <c r="GL156" s="117"/>
      <c r="GM156" s="117"/>
      <c r="GN156" s="117"/>
      <c r="GO156" s="117"/>
      <c r="GP156" s="117"/>
      <c r="GQ156" s="117"/>
      <c r="GR156" s="117"/>
      <c r="GS156" s="117"/>
      <c r="GT156" s="117"/>
      <c r="GU156" s="117"/>
      <c r="GV156" s="117"/>
      <c r="GW156" s="117"/>
      <c r="GX156" s="117"/>
      <c r="GY156" s="117"/>
      <c r="GZ156" s="117"/>
      <c r="HA156" s="117"/>
      <c r="HB156" s="117"/>
      <c r="HC156" s="117"/>
      <c r="HD156" s="117"/>
      <c r="HE156" s="117"/>
      <c r="HF156" s="117"/>
      <c r="HG156" s="117"/>
      <c r="HH156" s="117"/>
      <c r="HI156" s="117"/>
      <c r="HJ156" s="117"/>
      <c r="HK156" s="117"/>
      <c r="HL156" s="117"/>
      <c r="HM156" s="117"/>
      <c r="HN156" s="117"/>
      <c r="HO156" s="117"/>
      <c r="HP156" s="117"/>
      <c r="HQ156" s="117"/>
      <c r="HR156" s="117"/>
      <c r="HS156" s="117"/>
      <c r="HT156" s="117"/>
      <c r="HU156" s="117"/>
      <c r="HV156" s="117"/>
      <c r="HW156" s="117"/>
      <c r="HX156" s="117"/>
      <c r="HY156" s="117"/>
      <c r="HZ156" s="117"/>
      <c r="IA156" s="117"/>
      <c r="IB156" s="117"/>
    </row>
    <row r="157" spans="1:236" s="79" customFormat="1" ht="14.25">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c r="CF157" s="117"/>
      <c r="CG157" s="117"/>
      <c r="CH157" s="117"/>
      <c r="CI157" s="117"/>
      <c r="CJ157" s="117"/>
      <c r="CK157" s="117"/>
      <c r="CL157" s="117"/>
      <c r="CM157" s="117"/>
      <c r="CN157" s="117"/>
      <c r="CO157" s="117"/>
      <c r="CP157" s="117"/>
      <c r="CQ157" s="117"/>
      <c r="CR157" s="117"/>
      <c r="CS157" s="117"/>
      <c r="CT157" s="117"/>
      <c r="CU157" s="117"/>
      <c r="CV157" s="117"/>
      <c r="CW157" s="117"/>
      <c r="CX157" s="117"/>
      <c r="CY157" s="117"/>
      <c r="CZ157" s="117"/>
      <c r="DA157" s="117"/>
      <c r="DB157" s="117"/>
      <c r="DC157" s="117"/>
      <c r="DD157" s="117"/>
      <c r="DE157" s="117"/>
      <c r="DF157" s="117"/>
      <c r="DG157" s="117"/>
      <c r="DH157" s="117"/>
      <c r="DI157" s="117"/>
      <c r="DJ157" s="117"/>
      <c r="DK157" s="117"/>
      <c r="DL157" s="117"/>
      <c r="DM157" s="117"/>
      <c r="DN157" s="117"/>
      <c r="DO157" s="117"/>
      <c r="DP157" s="117"/>
      <c r="DQ157" s="117"/>
      <c r="DR157" s="117"/>
      <c r="DS157" s="117"/>
      <c r="DT157" s="117"/>
      <c r="DU157" s="117"/>
      <c r="DV157" s="117"/>
      <c r="DW157" s="117"/>
      <c r="DX157" s="117"/>
      <c r="DY157" s="117"/>
      <c r="DZ157" s="117"/>
      <c r="EA157" s="117"/>
      <c r="EB157" s="117"/>
      <c r="EC157" s="117"/>
      <c r="ED157" s="117"/>
      <c r="EE157" s="117"/>
      <c r="EF157" s="117"/>
      <c r="EG157" s="117"/>
      <c r="EH157" s="117"/>
      <c r="EI157" s="117"/>
      <c r="EJ157" s="117"/>
      <c r="EK157" s="117"/>
      <c r="EL157" s="117"/>
      <c r="EM157" s="117"/>
      <c r="EN157" s="117"/>
      <c r="EO157" s="117"/>
      <c r="EP157" s="117"/>
      <c r="EQ157" s="117"/>
      <c r="ER157" s="117"/>
      <c r="ES157" s="117"/>
      <c r="ET157" s="117"/>
      <c r="EU157" s="117"/>
      <c r="EV157" s="117"/>
      <c r="EW157" s="117"/>
      <c r="EX157" s="117"/>
      <c r="EY157" s="117"/>
      <c r="EZ157" s="117"/>
      <c r="FA157" s="117"/>
      <c r="FB157" s="117"/>
      <c r="FC157" s="117"/>
      <c r="FD157" s="117"/>
      <c r="FE157" s="117"/>
      <c r="FF157" s="117"/>
      <c r="FG157" s="117"/>
      <c r="FH157" s="117"/>
      <c r="FI157" s="117"/>
      <c r="FJ157" s="117"/>
      <c r="FK157" s="117"/>
      <c r="FL157" s="117"/>
      <c r="FM157" s="117"/>
      <c r="FN157" s="117"/>
      <c r="FO157" s="117"/>
      <c r="FP157" s="117"/>
      <c r="FQ157" s="117"/>
      <c r="FR157" s="117"/>
      <c r="FS157" s="117"/>
      <c r="FT157" s="117"/>
      <c r="FU157" s="117"/>
      <c r="FV157" s="117"/>
      <c r="FW157" s="117"/>
      <c r="FX157" s="117"/>
      <c r="FY157" s="117"/>
      <c r="FZ157" s="117"/>
      <c r="GA157" s="117"/>
      <c r="GB157" s="117"/>
      <c r="GC157" s="117"/>
      <c r="GD157" s="117"/>
      <c r="GE157" s="117"/>
      <c r="GF157" s="117"/>
      <c r="GG157" s="117"/>
      <c r="GH157" s="117"/>
      <c r="GI157" s="117"/>
      <c r="GJ157" s="117"/>
      <c r="GK157" s="117"/>
      <c r="GL157" s="117"/>
      <c r="GM157" s="117"/>
      <c r="GN157" s="117"/>
      <c r="GO157" s="117"/>
      <c r="GP157" s="117"/>
      <c r="GQ157" s="117"/>
      <c r="GR157" s="117"/>
      <c r="GS157" s="117"/>
      <c r="GT157" s="117"/>
      <c r="GU157" s="117"/>
      <c r="GV157" s="117"/>
      <c r="GW157" s="117"/>
      <c r="GX157" s="117"/>
      <c r="GY157" s="117"/>
      <c r="GZ157" s="117"/>
      <c r="HA157" s="117"/>
      <c r="HB157" s="117"/>
      <c r="HC157" s="117"/>
      <c r="HD157" s="117"/>
      <c r="HE157" s="117"/>
      <c r="HF157" s="117"/>
      <c r="HG157" s="117"/>
      <c r="HH157" s="117"/>
      <c r="HI157" s="117"/>
      <c r="HJ157" s="117"/>
      <c r="HK157" s="117"/>
      <c r="HL157" s="117"/>
      <c r="HM157" s="117"/>
      <c r="HN157" s="117"/>
      <c r="HO157" s="117"/>
      <c r="HP157" s="117"/>
      <c r="HQ157" s="117"/>
      <c r="HR157" s="117"/>
      <c r="HS157" s="117"/>
      <c r="HT157" s="117"/>
      <c r="HU157" s="117"/>
      <c r="HV157" s="117"/>
      <c r="HW157" s="117"/>
      <c r="HX157" s="117"/>
      <c r="HY157" s="117"/>
      <c r="HZ157" s="117"/>
      <c r="IA157" s="117"/>
      <c r="IB157" s="117"/>
    </row>
    <row r="158" spans="1:236" s="79" customFormat="1" ht="14.25">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c r="CB158" s="117"/>
      <c r="CC158" s="117"/>
      <c r="CD158" s="117"/>
      <c r="CE158" s="117"/>
      <c r="CF158" s="117"/>
      <c r="CG158" s="117"/>
      <c r="CH158" s="117"/>
      <c r="CI158" s="117"/>
      <c r="CJ158" s="117"/>
      <c r="CK158" s="117"/>
      <c r="CL158" s="117"/>
      <c r="CM158" s="117"/>
      <c r="CN158" s="117"/>
      <c r="CO158" s="117"/>
      <c r="CP158" s="117"/>
      <c r="CQ158" s="117"/>
      <c r="CR158" s="117"/>
      <c r="CS158" s="117"/>
      <c r="CT158" s="117"/>
      <c r="CU158" s="117"/>
      <c r="CV158" s="117"/>
      <c r="CW158" s="117"/>
      <c r="CX158" s="117"/>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7"/>
      <c r="EA158" s="117"/>
      <c r="EB158" s="117"/>
      <c r="EC158" s="117"/>
      <c r="ED158" s="117"/>
      <c r="EE158" s="117"/>
      <c r="EF158" s="117"/>
      <c r="EG158" s="117"/>
      <c r="EH158" s="117"/>
      <c r="EI158" s="117"/>
      <c r="EJ158" s="117"/>
      <c r="EK158" s="117"/>
      <c r="EL158" s="117"/>
      <c r="EM158" s="117"/>
      <c r="EN158" s="117"/>
      <c r="EO158" s="117"/>
      <c r="EP158" s="117"/>
      <c r="EQ158" s="117"/>
      <c r="ER158" s="117"/>
      <c r="ES158" s="117"/>
      <c r="ET158" s="117"/>
      <c r="EU158" s="117"/>
      <c r="EV158" s="117"/>
      <c r="EW158" s="117"/>
      <c r="EX158" s="117"/>
      <c r="EY158" s="117"/>
      <c r="EZ158" s="117"/>
      <c r="FA158" s="117"/>
      <c r="FB158" s="117"/>
      <c r="FC158" s="117"/>
      <c r="FD158" s="117"/>
      <c r="FE158" s="117"/>
      <c r="FF158" s="117"/>
      <c r="FG158" s="117"/>
      <c r="FH158" s="117"/>
      <c r="FI158" s="117"/>
      <c r="FJ158" s="117"/>
      <c r="FK158" s="117"/>
      <c r="FL158" s="117"/>
      <c r="FM158" s="117"/>
      <c r="FN158" s="117"/>
      <c r="FO158" s="117"/>
      <c r="FP158" s="117"/>
      <c r="FQ158" s="117"/>
      <c r="FR158" s="117"/>
      <c r="FS158" s="117"/>
      <c r="FT158" s="117"/>
      <c r="FU158" s="117"/>
      <c r="FV158" s="117"/>
      <c r="FW158" s="117"/>
      <c r="FX158" s="117"/>
      <c r="FY158" s="117"/>
      <c r="FZ158" s="117"/>
      <c r="GA158" s="117"/>
      <c r="GB158" s="117"/>
      <c r="GC158" s="117"/>
      <c r="GD158" s="117"/>
      <c r="GE158" s="117"/>
      <c r="GF158" s="117"/>
      <c r="GG158" s="117"/>
      <c r="GH158" s="117"/>
      <c r="GI158" s="117"/>
      <c r="GJ158" s="117"/>
      <c r="GK158" s="117"/>
      <c r="GL158" s="117"/>
      <c r="GM158" s="117"/>
      <c r="GN158" s="117"/>
      <c r="GO158" s="117"/>
      <c r="GP158" s="117"/>
      <c r="GQ158" s="117"/>
      <c r="GR158" s="117"/>
      <c r="GS158" s="117"/>
      <c r="GT158" s="117"/>
      <c r="GU158" s="117"/>
      <c r="GV158" s="117"/>
      <c r="GW158" s="117"/>
      <c r="GX158" s="117"/>
      <c r="GY158" s="117"/>
      <c r="GZ158" s="117"/>
      <c r="HA158" s="117"/>
      <c r="HB158" s="117"/>
      <c r="HC158" s="117"/>
      <c r="HD158" s="117"/>
      <c r="HE158" s="117"/>
      <c r="HF158" s="117"/>
      <c r="HG158" s="117"/>
      <c r="HH158" s="117"/>
      <c r="HI158" s="117"/>
      <c r="HJ158" s="117"/>
      <c r="HK158" s="117"/>
      <c r="HL158" s="117"/>
      <c r="HM158" s="117"/>
      <c r="HN158" s="117"/>
      <c r="HO158" s="117"/>
      <c r="HP158" s="117"/>
      <c r="HQ158" s="117"/>
      <c r="HR158" s="117"/>
      <c r="HS158" s="117"/>
      <c r="HT158" s="117"/>
      <c r="HU158" s="117"/>
      <c r="HV158" s="117"/>
      <c r="HW158" s="117"/>
      <c r="HX158" s="117"/>
      <c r="HY158" s="117"/>
      <c r="HZ158" s="117"/>
      <c r="IA158" s="117"/>
      <c r="IB158" s="117"/>
    </row>
    <row r="159" spans="1:236" s="79" customFormat="1" ht="14.25">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c r="BB159" s="117"/>
      <c r="BC159" s="117"/>
      <c r="BD159" s="117"/>
      <c r="BE159" s="117"/>
      <c r="BF159" s="117"/>
      <c r="BG159" s="117"/>
      <c r="BH159" s="117"/>
      <c r="BI159" s="117"/>
      <c r="BJ159" s="117"/>
      <c r="BK159" s="117"/>
      <c r="BL159" s="117"/>
      <c r="BM159" s="117"/>
      <c r="BN159" s="117"/>
      <c r="BO159" s="117"/>
      <c r="BP159" s="117"/>
      <c r="BQ159" s="117"/>
      <c r="BR159" s="117"/>
      <c r="BS159" s="117"/>
      <c r="BT159" s="117"/>
      <c r="BU159" s="117"/>
      <c r="BV159" s="117"/>
      <c r="BW159" s="117"/>
      <c r="BX159" s="117"/>
      <c r="BY159" s="117"/>
      <c r="BZ159" s="117"/>
      <c r="CA159" s="117"/>
      <c r="CB159" s="117"/>
      <c r="CC159" s="117"/>
      <c r="CD159" s="117"/>
      <c r="CE159" s="117"/>
      <c r="CF159" s="117"/>
      <c r="CG159" s="117"/>
      <c r="CH159" s="117"/>
      <c r="CI159" s="117"/>
      <c r="CJ159" s="117"/>
      <c r="CK159" s="117"/>
      <c r="CL159" s="117"/>
      <c r="CM159" s="117"/>
      <c r="CN159" s="117"/>
      <c r="CO159" s="117"/>
      <c r="CP159" s="117"/>
      <c r="CQ159" s="117"/>
      <c r="CR159" s="117"/>
      <c r="CS159" s="117"/>
      <c r="CT159" s="117"/>
      <c r="CU159" s="117"/>
      <c r="CV159" s="117"/>
      <c r="CW159" s="117"/>
      <c r="CX159" s="117"/>
      <c r="CY159" s="117"/>
      <c r="CZ159" s="117"/>
      <c r="DA159" s="117"/>
      <c r="DB159" s="117"/>
      <c r="DC159" s="117"/>
      <c r="DD159" s="117"/>
      <c r="DE159" s="117"/>
      <c r="DF159" s="117"/>
      <c r="DG159" s="117"/>
      <c r="DH159" s="117"/>
      <c r="DI159" s="117"/>
      <c r="DJ159" s="117"/>
      <c r="DK159" s="117"/>
      <c r="DL159" s="117"/>
      <c r="DM159" s="117"/>
      <c r="DN159" s="117"/>
      <c r="DO159" s="117"/>
      <c r="DP159" s="117"/>
      <c r="DQ159" s="117"/>
      <c r="DR159" s="117"/>
      <c r="DS159" s="117"/>
      <c r="DT159" s="117"/>
      <c r="DU159" s="117"/>
      <c r="DV159" s="117"/>
      <c r="DW159" s="117"/>
      <c r="DX159" s="117"/>
      <c r="DY159" s="117"/>
      <c r="DZ159" s="117"/>
      <c r="EA159" s="117"/>
      <c r="EB159" s="117"/>
      <c r="EC159" s="117"/>
      <c r="ED159" s="117"/>
      <c r="EE159" s="117"/>
      <c r="EF159" s="117"/>
      <c r="EG159" s="117"/>
      <c r="EH159" s="117"/>
      <c r="EI159" s="117"/>
      <c r="EJ159" s="117"/>
      <c r="EK159" s="117"/>
      <c r="EL159" s="117"/>
      <c r="EM159" s="117"/>
      <c r="EN159" s="117"/>
      <c r="EO159" s="117"/>
      <c r="EP159" s="117"/>
      <c r="EQ159" s="117"/>
      <c r="ER159" s="117"/>
      <c r="ES159" s="117"/>
      <c r="ET159" s="117"/>
      <c r="EU159" s="117"/>
      <c r="EV159" s="117"/>
      <c r="EW159" s="117"/>
      <c r="EX159" s="117"/>
      <c r="EY159" s="117"/>
      <c r="EZ159" s="117"/>
      <c r="FA159" s="117"/>
      <c r="FB159" s="117"/>
      <c r="FC159" s="117"/>
      <c r="FD159" s="117"/>
      <c r="FE159" s="117"/>
      <c r="FF159" s="117"/>
      <c r="FG159" s="117"/>
      <c r="FH159" s="117"/>
      <c r="FI159" s="117"/>
      <c r="FJ159" s="117"/>
      <c r="FK159" s="117"/>
      <c r="FL159" s="117"/>
      <c r="FM159" s="117"/>
      <c r="FN159" s="117"/>
      <c r="FO159" s="117"/>
      <c r="FP159" s="117"/>
      <c r="FQ159" s="117"/>
      <c r="FR159" s="117"/>
      <c r="FS159" s="117"/>
      <c r="FT159" s="117"/>
      <c r="FU159" s="117"/>
      <c r="FV159" s="117"/>
      <c r="FW159" s="117"/>
      <c r="FX159" s="117"/>
      <c r="FY159" s="117"/>
      <c r="FZ159" s="117"/>
      <c r="GA159" s="117"/>
      <c r="GB159" s="117"/>
      <c r="GC159" s="117"/>
      <c r="GD159" s="117"/>
      <c r="GE159" s="117"/>
      <c r="GF159" s="117"/>
      <c r="GG159" s="117"/>
      <c r="GH159" s="117"/>
      <c r="GI159" s="117"/>
      <c r="GJ159" s="117"/>
      <c r="GK159" s="117"/>
      <c r="GL159" s="117"/>
      <c r="GM159" s="117"/>
      <c r="GN159" s="117"/>
      <c r="GO159" s="117"/>
      <c r="GP159" s="117"/>
      <c r="GQ159" s="117"/>
      <c r="GR159" s="117"/>
      <c r="GS159" s="117"/>
      <c r="GT159" s="117"/>
      <c r="GU159" s="117"/>
      <c r="GV159" s="117"/>
      <c r="GW159" s="117"/>
      <c r="GX159" s="117"/>
      <c r="GY159" s="117"/>
      <c r="GZ159" s="117"/>
      <c r="HA159" s="117"/>
      <c r="HB159" s="117"/>
      <c r="HC159" s="117"/>
      <c r="HD159" s="117"/>
      <c r="HE159" s="117"/>
      <c r="HF159" s="117"/>
      <c r="HG159" s="117"/>
      <c r="HH159" s="117"/>
      <c r="HI159" s="117"/>
      <c r="HJ159" s="117"/>
      <c r="HK159" s="117"/>
      <c r="HL159" s="117"/>
      <c r="HM159" s="117"/>
      <c r="HN159" s="117"/>
      <c r="HO159" s="117"/>
      <c r="HP159" s="117"/>
      <c r="HQ159" s="117"/>
      <c r="HR159" s="117"/>
      <c r="HS159" s="117"/>
      <c r="HT159" s="117"/>
      <c r="HU159" s="117"/>
      <c r="HV159" s="117"/>
      <c r="HW159" s="117"/>
      <c r="HX159" s="117"/>
      <c r="HY159" s="117"/>
      <c r="HZ159" s="117"/>
      <c r="IA159" s="117"/>
      <c r="IB159" s="117"/>
    </row>
    <row r="160" spans="1:236" s="79" customFormat="1" ht="14.25">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117"/>
      <c r="CB160" s="117"/>
      <c r="CC160" s="117"/>
      <c r="CD160" s="117"/>
      <c r="CE160" s="117"/>
      <c r="CF160" s="117"/>
      <c r="CG160" s="117"/>
      <c r="CH160" s="117"/>
      <c r="CI160" s="117"/>
      <c r="CJ160" s="117"/>
      <c r="CK160" s="117"/>
      <c r="CL160" s="117"/>
      <c r="CM160" s="117"/>
      <c r="CN160" s="117"/>
      <c r="CO160" s="117"/>
      <c r="CP160" s="117"/>
      <c r="CQ160" s="117"/>
      <c r="CR160" s="117"/>
      <c r="CS160" s="117"/>
      <c r="CT160" s="117"/>
      <c r="CU160" s="117"/>
      <c r="CV160" s="117"/>
      <c r="CW160" s="117"/>
      <c r="CX160" s="117"/>
      <c r="CY160" s="117"/>
      <c r="CZ160" s="117"/>
      <c r="DA160" s="117"/>
      <c r="DB160" s="117"/>
      <c r="DC160" s="117"/>
      <c r="DD160" s="117"/>
      <c r="DE160" s="117"/>
      <c r="DF160" s="117"/>
      <c r="DG160" s="117"/>
      <c r="DH160" s="117"/>
      <c r="DI160" s="117"/>
      <c r="DJ160" s="117"/>
      <c r="DK160" s="117"/>
      <c r="DL160" s="117"/>
      <c r="DM160" s="117"/>
      <c r="DN160" s="117"/>
      <c r="DO160" s="117"/>
      <c r="DP160" s="117"/>
      <c r="DQ160" s="117"/>
      <c r="DR160" s="117"/>
      <c r="DS160" s="117"/>
      <c r="DT160" s="117"/>
      <c r="DU160" s="117"/>
      <c r="DV160" s="117"/>
      <c r="DW160" s="117"/>
      <c r="DX160" s="117"/>
      <c r="DY160" s="117"/>
      <c r="DZ160" s="117"/>
      <c r="EA160" s="117"/>
      <c r="EB160" s="117"/>
      <c r="EC160" s="117"/>
      <c r="ED160" s="117"/>
      <c r="EE160" s="117"/>
      <c r="EF160" s="117"/>
      <c r="EG160" s="117"/>
      <c r="EH160" s="117"/>
      <c r="EI160" s="117"/>
      <c r="EJ160" s="117"/>
      <c r="EK160" s="117"/>
      <c r="EL160" s="117"/>
      <c r="EM160" s="117"/>
      <c r="EN160" s="117"/>
      <c r="EO160" s="117"/>
      <c r="EP160" s="117"/>
      <c r="EQ160" s="117"/>
      <c r="ER160" s="117"/>
      <c r="ES160" s="117"/>
      <c r="ET160" s="117"/>
      <c r="EU160" s="117"/>
      <c r="EV160" s="117"/>
      <c r="EW160" s="117"/>
      <c r="EX160" s="117"/>
      <c r="EY160" s="117"/>
      <c r="EZ160" s="117"/>
      <c r="FA160" s="117"/>
      <c r="FB160" s="117"/>
      <c r="FC160" s="117"/>
      <c r="FD160" s="117"/>
      <c r="FE160" s="117"/>
      <c r="FF160" s="117"/>
      <c r="FG160" s="117"/>
      <c r="FH160" s="117"/>
      <c r="FI160" s="117"/>
      <c r="FJ160" s="117"/>
      <c r="FK160" s="117"/>
      <c r="FL160" s="117"/>
      <c r="FM160" s="117"/>
      <c r="FN160" s="117"/>
      <c r="FO160" s="117"/>
      <c r="FP160" s="117"/>
      <c r="FQ160" s="117"/>
      <c r="FR160" s="117"/>
      <c r="FS160" s="117"/>
      <c r="FT160" s="117"/>
      <c r="FU160" s="117"/>
      <c r="FV160" s="117"/>
      <c r="FW160" s="117"/>
      <c r="FX160" s="117"/>
      <c r="FY160" s="117"/>
      <c r="FZ160" s="117"/>
      <c r="GA160" s="117"/>
      <c r="GB160" s="117"/>
      <c r="GC160" s="117"/>
      <c r="GD160" s="117"/>
      <c r="GE160" s="117"/>
      <c r="GF160" s="117"/>
      <c r="GG160" s="117"/>
      <c r="GH160" s="117"/>
      <c r="GI160" s="117"/>
      <c r="GJ160" s="117"/>
      <c r="GK160" s="117"/>
      <c r="GL160" s="117"/>
      <c r="GM160" s="117"/>
      <c r="GN160" s="117"/>
      <c r="GO160" s="117"/>
      <c r="GP160" s="117"/>
      <c r="GQ160" s="117"/>
      <c r="GR160" s="117"/>
      <c r="GS160" s="117"/>
      <c r="GT160" s="117"/>
      <c r="GU160" s="117"/>
      <c r="GV160" s="117"/>
      <c r="GW160" s="117"/>
      <c r="GX160" s="117"/>
      <c r="GY160" s="117"/>
      <c r="GZ160" s="117"/>
      <c r="HA160" s="117"/>
      <c r="HB160" s="117"/>
      <c r="HC160" s="117"/>
      <c r="HD160" s="117"/>
      <c r="HE160" s="117"/>
      <c r="HF160" s="117"/>
      <c r="HG160" s="117"/>
      <c r="HH160" s="117"/>
      <c r="HI160" s="117"/>
      <c r="HJ160" s="117"/>
      <c r="HK160" s="117"/>
      <c r="HL160" s="117"/>
      <c r="HM160" s="117"/>
      <c r="HN160" s="117"/>
      <c r="HO160" s="117"/>
      <c r="HP160" s="117"/>
      <c r="HQ160" s="117"/>
      <c r="HR160" s="117"/>
      <c r="HS160" s="117"/>
      <c r="HT160" s="117"/>
      <c r="HU160" s="117"/>
      <c r="HV160" s="117"/>
      <c r="HW160" s="117"/>
      <c r="HX160" s="117"/>
      <c r="HY160" s="117"/>
      <c r="HZ160" s="117"/>
      <c r="IA160" s="117"/>
      <c r="IB160" s="117"/>
    </row>
    <row r="161" spans="1:236" s="79" customFormat="1" ht="14.25">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c r="BE161" s="117"/>
      <c r="BF161" s="117"/>
      <c r="BG161" s="117"/>
      <c r="BH161" s="117"/>
      <c r="BI161" s="117"/>
      <c r="BJ161" s="117"/>
      <c r="BK161" s="117"/>
      <c r="BL161" s="117"/>
      <c r="BM161" s="117"/>
      <c r="BN161" s="117"/>
      <c r="BO161" s="117"/>
      <c r="BP161" s="117"/>
      <c r="BQ161" s="117"/>
      <c r="BR161" s="117"/>
      <c r="BS161" s="117"/>
      <c r="BT161" s="117"/>
      <c r="BU161" s="117"/>
      <c r="BV161" s="117"/>
      <c r="BW161" s="117"/>
      <c r="BX161" s="117"/>
      <c r="BY161" s="117"/>
      <c r="BZ161" s="117"/>
      <c r="CA161" s="117"/>
      <c r="CB161" s="117"/>
      <c r="CC161" s="117"/>
      <c r="CD161" s="117"/>
      <c r="CE161" s="117"/>
      <c r="CF161" s="117"/>
      <c r="CG161" s="117"/>
      <c r="CH161" s="117"/>
      <c r="CI161" s="117"/>
      <c r="CJ161" s="117"/>
      <c r="CK161" s="117"/>
      <c r="CL161" s="117"/>
      <c r="CM161" s="117"/>
      <c r="CN161" s="117"/>
      <c r="CO161" s="117"/>
      <c r="CP161" s="117"/>
      <c r="CQ161" s="117"/>
      <c r="CR161" s="117"/>
      <c r="CS161" s="117"/>
      <c r="CT161" s="117"/>
      <c r="CU161" s="117"/>
      <c r="CV161" s="117"/>
      <c r="CW161" s="117"/>
      <c r="CX161" s="117"/>
      <c r="CY161" s="117"/>
      <c r="CZ161" s="117"/>
      <c r="DA161" s="117"/>
      <c r="DB161" s="117"/>
      <c r="DC161" s="117"/>
      <c r="DD161" s="117"/>
      <c r="DE161" s="117"/>
      <c r="DF161" s="117"/>
      <c r="DG161" s="117"/>
      <c r="DH161" s="117"/>
      <c r="DI161" s="117"/>
      <c r="DJ161" s="117"/>
      <c r="DK161" s="117"/>
      <c r="DL161" s="117"/>
      <c r="DM161" s="117"/>
      <c r="DN161" s="117"/>
      <c r="DO161" s="117"/>
      <c r="DP161" s="117"/>
      <c r="DQ161" s="117"/>
      <c r="DR161" s="117"/>
      <c r="DS161" s="117"/>
      <c r="DT161" s="117"/>
      <c r="DU161" s="117"/>
      <c r="DV161" s="117"/>
      <c r="DW161" s="117"/>
      <c r="DX161" s="117"/>
      <c r="DY161" s="117"/>
      <c r="DZ161" s="117"/>
      <c r="EA161" s="117"/>
      <c r="EB161" s="117"/>
      <c r="EC161" s="117"/>
      <c r="ED161" s="117"/>
      <c r="EE161" s="117"/>
      <c r="EF161" s="117"/>
      <c r="EG161" s="117"/>
      <c r="EH161" s="117"/>
      <c r="EI161" s="117"/>
      <c r="EJ161" s="117"/>
      <c r="EK161" s="117"/>
      <c r="EL161" s="117"/>
      <c r="EM161" s="117"/>
      <c r="EN161" s="117"/>
      <c r="EO161" s="117"/>
      <c r="EP161" s="117"/>
      <c r="EQ161" s="117"/>
      <c r="ER161" s="117"/>
      <c r="ES161" s="117"/>
      <c r="ET161" s="117"/>
      <c r="EU161" s="117"/>
      <c r="EV161" s="117"/>
      <c r="EW161" s="117"/>
      <c r="EX161" s="117"/>
      <c r="EY161" s="117"/>
      <c r="EZ161" s="117"/>
      <c r="FA161" s="117"/>
      <c r="FB161" s="117"/>
      <c r="FC161" s="117"/>
      <c r="FD161" s="117"/>
      <c r="FE161" s="117"/>
      <c r="FF161" s="117"/>
      <c r="FG161" s="117"/>
      <c r="FH161" s="117"/>
      <c r="FI161" s="117"/>
      <c r="FJ161" s="117"/>
      <c r="FK161" s="117"/>
      <c r="FL161" s="117"/>
      <c r="FM161" s="117"/>
      <c r="FN161" s="117"/>
      <c r="FO161" s="117"/>
      <c r="FP161" s="117"/>
      <c r="FQ161" s="117"/>
      <c r="FR161" s="117"/>
      <c r="FS161" s="117"/>
      <c r="FT161" s="117"/>
      <c r="FU161" s="117"/>
      <c r="FV161" s="117"/>
      <c r="FW161" s="117"/>
      <c r="FX161" s="117"/>
      <c r="FY161" s="117"/>
      <c r="FZ161" s="117"/>
      <c r="GA161" s="117"/>
      <c r="GB161" s="117"/>
      <c r="GC161" s="117"/>
      <c r="GD161" s="117"/>
      <c r="GE161" s="117"/>
      <c r="GF161" s="117"/>
      <c r="GG161" s="117"/>
      <c r="GH161" s="117"/>
      <c r="GI161" s="117"/>
      <c r="GJ161" s="117"/>
      <c r="GK161" s="117"/>
      <c r="GL161" s="117"/>
      <c r="GM161" s="117"/>
      <c r="GN161" s="117"/>
      <c r="GO161" s="117"/>
      <c r="GP161" s="117"/>
      <c r="GQ161" s="117"/>
      <c r="GR161" s="117"/>
      <c r="GS161" s="117"/>
      <c r="GT161" s="117"/>
      <c r="GU161" s="117"/>
      <c r="GV161" s="117"/>
      <c r="GW161" s="117"/>
      <c r="GX161" s="117"/>
      <c r="GY161" s="117"/>
      <c r="GZ161" s="117"/>
      <c r="HA161" s="117"/>
      <c r="HB161" s="117"/>
      <c r="HC161" s="117"/>
      <c r="HD161" s="117"/>
      <c r="HE161" s="117"/>
      <c r="HF161" s="117"/>
      <c r="HG161" s="117"/>
      <c r="HH161" s="117"/>
      <c r="HI161" s="117"/>
      <c r="HJ161" s="117"/>
      <c r="HK161" s="117"/>
      <c r="HL161" s="117"/>
      <c r="HM161" s="117"/>
      <c r="HN161" s="117"/>
      <c r="HO161" s="117"/>
      <c r="HP161" s="117"/>
      <c r="HQ161" s="117"/>
      <c r="HR161" s="117"/>
      <c r="HS161" s="117"/>
      <c r="HT161" s="117"/>
      <c r="HU161" s="117"/>
      <c r="HV161" s="117"/>
      <c r="HW161" s="117"/>
      <c r="HX161" s="117"/>
      <c r="HY161" s="117"/>
      <c r="HZ161" s="117"/>
      <c r="IA161" s="117"/>
      <c r="IB161" s="117"/>
    </row>
    <row r="162" spans="1:236" s="79" customFormat="1" ht="14.25">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117"/>
      <c r="BD162" s="117"/>
      <c r="BE162" s="117"/>
      <c r="BF162" s="117"/>
      <c r="BG162" s="117"/>
      <c r="BH162" s="117"/>
      <c r="BI162" s="117"/>
      <c r="BJ162" s="117"/>
      <c r="BK162" s="117"/>
      <c r="BL162" s="117"/>
      <c r="BM162" s="117"/>
      <c r="BN162" s="117"/>
      <c r="BO162" s="117"/>
      <c r="BP162" s="117"/>
      <c r="BQ162" s="117"/>
      <c r="BR162" s="117"/>
      <c r="BS162" s="117"/>
      <c r="BT162" s="117"/>
      <c r="BU162" s="117"/>
      <c r="BV162" s="117"/>
      <c r="BW162" s="117"/>
      <c r="BX162" s="117"/>
      <c r="BY162" s="117"/>
      <c r="BZ162" s="117"/>
      <c r="CA162" s="117"/>
      <c r="CB162" s="117"/>
      <c r="CC162" s="117"/>
      <c r="CD162" s="117"/>
      <c r="CE162" s="117"/>
      <c r="CF162" s="117"/>
      <c r="CG162" s="117"/>
      <c r="CH162" s="117"/>
      <c r="CI162" s="117"/>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c r="DL162" s="117"/>
      <c r="DM162" s="117"/>
      <c r="DN162" s="117"/>
      <c r="DO162" s="117"/>
      <c r="DP162" s="117"/>
      <c r="DQ162" s="117"/>
      <c r="DR162" s="117"/>
      <c r="DS162" s="117"/>
      <c r="DT162" s="117"/>
      <c r="DU162" s="117"/>
      <c r="DV162" s="117"/>
      <c r="DW162" s="117"/>
      <c r="DX162" s="117"/>
      <c r="DY162" s="117"/>
      <c r="DZ162" s="117"/>
      <c r="EA162" s="117"/>
      <c r="EB162" s="117"/>
      <c r="EC162" s="117"/>
      <c r="ED162" s="117"/>
      <c r="EE162" s="117"/>
      <c r="EF162" s="117"/>
      <c r="EG162" s="117"/>
      <c r="EH162" s="117"/>
      <c r="EI162" s="117"/>
      <c r="EJ162" s="117"/>
      <c r="EK162" s="117"/>
      <c r="EL162" s="117"/>
      <c r="EM162" s="117"/>
      <c r="EN162" s="117"/>
      <c r="EO162" s="117"/>
      <c r="EP162" s="117"/>
      <c r="EQ162" s="117"/>
      <c r="ER162" s="117"/>
      <c r="ES162" s="117"/>
      <c r="ET162" s="117"/>
      <c r="EU162" s="117"/>
      <c r="EV162" s="117"/>
      <c r="EW162" s="117"/>
      <c r="EX162" s="117"/>
      <c r="EY162" s="117"/>
      <c r="EZ162" s="117"/>
      <c r="FA162" s="117"/>
      <c r="FB162" s="117"/>
      <c r="FC162" s="117"/>
      <c r="FD162" s="117"/>
      <c r="FE162" s="117"/>
      <c r="FF162" s="117"/>
      <c r="FG162" s="117"/>
      <c r="FH162" s="117"/>
      <c r="FI162" s="117"/>
      <c r="FJ162" s="117"/>
      <c r="FK162" s="117"/>
      <c r="FL162" s="117"/>
      <c r="FM162" s="117"/>
      <c r="FN162" s="117"/>
      <c r="FO162" s="117"/>
      <c r="FP162" s="117"/>
      <c r="FQ162" s="117"/>
      <c r="FR162" s="117"/>
      <c r="FS162" s="117"/>
      <c r="FT162" s="117"/>
      <c r="FU162" s="117"/>
      <c r="FV162" s="117"/>
      <c r="FW162" s="117"/>
      <c r="FX162" s="117"/>
      <c r="FY162" s="117"/>
      <c r="FZ162" s="117"/>
      <c r="GA162" s="117"/>
      <c r="GB162" s="117"/>
      <c r="GC162" s="117"/>
      <c r="GD162" s="117"/>
      <c r="GE162" s="117"/>
      <c r="GF162" s="117"/>
      <c r="GG162" s="117"/>
      <c r="GH162" s="117"/>
      <c r="GI162" s="117"/>
      <c r="GJ162" s="117"/>
      <c r="GK162" s="117"/>
      <c r="GL162" s="117"/>
      <c r="GM162" s="117"/>
      <c r="GN162" s="117"/>
      <c r="GO162" s="117"/>
      <c r="GP162" s="117"/>
      <c r="GQ162" s="117"/>
      <c r="GR162" s="117"/>
      <c r="GS162" s="117"/>
      <c r="GT162" s="117"/>
      <c r="GU162" s="117"/>
      <c r="GV162" s="117"/>
      <c r="GW162" s="117"/>
      <c r="GX162" s="117"/>
      <c r="GY162" s="117"/>
      <c r="GZ162" s="117"/>
      <c r="HA162" s="117"/>
      <c r="HB162" s="117"/>
      <c r="HC162" s="117"/>
      <c r="HD162" s="117"/>
      <c r="HE162" s="117"/>
      <c r="HF162" s="117"/>
      <c r="HG162" s="117"/>
      <c r="HH162" s="117"/>
      <c r="HI162" s="117"/>
      <c r="HJ162" s="117"/>
      <c r="HK162" s="117"/>
      <c r="HL162" s="117"/>
      <c r="HM162" s="117"/>
      <c r="HN162" s="117"/>
      <c r="HO162" s="117"/>
      <c r="HP162" s="117"/>
      <c r="HQ162" s="117"/>
      <c r="HR162" s="117"/>
      <c r="HS162" s="117"/>
      <c r="HT162" s="117"/>
      <c r="HU162" s="117"/>
      <c r="HV162" s="117"/>
      <c r="HW162" s="117"/>
      <c r="HX162" s="117"/>
      <c r="HY162" s="117"/>
      <c r="HZ162" s="117"/>
      <c r="IA162" s="117"/>
      <c r="IB162" s="117"/>
    </row>
    <row r="163" spans="1:236" s="79" customFormat="1" ht="14.25">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7"/>
      <c r="AY163" s="117"/>
      <c r="AZ163" s="117"/>
      <c r="BA163" s="117"/>
      <c r="BB163" s="117"/>
      <c r="BC163" s="117"/>
      <c r="BD163" s="117"/>
      <c r="BE163" s="117"/>
      <c r="BF163" s="117"/>
      <c r="BG163" s="117"/>
      <c r="BH163" s="117"/>
      <c r="BI163" s="117"/>
      <c r="BJ163" s="117"/>
      <c r="BK163" s="117"/>
      <c r="BL163" s="117"/>
      <c r="BM163" s="117"/>
      <c r="BN163" s="117"/>
      <c r="BO163" s="117"/>
      <c r="BP163" s="117"/>
      <c r="BQ163" s="117"/>
      <c r="BR163" s="117"/>
      <c r="BS163" s="117"/>
      <c r="BT163" s="117"/>
      <c r="BU163" s="117"/>
      <c r="BV163" s="117"/>
      <c r="BW163" s="117"/>
      <c r="BX163" s="117"/>
      <c r="BY163" s="117"/>
      <c r="BZ163" s="117"/>
      <c r="CA163" s="117"/>
      <c r="CB163" s="117"/>
      <c r="CC163" s="117"/>
      <c r="CD163" s="117"/>
      <c r="CE163" s="117"/>
      <c r="CF163" s="117"/>
      <c r="CG163" s="117"/>
      <c r="CH163" s="117"/>
      <c r="CI163" s="117"/>
      <c r="CJ163" s="117"/>
      <c r="CK163" s="117"/>
      <c r="CL163" s="117"/>
      <c r="CM163" s="117"/>
      <c r="CN163" s="117"/>
      <c r="CO163" s="117"/>
      <c r="CP163" s="117"/>
      <c r="CQ163" s="117"/>
      <c r="CR163" s="117"/>
      <c r="CS163" s="117"/>
      <c r="CT163" s="117"/>
      <c r="CU163" s="117"/>
      <c r="CV163" s="117"/>
      <c r="CW163" s="117"/>
      <c r="CX163" s="117"/>
      <c r="CY163" s="117"/>
      <c r="CZ163" s="117"/>
      <c r="DA163" s="117"/>
      <c r="DB163" s="117"/>
      <c r="DC163" s="117"/>
      <c r="DD163" s="117"/>
      <c r="DE163" s="117"/>
      <c r="DF163" s="117"/>
      <c r="DG163" s="117"/>
      <c r="DH163" s="117"/>
      <c r="DI163" s="117"/>
      <c r="DJ163" s="117"/>
      <c r="DK163" s="117"/>
      <c r="DL163" s="117"/>
      <c r="DM163" s="117"/>
      <c r="DN163" s="117"/>
      <c r="DO163" s="117"/>
      <c r="DP163" s="117"/>
      <c r="DQ163" s="117"/>
      <c r="DR163" s="117"/>
      <c r="DS163" s="117"/>
      <c r="DT163" s="117"/>
      <c r="DU163" s="117"/>
      <c r="DV163" s="117"/>
      <c r="DW163" s="117"/>
      <c r="DX163" s="117"/>
      <c r="DY163" s="117"/>
      <c r="DZ163" s="117"/>
      <c r="EA163" s="117"/>
      <c r="EB163" s="117"/>
      <c r="EC163" s="117"/>
      <c r="ED163" s="117"/>
      <c r="EE163" s="117"/>
      <c r="EF163" s="117"/>
      <c r="EG163" s="117"/>
      <c r="EH163" s="117"/>
      <c r="EI163" s="117"/>
      <c r="EJ163" s="117"/>
      <c r="EK163" s="117"/>
      <c r="EL163" s="117"/>
      <c r="EM163" s="117"/>
      <c r="EN163" s="117"/>
      <c r="EO163" s="117"/>
      <c r="EP163" s="117"/>
      <c r="EQ163" s="117"/>
      <c r="ER163" s="117"/>
      <c r="ES163" s="117"/>
      <c r="ET163" s="117"/>
      <c r="EU163" s="117"/>
      <c r="EV163" s="117"/>
      <c r="EW163" s="117"/>
      <c r="EX163" s="117"/>
      <c r="EY163" s="117"/>
      <c r="EZ163" s="117"/>
      <c r="FA163" s="117"/>
      <c r="FB163" s="117"/>
      <c r="FC163" s="117"/>
      <c r="FD163" s="117"/>
      <c r="FE163" s="117"/>
      <c r="FF163" s="117"/>
      <c r="FG163" s="117"/>
      <c r="FH163" s="117"/>
      <c r="FI163" s="117"/>
      <c r="FJ163" s="117"/>
      <c r="FK163" s="117"/>
      <c r="FL163" s="117"/>
      <c r="FM163" s="117"/>
      <c r="FN163" s="117"/>
      <c r="FO163" s="117"/>
      <c r="FP163" s="117"/>
      <c r="FQ163" s="117"/>
      <c r="FR163" s="117"/>
      <c r="FS163" s="117"/>
      <c r="FT163" s="117"/>
      <c r="FU163" s="117"/>
      <c r="FV163" s="117"/>
      <c r="FW163" s="117"/>
      <c r="FX163" s="117"/>
      <c r="FY163" s="117"/>
      <c r="FZ163" s="117"/>
      <c r="GA163" s="117"/>
      <c r="GB163" s="117"/>
      <c r="GC163" s="117"/>
      <c r="GD163" s="117"/>
      <c r="GE163" s="117"/>
      <c r="GF163" s="117"/>
      <c r="GG163" s="117"/>
      <c r="GH163" s="117"/>
      <c r="GI163" s="117"/>
      <c r="GJ163" s="117"/>
      <c r="GK163" s="117"/>
      <c r="GL163" s="117"/>
      <c r="GM163" s="117"/>
      <c r="GN163" s="117"/>
      <c r="GO163" s="117"/>
      <c r="GP163" s="117"/>
      <c r="GQ163" s="117"/>
      <c r="GR163" s="117"/>
      <c r="GS163" s="117"/>
      <c r="GT163" s="117"/>
      <c r="GU163" s="117"/>
      <c r="GV163" s="117"/>
      <c r="GW163" s="117"/>
      <c r="GX163" s="117"/>
      <c r="GY163" s="117"/>
      <c r="GZ163" s="117"/>
      <c r="HA163" s="117"/>
      <c r="HB163" s="117"/>
      <c r="HC163" s="117"/>
      <c r="HD163" s="117"/>
      <c r="HE163" s="117"/>
      <c r="HF163" s="117"/>
      <c r="HG163" s="117"/>
      <c r="HH163" s="117"/>
      <c r="HI163" s="117"/>
      <c r="HJ163" s="117"/>
      <c r="HK163" s="117"/>
      <c r="HL163" s="117"/>
      <c r="HM163" s="117"/>
      <c r="HN163" s="117"/>
      <c r="HO163" s="117"/>
      <c r="HP163" s="117"/>
      <c r="HQ163" s="117"/>
      <c r="HR163" s="117"/>
      <c r="HS163" s="117"/>
      <c r="HT163" s="117"/>
      <c r="HU163" s="117"/>
      <c r="HV163" s="117"/>
      <c r="HW163" s="117"/>
      <c r="HX163" s="117"/>
      <c r="HY163" s="117"/>
      <c r="HZ163" s="117"/>
      <c r="IA163" s="117"/>
      <c r="IB163" s="117"/>
    </row>
    <row r="164" spans="1:236" s="79" customFormat="1" ht="14.25">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117"/>
      <c r="BD164" s="117"/>
      <c r="BE164" s="117"/>
      <c r="BF164" s="117"/>
      <c r="BG164" s="117"/>
      <c r="BH164" s="117"/>
      <c r="BI164" s="117"/>
      <c r="BJ164" s="117"/>
      <c r="BK164" s="117"/>
      <c r="BL164" s="117"/>
      <c r="BM164" s="117"/>
      <c r="BN164" s="117"/>
      <c r="BO164" s="117"/>
      <c r="BP164" s="117"/>
      <c r="BQ164" s="117"/>
      <c r="BR164" s="117"/>
      <c r="BS164" s="117"/>
      <c r="BT164" s="117"/>
      <c r="BU164" s="117"/>
      <c r="BV164" s="117"/>
      <c r="BW164" s="117"/>
      <c r="BX164" s="117"/>
      <c r="BY164" s="117"/>
      <c r="BZ164" s="117"/>
      <c r="CA164" s="117"/>
      <c r="CB164" s="117"/>
      <c r="CC164" s="117"/>
      <c r="CD164" s="117"/>
      <c r="CE164" s="117"/>
      <c r="CF164" s="117"/>
      <c r="CG164" s="117"/>
      <c r="CH164" s="117"/>
      <c r="CI164" s="117"/>
      <c r="CJ164" s="117"/>
      <c r="CK164" s="117"/>
      <c r="CL164" s="117"/>
      <c r="CM164" s="117"/>
      <c r="CN164" s="117"/>
      <c r="CO164" s="117"/>
      <c r="CP164" s="117"/>
      <c r="CQ164" s="117"/>
      <c r="CR164" s="117"/>
      <c r="CS164" s="117"/>
      <c r="CT164" s="117"/>
      <c r="CU164" s="117"/>
      <c r="CV164" s="117"/>
      <c r="CW164" s="117"/>
      <c r="CX164" s="117"/>
      <c r="CY164" s="117"/>
      <c r="CZ164" s="117"/>
      <c r="DA164" s="117"/>
      <c r="DB164" s="117"/>
      <c r="DC164" s="117"/>
      <c r="DD164" s="117"/>
      <c r="DE164" s="117"/>
      <c r="DF164" s="117"/>
      <c r="DG164" s="117"/>
      <c r="DH164" s="117"/>
      <c r="DI164" s="117"/>
      <c r="DJ164" s="117"/>
      <c r="DK164" s="117"/>
      <c r="DL164" s="117"/>
      <c r="DM164" s="117"/>
      <c r="DN164" s="117"/>
      <c r="DO164" s="117"/>
      <c r="DP164" s="117"/>
      <c r="DQ164" s="117"/>
      <c r="DR164" s="117"/>
      <c r="DS164" s="117"/>
      <c r="DT164" s="117"/>
      <c r="DU164" s="117"/>
      <c r="DV164" s="117"/>
      <c r="DW164" s="117"/>
      <c r="DX164" s="117"/>
      <c r="DY164" s="117"/>
      <c r="DZ164" s="117"/>
      <c r="EA164" s="117"/>
      <c r="EB164" s="117"/>
      <c r="EC164" s="117"/>
      <c r="ED164" s="117"/>
      <c r="EE164" s="117"/>
      <c r="EF164" s="117"/>
      <c r="EG164" s="117"/>
      <c r="EH164" s="117"/>
      <c r="EI164" s="117"/>
      <c r="EJ164" s="117"/>
      <c r="EK164" s="117"/>
      <c r="EL164" s="117"/>
      <c r="EM164" s="117"/>
      <c r="EN164" s="117"/>
      <c r="EO164" s="117"/>
      <c r="EP164" s="117"/>
      <c r="EQ164" s="117"/>
      <c r="ER164" s="117"/>
      <c r="ES164" s="117"/>
      <c r="ET164" s="117"/>
      <c r="EU164" s="117"/>
      <c r="EV164" s="117"/>
      <c r="EW164" s="117"/>
      <c r="EX164" s="117"/>
      <c r="EY164" s="117"/>
      <c r="EZ164" s="117"/>
      <c r="FA164" s="117"/>
      <c r="FB164" s="117"/>
      <c r="FC164" s="117"/>
      <c r="FD164" s="117"/>
      <c r="FE164" s="117"/>
      <c r="FF164" s="117"/>
      <c r="FG164" s="117"/>
      <c r="FH164" s="117"/>
      <c r="FI164" s="117"/>
      <c r="FJ164" s="117"/>
      <c r="FK164" s="117"/>
      <c r="FL164" s="117"/>
      <c r="FM164" s="117"/>
      <c r="FN164" s="117"/>
      <c r="FO164" s="117"/>
      <c r="FP164" s="117"/>
      <c r="FQ164" s="117"/>
      <c r="FR164" s="117"/>
      <c r="FS164" s="117"/>
      <c r="FT164" s="117"/>
      <c r="FU164" s="117"/>
      <c r="FV164" s="117"/>
      <c r="FW164" s="117"/>
      <c r="FX164" s="117"/>
      <c r="FY164" s="117"/>
      <c r="FZ164" s="117"/>
      <c r="GA164" s="117"/>
      <c r="GB164" s="117"/>
      <c r="GC164" s="117"/>
      <c r="GD164" s="117"/>
      <c r="GE164" s="117"/>
      <c r="GF164" s="117"/>
      <c r="GG164" s="117"/>
      <c r="GH164" s="117"/>
      <c r="GI164" s="117"/>
      <c r="GJ164" s="117"/>
      <c r="GK164" s="117"/>
      <c r="GL164" s="117"/>
      <c r="GM164" s="117"/>
      <c r="GN164" s="117"/>
      <c r="GO164" s="117"/>
      <c r="GP164" s="117"/>
      <c r="GQ164" s="117"/>
      <c r="GR164" s="117"/>
      <c r="GS164" s="117"/>
      <c r="GT164" s="117"/>
      <c r="GU164" s="117"/>
      <c r="GV164" s="117"/>
      <c r="GW164" s="117"/>
      <c r="GX164" s="117"/>
      <c r="GY164" s="117"/>
      <c r="GZ164" s="117"/>
      <c r="HA164" s="117"/>
      <c r="HB164" s="117"/>
      <c r="HC164" s="117"/>
      <c r="HD164" s="117"/>
      <c r="HE164" s="117"/>
      <c r="HF164" s="117"/>
      <c r="HG164" s="117"/>
      <c r="HH164" s="117"/>
      <c r="HI164" s="117"/>
      <c r="HJ164" s="117"/>
      <c r="HK164" s="117"/>
      <c r="HL164" s="117"/>
      <c r="HM164" s="117"/>
      <c r="HN164" s="117"/>
      <c r="HO164" s="117"/>
      <c r="HP164" s="117"/>
      <c r="HQ164" s="117"/>
      <c r="HR164" s="117"/>
      <c r="HS164" s="117"/>
      <c r="HT164" s="117"/>
      <c r="HU164" s="117"/>
      <c r="HV164" s="117"/>
      <c r="HW164" s="117"/>
      <c r="HX164" s="117"/>
      <c r="HY164" s="117"/>
      <c r="HZ164" s="117"/>
      <c r="IA164" s="117"/>
      <c r="IB164" s="117"/>
    </row>
    <row r="165" spans="1:236" s="79" customFormat="1" ht="14.25">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7"/>
      <c r="AY165" s="117"/>
      <c r="AZ165" s="117"/>
      <c r="BA165" s="117"/>
      <c r="BB165" s="117"/>
      <c r="BC165" s="117"/>
      <c r="BD165" s="117"/>
      <c r="BE165" s="117"/>
      <c r="BF165" s="117"/>
      <c r="BG165" s="117"/>
      <c r="BH165" s="117"/>
      <c r="BI165" s="117"/>
      <c r="BJ165" s="117"/>
      <c r="BK165" s="117"/>
      <c r="BL165" s="117"/>
      <c r="BM165" s="117"/>
      <c r="BN165" s="117"/>
      <c r="BO165" s="117"/>
      <c r="BP165" s="117"/>
      <c r="BQ165" s="117"/>
      <c r="BR165" s="117"/>
      <c r="BS165" s="117"/>
      <c r="BT165" s="117"/>
      <c r="BU165" s="117"/>
      <c r="BV165" s="117"/>
      <c r="BW165" s="117"/>
      <c r="BX165" s="117"/>
      <c r="BY165" s="117"/>
      <c r="BZ165" s="117"/>
      <c r="CA165" s="117"/>
      <c r="CB165" s="117"/>
      <c r="CC165" s="117"/>
      <c r="CD165" s="117"/>
      <c r="CE165" s="117"/>
      <c r="CF165" s="117"/>
      <c r="CG165" s="117"/>
      <c r="CH165" s="117"/>
      <c r="CI165" s="117"/>
      <c r="CJ165" s="117"/>
      <c r="CK165" s="117"/>
      <c r="CL165" s="117"/>
      <c r="CM165" s="117"/>
      <c r="CN165" s="117"/>
      <c r="CO165" s="117"/>
      <c r="CP165" s="117"/>
      <c r="CQ165" s="117"/>
      <c r="CR165" s="117"/>
      <c r="CS165" s="117"/>
      <c r="CT165" s="117"/>
      <c r="CU165" s="117"/>
      <c r="CV165" s="117"/>
      <c r="CW165" s="117"/>
      <c r="CX165" s="117"/>
      <c r="CY165" s="117"/>
      <c r="CZ165" s="117"/>
      <c r="DA165" s="117"/>
      <c r="DB165" s="117"/>
      <c r="DC165" s="117"/>
      <c r="DD165" s="117"/>
      <c r="DE165" s="117"/>
      <c r="DF165" s="117"/>
      <c r="DG165" s="117"/>
      <c r="DH165" s="117"/>
      <c r="DI165" s="117"/>
      <c r="DJ165" s="117"/>
      <c r="DK165" s="117"/>
      <c r="DL165" s="117"/>
      <c r="DM165" s="117"/>
      <c r="DN165" s="117"/>
      <c r="DO165" s="117"/>
      <c r="DP165" s="117"/>
      <c r="DQ165" s="117"/>
      <c r="DR165" s="117"/>
      <c r="DS165" s="117"/>
      <c r="DT165" s="117"/>
      <c r="DU165" s="117"/>
      <c r="DV165" s="117"/>
      <c r="DW165" s="117"/>
      <c r="DX165" s="117"/>
      <c r="DY165" s="117"/>
      <c r="DZ165" s="117"/>
      <c r="EA165" s="117"/>
      <c r="EB165" s="117"/>
      <c r="EC165" s="117"/>
      <c r="ED165" s="117"/>
      <c r="EE165" s="117"/>
      <c r="EF165" s="117"/>
      <c r="EG165" s="117"/>
      <c r="EH165" s="117"/>
      <c r="EI165" s="117"/>
      <c r="EJ165" s="117"/>
      <c r="EK165" s="117"/>
      <c r="EL165" s="117"/>
      <c r="EM165" s="117"/>
      <c r="EN165" s="117"/>
      <c r="EO165" s="117"/>
      <c r="EP165" s="117"/>
      <c r="EQ165" s="117"/>
      <c r="ER165" s="117"/>
      <c r="ES165" s="117"/>
      <c r="ET165" s="117"/>
      <c r="EU165" s="117"/>
      <c r="EV165" s="117"/>
      <c r="EW165" s="117"/>
      <c r="EX165" s="117"/>
      <c r="EY165" s="117"/>
      <c r="EZ165" s="117"/>
      <c r="FA165" s="117"/>
      <c r="FB165" s="117"/>
      <c r="FC165" s="117"/>
      <c r="FD165" s="117"/>
      <c r="FE165" s="117"/>
      <c r="FF165" s="117"/>
      <c r="FG165" s="117"/>
      <c r="FH165" s="117"/>
      <c r="FI165" s="117"/>
      <c r="FJ165" s="117"/>
      <c r="FK165" s="117"/>
      <c r="FL165" s="117"/>
      <c r="FM165" s="117"/>
      <c r="FN165" s="117"/>
      <c r="FO165" s="117"/>
      <c r="FP165" s="117"/>
      <c r="FQ165" s="117"/>
      <c r="FR165" s="117"/>
      <c r="FS165" s="117"/>
      <c r="FT165" s="117"/>
      <c r="FU165" s="117"/>
      <c r="FV165" s="117"/>
      <c r="FW165" s="117"/>
      <c r="FX165" s="117"/>
      <c r="FY165" s="117"/>
      <c r="FZ165" s="117"/>
      <c r="GA165" s="117"/>
      <c r="GB165" s="117"/>
      <c r="GC165" s="117"/>
      <c r="GD165" s="117"/>
      <c r="GE165" s="117"/>
      <c r="GF165" s="117"/>
      <c r="GG165" s="117"/>
      <c r="GH165" s="117"/>
      <c r="GI165" s="117"/>
      <c r="GJ165" s="117"/>
      <c r="GK165" s="117"/>
      <c r="GL165" s="117"/>
      <c r="GM165" s="117"/>
      <c r="GN165" s="117"/>
      <c r="GO165" s="117"/>
      <c r="GP165" s="117"/>
      <c r="GQ165" s="117"/>
      <c r="GR165" s="117"/>
      <c r="GS165" s="117"/>
      <c r="GT165" s="117"/>
      <c r="GU165" s="117"/>
      <c r="GV165" s="117"/>
      <c r="GW165" s="117"/>
      <c r="GX165" s="117"/>
      <c r="GY165" s="117"/>
      <c r="GZ165" s="117"/>
      <c r="HA165" s="117"/>
      <c r="HB165" s="117"/>
      <c r="HC165" s="117"/>
      <c r="HD165" s="117"/>
      <c r="HE165" s="117"/>
      <c r="HF165" s="117"/>
      <c r="HG165" s="117"/>
      <c r="HH165" s="117"/>
      <c r="HI165" s="117"/>
      <c r="HJ165" s="117"/>
      <c r="HK165" s="117"/>
      <c r="HL165" s="117"/>
      <c r="HM165" s="117"/>
      <c r="HN165" s="117"/>
      <c r="HO165" s="117"/>
      <c r="HP165" s="117"/>
      <c r="HQ165" s="117"/>
      <c r="HR165" s="117"/>
      <c r="HS165" s="117"/>
      <c r="HT165" s="117"/>
      <c r="HU165" s="117"/>
      <c r="HV165" s="117"/>
      <c r="HW165" s="117"/>
      <c r="HX165" s="117"/>
      <c r="HY165" s="117"/>
      <c r="HZ165" s="117"/>
      <c r="IA165" s="117"/>
      <c r="IB165" s="117"/>
    </row>
    <row r="166" spans="1:236" s="79" customFormat="1" ht="14.25">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117"/>
      <c r="BZ166" s="117"/>
      <c r="CA166" s="117"/>
      <c r="CB166" s="117"/>
      <c r="CC166" s="117"/>
      <c r="CD166" s="117"/>
      <c r="CE166" s="117"/>
      <c r="CF166" s="117"/>
      <c r="CG166" s="117"/>
      <c r="CH166" s="117"/>
      <c r="CI166" s="117"/>
      <c r="CJ166" s="117"/>
      <c r="CK166" s="117"/>
      <c r="CL166" s="117"/>
      <c r="CM166" s="117"/>
      <c r="CN166" s="117"/>
      <c r="CO166" s="117"/>
      <c r="CP166" s="117"/>
      <c r="CQ166" s="117"/>
      <c r="CR166" s="117"/>
      <c r="CS166" s="117"/>
      <c r="CT166" s="117"/>
      <c r="CU166" s="117"/>
      <c r="CV166" s="117"/>
      <c r="CW166" s="117"/>
      <c r="CX166" s="117"/>
      <c r="CY166" s="117"/>
      <c r="CZ166" s="117"/>
      <c r="DA166" s="117"/>
      <c r="DB166" s="117"/>
      <c r="DC166" s="117"/>
      <c r="DD166" s="117"/>
      <c r="DE166" s="117"/>
      <c r="DF166" s="117"/>
      <c r="DG166" s="117"/>
      <c r="DH166" s="117"/>
      <c r="DI166" s="117"/>
      <c r="DJ166" s="117"/>
      <c r="DK166" s="117"/>
      <c r="DL166" s="117"/>
      <c r="DM166" s="117"/>
      <c r="DN166" s="117"/>
      <c r="DO166" s="117"/>
      <c r="DP166" s="117"/>
      <c r="DQ166" s="117"/>
      <c r="DR166" s="117"/>
      <c r="DS166" s="117"/>
      <c r="DT166" s="117"/>
      <c r="DU166" s="117"/>
      <c r="DV166" s="117"/>
      <c r="DW166" s="117"/>
      <c r="DX166" s="117"/>
      <c r="DY166" s="117"/>
      <c r="DZ166" s="117"/>
      <c r="EA166" s="117"/>
      <c r="EB166" s="117"/>
      <c r="EC166" s="117"/>
      <c r="ED166" s="117"/>
      <c r="EE166" s="117"/>
      <c r="EF166" s="117"/>
      <c r="EG166" s="117"/>
      <c r="EH166" s="117"/>
      <c r="EI166" s="117"/>
      <c r="EJ166" s="117"/>
      <c r="EK166" s="117"/>
      <c r="EL166" s="117"/>
      <c r="EM166" s="117"/>
      <c r="EN166" s="117"/>
      <c r="EO166" s="117"/>
      <c r="EP166" s="117"/>
      <c r="EQ166" s="117"/>
      <c r="ER166" s="117"/>
      <c r="ES166" s="117"/>
      <c r="ET166" s="117"/>
      <c r="EU166" s="117"/>
      <c r="EV166" s="117"/>
      <c r="EW166" s="117"/>
      <c r="EX166" s="117"/>
      <c r="EY166" s="117"/>
      <c r="EZ166" s="117"/>
      <c r="FA166" s="117"/>
      <c r="FB166" s="117"/>
      <c r="FC166" s="117"/>
      <c r="FD166" s="117"/>
      <c r="FE166" s="117"/>
      <c r="FF166" s="117"/>
      <c r="FG166" s="117"/>
      <c r="FH166" s="117"/>
      <c r="FI166" s="117"/>
      <c r="FJ166" s="117"/>
      <c r="FK166" s="117"/>
      <c r="FL166" s="117"/>
      <c r="FM166" s="117"/>
      <c r="FN166" s="117"/>
      <c r="FO166" s="117"/>
      <c r="FP166" s="117"/>
      <c r="FQ166" s="117"/>
      <c r="FR166" s="117"/>
      <c r="FS166" s="117"/>
      <c r="FT166" s="117"/>
      <c r="FU166" s="117"/>
      <c r="FV166" s="117"/>
      <c r="FW166" s="117"/>
      <c r="FX166" s="117"/>
      <c r="FY166" s="117"/>
      <c r="FZ166" s="117"/>
      <c r="GA166" s="117"/>
      <c r="GB166" s="117"/>
      <c r="GC166" s="117"/>
      <c r="GD166" s="117"/>
      <c r="GE166" s="117"/>
      <c r="GF166" s="117"/>
      <c r="GG166" s="117"/>
      <c r="GH166" s="117"/>
      <c r="GI166" s="117"/>
      <c r="GJ166" s="117"/>
      <c r="GK166" s="117"/>
      <c r="GL166" s="117"/>
      <c r="GM166" s="117"/>
      <c r="GN166" s="117"/>
      <c r="GO166" s="117"/>
      <c r="GP166" s="117"/>
      <c r="GQ166" s="117"/>
      <c r="GR166" s="117"/>
      <c r="GS166" s="117"/>
      <c r="GT166" s="117"/>
      <c r="GU166" s="117"/>
      <c r="GV166" s="117"/>
      <c r="GW166" s="117"/>
      <c r="GX166" s="117"/>
      <c r="GY166" s="117"/>
      <c r="GZ166" s="117"/>
      <c r="HA166" s="117"/>
      <c r="HB166" s="117"/>
      <c r="HC166" s="117"/>
      <c r="HD166" s="117"/>
      <c r="HE166" s="117"/>
      <c r="HF166" s="117"/>
      <c r="HG166" s="117"/>
      <c r="HH166" s="117"/>
      <c r="HI166" s="117"/>
      <c r="HJ166" s="117"/>
      <c r="HK166" s="117"/>
      <c r="HL166" s="117"/>
      <c r="HM166" s="117"/>
      <c r="HN166" s="117"/>
      <c r="HO166" s="117"/>
      <c r="HP166" s="117"/>
      <c r="HQ166" s="117"/>
      <c r="HR166" s="117"/>
      <c r="HS166" s="117"/>
      <c r="HT166" s="117"/>
      <c r="HU166" s="117"/>
      <c r="HV166" s="117"/>
      <c r="HW166" s="117"/>
      <c r="HX166" s="117"/>
      <c r="HY166" s="117"/>
      <c r="HZ166" s="117"/>
      <c r="IA166" s="117"/>
      <c r="IB166" s="117"/>
    </row>
    <row r="167" spans="1:236" s="79" customFormat="1" ht="14.25">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117"/>
      <c r="BA167" s="117"/>
      <c r="BB167" s="117"/>
      <c r="BC167" s="117"/>
      <c r="BD167" s="117"/>
      <c r="BE167" s="117"/>
      <c r="BF167" s="117"/>
      <c r="BG167" s="117"/>
      <c r="BH167" s="117"/>
      <c r="BI167" s="117"/>
      <c r="BJ167" s="117"/>
      <c r="BK167" s="117"/>
      <c r="BL167" s="117"/>
      <c r="BM167" s="117"/>
      <c r="BN167" s="117"/>
      <c r="BO167" s="117"/>
      <c r="BP167" s="117"/>
      <c r="BQ167" s="117"/>
      <c r="BR167" s="117"/>
      <c r="BS167" s="117"/>
      <c r="BT167" s="117"/>
      <c r="BU167" s="117"/>
      <c r="BV167" s="117"/>
      <c r="BW167" s="117"/>
      <c r="BX167" s="117"/>
      <c r="BY167" s="117"/>
      <c r="BZ167" s="117"/>
      <c r="CA167" s="117"/>
      <c r="CB167" s="117"/>
      <c r="CC167" s="117"/>
      <c r="CD167" s="117"/>
      <c r="CE167" s="117"/>
      <c r="CF167" s="117"/>
      <c r="CG167" s="117"/>
      <c r="CH167" s="117"/>
      <c r="CI167" s="117"/>
      <c r="CJ167" s="117"/>
      <c r="CK167" s="117"/>
      <c r="CL167" s="117"/>
      <c r="CM167" s="117"/>
      <c r="CN167" s="117"/>
      <c r="CO167" s="117"/>
      <c r="CP167" s="117"/>
      <c r="CQ167" s="117"/>
      <c r="CR167" s="117"/>
      <c r="CS167" s="117"/>
      <c r="CT167" s="117"/>
      <c r="CU167" s="117"/>
      <c r="CV167" s="117"/>
      <c r="CW167" s="117"/>
      <c r="CX167" s="117"/>
      <c r="CY167" s="117"/>
      <c r="CZ167" s="117"/>
      <c r="DA167" s="117"/>
      <c r="DB167" s="117"/>
      <c r="DC167" s="117"/>
      <c r="DD167" s="117"/>
      <c r="DE167" s="117"/>
      <c r="DF167" s="117"/>
      <c r="DG167" s="117"/>
      <c r="DH167" s="117"/>
      <c r="DI167" s="117"/>
      <c r="DJ167" s="117"/>
      <c r="DK167" s="117"/>
      <c r="DL167" s="117"/>
      <c r="DM167" s="117"/>
      <c r="DN167" s="117"/>
      <c r="DO167" s="117"/>
      <c r="DP167" s="117"/>
      <c r="DQ167" s="117"/>
      <c r="DR167" s="117"/>
      <c r="DS167" s="117"/>
      <c r="DT167" s="117"/>
      <c r="DU167" s="117"/>
      <c r="DV167" s="117"/>
      <c r="DW167" s="117"/>
      <c r="DX167" s="117"/>
      <c r="DY167" s="117"/>
      <c r="DZ167" s="117"/>
      <c r="EA167" s="117"/>
      <c r="EB167" s="117"/>
      <c r="EC167" s="117"/>
      <c r="ED167" s="117"/>
      <c r="EE167" s="117"/>
      <c r="EF167" s="117"/>
      <c r="EG167" s="117"/>
      <c r="EH167" s="117"/>
      <c r="EI167" s="117"/>
      <c r="EJ167" s="117"/>
      <c r="EK167" s="117"/>
      <c r="EL167" s="117"/>
      <c r="EM167" s="117"/>
      <c r="EN167" s="117"/>
      <c r="EO167" s="117"/>
      <c r="EP167" s="117"/>
      <c r="EQ167" s="117"/>
      <c r="ER167" s="117"/>
      <c r="ES167" s="117"/>
      <c r="ET167" s="117"/>
      <c r="EU167" s="117"/>
      <c r="EV167" s="117"/>
      <c r="EW167" s="117"/>
      <c r="EX167" s="117"/>
      <c r="EY167" s="117"/>
      <c r="EZ167" s="117"/>
      <c r="FA167" s="117"/>
      <c r="FB167" s="117"/>
      <c r="FC167" s="117"/>
      <c r="FD167" s="117"/>
      <c r="FE167" s="117"/>
      <c r="FF167" s="117"/>
      <c r="FG167" s="117"/>
      <c r="FH167" s="117"/>
      <c r="FI167" s="117"/>
      <c r="FJ167" s="117"/>
      <c r="FK167" s="117"/>
      <c r="FL167" s="117"/>
      <c r="FM167" s="117"/>
      <c r="FN167" s="117"/>
      <c r="FO167" s="117"/>
      <c r="FP167" s="117"/>
      <c r="FQ167" s="117"/>
      <c r="FR167" s="117"/>
      <c r="FS167" s="117"/>
      <c r="FT167" s="117"/>
      <c r="FU167" s="117"/>
      <c r="FV167" s="117"/>
      <c r="FW167" s="117"/>
      <c r="FX167" s="117"/>
      <c r="FY167" s="117"/>
      <c r="FZ167" s="117"/>
      <c r="GA167" s="117"/>
      <c r="GB167" s="117"/>
      <c r="GC167" s="117"/>
      <c r="GD167" s="117"/>
      <c r="GE167" s="117"/>
      <c r="GF167" s="117"/>
      <c r="GG167" s="117"/>
      <c r="GH167" s="117"/>
      <c r="GI167" s="117"/>
      <c r="GJ167" s="117"/>
      <c r="GK167" s="117"/>
      <c r="GL167" s="117"/>
      <c r="GM167" s="117"/>
      <c r="GN167" s="117"/>
      <c r="GO167" s="117"/>
      <c r="GP167" s="117"/>
      <c r="GQ167" s="117"/>
      <c r="GR167" s="117"/>
      <c r="GS167" s="117"/>
      <c r="GT167" s="117"/>
      <c r="GU167" s="117"/>
      <c r="GV167" s="117"/>
      <c r="GW167" s="117"/>
      <c r="GX167" s="117"/>
      <c r="GY167" s="117"/>
      <c r="GZ167" s="117"/>
      <c r="HA167" s="117"/>
      <c r="HB167" s="117"/>
      <c r="HC167" s="117"/>
      <c r="HD167" s="117"/>
      <c r="HE167" s="117"/>
      <c r="HF167" s="117"/>
      <c r="HG167" s="117"/>
      <c r="HH167" s="117"/>
      <c r="HI167" s="117"/>
      <c r="HJ167" s="117"/>
      <c r="HK167" s="117"/>
      <c r="HL167" s="117"/>
      <c r="HM167" s="117"/>
      <c r="HN167" s="117"/>
      <c r="HO167" s="117"/>
      <c r="HP167" s="117"/>
      <c r="HQ167" s="117"/>
      <c r="HR167" s="117"/>
      <c r="HS167" s="117"/>
      <c r="HT167" s="117"/>
      <c r="HU167" s="117"/>
      <c r="HV167" s="117"/>
      <c r="HW167" s="117"/>
      <c r="HX167" s="117"/>
      <c r="HY167" s="117"/>
      <c r="HZ167" s="117"/>
      <c r="IA167" s="117"/>
      <c r="IB167" s="117"/>
    </row>
    <row r="168" spans="1:236" s="79" customFormat="1" ht="14.25">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117"/>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17"/>
      <c r="BV168" s="117"/>
      <c r="BW168" s="117"/>
      <c r="BX168" s="117"/>
      <c r="BY168" s="117"/>
      <c r="BZ168" s="117"/>
      <c r="CA168" s="117"/>
      <c r="CB168" s="117"/>
      <c r="CC168" s="117"/>
      <c r="CD168" s="117"/>
      <c r="CE168" s="117"/>
      <c r="CF168" s="117"/>
      <c r="CG168" s="117"/>
      <c r="CH168" s="117"/>
      <c r="CI168" s="117"/>
      <c r="CJ168" s="117"/>
      <c r="CK168" s="117"/>
      <c r="CL168" s="117"/>
      <c r="CM168" s="117"/>
      <c r="CN168" s="117"/>
      <c r="CO168" s="117"/>
      <c r="CP168" s="117"/>
      <c r="CQ168" s="117"/>
      <c r="CR168" s="117"/>
      <c r="CS168" s="117"/>
      <c r="CT168" s="117"/>
      <c r="CU168" s="117"/>
      <c r="CV168" s="117"/>
      <c r="CW168" s="117"/>
      <c r="CX168" s="117"/>
      <c r="CY168" s="117"/>
      <c r="CZ168" s="117"/>
      <c r="DA168" s="117"/>
      <c r="DB168" s="117"/>
      <c r="DC168" s="117"/>
      <c r="DD168" s="117"/>
      <c r="DE168" s="117"/>
      <c r="DF168" s="117"/>
      <c r="DG168" s="117"/>
      <c r="DH168" s="117"/>
      <c r="DI168" s="117"/>
      <c r="DJ168" s="117"/>
      <c r="DK168" s="117"/>
      <c r="DL168" s="117"/>
      <c r="DM168" s="117"/>
      <c r="DN168" s="117"/>
      <c r="DO168" s="117"/>
      <c r="DP168" s="117"/>
      <c r="DQ168" s="117"/>
      <c r="DR168" s="117"/>
      <c r="DS168" s="117"/>
      <c r="DT168" s="117"/>
      <c r="DU168" s="117"/>
      <c r="DV168" s="117"/>
      <c r="DW168" s="117"/>
      <c r="DX168" s="117"/>
      <c r="DY168" s="117"/>
      <c r="DZ168" s="117"/>
      <c r="EA168" s="117"/>
      <c r="EB168" s="117"/>
      <c r="EC168" s="117"/>
      <c r="ED168" s="117"/>
      <c r="EE168" s="117"/>
      <c r="EF168" s="117"/>
      <c r="EG168" s="117"/>
      <c r="EH168" s="117"/>
      <c r="EI168" s="117"/>
      <c r="EJ168" s="117"/>
      <c r="EK168" s="117"/>
      <c r="EL168" s="117"/>
      <c r="EM168" s="117"/>
      <c r="EN168" s="117"/>
      <c r="EO168" s="117"/>
      <c r="EP168" s="117"/>
      <c r="EQ168" s="117"/>
      <c r="ER168" s="117"/>
      <c r="ES168" s="117"/>
      <c r="ET168" s="117"/>
      <c r="EU168" s="117"/>
      <c r="EV168" s="117"/>
      <c r="EW168" s="117"/>
      <c r="EX168" s="117"/>
      <c r="EY168" s="117"/>
      <c r="EZ168" s="117"/>
      <c r="FA168" s="117"/>
      <c r="FB168" s="117"/>
      <c r="FC168" s="117"/>
      <c r="FD168" s="117"/>
      <c r="FE168" s="117"/>
      <c r="FF168" s="117"/>
      <c r="FG168" s="117"/>
      <c r="FH168" s="117"/>
      <c r="FI168" s="117"/>
      <c r="FJ168" s="117"/>
      <c r="FK168" s="117"/>
      <c r="FL168" s="117"/>
      <c r="FM168" s="117"/>
      <c r="FN168" s="117"/>
      <c r="FO168" s="117"/>
      <c r="FP168" s="117"/>
      <c r="FQ168" s="117"/>
      <c r="FR168" s="117"/>
      <c r="FS168" s="117"/>
      <c r="FT168" s="117"/>
      <c r="FU168" s="117"/>
      <c r="FV168" s="117"/>
      <c r="FW168" s="117"/>
      <c r="FX168" s="117"/>
      <c r="FY168" s="117"/>
      <c r="FZ168" s="117"/>
      <c r="GA168" s="117"/>
      <c r="GB168" s="117"/>
      <c r="GC168" s="117"/>
      <c r="GD168" s="117"/>
      <c r="GE168" s="117"/>
      <c r="GF168" s="117"/>
      <c r="GG168" s="117"/>
      <c r="GH168" s="117"/>
      <c r="GI168" s="117"/>
      <c r="GJ168" s="117"/>
      <c r="GK168" s="117"/>
      <c r="GL168" s="117"/>
      <c r="GM168" s="117"/>
      <c r="GN168" s="117"/>
      <c r="GO168" s="117"/>
      <c r="GP168" s="117"/>
      <c r="GQ168" s="117"/>
      <c r="GR168" s="117"/>
      <c r="GS168" s="117"/>
      <c r="GT168" s="117"/>
      <c r="GU168" s="117"/>
      <c r="GV168" s="117"/>
      <c r="GW168" s="117"/>
      <c r="GX168" s="117"/>
      <c r="GY168" s="117"/>
      <c r="GZ168" s="117"/>
      <c r="HA168" s="117"/>
      <c r="HB168" s="117"/>
      <c r="HC168" s="117"/>
      <c r="HD168" s="117"/>
      <c r="HE168" s="117"/>
      <c r="HF168" s="117"/>
      <c r="HG168" s="117"/>
      <c r="HH168" s="117"/>
      <c r="HI168" s="117"/>
      <c r="HJ168" s="117"/>
      <c r="HK168" s="117"/>
      <c r="HL168" s="117"/>
      <c r="HM168" s="117"/>
      <c r="HN168" s="117"/>
      <c r="HO168" s="117"/>
      <c r="HP168" s="117"/>
      <c r="HQ168" s="117"/>
      <c r="HR168" s="117"/>
      <c r="HS168" s="117"/>
      <c r="HT168" s="117"/>
      <c r="HU168" s="117"/>
      <c r="HV168" s="117"/>
      <c r="HW168" s="117"/>
      <c r="HX168" s="117"/>
      <c r="HY168" s="117"/>
      <c r="HZ168" s="117"/>
      <c r="IA168" s="117"/>
      <c r="IB168" s="117"/>
    </row>
    <row r="169" spans="1:236" s="79" customFormat="1" ht="14.25">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c r="BF169" s="117"/>
      <c r="BG169" s="117"/>
      <c r="BH169" s="117"/>
      <c r="BI169" s="117"/>
      <c r="BJ169" s="117"/>
      <c r="BK169" s="117"/>
      <c r="BL169" s="117"/>
      <c r="BM169" s="117"/>
      <c r="BN169" s="117"/>
      <c r="BO169" s="117"/>
      <c r="BP169" s="117"/>
      <c r="BQ169" s="117"/>
      <c r="BR169" s="117"/>
      <c r="BS169" s="117"/>
      <c r="BT169" s="117"/>
      <c r="BU169" s="117"/>
      <c r="BV169" s="117"/>
      <c r="BW169" s="117"/>
      <c r="BX169" s="117"/>
      <c r="BY169" s="117"/>
      <c r="BZ169" s="117"/>
      <c r="CA169" s="117"/>
      <c r="CB169" s="117"/>
      <c r="CC169" s="117"/>
      <c r="CD169" s="117"/>
      <c r="CE169" s="117"/>
      <c r="CF169" s="117"/>
      <c r="CG169" s="117"/>
      <c r="CH169" s="117"/>
      <c r="CI169" s="117"/>
      <c r="CJ169" s="117"/>
      <c r="CK169" s="117"/>
      <c r="CL169" s="117"/>
      <c r="CM169" s="117"/>
      <c r="CN169" s="117"/>
      <c r="CO169" s="117"/>
      <c r="CP169" s="117"/>
      <c r="CQ169" s="117"/>
      <c r="CR169" s="117"/>
      <c r="CS169" s="117"/>
      <c r="CT169" s="117"/>
      <c r="CU169" s="117"/>
      <c r="CV169" s="117"/>
      <c r="CW169" s="117"/>
      <c r="CX169" s="117"/>
      <c r="CY169" s="117"/>
      <c r="CZ169" s="117"/>
      <c r="DA169" s="117"/>
      <c r="DB169" s="117"/>
      <c r="DC169" s="117"/>
      <c r="DD169" s="117"/>
      <c r="DE169" s="117"/>
      <c r="DF169" s="117"/>
      <c r="DG169" s="117"/>
      <c r="DH169" s="117"/>
      <c r="DI169" s="117"/>
      <c r="DJ169" s="117"/>
      <c r="DK169" s="117"/>
      <c r="DL169" s="117"/>
      <c r="DM169" s="117"/>
      <c r="DN169" s="117"/>
      <c r="DO169" s="117"/>
      <c r="DP169" s="117"/>
      <c r="DQ169" s="117"/>
      <c r="DR169" s="117"/>
      <c r="DS169" s="117"/>
      <c r="DT169" s="117"/>
      <c r="DU169" s="117"/>
      <c r="DV169" s="117"/>
      <c r="DW169" s="117"/>
      <c r="DX169" s="117"/>
      <c r="DY169" s="117"/>
      <c r="DZ169" s="117"/>
      <c r="EA169" s="117"/>
      <c r="EB169" s="117"/>
      <c r="EC169" s="117"/>
      <c r="ED169" s="117"/>
      <c r="EE169" s="117"/>
      <c r="EF169" s="117"/>
      <c r="EG169" s="117"/>
      <c r="EH169" s="117"/>
      <c r="EI169" s="117"/>
      <c r="EJ169" s="117"/>
      <c r="EK169" s="117"/>
      <c r="EL169" s="117"/>
      <c r="EM169" s="117"/>
      <c r="EN169" s="117"/>
      <c r="EO169" s="117"/>
      <c r="EP169" s="117"/>
      <c r="EQ169" s="117"/>
      <c r="ER169" s="117"/>
      <c r="ES169" s="117"/>
      <c r="ET169" s="117"/>
      <c r="EU169" s="117"/>
      <c r="EV169" s="117"/>
      <c r="EW169" s="117"/>
      <c r="EX169" s="117"/>
      <c r="EY169" s="117"/>
      <c r="EZ169" s="117"/>
      <c r="FA169" s="117"/>
      <c r="FB169" s="117"/>
      <c r="FC169" s="117"/>
      <c r="FD169" s="117"/>
      <c r="FE169" s="117"/>
      <c r="FF169" s="117"/>
      <c r="FG169" s="117"/>
      <c r="FH169" s="117"/>
      <c r="FI169" s="117"/>
      <c r="FJ169" s="117"/>
      <c r="FK169" s="117"/>
      <c r="FL169" s="117"/>
      <c r="FM169" s="117"/>
      <c r="FN169" s="117"/>
      <c r="FO169" s="117"/>
      <c r="FP169" s="117"/>
      <c r="FQ169" s="117"/>
      <c r="FR169" s="117"/>
      <c r="FS169" s="117"/>
      <c r="FT169" s="117"/>
      <c r="FU169" s="117"/>
      <c r="FV169" s="117"/>
      <c r="FW169" s="117"/>
      <c r="FX169" s="117"/>
      <c r="FY169" s="117"/>
      <c r="FZ169" s="117"/>
      <c r="GA169" s="117"/>
      <c r="GB169" s="117"/>
      <c r="GC169" s="117"/>
      <c r="GD169" s="117"/>
      <c r="GE169" s="117"/>
      <c r="GF169" s="117"/>
      <c r="GG169" s="117"/>
      <c r="GH169" s="117"/>
      <c r="GI169" s="117"/>
      <c r="GJ169" s="117"/>
      <c r="GK169" s="117"/>
      <c r="GL169" s="117"/>
      <c r="GM169" s="117"/>
      <c r="GN169" s="117"/>
      <c r="GO169" s="117"/>
      <c r="GP169" s="117"/>
      <c r="GQ169" s="117"/>
      <c r="GR169" s="117"/>
      <c r="GS169" s="117"/>
      <c r="GT169" s="117"/>
      <c r="GU169" s="117"/>
      <c r="GV169" s="117"/>
      <c r="GW169" s="117"/>
      <c r="GX169" s="117"/>
      <c r="GY169" s="117"/>
      <c r="GZ169" s="117"/>
      <c r="HA169" s="117"/>
      <c r="HB169" s="117"/>
      <c r="HC169" s="117"/>
      <c r="HD169" s="117"/>
      <c r="HE169" s="117"/>
      <c r="HF169" s="117"/>
      <c r="HG169" s="117"/>
      <c r="HH169" s="117"/>
      <c r="HI169" s="117"/>
      <c r="HJ169" s="117"/>
      <c r="HK169" s="117"/>
      <c r="HL169" s="117"/>
      <c r="HM169" s="117"/>
      <c r="HN169" s="117"/>
      <c r="HO169" s="117"/>
      <c r="HP169" s="117"/>
      <c r="HQ169" s="117"/>
      <c r="HR169" s="117"/>
      <c r="HS169" s="117"/>
      <c r="HT169" s="117"/>
      <c r="HU169" s="117"/>
      <c r="HV169" s="117"/>
      <c r="HW169" s="117"/>
      <c r="HX169" s="117"/>
      <c r="HY169" s="117"/>
      <c r="HZ169" s="117"/>
      <c r="IA169" s="117"/>
      <c r="IB169" s="117"/>
    </row>
    <row r="170" spans="1:236" s="79" customFormat="1" ht="14.25">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c r="BF170" s="117"/>
      <c r="BG170" s="117"/>
      <c r="BH170" s="117"/>
      <c r="BI170" s="117"/>
      <c r="BJ170" s="117"/>
      <c r="BK170" s="117"/>
      <c r="BL170" s="117"/>
      <c r="BM170" s="117"/>
      <c r="BN170" s="117"/>
      <c r="BO170" s="117"/>
      <c r="BP170" s="117"/>
      <c r="BQ170" s="117"/>
      <c r="BR170" s="117"/>
      <c r="BS170" s="117"/>
      <c r="BT170" s="117"/>
      <c r="BU170" s="117"/>
      <c r="BV170" s="117"/>
      <c r="BW170" s="117"/>
      <c r="BX170" s="117"/>
      <c r="BY170" s="117"/>
      <c r="BZ170" s="117"/>
      <c r="CA170" s="117"/>
      <c r="CB170" s="117"/>
      <c r="CC170" s="117"/>
      <c r="CD170" s="117"/>
      <c r="CE170" s="117"/>
      <c r="CF170" s="117"/>
      <c r="CG170" s="117"/>
      <c r="CH170" s="117"/>
      <c r="CI170" s="117"/>
      <c r="CJ170" s="117"/>
      <c r="CK170" s="117"/>
      <c r="CL170" s="117"/>
      <c r="CM170" s="117"/>
      <c r="CN170" s="117"/>
      <c r="CO170" s="117"/>
      <c r="CP170" s="117"/>
      <c r="CQ170" s="117"/>
      <c r="CR170" s="117"/>
      <c r="CS170" s="117"/>
      <c r="CT170" s="117"/>
      <c r="CU170" s="117"/>
      <c r="CV170" s="117"/>
      <c r="CW170" s="117"/>
      <c r="CX170" s="117"/>
      <c r="CY170" s="117"/>
      <c r="CZ170" s="117"/>
      <c r="DA170" s="117"/>
      <c r="DB170" s="117"/>
      <c r="DC170" s="117"/>
      <c r="DD170" s="117"/>
      <c r="DE170" s="117"/>
      <c r="DF170" s="117"/>
      <c r="DG170" s="117"/>
      <c r="DH170" s="117"/>
      <c r="DI170" s="117"/>
      <c r="DJ170" s="117"/>
      <c r="DK170" s="117"/>
      <c r="DL170" s="117"/>
      <c r="DM170" s="117"/>
      <c r="DN170" s="117"/>
      <c r="DO170" s="117"/>
      <c r="DP170" s="117"/>
      <c r="DQ170" s="117"/>
      <c r="DR170" s="117"/>
      <c r="DS170" s="117"/>
      <c r="DT170" s="117"/>
      <c r="DU170" s="117"/>
      <c r="DV170" s="117"/>
      <c r="DW170" s="117"/>
      <c r="DX170" s="117"/>
      <c r="DY170" s="117"/>
      <c r="DZ170" s="117"/>
      <c r="EA170" s="117"/>
      <c r="EB170" s="117"/>
      <c r="EC170" s="117"/>
      <c r="ED170" s="117"/>
      <c r="EE170" s="117"/>
      <c r="EF170" s="117"/>
      <c r="EG170" s="117"/>
      <c r="EH170" s="117"/>
      <c r="EI170" s="117"/>
      <c r="EJ170" s="117"/>
      <c r="EK170" s="117"/>
      <c r="EL170" s="117"/>
      <c r="EM170" s="117"/>
      <c r="EN170" s="117"/>
      <c r="EO170" s="117"/>
      <c r="EP170" s="117"/>
      <c r="EQ170" s="117"/>
      <c r="ER170" s="117"/>
      <c r="ES170" s="117"/>
      <c r="ET170" s="117"/>
      <c r="EU170" s="117"/>
      <c r="EV170" s="117"/>
      <c r="EW170" s="117"/>
      <c r="EX170" s="117"/>
      <c r="EY170" s="117"/>
      <c r="EZ170" s="117"/>
      <c r="FA170" s="117"/>
      <c r="FB170" s="117"/>
      <c r="FC170" s="117"/>
      <c r="FD170" s="117"/>
      <c r="FE170" s="117"/>
      <c r="FF170" s="117"/>
      <c r="FG170" s="117"/>
      <c r="FH170" s="117"/>
      <c r="FI170" s="117"/>
      <c r="FJ170" s="117"/>
      <c r="FK170" s="117"/>
      <c r="FL170" s="117"/>
      <c r="FM170" s="117"/>
      <c r="FN170" s="117"/>
      <c r="FO170" s="117"/>
      <c r="FP170" s="117"/>
      <c r="FQ170" s="117"/>
      <c r="FR170" s="117"/>
      <c r="FS170" s="117"/>
      <c r="FT170" s="117"/>
      <c r="FU170" s="117"/>
      <c r="FV170" s="117"/>
      <c r="FW170" s="117"/>
      <c r="FX170" s="117"/>
      <c r="FY170" s="117"/>
      <c r="FZ170" s="117"/>
      <c r="GA170" s="117"/>
      <c r="GB170" s="117"/>
      <c r="GC170" s="117"/>
      <c r="GD170" s="117"/>
      <c r="GE170" s="117"/>
      <c r="GF170" s="117"/>
      <c r="GG170" s="117"/>
      <c r="GH170" s="117"/>
      <c r="GI170" s="117"/>
      <c r="GJ170" s="117"/>
      <c r="GK170" s="117"/>
      <c r="GL170" s="117"/>
      <c r="GM170" s="117"/>
      <c r="GN170" s="117"/>
      <c r="GO170" s="117"/>
      <c r="GP170" s="117"/>
      <c r="GQ170" s="117"/>
      <c r="GR170" s="117"/>
      <c r="GS170" s="117"/>
      <c r="GT170" s="117"/>
      <c r="GU170" s="117"/>
      <c r="GV170" s="117"/>
      <c r="GW170" s="117"/>
      <c r="GX170" s="117"/>
      <c r="GY170" s="117"/>
      <c r="GZ170" s="117"/>
      <c r="HA170" s="117"/>
      <c r="HB170" s="117"/>
      <c r="HC170" s="117"/>
      <c r="HD170" s="117"/>
      <c r="HE170" s="117"/>
      <c r="HF170" s="117"/>
      <c r="HG170" s="117"/>
      <c r="HH170" s="117"/>
      <c r="HI170" s="117"/>
      <c r="HJ170" s="117"/>
      <c r="HK170" s="117"/>
      <c r="HL170" s="117"/>
      <c r="HM170" s="117"/>
      <c r="HN170" s="117"/>
      <c r="HO170" s="117"/>
      <c r="HP170" s="117"/>
      <c r="HQ170" s="117"/>
      <c r="HR170" s="117"/>
      <c r="HS170" s="117"/>
      <c r="HT170" s="117"/>
      <c r="HU170" s="117"/>
      <c r="HV170" s="117"/>
      <c r="HW170" s="117"/>
      <c r="HX170" s="117"/>
      <c r="HY170" s="117"/>
      <c r="HZ170" s="117"/>
      <c r="IA170" s="117"/>
      <c r="IB170" s="117"/>
    </row>
    <row r="171" spans="1:236" s="79" customFormat="1" ht="14.25">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7"/>
      <c r="AY171" s="117"/>
      <c r="AZ171" s="117"/>
      <c r="BA171" s="117"/>
      <c r="BB171" s="117"/>
      <c r="BC171" s="117"/>
      <c r="BD171" s="117"/>
      <c r="BE171" s="117"/>
      <c r="BF171" s="117"/>
      <c r="BG171" s="117"/>
      <c r="BH171" s="117"/>
      <c r="BI171" s="117"/>
      <c r="BJ171" s="117"/>
      <c r="BK171" s="117"/>
      <c r="BL171" s="117"/>
      <c r="BM171" s="117"/>
      <c r="BN171" s="117"/>
      <c r="BO171" s="117"/>
      <c r="BP171" s="117"/>
      <c r="BQ171" s="117"/>
      <c r="BR171" s="117"/>
      <c r="BS171" s="117"/>
      <c r="BT171" s="117"/>
      <c r="BU171" s="117"/>
      <c r="BV171" s="117"/>
      <c r="BW171" s="117"/>
      <c r="BX171" s="117"/>
      <c r="BY171" s="117"/>
      <c r="BZ171" s="117"/>
      <c r="CA171" s="117"/>
      <c r="CB171" s="117"/>
      <c r="CC171" s="117"/>
      <c r="CD171" s="117"/>
      <c r="CE171" s="117"/>
      <c r="CF171" s="117"/>
      <c r="CG171" s="117"/>
      <c r="CH171" s="117"/>
      <c r="CI171" s="117"/>
      <c r="CJ171" s="117"/>
      <c r="CK171" s="117"/>
      <c r="CL171" s="117"/>
      <c r="CM171" s="117"/>
      <c r="CN171" s="117"/>
      <c r="CO171" s="117"/>
      <c r="CP171" s="117"/>
      <c r="CQ171" s="117"/>
      <c r="CR171" s="117"/>
      <c r="CS171" s="117"/>
      <c r="CT171" s="117"/>
      <c r="CU171" s="117"/>
      <c r="CV171" s="117"/>
      <c r="CW171" s="117"/>
      <c r="CX171" s="117"/>
      <c r="CY171" s="117"/>
      <c r="CZ171" s="117"/>
      <c r="DA171" s="117"/>
      <c r="DB171" s="117"/>
      <c r="DC171" s="117"/>
      <c r="DD171" s="117"/>
      <c r="DE171" s="117"/>
      <c r="DF171" s="117"/>
      <c r="DG171" s="117"/>
      <c r="DH171" s="117"/>
      <c r="DI171" s="117"/>
      <c r="DJ171" s="117"/>
      <c r="DK171" s="117"/>
      <c r="DL171" s="117"/>
      <c r="DM171" s="117"/>
      <c r="DN171" s="117"/>
      <c r="DO171" s="117"/>
      <c r="DP171" s="117"/>
      <c r="DQ171" s="117"/>
      <c r="DR171" s="117"/>
      <c r="DS171" s="117"/>
      <c r="DT171" s="117"/>
      <c r="DU171" s="117"/>
      <c r="DV171" s="117"/>
      <c r="DW171" s="117"/>
      <c r="DX171" s="117"/>
      <c r="DY171" s="117"/>
      <c r="DZ171" s="117"/>
      <c r="EA171" s="117"/>
      <c r="EB171" s="117"/>
      <c r="EC171" s="117"/>
      <c r="ED171" s="117"/>
      <c r="EE171" s="117"/>
      <c r="EF171" s="117"/>
      <c r="EG171" s="117"/>
      <c r="EH171" s="117"/>
      <c r="EI171" s="117"/>
      <c r="EJ171" s="117"/>
      <c r="EK171" s="117"/>
      <c r="EL171" s="117"/>
      <c r="EM171" s="117"/>
      <c r="EN171" s="117"/>
      <c r="EO171" s="117"/>
      <c r="EP171" s="117"/>
      <c r="EQ171" s="117"/>
      <c r="ER171" s="117"/>
      <c r="ES171" s="117"/>
      <c r="ET171" s="117"/>
      <c r="EU171" s="117"/>
      <c r="EV171" s="117"/>
      <c r="EW171" s="117"/>
      <c r="EX171" s="117"/>
      <c r="EY171" s="117"/>
      <c r="EZ171" s="117"/>
      <c r="FA171" s="117"/>
      <c r="FB171" s="117"/>
      <c r="FC171" s="117"/>
      <c r="FD171" s="117"/>
      <c r="FE171" s="117"/>
      <c r="FF171" s="117"/>
      <c r="FG171" s="117"/>
      <c r="FH171" s="117"/>
      <c r="FI171" s="117"/>
      <c r="FJ171" s="117"/>
      <c r="FK171" s="117"/>
      <c r="FL171" s="117"/>
      <c r="FM171" s="117"/>
      <c r="FN171" s="117"/>
      <c r="FO171" s="117"/>
      <c r="FP171" s="117"/>
      <c r="FQ171" s="117"/>
      <c r="FR171" s="117"/>
      <c r="FS171" s="117"/>
      <c r="FT171" s="117"/>
      <c r="FU171" s="117"/>
      <c r="FV171" s="117"/>
      <c r="FW171" s="117"/>
      <c r="FX171" s="117"/>
      <c r="FY171" s="117"/>
      <c r="FZ171" s="117"/>
      <c r="GA171" s="117"/>
      <c r="GB171" s="117"/>
      <c r="GC171" s="117"/>
      <c r="GD171" s="117"/>
      <c r="GE171" s="117"/>
      <c r="GF171" s="117"/>
      <c r="GG171" s="117"/>
      <c r="GH171" s="117"/>
      <c r="GI171" s="117"/>
      <c r="GJ171" s="117"/>
      <c r="GK171" s="117"/>
      <c r="GL171" s="117"/>
      <c r="GM171" s="117"/>
      <c r="GN171" s="117"/>
      <c r="GO171" s="117"/>
      <c r="GP171" s="117"/>
      <c r="GQ171" s="117"/>
      <c r="GR171" s="117"/>
      <c r="GS171" s="117"/>
      <c r="GT171" s="117"/>
      <c r="GU171" s="117"/>
      <c r="GV171" s="117"/>
      <c r="GW171" s="117"/>
      <c r="GX171" s="117"/>
      <c r="GY171" s="117"/>
      <c r="GZ171" s="117"/>
      <c r="HA171" s="117"/>
      <c r="HB171" s="117"/>
      <c r="HC171" s="117"/>
      <c r="HD171" s="117"/>
      <c r="HE171" s="117"/>
      <c r="HF171" s="117"/>
      <c r="HG171" s="117"/>
      <c r="HH171" s="117"/>
      <c r="HI171" s="117"/>
      <c r="HJ171" s="117"/>
      <c r="HK171" s="117"/>
      <c r="HL171" s="117"/>
      <c r="HM171" s="117"/>
      <c r="HN171" s="117"/>
      <c r="HO171" s="117"/>
      <c r="HP171" s="117"/>
      <c r="HQ171" s="117"/>
      <c r="HR171" s="117"/>
      <c r="HS171" s="117"/>
      <c r="HT171" s="117"/>
      <c r="HU171" s="117"/>
      <c r="HV171" s="117"/>
      <c r="HW171" s="117"/>
      <c r="HX171" s="117"/>
      <c r="HY171" s="117"/>
      <c r="HZ171" s="117"/>
      <c r="IA171" s="117"/>
      <c r="IB171" s="117"/>
    </row>
    <row r="172" spans="1:236" s="79" customFormat="1" ht="14.25">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7"/>
      <c r="AY172" s="117"/>
      <c r="AZ172" s="117"/>
      <c r="BA172" s="117"/>
      <c r="BB172" s="117"/>
      <c r="BC172" s="117"/>
      <c r="BD172" s="117"/>
      <c r="BE172" s="117"/>
      <c r="BF172" s="117"/>
      <c r="BG172" s="117"/>
      <c r="BH172" s="117"/>
      <c r="BI172" s="117"/>
      <c r="BJ172" s="117"/>
      <c r="BK172" s="117"/>
      <c r="BL172" s="117"/>
      <c r="BM172" s="117"/>
      <c r="BN172" s="117"/>
      <c r="BO172" s="117"/>
      <c r="BP172" s="117"/>
      <c r="BQ172" s="117"/>
      <c r="BR172" s="117"/>
      <c r="BS172" s="117"/>
      <c r="BT172" s="117"/>
      <c r="BU172" s="117"/>
      <c r="BV172" s="117"/>
      <c r="BW172" s="117"/>
      <c r="BX172" s="117"/>
      <c r="BY172" s="117"/>
      <c r="BZ172" s="117"/>
      <c r="CA172" s="117"/>
      <c r="CB172" s="117"/>
      <c r="CC172" s="117"/>
      <c r="CD172" s="117"/>
      <c r="CE172" s="117"/>
      <c r="CF172" s="117"/>
      <c r="CG172" s="117"/>
      <c r="CH172" s="117"/>
      <c r="CI172" s="117"/>
      <c r="CJ172" s="117"/>
      <c r="CK172" s="117"/>
      <c r="CL172" s="117"/>
      <c r="CM172" s="117"/>
      <c r="CN172" s="117"/>
      <c r="CO172" s="117"/>
      <c r="CP172" s="117"/>
      <c r="CQ172" s="117"/>
      <c r="CR172" s="117"/>
      <c r="CS172" s="117"/>
      <c r="CT172" s="117"/>
      <c r="CU172" s="117"/>
      <c r="CV172" s="117"/>
      <c r="CW172" s="117"/>
      <c r="CX172" s="117"/>
      <c r="CY172" s="117"/>
      <c r="CZ172" s="117"/>
      <c r="DA172" s="117"/>
      <c r="DB172" s="117"/>
      <c r="DC172" s="117"/>
      <c r="DD172" s="117"/>
      <c r="DE172" s="117"/>
      <c r="DF172" s="117"/>
      <c r="DG172" s="117"/>
      <c r="DH172" s="117"/>
      <c r="DI172" s="117"/>
      <c r="DJ172" s="117"/>
      <c r="DK172" s="117"/>
      <c r="DL172" s="117"/>
      <c r="DM172" s="117"/>
      <c r="DN172" s="117"/>
      <c r="DO172" s="117"/>
      <c r="DP172" s="117"/>
      <c r="DQ172" s="117"/>
      <c r="DR172" s="117"/>
      <c r="DS172" s="117"/>
      <c r="DT172" s="117"/>
      <c r="DU172" s="117"/>
      <c r="DV172" s="117"/>
      <c r="DW172" s="117"/>
      <c r="DX172" s="117"/>
      <c r="DY172" s="117"/>
      <c r="DZ172" s="117"/>
      <c r="EA172" s="117"/>
      <c r="EB172" s="117"/>
      <c r="EC172" s="117"/>
      <c r="ED172" s="117"/>
      <c r="EE172" s="117"/>
      <c r="EF172" s="117"/>
      <c r="EG172" s="117"/>
      <c r="EH172" s="117"/>
      <c r="EI172" s="117"/>
      <c r="EJ172" s="117"/>
      <c r="EK172" s="117"/>
      <c r="EL172" s="117"/>
      <c r="EM172" s="117"/>
      <c r="EN172" s="117"/>
      <c r="EO172" s="117"/>
      <c r="EP172" s="117"/>
      <c r="EQ172" s="117"/>
      <c r="ER172" s="117"/>
      <c r="ES172" s="117"/>
      <c r="ET172" s="117"/>
      <c r="EU172" s="117"/>
      <c r="EV172" s="117"/>
      <c r="EW172" s="117"/>
      <c r="EX172" s="117"/>
      <c r="EY172" s="117"/>
      <c r="EZ172" s="117"/>
      <c r="FA172" s="117"/>
      <c r="FB172" s="117"/>
      <c r="FC172" s="117"/>
      <c r="FD172" s="117"/>
      <c r="FE172" s="117"/>
      <c r="FF172" s="117"/>
      <c r="FG172" s="117"/>
      <c r="FH172" s="117"/>
      <c r="FI172" s="117"/>
      <c r="FJ172" s="117"/>
      <c r="FK172" s="117"/>
      <c r="FL172" s="117"/>
      <c r="FM172" s="117"/>
      <c r="FN172" s="117"/>
      <c r="FO172" s="117"/>
      <c r="FP172" s="117"/>
      <c r="FQ172" s="117"/>
      <c r="FR172" s="117"/>
      <c r="FS172" s="117"/>
      <c r="FT172" s="117"/>
      <c r="FU172" s="117"/>
      <c r="FV172" s="117"/>
      <c r="FW172" s="117"/>
      <c r="FX172" s="117"/>
      <c r="FY172" s="117"/>
      <c r="FZ172" s="117"/>
      <c r="GA172" s="117"/>
      <c r="GB172" s="117"/>
      <c r="GC172" s="117"/>
      <c r="GD172" s="117"/>
      <c r="GE172" s="117"/>
      <c r="GF172" s="117"/>
      <c r="GG172" s="117"/>
      <c r="GH172" s="117"/>
      <c r="GI172" s="117"/>
      <c r="GJ172" s="117"/>
      <c r="GK172" s="117"/>
      <c r="GL172" s="117"/>
      <c r="GM172" s="117"/>
      <c r="GN172" s="117"/>
      <c r="GO172" s="117"/>
      <c r="GP172" s="117"/>
      <c r="GQ172" s="117"/>
      <c r="GR172" s="117"/>
      <c r="GS172" s="117"/>
      <c r="GT172" s="117"/>
      <c r="GU172" s="117"/>
      <c r="GV172" s="117"/>
      <c r="GW172" s="117"/>
      <c r="GX172" s="117"/>
      <c r="GY172" s="117"/>
      <c r="GZ172" s="117"/>
      <c r="HA172" s="117"/>
      <c r="HB172" s="117"/>
      <c r="HC172" s="117"/>
      <c r="HD172" s="117"/>
      <c r="HE172" s="117"/>
      <c r="HF172" s="117"/>
      <c r="HG172" s="117"/>
      <c r="HH172" s="117"/>
      <c r="HI172" s="117"/>
      <c r="HJ172" s="117"/>
      <c r="HK172" s="117"/>
      <c r="HL172" s="117"/>
      <c r="HM172" s="117"/>
      <c r="HN172" s="117"/>
      <c r="HO172" s="117"/>
      <c r="HP172" s="117"/>
      <c r="HQ172" s="117"/>
      <c r="HR172" s="117"/>
      <c r="HS172" s="117"/>
      <c r="HT172" s="117"/>
      <c r="HU172" s="117"/>
      <c r="HV172" s="117"/>
      <c r="HW172" s="117"/>
      <c r="HX172" s="117"/>
      <c r="HY172" s="117"/>
      <c r="HZ172" s="117"/>
      <c r="IA172" s="117"/>
      <c r="IB172" s="117"/>
    </row>
    <row r="173" spans="1:236" s="79" customFormat="1" ht="14.25">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7"/>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117"/>
      <c r="CC173" s="117"/>
      <c r="CD173" s="117"/>
      <c r="CE173" s="117"/>
      <c r="CF173" s="117"/>
      <c r="CG173" s="117"/>
      <c r="CH173" s="117"/>
      <c r="CI173" s="117"/>
      <c r="CJ173" s="117"/>
      <c r="CK173" s="117"/>
      <c r="CL173" s="117"/>
      <c r="CM173" s="117"/>
      <c r="CN173" s="117"/>
      <c r="CO173" s="117"/>
      <c r="CP173" s="117"/>
      <c r="CQ173" s="117"/>
      <c r="CR173" s="117"/>
      <c r="CS173" s="117"/>
      <c r="CT173" s="117"/>
      <c r="CU173" s="117"/>
      <c r="CV173" s="117"/>
      <c r="CW173" s="117"/>
      <c r="CX173" s="117"/>
      <c r="CY173" s="117"/>
      <c r="CZ173" s="117"/>
      <c r="DA173" s="117"/>
      <c r="DB173" s="117"/>
      <c r="DC173" s="117"/>
      <c r="DD173" s="117"/>
      <c r="DE173" s="117"/>
      <c r="DF173" s="117"/>
      <c r="DG173" s="117"/>
      <c r="DH173" s="117"/>
      <c r="DI173" s="117"/>
      <c r="DJ173" s="117"/>
      <c r="DK173" s="117"/>
      <c r="DL173" s="117"/>
      <c r="DM173" s="117"/>
      <c r="DN173" s="117"/>
      <c r="DO173" s="117"/>
      <c r="DP173" s="117"/>
      <c r="DQ173" s="117"/>
      <c r="DR173" s="117"/>
      <c r="DS173" s="117"/>
      <c r="DT173" s="117"/>
      <c r="DU173" s="117"/>
      <c r="DV173" s="117"/>
      <c r="DW173" s="117"/>
      <c r="DX173" s="117"/>
      <c r="DY173" s="117"/>
      <c r="DZ173" s="117"/>
      <c r="EA173" s="117"/>
      <c r="EB173" s="117"/>
      <c r="EC173" s="117"/>
      <c r="ED173" s="117"/>
      <c r="EE173" s="117"/>
      <c r="EF173" s="117"/>
      <c r="EG173" s="117"/>
      <c r="EH173" s="117"/>
      <c r="EI173" s="117"/>
      <c r="EJ173" s="117"/>
      <c r="EK173" s="117"/>
      <c r="EL173" s="117"/>
      <c r="EM173" s="117"/>
      <c r="EN173" s="117"/>
      <c r="EO173" s="117"/>
      <c r="EP173" s="117"/>
      <c r="EQ173" s="117"/>
      <c r="ER173" s="117"/>
      <c r="ES173" s="117"/>
      <c r="ET173" s="117"/>
      <c r="EU173" s="117"/>
      <c r="EV173" s="117"/>
      <c r="EW173" s="117"/>
      <c r="EX173" s="117"/>
      <c r="EY173" s="117"/>
      <c r="EZ173" s="117"/>
      <c r="FA173" s="117"/>
      <c r="FB173" s="117"/>
      <c r="FC173" s="117"/>
      <c r="FD173" s="117"/>
      <c r="FE173" s="117"/>
      <c r="FF173" s="117"/>
      <c r="FG173" s="117"/>
      <c r="FH173" s="117"/>
      <c r="FI173" s="117"/>
      <c r="FJ173" s="117"/>
      <c r="FK173" s="117"/>
      <c r="FL173" s="117"/>
      <c r="FM173" s="117"/>
      <c r="FN173" s="117"/>
      <c r="FO173" s="117"/>
      <c r="FP173" s="117"/>
      <c r="FQ173" s="117"/>
      <c r="FR173" s="117"/>
      <c r="FS173" s="117"/>
      <c r="FT173" s="117"/>
      <c r="FU173" s="117"/>
      <c r="FV173" s="117"/>
      <c r="FW173" s="117"/>
      <c r="FX173" s="117"/>
      <c r="FY173" s="117"/>
      <c r="FZ173" s="117"/>
      <c r="GA173" s="117"/>
      <c r="GB173" s="117"/>
      <c r="GC173" s="117"/>
      <c r="GD173" s="117"/>
      <c r="GE173" s="117"/>
      <c r="GF173" s="117"/>
      <c r="GG173" s="117"/>
      <c r="GH173" s="117"/>
      <c r="GI173" s="117"/>
      <c r="GJ173" s="117"/>
      <c r="GK173" s="117"/>
      <c r="GL173" s="117"/>
      <c r="GM173" s="117"/>
      <c r="GN173" s="117"/>
      <c r="GO173" s="117"/>
      <c r="GP173" s="117"/>
      <c r="GQ173" s="117"/>
      <c r="GR173" s="117"/>
      <c r="GS173" s="117"/>
      <c r="GT173" s="117"/>
      <c r="GU173" s="117"/>
      <c r="GV173" s="117"/>
      <c r="GW173" s="117"/>
      <c r="GX173" s="117"/>
      <c r="GY173" s="117"/>
      <c r="GZ173" s="117"/>
      <c r="HA173" s="117"/>
      <c r="HB173" s="117"/>
      <c r="HC173" s="117"/>
      <c r="HD173" s="117"/>
      <c r="HE173" s="117"/>
      <c r="HF173" s="117"/>
      <c r="HG173" s="117"/>
      <c r="HH173" s="117"/>
      <c r="HI173" s="117"/>
      <c r="HJ173" s="117"/>
      <c r="HK173" s="117"/>
      <c r="HL173" s="117"/>
      <c r="HM173" s="117"/>
      <c r="HN173" s="117"/>
      <c r="HO173" s="117"/>
      <c r="HP173" s="117"/>
      <c r="HQ173" s="117"/>
      <c r="HR173" s="117"/>
      <c r="HS173" s="117"/>
      <c r="HT173" s="117"/>
      <c r="HU173" s="117"/>
      <c r="HV173" s="117"/>
      <c r="HW173" s="117"/>
      <c r="HX173" s="117"/>
      <c r="HY173" s="117"/>
      <c r="HZ173" s="117"/>
      <c r="IA173" s="117"/>
      <c r="IB173" s="117"/>
    </row>
    <row r="174" spans="1:236">
      <c r="A174" s="117"/>
      <c r="B174" s="117"/>
      <c r="C174" s="117"/>
      <c r="D174" s="117"/>
      <c r="E174" s="117"/>
      <c r="F174" s="117"/>
      <c r="G174" s="117"/>
      <c r="H174" s="117"/>
      <c r="I174" s="117"/>
      <c r="J174" s="117"/>
      <c r="K174" s="117"/>
      <c r="L174" s="117"/>
      <c r="M174" s="117"/>
      <c r="N174" s="117"/>
      <c r="O174" s="117"/>
      <c r="P174" s="117"/>
      <c r="Q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7"/>
      <c r="AY174" s="117"/>
      <c r="AZ174" s="117"/>
      <c r="BA174" s="117"/>
      <c r="BB174" s="117"/>
      <c r="BC174" s="117"/>
      <c r="BD174" s="117"/>
      <c r="BE174" s="117"/>
      <c r="BF174" s="117"/>
      <c r="BG174" s="117"/>
      <c r="BH174" s="117"/>
      <c r="BI174" s="117"/>
      <c r="BJ174" s="117"/>
      <c r="BK174" s="117"/>
      <c r="BL174" s="117"/>
      <c r="BM174" s="117"/>
      <c r="BN174" s="117"/>
      <c r="BO174" s="117"/>
      <c r="BP174" s="117"/>
      <c r="BQ174" s="117"/>
      <c r="BR174" s="117"/>
      <c r="BS174" s="117"/>
      <c r="BT174" s="117"/>
      <c r="BU174" s="117"/>
      <c r="BV174" s="117"/>
      <c r="BW174" s="117"/>
      <c r="BX174" s="117"/>
      <c r="BY174" s="117"/>
      <c r="BZ174" s="117"/>
      <c r="CA174" s="117"/>
      <c r="CB174" s="117"/>
      <c r="CC174" s="117"/>
      <c r="CD174" s="117"/>
      <c r="CE174" s="117"/>
      <c r="CF174" s="117"/>
      <c r="CG174" s="117"/>
      <c r="CH174" s="117"/>
      <c r="CI174" s="117"/>
      <c r="CJ174" s="117"/>
      <c r="CK174" s="117"/>
      <c r="CL174" s="117"/>
      <c r="CM174" s="117"/>
      <c r="CN174" s="117"/>
      <c r="CO174" s="117"/>
      <c r="CP174" s="117"/>
      <c r="CQ174" s="117"/>
      <c r="CR174" s="117"/>
      <c r="CS174" s="117"/>
      <c r="CT174" s="117"/>
      <c r="CU174" s="117"/>
      <c r="CV174" s="117"/>
      <c r="CW174" s="117"/>
      <c r="CX174" s="117"/>
      <c r="CY174" s="117"/>
      <c r="CZ174" s="117"/>
      <c r="DA174" s="117"/>
      <c r="DB174" s="117"/>
      <c r="DC174" s="117"/>
      <c r="DD174" s="117"/>
      <c r="DE174" s="117"/>
      <c r="DF174" s="117"/>
      <c r="DG174" s="117"/>
      <c r="DH174" s="117"/>
      <c r="DI174" s="117"/>
      <c r="DJ174" s="117"/>
      <c r="DK174" s="117"/>
      <c r="DL174" s="117"/>
      <c r="DM174" s="117"/>
      <c r="DN174" s="117"/>
      <c r="DO174" s="117"/>
      <c r="DP174" s="117"/>
      <c r="DQ174" s="117"/>
      <c r="DR174" s="117"/>
      <c r="DS174" s="117"/>
      <c r="DT174" s="117"/>
      <c r="DU174" s="117"/>
      <c r="DV174" s="117"/>
      <c r="DW174" s="117"/>
      <c r="DX174" s="117"/>
      <c r="DY174" s="117"/>
      <c r="DZ174" s="117"/>
      <c r="EA174" s="117"/>
      <c r="EB174" s="117"/>
      <c r="EC174" s="117"/>
      <c r="ED174" s="117"/>
      <c r="EE174" s="117"/>
      <c r="EF174" s="117"/>
      <c r="EG174" s="117"/>
      <c r="EH174" s="117"/>
      <c r="EI174" s="117"/>
      <c r="EJ174" s="117"/>
      <c r="EK174" s="117"/>
      <c r="EL174" s="117"/>
      <c r="EM174" s="117"/>
      <c r="EN174" s="117"/>
      <c r="EO174" s="117"/>
      <c r="EP174" s="117"/>
      <c r="EQ174" s="117"/>
      <c r="ER174" s="117"/>
      <c r="ES174" s="117"/>
      <c r="ET174" s="117"/>
      <c r="EU174" s="117"/>
      <c r="EV174" s="117"/>
      <c r="EW174" s="117"/>
      <c r="EX174" s="117"/>
      <c r="EY174" s="117"/>
      <c r="EZ174" s="117"/>
      <c r="FA174" s="117"/>
      <c r="FB174" s="117"/>
      <c r="FC174" s="117"/>
      <c r="FD174" s="117"/>
      <c r="FE174" s="117"/>
      <c r="FF174" s="117"/>
      <c r="FG174" s="117"/>
      <c r="FH174" s="117"/>
      <c r="FI174" s="117"/>
      <c r="FJ174" s="117"/>
      <c r="FK174" s="117"/>
      <c r="FL174" s="117"/>
      <c r="FM174" s="117"/>
      <c r="FN174" s="117"/>
      <c r="FO174" s="117"/>
      <c r="FP174" s="117"/>
      <c r="FQ174" s="117"/>
      <c r="FR174" s="117"/>
      <c r="FS174" s="117"/>
      <c r="FT174" s="117"/>
      <c r="FU174" s="117"/>
      <c r="FV174" s="117"/>
      <c r="FW174" s="117"/>
      <c r="FX174" s="117"/>
      <c r="FY174" s="117"/>
      <c r="FZ174" s="117"/>
      <c r="GA174" s="117"/>
      <c r="GB174" s="117"/>
      <c r="GC174" s="117"/>
      <c r="GD174" s="117"/>
      <c r="GE174" s="117"/>
      <c r="GF174" s="117"/>
      <c r="GG174" s="117"/>
      <c r="GH174" s="117"/>
      <c r="GI174" s="117"/>
      <c r="GJ174" s="117"/>
      <c r="GK174" s="117"/>
      <c r="GL174" s="117"/>
      <c r="GM174" s="117"/>
      <c r="GN174" s="117"/>
      <c r="GO174" s="117"/>
      <c r="GP174" s="117"/>
      <c r="GQ174" s="117"/>
      <c r="GR174" s="117"/>
      <c r="GS174" s="117"/>
      <c r="GT174" s="117"/>
      <c r="GU174" s="117"/>
      <c r="GV174" s="117"/>
      <c r="GW174" s="117"/>
      <c r="GX174" s="117"/>
      <c r="GY174" s="117"/>
      <c r="GZ174" s="117"/>
      <c r="HA174" s="117"/>
      <c r="HB174" s="117"/>
      <c r="HC174" s="117"/>
      <c r="HD174" s="117"/>
      <c r="HE174" s="117"/>
      <c r="HF174" s="117"/>
      <c r="HG174" s="117"/>
      <c r="HH174" s="117"/>
      <c r="HI174" s="117"/>
      <c r="HJ174" s="117"/>
      <c r="HK174" s="117"/>
      <c r="HL174" s="117"/>
      <c r="HM174" s="117"/>
      <c r="HN174" s="117"/>
      <c r="HO174" s="117"/>
      <c r="HP174" s="117"/>
      <c r="HQ174" s="117"/>
      <c r="HR174" s="117"/>
      <c r="HS174" s="117"/>
      <c r="HT174" s="117"/>
      <c r="HU174" s="117"/>
      <c r="HV174" s="117"/>
      <c r="HW174" s="117"/>
      <c r="HX174" s="117"/>
      <c r="HY174" s="117"/>
      <c r="HZ174" s="117"/>
      <c r="IA174" s="117"/>
      <c r="IB174" s="117"/>
    </row>
    <row r="175" spans="1:236">
      <c r="A175" s="117"/>
      <c r="B175" s="117"/>
      <c r="C175" s="117"/>
      <c r="D175" s="117"/>
      <c r="E175" s="117"/>
      <c r="F175" s="117"/>
      <c r="G175" s="117"/>
      <c r="H175" s="117"/>
      <c r="I175" s="117"/>
      <c r="J175" s="117"/>
      <c r="K175" s="117"/>
      <c r="L175" s="117"/>
      <c r="M175" s="117"/>
      <c r="N175" s="117"/>
      <c r="O175" s="117"/>
      <c r="P175" s="117"/>
      <c r="Q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7"/>
      <c r="BH175" s="117"/>
      <c r="BI175" s="117"/>
      <c r="BJ175" s="117"/>
      <c r="BK175" s="117"/>
      <c r="BL175" s="117"/>
      <c r="BM175" s="117"/>
      <c r="BN175" s="117"/>
      <c r="BO175" s="117"/>
      <c r="BP175" s="117"/>
      <c r="BQ175" s="117"/>
      <c r="BR175" s="117"/>
      <c r="BS175" s="117"/>
      <c r="BT175" s="117"/>
      <c r="BU175" s="117"/>
      <c r="BV175" s="117"/>
      <c r="BW175" s="117"/>
      <c r="BX175" s="117"/>
      <c r="BY175" s="117"/>
      <c r="BZ175" s="117"/>
      <c r="CA175" s="117"/>
      <c r="CB175" s="117"/>
      <c r="CC175" s="117"/>
      <c r="CD175" s="117"/>
      <c r="CE175" s="117"/>
      <c r="CF175" s="117"/>
      <c r="CG175" s="117"/>
      <c r="CH175" s="117"/>
      <c r="CI175" s="117"/>
      <c r="CJ175" s="117"/>
      <c r="CK175" s="117"/>
      <c r="CL175" s="117"/>
      <c r="CM175" s="117"/>
      <c r="CN175" s="117"/>
      <c r="CO175" s="117"/>
      <c r="CP175" s="117"/>
      <c r="CQ175" s="117"/>
      <c r="CR175" s="117"/>
      <c r="CS175" s="117"/>
      <c r="CT175" s="117"/>
      <c r="CU175" s="117"/>
      <c r="CV175" s="117"/>
      <c r="CW175" s="117"/>
      <c r="CX175" s="117"/>
      <c r="CY175" s="117"/>
      <c r="CZ175" s="117"/>
      <c r="DA175" s="117"/>
      <c r="DB175" s="117"/>
      <c r="DC175" s="117"/>
      <c r="DD175" s="117"/>
      <c r="DE175" s="117"/>
      <c r="DF175" s="117"/>
      <c r="DG175" s="117"/>
      <c r="DH175" s="117"/>
      <c r="DI175" s="117"/>
      <c r="DJ175" s="117"/>
      <c r="DK175" s="117"/>
      <c r="DL175" s="117"/>
      <c r="DM175" s="117"/>
      <c r="DN175" s="117"/>
      <c r="DO175" s="117"/>
      <c r="DP175" s="117"/>
      <c r="DQ175" s="117"/>
      <c r="DR175" s="117"/>
      <c r="DS175" s="117"/>
      <c r="DT175" s="117"/>
      <c r="DU175" s="117"/>
      <c r="DV175" s="117"/>
      <c r="DW175" s="117"/>
      <c r="DX175" s="117"/>
      <c r="DY175" s="117"/>
      <c r="DZ175" s="117"/>
      <c r="EA175" s="117"/>
      <c r="EB175" s="117"/>
      <c r="EC175" s="117"/>
      <c r="ED175" s="117"/>
      <c r="EE175" s="117"/>
      <c r="EF175" s="117"/>
      <c r="EG175" s="117"/>
      <c r="EH175" s="117"/>
      <c r="EI175" s="117"/>
      <c r="EJ175" s="117"/>
      <c r="EK175" s="117"/>
      <c r="EL175" s="117"/>
      <c r="EM175" s="117"/>
      <c r="EN175" s="117"/>
      <c r="EO175" s="117"/>
      <c r="EP175" s="117"/>
      <c r="EQ175" s="117"/>
      <c r="ER175" s="117"/>
      <c r="ES175" s="117"/>
      <c r="ET175" s="117"/>
      <c r="EU175" s="117"/>
      <c r="EV175" s="117"/>
      <c r="EW175" s="117"/>
      <c r="EX175" s="117"/>
      <c r="EY175" s="117"/>
      <c r="EZ175" s="117"/>
      <c r="FA175" s="117"/>
      <c r="FB175" s="117"/>
      <c r="FC175" s="117"/>
      <c r="FD175" s="117"/>
      <c r="FE175" s="117"/>
      <c r="FF175" s="117"/>
      <c r="FG175" s="117"/>
      <c r="FH175" s="117"/>
      <c r="FI175" s="117"/>
      <c r="FJ175" s="117"/>
      <c r="FK175" s="117"/>
      <c r="FL175" s="117"/>
      <c r="FM175" s="117"/>
      <c r="FN175" s="117"/>
      <c r="FO175" s="117"/>
      <c r="FP175" s="117"/>
      <c r="FQ175" s="117"/>
      <c r="FR175" s="117"/>
      <c r="FS175" s="117"/>
      <c r="FT175" s="117"/>
      <c r="FU175" s="117"/>
      <c r="FV175" s="117"/>
      <c r="FW175" s="117"/>
      <c r="FX175" s="117"/>
      <c r="FY175" s="117"/>
      <c r="FZ175" s="117"/>
      <c r="GA175" s="117"/>
      <c r="GB175" s="117"/>
      <c r="GC175" s="117"/>
      <c r="GD175" s="117"/>
      <c r="GE175" s="117"/>
      <c r="GF175" s="117"/>
      <c r="GG175" s="117"/>
      <c r="GH175" s="117"/>
      <c r="GI175" s="117"/>
      <c r="GJ175" s="117"/>
      <c r="GK175" s="117"/>
      <c r="GL175" s="117"/>
      <c r="GM175" s="117"/>
      <c r="GN175" s="117"/>
      <c r="GO175" s="117"/>
      <c r="GP175" s="117"/>
      <c r="GQ175" s="117"/>
      <c r="GR175" s="117"/>
      <c r="GS175" s="117"/>
      <c r="GT175" s="117"/>
      <c r="GU175" s="117"/>
      <c r="GV175" s="117"/>
      <c r="GW175" s="117"/>
      <c r="GX175" s="117"/>
      <c r="GY175" s="117"/>
      <c r="GZ175" s="117"/>
      <c r="HA175" s="117"/>
      <c r="HB175" s="117"/>
      <c r="HC175" s="117"/>
      <c r="HD175" s="117"/>
      <c r="HE175" s="117"/>
      <c r="HF175" s="117"/>
      <c r="HG175" s="117"/>
      <c r="HH175" s="117"/>
      <c r="HI175" s="117"/>
      <c r="HJ175" s="117"/>
      <c r="HK175" s="117"/>
      <c r="HL175" s="117"/>
      <c r="HM175" s="117"/>
      <c r="HN175" s="117"/>
      <c r="HO175" s="117"/>
      <c r="HP175" s="117"/>
      <c r="HQ175" s="117"/>
      <c r="HR175" s="117"/>
      <c r="HS175" s="117"/>
      <c r="HT175" s="117"/>
      <c r="HU175" s="117"/>
      <c r="HV175" s="117"/>
      <c r="HW175" s="117"/>
      <c r="HX175" s="117"/>
      <c r="HY175" s="117"/>
      <c r="HZ175" s="117"/>
      <c r="IA175" s="117"/>
      <c r="IB175" s="117"/>
    </row>
    <row r="176" spans="1:236">
      <c r="A176" s="117"/>
      <c r="B176" s="117"/>
      <c r="C176" s="117"/>
      <c r="D176" s="117"/>
      <c r="E176" s="117"/>
      <c r="F176" s="117"/>
      <c r="G176" s="117"/>
      <c r="H176" s="117"/>
      <c r="I176" s="117"/>
      <c r="J176" s="117"/>
      <c r="K176" s="117"/>
      <c r="L176" s="117"/>
      <c r="M176" s="117"/>
      <c r="N176" s="117"/>
      <c r="O176" s="117"/>
      <c r="P176" s="117"/>
      <c r="Q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c r="BB176" s="117"/>
      <c r="BC176" s="117"/>
      <c r="BD176" s="117"/>
      <c r="BE176" s="117"/>
      <c r="BF176" s="117"/>
      <c r="BG176" s="117"/>
      <c r="BH176" s="117"/>
      <c r="BI176" s="117"/>
      <c r="BJ176" s="117"/>
      <c r="BK176" s="117"/>
      <c r="BL176" s="117"/>
      <c r="BM176" s="117"/>
      <c r="BN176" s="117"/>
      <c r="BO176" s="117"/>
      <c r="BP176" s="117"/>
      <c r="BQ176" s="117"/>
      <c r="BR176" s="117"/>
      <c r="BS176" s="117"/>
      <c r="BT176" s="117"/>
      <c r="BU176" s="117"/>
      <c r="BV176" s="117"/>
      <c r="BW176" s="117"/>
      <c r="BX176" s="117"/>
      <c r="BY176" s="117"/>
      <c r="BZ176" s="117"/>
      <c r="CA176" s="117"/>
      <c r="CB176" s="117"/>
      <c r="CC176" s="117"/>
      <c r="CD176" s="117"/>
      <c r="CE176" s="117"/>
      <c r="CF176" s="117"/>
      <c r="CG176" s="117"/>
      <c r="CH176" s="117"/>
      <c r="CI176" s="117"/>
      <c r="CJ176" s="117"/>
      <c r="CK176" s="117"/>
      <c r="CL176" s="117"/>
      <c r="CM176" s="117"/>
      <c r="CN176" s="117"/>
      <c r="CO176" s="117"/>
      <c r="CP176" s="117"/>
      <c r="CQ176" s="117"/>
      <c r="CR176" s="117"/>
      <c r="CS176" s="117"/>
      <c r="CT176" s="117"/>
      <c r="CU176" s="117"/>
      <c r="CV176" s="117"/>
      <c r="CW176" s="117"/>
      <c r="CX176" s="117"/>
      <c r="CY176" s="117"/>
      <c r="CZ176" s="117"/>
      <c r="DA176" s="117"/>
      <c r="DB176" s="117"/>
      <c r="DC176" s="117"/>
      <c r="DD176" s="117"/>
      <c r="DE176" s="117"/>
      <c r="DF176" s="117"/>
      <c r="DG176" s="117"/>
      <c r="DH176" s="117"/>
      <c r="DI176" s="117"/>
      <c r="DJ176" s="117"/>
      <c r="DK176" s="117"/>
      <c r="DL176" s="117"/>
      <c r="DM176" s="117"/>
      <c r="DN176" s="117"/>
      <c r="DO176" s="117"/>
      <c r="DP176" s="117"/>
      <c r="DQ176" s="117"/>
      <c r="DR176" s="117"/>
      <c r="DS176" s="117"/>
      <c r="DT176" s="117"/>
      <c r="DU176" s="117"/>
      <c r="DV176" s="117"/>
      <c r="DW176" s="117"/>
      <c r="DX176" s="117"/>
      <c r="DY176" s="117"/>
      <c r="DZ176" s="117"/>
      <c r="EA176" s="117"/>
      <c r="EB176" s="117"/>
      <c r="EC176" s="117"/>
      <c r="ED176" s="117"/>
      <c r="EE176" s="117"/>
      <c r="EF176" s="117"/>
      <c r="EG176" s="117"/>
      <c r="EH176" s="117"/>
      <c r="EI176" s="117"/>
      <c r="EJ176" s="117"/>
      <c r="EK176" s="117"/>
      <c r="EL176" s="117"/>
      <c r="EM176" s="117"/>
      <c r="EN176" s="117"/>
      <c r="EO176" s="117"/>
      <c r="EP176" s="117"/>
      <c r="EQ176" s="117"/>
      <c r="ER176" s="117"/>
      <c r="ES176" s="117"/>
      <c r="ET176" s="117"/>
      <c r="EU176" s="117"/>
      <c r="EV176" s="117"/>
      <c r="EW176" s="117"/>
      <c r="EX176" s="117"/>
      <c r="EY176" s="117"/>
      <c r="EZ176" s="117"/>
      <c r="FA176" s="117"/>
      <c r="FB176" s="117"/>
      <c r="FC176" s="117"/>
      <c r="FD176" s="117"/>
      <c r="FE176" s="117"/>
      <c r="FF176" s="117"/>
      <c r="FG176" s="117"/>
      <c r="FH176" s="117"/>
      <c r="FI176" s="117"/>
      <c r="FJ176" s="117"/>
      <c r="FK176" s="117"/>
      <c r="FL176" s="117"/>
      <c r="FM176" s="117"/>
      <c r="FN176" s="117"/>
      <c r="FO176" s="117"/>
      <c r="FP176" s="117"/>
      <c r="FQ176" s="117"/>
      <c r="FR176" s="117"/>
      <c r="FS176" s="117"/>
      <c r="FT176" s="117"/>
      <c r="FU176" s="117"/>
      <c r="FV176" s="117"/>
      <c r="FW176" s="117"/>
      <c r="FX176" s="117"/>
      <c r="FY176" s="117"/>
      <c r="FZ176" s="117"/>
      <c r="GA176" s="117"/>
      <c r="GB176" s="117"/>
      <c r="GC176" s="117"/>
      <c r="GD176" s="117"/>
      <c r="GE176" s="117"/>
      <c r="GF176" s="117"/>
      <c r="GG176" s="117"/>
      <c r="GH176" s="117"/>
      <c r="GI176" s="117"/>
      <c r="GJ176" s="117"/>
      <c r="GK176" s="117"/>
      <c r="GL176" s="117"/>
      <c r="GM176" s="117"/>
      <c r="GN176" s="117"/>
      <c r="GO176" s="117"/>
      <c r="GP176" s="117"/>
      <c r="GQ176" s="117"/>
      <c r="GR176" s="117"/>
      <c r="GS176" s="117"/>
      <c r="GT176" s="117"/>
      <c r="GU176" s="117"/>
      <c r="GV176" s="117"/>
      <c r="GW176" s="117"/>
      <c r="GX176" s="117"/>
      <c r="GY176" s="117"/>
      <c r="GZ176" s="117"/>
      <c r="HA176" s="117"/>
      <c r="HB176" s="117"/>
      <c r="HC176" s="117"/>
      <c r="HD176" s="117"/>
      <c r="HE176" s="117"/>
      <c r="HF176" s="117"/>
      <c r="HG176" s="117"/>
      <c r="HH176" s="117"/>
      <c r="HI176" s="117"/>
      <c r="HJ176" s="117"/>
      <c r="HK176" s="117"/>
      <c r="HL176" s="117"/>
      <c r="HM176" s="117"/>
      <c r="HN176" s="117"/>
      <c r="HO176" s="117"/>
      <c r="HP176" s="117"/>
      <c r="HQ176" s="117"/>
      <c r="HR176" s="117"/>
      <c r="HS176" s="117"/>
      <c r="HT176" s="117"/>
      <c r="HU176" s="117"/>
      <c r="HV176" s="117"/>
      <c r="HW176" s="117"/>
      <c r="HX176" s="117"/>
      <c r="HY176" s="117"/>
      <c r="HZ176" s="117"/>
      <c r="IA176" s="117"/>
      <c r="IB176" s="117"/>
    </row>
    <row r="177" spans="1:236">
      <c r="A177" s="117"/>
      <c r="B177" s="117"/>
      <c r="C177" s="117"/>
      <c r="D177" s="117"/>
      <c r="E177" s="117"/>
      <c r="F177" s="117"/>
      <c r="G177" s="117"/>
      <c r="H177" s="117"/>
      <c r="I177" s="117"/>
      <c r="J177" s="117"/>
      <c r="K177" s="117"/>
      <c r="L177" s="117"/>
      <c r="M177" s="117"/>
      <c r="N177" s="117"/>
      <c r="O177" s="117"/>
      <c r="P177" s="117"/>
      <c r="Q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7"/>
      <c r="BH177" s="117"/>
      <c r="BI177" s="117"/>
      <c r="BJ177" s="117"/>
      <c r="BK177" s="117"/>
      <c r="BL177" s="117"/>
      <c r="BM177" s="117"/>
      <c r="BN177" s="117"/>
      <c r="BO177" s="117"/>
      <c r="BP177" s="117"/>
      <c r="BQ177" s="117"/>
      <c r="BR177" s="117"/>
      <c r="BS177" s="117"/>
      <c r="BT177" s="117"/>
      <c r="BU177" s="117"/>
      <c r="BV177" s="117"/>
      <c r="BW177" s="117"/>
      <c r="BX177" s="117"/>
      <c r="BY177" s="117"/>
      <c r="BZ177" s="117"/>
      <c r="CA177" s="117"/>
      <c r="CB177" s="117"/>
      <c r="CC177" s="117"/>
      <c r="CD177" s="117"/>
      <c r="CE177" s="117"/>
      <c r="CF177" s="117"/>
      <c r="CG177" s="117"/>
      <c r="CH177" s="117"/>
      <c r="CI177" s="117"/>
      <c r="CJ177" s="117"/>
      <c r="CK177" s="117"/>
      <c r="CL177" s="117"/>
      <c r="CM177" s="117"/>
      <c r="CN177" s="117"/>
      <c r="CO177" s="117"/>
      <c r="CP177" s="117"/>
      <c r="CQ177" s="117"/>
      <c r="CR177" s="117"/>
      <c r="CS177" s="117"/>
      <c r="CT177" s="117"/>
      <c r="CU177" s="117"/>
      <c r="CV177" s="117"/>
      <c r="CW177" s="117"/>
      <c r="CX177" s="117"/>
      <c r="CY177" s="117"/>
      <c r="CZ177" s="117"/>
      <c r="DA177" s="117"/>
      <c r="DB177" s="117"/>
      <c r="DC177" s="117"/>
      <c r="DD177" s="117"/>
      <c r="DE177" s="117"/>
      <c r="DF177" s="117"/>
      <c r="DG177" s="117"/>
      <c r="DH177" s="117"/>
      <c r="DI177" s="117"/>
      <c r="DJ177" s="117"/>
      <c r="DK177" s="117"/>
      <c r="DL177" s="117"/>
      <c r="DM177" s="117"/>
      <c r="DN177" s="117"/>
      <c r="DO177" s="117"/>
      <c r="DP177" s="117"/>
      <c r="DQ177" s="117"/>
      <c r="DR177" s="117"/>
      <c r="DS177" s="117"/>
      <c r="DT177" s="117"/>
      <c r="DU177" s="117"/>
      <c r="DV177" s="117"/>
      <c r="DW177" s="117"/>
      <c r="DX177" s="117"/>
      <c r="DY177" s="117"/>
      <c r="DZ177" s="117"/>
      <c r="EA177" s="117"/>
      <c r="EB177" s="117"/>
      <c r="EC177" s="117"/>
      <c r="ED177" s="117"/>
      <c r="EE177" s="117"/>
      <c r="EF177" s="117"/>
      <c r="EG177" s="117"/>
      <c r="EH177" s="117"/>
      <c r="EI177" s="117"/>
      <c r="EJ177" s="117"/>
      <c r="EK177" s="117"/>
      <c r="EL177" s="117"/>
      <c r="EM177" s="117"/>
      <c r="EN177" s="117"/>
      <c r="EO177" s="117"/>
      <c r="EP177" s="117"/>
      <c r="EQ177" s="117"/>
      <c r="ER177" s="117"/>
      <c r="ES177" s="117"/>
      <c r="ET177" s="117"/>
      <c r="EU177" s="117"/>
      <c r="EV177" s="117"/>
      <c r="EW177" s="117"/>
      <c r="EX177" s="117"/>
      <c r="EY177" s="117"/>
      <c r="EZ177" s="117"/>
      <c r="FA177" s="117"/>
      <c r="FB177" s="117"/>
      <c r="FC177" s="117"/>
      <c r="FD177" s="117"/>
      <c r="FE177" s="117"/>
      <c r="FF177" s="117"/>
      <c r="FG177" s="117"/>
      <c r="FH177" s="117"/>
      <c r="FI177" s="117"/>
      <c r="FJ177" s="117"/>
      <c r="FK177" s="117"/>
      <c r="FL177" s="117"/>
      <c r="FM177" s="117"/>
      <c r="FN177" s="117"/>
      <c r="FO177" s="117"/>
      <c r="FP177" s="117"/>
      <c r="FQ177" s="117"/>
      <c r="FR177" s="117"/>
      <c r="FS177" s="117"/>
      <c r="FT177" s="117"/>
      <c r="FU177" s="117"/>
      <c r="FV177" s="117"/>
      <c r="FW177" s="117"/>
      <c r="FX177" s="117"/>
      <c r="FY177" s="117"/>
      <c r="FZ177" s="117"/>
      <c r="GA177" s="117"/>
      <c r="GB177" s="117"/>
      <c r="GC177" s="117"/>
      <c r="GD177" s="117"/>
      <c r="GE177" s="117"/>
      <c r="GF177" s="117"/>
      <c r="GG177" s="117"/>
      <c r="GH177" s="117"/>
      <c r="GI177" s="117"/>
      <c r="GJ177" s="117"/>
      <c r="GK177" s="117"/>
      <c r="GL177" s="117"/>
      <c r="GM177" s="117"/>
      <c r="GN177" s="117"/>
      <c r="GO177" s="117"/>
      <c r="GP177" s="117"/>
      <c r="GQ177" s="117"/>
      <c r="GR177" s="117"/>
      <c r="GS177" s="117"/>
      <c r="GT177" s="117"/>
      <c r="GU177" s="117"/>
      <c r="GV177" s="117"/>
      <c r="GW177" s="117"/>
      <c r="GX177" s="117"/>
      <c r="GY177" s="117"/>
      <c r="GZ177" s="117"/>
      <c r="HA177" s="117"/>
      <c r="HB177" s="117"/>
      <c r="HC177" s="117"/>
      <c r="HD177" s="117"/>
      <c r="HE177" s="117"/>
      <c r="HF177" s="117"/>
      <c r="HG177" s="117"/>
      <c r="HH177" s="117"/>
      <c r="HI177" s="117"/>
      <c r="HJ177" s="117"/>
      <c r="HK177" s="117"/>
      <c r="HL177" s="117"/>
      <c r="HM177" s="117"/>
      <c r="HN177" s="117"/>
      <c r="HO177" s="117"/>
      <c r="HP177" s="117"/>
      <c r="HQ177" s="117"/>
      <c r="HR177" s="117"/>
      <c r="HS177" s="117"/>
      <c r="HT177" s="117"/>
      <c r="HU177" s="117"/>
      <c r="HV177" s="117"/>
      <c r="HW177" s="117"/>
      <c r="HX177" s="117"/>
      <c r="HY177" s="117"/>
      <c r="HZ177" s="117"/>
      <c r="IA177" s="117"/>
      <c r="IB177" s="117"/>
    </row>
    <row r="178" spans="1:236">
      <c r="A178" s="117"/>
      <c r="B178" s="117"/>
      <c r="C178" s="117"/>
      <c r="D178" s="117"/>
      <c r="E178" s="117"/>
      <c r="F178" s="117"/>
      <c r="G178" s="117"/>
      <c r="H178" s="117"/>
      <c r="I178" s="117"/>
      <c r="J178" s="117"/>
      <c r="K178" s="117"/>
      <c r="L178" s="117"/>
      <c r="M178" s="117"/>
      <c r="N178" s="117"/>
      <c r="O178" s="117"/>
      <c r="P178" s="117"/>
      <c r="Q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c r="BB178" s="117"/>
      <c r="BC178" s="117"/>
      <c r="BD178" s="117"/>
      <c r="BE178" s="117"/>
      <c r="BF178" s="117"/>
      <c r="BG178" s="117"/>
      <c r="BH178" s="117"/>
      <c r="BI178" s="117"/>
      <c r="BJ178" s="117"/>
      <c r="BK178" s="117"/>
      <c r="BL178" s="117"/>
      <c r="BM178" s="117"/>
      <c r="BN178" s="117"/>
      <c r="BO178" s="117"/>
      <c r="BP178" s="117"/>
      <c r="BQ178" s="117"/>
      <c r="BR178" s="117"/>
      <c r="BS178" s="117"/>
      <c r="BT178" s="117"/>
      <c r="BU178" s="117"/>
      <c r="BV178" s="117"/>
      <c r="BW178" s="117"/>
      <c r="BX178" s="117"/>
      <c r="BY178" s="117"/>
      <c r="BZ178" s="117"/>
      <c r="CA178" s="117"/>
      <c r="CB178" s="117"/>
      <c r="CC178" s="117"/>
      <c r="CD178" s="117"/>
      <c r="CE178" s="117"/>
      <c r="CF178" s="117"/>
      <c r="CG178" s="117"/>
      <c r="CH178" s="117"/>
      <c r="CI178" s="117"/>
      <c r="CJ178" s="117"/>
      <c r="CK178" s="117"/>
      <c r="CL178" s="117"/>
      <c r="CM178" s="117"/>
      <c r="CN178" s="117"/>
      <c r="CO178" s="117"/>
      <c r="CP178" s="117"/>
      <c r="CQ178" s="117"/>
      <c r="CR178" s="117"/>
      <c r="CS178" s="117"/>
      <c r="CT178" s="117"/>
      <c r="CU178" s="117"/>
      <c r="CV178" s="117"/>
      <c r="CW178" s="117"/>
      <c r="CX178" s="117"/>
      <c r="CY178" s="117"/>
      <c r="CZ178" s="117"/>
      <c r="DA178" s="117"/>
      <c r="DB178" s="117"/>
      <c r="DC178" s="117"/>
      <c r="DD178" s="117"/>
      <c r="DE178" s="117"/>
      <c r="DF178" s="117"/>
      <c r="DG178" s="117"/>
      <c r="DH178" s="117"/>
      <c r="DI178" s="117"/>
      <c r="DJ178" s="117"/>
      <c r="DK178" s="117"/>
      <c r="DL178" s="117"/>
      <c r="DM178" s="117"/>
      <c r="DN178" s="117"/>
      <c r="DO178" s="117"/>
      <c r="DP178" s="117"/>
      <c r="DQ178" s="117"/>
      <c r="DR178" s="117"/>
      <c r="DS178" s="117"/>
      <c r="DT178" s="117"/>
      <c r="DU178" s="117"/>
      <c r="DV178" s="117"/>
      <c r="DW178" s="117"/>
      <c r="DX178" s="117"/>
      <c r="DY178" s="117"/>
      <c r="DZ178" s="117"/>
      <c r="EA178" s="117"/>
      <c r="EB178" s="117"/>
      <c r="EC178" s="117"/>
      <c r="ED178" s="117"/>
      <c r="EE178" s="117"/>
      <c r="EF178" s="117"/>
      <c r="EG178" s="117"/>
      <c r="EH178" s="117"/>
      <c r="EI178" s="117"/>
      <c r="EJ178" s="117"/>
      <c r="EK178" s="117"/>
      <c r="EL178" s="117"/>
      <c r="EM178" s="117"/>
      <c r="EN178" s="117"/>
      <c r="EO178" s="117"/>
      <c r="EP178" s="117"/>
      <c r="EQ178" s="117"/>
      <c r="ER178" s="117"/>
      <c r="ES178" s="117"/>
      <c r="ET178" s="117"/>
      <c r="EU178" s="117"/>
      <c r="EV178" s="117"/>
      <c r="EW178" s="117"/>
      <c r="EX178" s="117"/>
      <c r="EY178" s="117"/>
      <c r="EZ178" s="117"/>
      <c r="FA178" s="117"/>
      <c r="FB178" s="117"/>
      <c r="FC178" s="117"/>
      <c r="FD178" s="117"/>
      <c r="FE178" s="117"/>
      <c r="FF178" s="117"/>
      <c r="FG178" s="117"/>
      <c r="FH178" s="117"/>
      <c r="FI178" s="117"/>
      <c r="FJ178" s="117"/>
      <c r="FK178" s="117"/>
      <c r="FL178" s="117"/>
      <c r="FM178" s="117"/>
      <c r="FN178" s="117"/>
      <c r="FO178" s="117"/>
      <c r="FP178" s="117"/>
      <c r="FQ178" s="117"/>
      <c r="FR178" s="117"/>
      <c r="FS178" s="117"/>
      <c r="FT178" s="117"/>
      <c r="FU178" s="117"/>
      <c r="FV178" s="117"/>
      <c r="FW178" s="117"/>
      <c r="FX178" s="117"/>
      <c r="FY178" s="117"/>
      <c r="FZ178" s="117"/>
      <c r="GA178" s="117"/>
      <c r="GB178" s="117"/>
      <c r="GC178" s="117"/>
      <c r="GD178" s="117"/>
      <c r="GE178" s="117"/>
      <c r="GF178" s="117"/>
      <c r="GG178" s="117"/>
      <c r="GH178" s="117"/>
      <c r="GI178" s="117"/>
      <c r="GJ178" s="117"/>
      <c r="GK178" s="117"/>
      <c r="GL178" s="117"/>
      <c r="GM178" s="117"/>
      <c r="GN178" s="117"/>
      <c r="GO178" s="117"/>
      <c r="GP178" s="117"/>
      <c r="GQ178" s="117"/>
      <c r="GR178" s="117"/>
      <c r="GS178" s="117"/>
      <c r="GT178" s="117"/>
      <c r="GU178" s="117"/>
      <c r="GV178" s="117"/>
      <c r="GW178" s="117"/>
      <c r="GX178" s="117"/>
      <c r="GY178" s="117"/>
      <c r="GZ178" s="117"/>
      <c r="HA178" s="117"/>
      <c r="HB178" s="117"/>
      <c r="HC178" s="117"/>
      <c r="HD178" s="117"/>
      <c r="HE178" s="117"/>
      <c r="HF178" s="117"/>
      <c r="HG178" s="117"/>
      <c r="HH178" s="117"/>
      <c r="HI178" s="117"/>
      <c r="HJ178" s="117"/>
      <c r="HK178" s="117"/>
      <c r="HL178" s="117"/>
      <c r="HM178" s="117"/>
      <c r="HN178" s="117"/>
      <c r="HO178" s="117"/>
      <c r="HP178" s="117"/>
      <c r="HQ178" s="117"/>
      <c r="HR178" s="117"/>
      <c r="HS178" s="117"/>
      <c r="HT178" s="117"/>
      <c r="HU178" s="117"/>
      <c r="HV178" s="117"/>
      <c r="HW178" s="117"/>
      <c r="HX178" s="117"/>
      <c r="HY178" s="117"/>
      <c r="HZ178" s="117"/>
      <c r="IA178" s="117"/>
      <c r="IB178" s="117"/>
    </row>
  </sheetData>
  <sheetProtection password="C752" sheet="1" objects="1" scenarios="1"/>
  <mergeCells count="80">
    <mergeCell ref="BG76:BI78"/>
    <mergeCell ref="BG79:BI79"/>
    <mergeCell ref="BH81:BI81"/>
    <mergeCell ref="BG1:BI1"/>
    <mergeCell ref="BG2:BH3"/>
    <mergeCell ref="BI2:BI3"/>
    <mergeCell ref="BG72:BI72"/>
    <mergeCell ref="BG74:BI74"/>
    <mergeCell ref="BD76:BF78"/>
    <mergeCell ref="BD79:BF79"/>
    <mergeCell ref="BE81:BF81"/>
    <mergeCell ref="BD1:BF1"/>
    <mergeCell ref="BD2:BE3"/>
    <mergeCell ref="BF2:BF3"/>
    <mergeCell ref="BD72:BF72"/>
    <mergeCell ref="BD74:BF74"/>
    <mergeCell ref="AX76:AZ78"/>
    <mergeCell ref="AX79:AZ79"/>
    <mergeCell ref="AY81:AZ81"/>
    <mergeCell ref="AX1:AZ1"/>
    <mergeCell ref="AX2:AY3"/>
    <mergeCell ref="AZ2:AZ3"/>
    <mergeCell ref="AX72:AZ72"/>
    <mergeCell ref="AX74:AZ74"/>
    <mergeCell ref="AR76:AT78"/>
    <mergeCell ref="AR79:AT79"/>
    <mergeCell ref="AS81:AT81"/>
    <mergeCell ref="AR1:AT1"/>
    <mergeCell ref="AR2:AS3"/>
    <mergeCell ref="AT2:AT3"/>
    <mergeCell ref="AR72:AT72"/>
    <mergeCell ref="AR74:AT74"/>
    <mergeCell ref="AN1:AP1"/>
    <mergeCell ref="AN2:AO3"/>
    <mergeCell ref="AP2:AP3"/>
    <mergeCell ref="AN72:AP72"/>
    <mergeCell ref="AN74:AP74"/>
    <mergeCell ref="AN76:AP78"/>
    <mergeCell ref="AN79:AP79"/>
    <mergeCell ref="AO81:AP81"/>
    <mergeCell ref="Z83:AA83"/>
    <mergeCell ref="AD83:AE88"/>
    <mergeCell ref="AD89:AE89"/>
    <mergeCell ref="AJ1:AL1"/>
    <mergeCell ref="AJ3:AL3"/>
    <mergeCell ref="Z81:AA82"/>
    <mergeCell ref="AD81:AE82"/>
    <mergeCell ref="AG81:AH82"/>
    <mergeCell ref="AJ81:AK82"/>
    <mergeCell ref="AA1:AC1"/>
    <mergeCell ref="AG1:AI1"/>
    <mergeCell ref="AG3:AI3"/>
    <mergeCell ref="X3:Z3"/>
    <mergeCell ref="AA3:AC3"/>
    <mergeCell ref="AD3:AF3"/>
    <mergeCell ref="AD1:AF1"/>
    <mergeCell ref="O3:Q3"/>
    <mergeCell ref="R3:T3"/>
    <mergeCell ref="U3:W3"/>
    <mergeCell ref="A2:B3"/>
    <mergeCell ref="C3:E3"/>
    <mergeCell ref="F3:H3"/>
    <mergeCell ref="I3:K3"/>
    <mergeCell ref="L3:N3"/>
    <mergeCell ref="AU76:AW78"/>
    <mergeCell ref="AU79:AW79"/>
    <mergeCell ref="AV81:AW81"/>
    <mergeCell ref="AU1:AW1"/>
    <mergeCell ref="AU2:AV3"/>
    <mergeCell ref="AW2:AW3"/>
    <mergeCell ref="AU72:AW72"/>
    <mergeCell ref="AU74:AW74"/>
    <mergeCell ref="BA76:BC78"/>
    <mergeCell ref="BA79:BC79"/>
    <mergeCell ref="BB81:BC81"/>
    <mergeCell ref="BA1:BC1"/>
    <mergeCell ref="BA2:BB3"/>
    <mergeCell ref="BC2:BC3"/>
    <mergeCell ref="BA72:BC72"/>
    <mergeCell ref="BA74:BC74"/>
  </mergeCells>
  <phoneticPr fontId="14" type="noConversion"/>
  <printOptions horizontalCentered="1" verticalCentered="1"/>
  <pageMargins left="0.74803149606299213" right="0.74803149606299213" top="0.39370078740157483" bottom="0.39370078740157483" header="0.51181102362204722" footer="0.51181102362204722"/>
  <pageSetup scale="60" fitToHeight="3"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A1D8-7C85-4DDD-B996-4407A5D20A55}">
  <dimension ref="A1:AV46"/>
  <sheetViews>
    <sheetView showGridLines="0" zoomScale="85" zoomScaleNormal="85" workbookViewId="0">
      <selection activeCell="D7" sqref="D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9940.7199999999993</v>
      </c>
      <c r="AQ2" s="576" t="s">
        <v>378</v>
      </c>
      <c r="AR2" s="572">
        <v>1</v>
      </c>
      <c r="AS2" s="572" t="s">
        <v>379</v>
      </c>
      <c r="AT2" s="576" t="s">
        <v>400</v>
      </c>
      <c r="AU2" s="574" t="str">
        <f t="shared" ref="AU2:AU11" si="0">+TEXT($B$4,"DD.MM.YYYY")</f>
        <v>29.10.2024</v>
      </c>
      <c r="AV2" s="574" t="str">
        <f t="shared" ref="AV2:AV11" si="1">+TEXT($G$4,"DD.MM.YYYY")</f>
        <v>05.11.2024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10343.81</v>
      </c>
      <c r="AQ3" s="576" t="s">
        <v>378</v>
      </c>
      <c r="AR3" s="572">
        <v>1</v>
      </c>
      <c r="AS3" s="572" t="s">
        <v>379</v>
      </c>
      <c r="AT3" s="576" t="s">
        <v>400</v>
      </c>
      <c r="AU3" s="574" t="str">
        <f t="shared" si="0"/>
        <v>29.10.2024</v>
      </c>
      <c r="AV3" s="574" t="str">
        <f t="shared" si="1"/>
        <v>05.11.2024</v>
      </c>
    </row>
    <row r="4" spans="1:48" ht="18.75">
      <c r="A4" s="600" t="s">
        <v>426</v>
      </c>
      <c r="B4" s="599">
        <v>45594</v>
      </c>
      <c r="C4" s="585"/>
      <c r="D4" s="598"/>
      <c r="F4" s="579" t="s">
        <v>427</v>
      </c>
      <c r="G4" s="599">
        <v>45601</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9856.42</v>
      </c>
      <c r="AQ4" s="576" t="s">
        <v>378</v>
      </c>
      <c r="AR4" s="572">
        <v>1</v>
      </c>
      <c r="AS4" s="572" t="s">
        <v>379</v>
      </c>
      <c r="AT4" s="576" t="s">
        <v>400</v>
      </c>
      <c r="AU4" s="574" t="str">
        <f t="shared" si="0"/>
        <v>29.10.2024</v>
      </c>
      <c r="AV4" s="574" t="str">
        <f t="shared" si="1"/>
        <v>05.11.2024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9940.7199999999993</v>
      </c>
      <c r="AQ5" s="592" t="s">
        <v>378</v>
      </c>
      <c r="AR5" s="594">
        <v>1</v>
      </c>
      <c r="AS5" s="594" t="s">
        <v>379</v>
      </c>
      <c r="AT5" s="592" t="s">
        <v>400</v>
      </c>
      <c r="AU5" s="591" t="str">
        <f t="shared" si="0"/>
        <v>29.10.2024</v>
      </c>
      <c r="AV5" s="591" t="str">
        <f t="shared" si="1"/>
        <v>05.11.2024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10343.81</v>
      </c>
      <c r="AQ6" s="592" t="s">
        <v>378</v>
      </c>
      <c r="AR6" s="594">
        <v>1</v>
      </c>
      <c r="AS6" s="594" t="s">
        <v>379</v>
      </c>
      <c r="AT6" s="592" t="s">
        <v>400</v>
      </c>
      <c r="AU6" s="591" t="str">
        <f t="shared" si="0"/>
        <v>29.10.2024</v>
      </c>
      <c r="AV6" s="591" t="str">
        <f t="shared" si="1"/>
        <v>05.11.2024</v>
      </c>
    </row>
    <row r="7" spans="1:48" ht="27.6" customHeight="1">
      <c r="A7" s="70" t="s">
        <v>200</v>
      </c>
      <c r="B7" s="562">
        <v>10057.57</v>
      </c>
      <c r="C7" s="565">
        <f>+B7</f>
        <v>10057.57</v>
      </c>
      <c r="D7" s="562">
        <v>10057.57</v>
      </c>
      <c r="E7" s="565">
        <f>+D7</f>
        <v>10057.57</v>
      </c>
      <c r="F7" s="562">
        <v>10143.59</v>
      </c>
      <c r="G7" s="565">
        <f>+F7</f>
        <v>10143.59</v>
      </c>
      <c r="H7" s="562">
        <v>10554.91</v>
      </c>
      <c r="I7" s="565">
        <f>+H7</f>
        <v>10554.91</v>
      </c>
      <c r="J7" s="565">
        <f>+B7</f>
        <v>10057.57</v>
      </c>
      <c r="K7" s="564">
        <f>+J7</f>
        <v>10057.57</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9856.42</v>
      </c>
      <c r="AQ7" s="592" t="s">
        <v>378</v>
      </c>
      <c r="AR7" s="594">
        <v>1</v>
      </c>
      <c r="AS7" s="594" t="s">
        <v>379</v>
      </c>
      <c r="AT7" s="592" t="s">
        <v>400</v>
      </c>
      <c r="AU7" s="591" t="str">
        <f t="shared" si="0"/>
        <v>29.10.2024</v>
      </c>
      <c r="AV7" s="591" t="str">
        <f t="shared" si="1"/>
        <v>05.11.2024</v>
      </c>
    </row>
    <row r="8" spans="1:48" ht="27.6" customHeight="1">
      <c r="A8" s="232" t="s">
        <v>412</v>
      </c>
      <c r="B8" s="349">
        <v>0</v>
      </c>
      <c r="C8" s="224">
        <v>18338.36</v>
      </c>
      <c r="D8" s="246">
        <v>0</v>
      </c>
      <c r="E8" s="224">
        <v>18338.36</v>
      </c>
      <c r="F8" s="349">
        <v>0</v>
      </c>
      <c r="G8" s="224">
        <v>18338.36</v>
      </c>
      <c r="H8" s="349">
        <v>0</v>
      </c>
      <c r="I8" s="224">
        <v>18498.645714285714</v>
      </c>
      <c r="J8" s="349">
        <v>0</v>
      </c>
      <c r="K8" s="463">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366.77</v>
      </c>
      <c r="AQ8" s="576" t="s">
        <v>378</v>
      </c>
      <c r="AR8" s="572">
        <v>1</v>
      </c>
      <c r="AS8" s="572" t="s">
        <v>379</v>
      </c>
      <c r="AT8" s="576" t="s">
        <v>400</v>
      </c>
      <c r="AU8" s="574" t="str">
        <f t="shared" si="0"/>
        <v>29.10.2024</v>
      </c>
      <c r="AV8" s="574" t="str">
        <f t="shared" si="1"/>
        <v>05.11.2024</v>
      </c>
    </row>
    <row r="9" spans="1:48" ht="35.450000000000003" customHeight="1">
      <c r="A9" s="248" t="s">
        <v>139</v>
      </c>
      <c r="B9" s="224">
        <f>+ROUND(B8*B5,2)+B7*(1-B5)</f>
        <v>10057.57</v>
      </c>
      <c r="C9" s="224">
        <f>+ROUND(C8*C5,2)+C7*(1-C5)</f>
        <v>10223.188599999999</v>
      </c>
      <c r="D9" s="247">
        <f>+D8*D5+D7*(1-D5)</f>
        <v>10057.57</v>
      </c>
      <c r="E9" s="224">
        <f>+ROUND(E8*E5,2)+E7*(1-E5)</f>
        <v>10223.188599999999</v>
      </c>
      <c r="F9" s="224">
        <f>+ROUND(F8*F5,2)+F7*(1-F5)</f>
        <v>10143.59</v>
      </c>
      <c r="G9" s="224">
        <f>ROUND((G8*G5),2)+ROUND(G7*(1-G5),2)</f>
        <v>10307.49</v>
      </c>
      <c r="H9" s="224">
        <f>+ROUND(H8*H5,2)+H7*(1-H5)</f>
        <v>10554.91</v>
      </c>
      <c r="I9" s="224">
        <f>+ROUND(I8*I5,2)+I7*(1-I5)</f>
        <v>10713.781799999999</v>
      </c>
      <c r="J9" s="318">
        <f>+J7</f>
        <v>10057.57</v>
      </c>
      <c r="K9" s="291">
        <f>+K7</f>
        <v>10057.57</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369.97</v>
      </c>
      <c r="AQ9" s="576" t="s">
        <v>378</v>
      </c>
      <c r="AR9" s="572">
        <v>1</v>
      </c>
      <c r="AS9" s="572" t="s">
        <v>379</v>
      </c>
      <c r="AT9" s="576" t="s">
        <v>400</v>
      </c>
      <c r="AU9" s="574" t="str">
        <f t="shared" si="0"/>
        <v>29.10.2024</v>
      </c>
      <c r="AV9" s="574" t="str">
        <f t="shared" si="1"/>
        <v>05.11.2024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366.77</v>
      </c>
      <c r="AQ10" s="576" t="s">
        <v>378</v>
      </c>
      <c r="AR10" s="572">
        <v>1</v>
      </c>
      <c r="AS10" s="572" t="s">
        <v>379</v>
      </c>
      <c r="AT10" s="576" t="s">
        <v>400</v>
      </c>
      <c r="AU10" s="574" t="str">
        <f t="shared" si="0"/>
        <v>29.10.2024</v>
      </c>
      <c r="AV10" s="574" t="str">
        <f t="shared" si="1"/>
        <v>05.11.2024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366.77</v>
      </c>
      <c r="AQ11" s="592" t="s">
        <v>378</v>
      </c>
      <c r="AR11" s="594">
        <v>1</v>
      </c>
      <c r="AS11" s="594" t="s">
        <v>379</v>
      </c>
      <c r="AT11" s="592" t="s">
        <v>400</v>
      </c>
      <c r="AU11" s="591" t="str">
        <f t="shared" si="0"/>
        <v>29.10.2024</v>
      </c>
      <c r="AV11" s="591" t="str">
        <f t="shared" si="1"/>
        <v>05.11.2024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9856.42</v>
      </c>
      <c r="AQ15" s="576" t="s">
        <v>378</v>
      </c>
      <c r="AR15" s="572">
        <v>1</v>
      </c>
      <c r="AS15" s="572" t="s">
        <v>379</v>
      </c>
      <c r="AT15" s="576" t="s">
        <v>400</v>
      </c>
      <c r="AU15" s="574" t="str">
        <f t="shared" ref="AU15:AU17" si="3">+TEXT($B$4,"DD.MM.YYYY")</f>
        <v>29.10.2024</v>
      </c>
      <c r="AV15" s="574" t="str">
        <f t="shared" ref="AV15:AV17" si="4">+TEXT($G$4,"DD.MM.YYYY")</f>
        <v>05.11.2024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10057.57</v>
      </c>
      <c r="AQ16" s="576" t="s">
        <v>378</v>
      </c>
      <c r="AR16" s="572">
        <v>1</v>
      </c>
      <c r="AS16" s="572" t="s">
        <v>379</v>
      </c>
      <c r="AT16" s="576" t="s">
        <v>400</v>
      </c>
      <c r="AU16" s="574" t="str">
        <f t="shared" si="3"/>
        <v>29.10.2024</v>
      </c>
      <c r="AV16" s="574" t="str">
        <f t="shared" si="4"/>
        <v>05.11.2024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366.77</v>
      </c>
      <c r="AQ17" s="576" t="s">
        <v>378</v>
      </c>
      <c r="AR17" s="572">
        <v>1</v>
      </c>
      <c r="AS17" s="572" t="s">
        <v>379</v>
      </c>
      <c r="AT17" s="576" t="s">
        <v>400</v>
      </c>
      <c r="AU17" s="574" t="str">
        <f t="shared" si="3"/>
        <v>29.10.2024</v>
      </c>
      <c r="AV17" s="574" t="str">
        <f t="shared" si="4"/>
        <v>05.11.2024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jE5BnGA+Yn7sMWIaX1/V6zrVdOFdLy4Wdh1Ltg7HoawsphDRvhjScR8lfbS6cGEYHYBqiZqeNDZ9ts2sfFoMWQ==" saltValue="3H4I6T1rIQ+nk+SbkMxfAw=="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63" priority="2" operator="containsText" text="Seleccione...">
      <formula>NOT(ISERROR(SEARCH("Seleccione...",AA2)))</formula>
    </cfRule>
  </conditionalFormatting>
  <conditionalFormatting sqref="AA15:AV17">
    <cfRule type="containsText" dxfId="62"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BBD2447-5CC9-4B82-ADDC-02FEE6376D90}">
          <x14:formula1>
            <xm:f>Fechas!$A$2:$A$831</xm:f>
          </x14:formula1>
          <xm:sqref>B4 G4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F418-E01D-4D94-92AF-E1EF15A920AB}">
  <dimension ref="A1:AV46"/>
  <sheetViews>
    <sheetView showGridLines="0" zoomScale="85" zoomScaleNormal="85" workbookViewId="0">
      <selection activeCell="D7" sqref="D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9681.18</v>
      </c>
      <c r="AQ2" s="576" t="s">
        <v>378</v>
      </c>
      <c r="AR2" s="572">
        <v>1</v>
      </c>
      <c r="AS2" s="572" t="s">
        <v>379</v>
      </c>
      <c r="AT2" s="576" t="s">
        <v>400</v>
      </c>
      <c r="AU2" s="574" t="str">
        <f t="shared" ref="AU2:AU11" si="0">+TEXT($B$4,"DD.MM.YYYY")</f>
        <v>06.11.2024</v>
      </c>
      <c r="AV2" s="574" t="str">
        <f t="shared" ref="AV2:AV11" si="1">+TEXT($G$4,"DD.MM.YYYY")</f>
        <v>06.11.2024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10091.219999999999</v>
      </c>
      <c r="AQ3" s="576" t="s">
        <v>378</v>
      </c>
      <c r="AR3" s="572">
        <v>1</v>
      </c>
      <c r="AS3" s="572" t="s">
        <v>379</v>
      </c>
      <c r="AT3" s="576" t="s">
        <v>400</v>
      </c>
      <c r="AU3" s="574" t="str">
        <f t="shared" si="0"/>
        <v>06.11.2024</v>
      </c>
      <c r="AV3" s="574" t="str">
        <f t="shared" si="1"/>
        <v>06.11.2024</v>
      </c>
    </row>
    <row r="4" spans="1:48" ht="18.75">
      <c r="A4" s="600" t="s">
        <v>426</v>
      </c>
      <c r="B4" s="599">
        <v>45602</v>
      </c>
      <c r="C4" s="585"/>
      <c r="D4" s="598"/>
      <c r="F4" s="579" t="s">
        <v>427</v>
      </c>
      <c r="G4" s="599">
        <v>45602</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9596.8799999999992</v>
      </c>
      <c r="AQ4" s="576" t="s">
        <v>378</v>
      </c>
      <c r="AR4" s="572">
        <v>1</v>
      </c>
      <c r="AS4" s="572" t="s">
        <v>379</v>
      </c>
      <c r="AT4" s="576" t="s">
        <v>400</v>
      </c>
      <c r="AU4" s="574" t="str">
        <f t="shared" si="0"/>
        <v>06.11.2024</v>
      </c>
      <c r="AV4" s="574" t="str">
        <f t="shared" si="1"/>
        <v>06.11.2024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9681.18</v>
      </c>
      <c r="AQ5" s="592" t="s">
        <v>378</v>
      </c>
      <c r="AR5" s="594">
        <v>1</v>
      </c>
      <c r="AS5" s="594" t="s">
        <v>379</v>
      </c>
      <c r="AT5" s="592" t="s">
        <v>400</v>
      </c>
      <c r="AU5" s="591" t="str">
        <f t="shared" si="0"/>
        <v>06.11.2024</v>
      </c>
      <c r="AV5" s="591" t="str">
        <f t="shared" si="1"/>
        <v>06.11.2024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10091.219999999999</v>
      </c>
      <c r="AQ6" s="592" t="s">
        <v>378</v>
      </c>
      <c r="AR6" s="594">
        <v>1</v>
      </c>
      <c r="AS6" s="594" t="s">
        <v>379</v>
      </c>
      <c r="AT6" s="592" t="s">
        <v>400</v>
      </c>
      <c r="AU6" s="591" t="str">
        <f t="shared" si="0"/>
        <v>06.11.2024</v>
      </c>
      <c r="AV6" s="591" t="str">
        <f t="shared" si="1"/>
        <v>06.11.2024</v>
      </c>
    </row>
    <row r="7" spans="1:48" ht="27.6" customHeight="1">
      <c r="A7" s="70" t="s">
        <v>200</v>
      </c>
      <c r="B7" s="562">
        <v>9792.73</v>
      </c>
      <c r="C7" s="565">
        <f>+B7</f>
        <v>9792.73</v>
      </c>
      <c r="D7" s="562">
        <v>9792.73</v>
      </c>
      <c r="E7" s="565">
        <f>+D7</f>
        <v>9792.73</v>
      </c>
      <c r="F7" s="562">
        <v>9878.75</v>
      </c>
      <c r="G7" s="565">
        <f>+F7</f>
        <v>9878.75</v>
      </c>
      <c r="H7" s="562">
        <v>10297.16</v>
      </c>
      <c r="I7" s="565">
        <f>+H7</f>
        <v>10297.16</v>
      </c>
      <c r="J7" s="565">
        <f>+B7</f>
        <v>9792.73</v>
      </c>
      <c r="K7" s="564">
        <f>+J7</f>
        <v>9792.73</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9596.8799999999992</v>
      </c>
      <c r="AQ7" s="592" t="s">
        <v>378</v>
      </c>
      <c r="AR7" s="594">
        <v>1</v>
      </c>
      <c r="AS7" s="594" t="s">
        <v>379</v>
      </c>
      <c r="AT7" s="592" t="s">
        <v>400</v>
      </c>
      <c r="AU7" s="591" t="str">
        <f t="shared" si="0"/>
        <v>06.11.2024</v>
      </c>
      <c r="AV7" s="591" t="str">
        <f t="shared" si="1"/>
        <v>06.11.2024</v>
      </c>
    </row>
    <row r="8" spans="1:48" ht="27.6" customHeight="1">
      <c r="A8" s="232" t="s">
        <v>412</v>
      </c>
      <c r="B8" s="349">
        <v>0</v>
      </c>
      <c r="C8" s="224">
        <v>18338.36</v>
      </c>
      <c r="D8" s="246">
        <v>0</v>
      </c>
      <c r="E8" s="224">
        <v>18338.36</v>
      </c>
      <c r="F8" s="349">
        <v>0</v>
      </c>
      <c r="G8" s="224">
        <v>18338.36</v>
      </c>
      <c r="H8" s="349">
        <v>0</v>
      </c>
      <c r="I8" s="224">
        <v>18498.645714285714</v>
      </c>
      <c r="J8" s="349">
        <v>0</v>
      </c>
      <c r="K8" s="463">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366.77</v>
      </c>
      <c r="AQ8" s="576" t="s">
        <v>378</v>
      </c>
      <c r="AR8" s="572">
        <v>1</v>
      </c>
      <c r="AS8" s="572" t="s">
        <v>379</v>
      </c>
      <c r="AT8" s="576" t="s">
        <v>400</v>
      </c>
      <c r="AU8" s="574" t="str">
        <f t="shared" si="0"/>
        <v>06.11.2024</v>
      </c>
      <c r="AV8" s="574" t="str">
        <f t="shared" si="1"/>
        <v>06.11.2024</v>
      </c>
    </row>
    <row r="9" spans="1:48" ht="35.450000000000003" customHeight="1">
      <c r="A9" s="248" t="s">
        <v>139</v>
      </c>
      <c r="B9" s="224">
        <f>+ROUND(B8*B5,2)+B7*(1-B5)</f>
        <v>9792.73</v>
      </c>
      <c r="C9" s="224">
        <f>+ROUND(C8*C5,2)+C7*(1-C5)</f>
        <v>9963.6453999999994</v>
      </c>
      <c r="D9" s="247">
        <f>+D8*D5+D7*(1-D5)</f>
        <v>9792.73</v>
      </c>
      <c r="E9" s="224">
        <f>+ROUND(E8*E5,2)+E7*(1-E5)</f>
        <v>9963.6453999999994</v>
      </c>
      <c r="F9" s="224">
        <f>+ROUND(F8*F5,2)+F7*(1-F5)</f>
        <v>9878.75</v>
      </c>
      <c r="G9" s="224">
        <f>ROUND((G8*G5),2)+ROUND(G7*(1-G5),2)</f>
        <v>10047.950000000001</v>
      </c>
      <c r="H9" s="224">
        <f>+ROUND(H8*H5,2)+H7*(1-H5)</f>
        <v>10297.16</v>
      </c>
      <c r="I9" s="224">
        <f>+ROUND(I8*I5,2)+I7*(1-I5)</f>
        <v>10461.186799999999</v>
      </c>
      <c r="J9" s="318">
        <f>+J7</f>
        <v>9792.73</v>
      </c>
      <c r="K9" s="291">
        <f>+K7</f>
        <v>9792.73</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369.97</v>
      </c>
      <c r="AQ9" s="576" t="s">
        <v>378</v>
      </c>
      <c r="AR9" s="572">
        <v>1</v>
      </c>
      <c r="AS9" s="572" t="s">
        <v>379</v>
      </c>
      <c r="AT9" s="576" t="s">
        <v>400</v>
      </c>
      <c r="AU9" s="574" t="str">
        <f t="shared" si="0"/>
        <v>06.11.2024</v>
      </c>
      <c r="AV9" s="574" t="str">
        <f t="shared" si="1"/>
        <v>06.11.2024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366.77</v>
      </c>
      <c r="AQ10" s="576" t="s">
        <v>378</v>
      </c>
      <c r="AR10" s="572">
        <v>1</v>
      </c>
      <c r="AS10" s="572" t="s">
        <v>379</v>
      </c>
      <c r="AT10" s="576" t="s">
        <v>400</v>
      </c>
      <c r="AU10" s="574" t="str">
        <f t="shared" si="0"/>
        <v>06.11.2024</v>
      </c>
      <c r="AV10" s="574" t="str">
        <f t="shared" si="1"/>
        <v>06.11.2024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366.77</v>
      </c>
      <c r="AQ11" s="592" t="s">
        <v>378</v>
      </c>
      <c r="AR11" s="594">
        <v>1</v>
      </c>
      <c r="AS11" s="594" t="s">
        <v>379</v>
      </c>
      <c r="AT11" s="592" t="s">
        <v>400</v>
      </c>
      <c r="AU11" s="591" t="str">
        <f t="shared" si="0"/>
        <v>06.11.2024</v>
      </c>
      <c r="AV11" s="591" t="str">
        <f t="shared" si="1"/>
        <v>06.11.2024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9596.8799999999992</v>
      </c>
      <c r="AQ15" s="576" t="s">
        <v>378</v>
      </c>
      <c r="AR15" s="572">
        <v>1</v>
      </c>
      <c r="AS15" s="572" t="s">
        <v>379</v>
      </c>
      <c r="AT15" s="576" t="s">
        <v>400</v>
      </c>
      <c r="AU15" s="574" t="str">
        <f t="shared" ref="AU15:AU17" si="3">+TEXT($B$4,"DD.MM.YYYY")</f>
        <v>06.11.2024</v>
      </c>
      <c r="AV15" s="574" t="str">
        <f t="shared" ref="AV15:AV17" si="4">+TEXT($G$4,"DD.MM.YYYY")</f>
        <v>06.11.2024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9792.73</v>
      </c>
      <c r="AQ16" s="576" t="s">
        <v>378</v>
      </c>
      <c r="AR16" s="572">
        <v>1</v>
      </c>
      <c r="AS16" s="572" t="s">
        <v>379</v>
      </c>
      <c r="AT16" s="576" t="s">
        <v>400</v>
      </c>
      <c r="AU16" s="574" t="str">
        <f t="shared" si="3"/>
        <v>06.11.2024</v>
      </c>
      <c r="AV16" s="574" t="str">
        <f t="shared" si="4"/>
        <v>06.11.2024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366.77</v>
      </c>
      <c r="AQ17" s="576" t="s">
        <v>378</v>
      </c>
      <c r="AR17" s="572">
        <v>1</v>
      </c>
      <c r="AS17" s="572" t="s">
        <v>379</v>
      </c>
      <c r="AT17" s="576" t="s">
        <v>400</v>
      </c>
      <c r="AU17" s="574" t="str">
        <f t="shared" si="3"/>
        <v>06.11.2024</v>
      </c>
      <c r="AV17" s="574" t="str">
        <f t="shared" si="4"/>
        <v>06.11.2024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vX+xgyvyvsz7UbosQE1LNsOJ1mtuX/5SdAMaZwZvTy0ZtAXvS2wgkHaV2johwAnX+bRDSYRORzd3Q3OgH1mPMQ==" saltValue="xoSjngTvM6bw84iofcTBpw=="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61" priority="2" operator="containsText" text="Seleccione...">
      <formula>NOT(ISERROR(SEARCH("Seleccione...",AA2)))</formula>
    </cfRule>
  </conditionalFormatting>
  <conditionalFormatting sqref="AA15:AV17">
    <cfRule type="containsText" dxfId="60"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82E2CAB-4B58-433D-8095-BAB8913B0911}">
          <x14:formula1>
            <xm:f>Fechas!$A$2:$A$831</xm:f>
          </x14:formula1>
          <xm:sqref>B4 G4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7CA6-26E1-4B0D-A32D-B7E47841827E}">
  <dimension ref="A1:AV46"/>
  <sheetViews>
    <sheetView showGridLines="0" zoomScale="85" zoomScaleNormal="85" workbookViewId="0">
      <selection activeCell="E7" sqref="E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9681.18</v>
      </c>
      <c r="AQ2" s="576" t="s">
        <v>378</v>
      </c>
      <c r="AR2" s="572">
        <v>1</v>
      </c>
      <c r="AS2" s="572" t="s">
        <v>379</v>
      </c>
      <c r="AT2" s="576" t="s">
        <v>400</v>
      </c>
      <c r="AU2" s="574" t="str">
        <f t="shared" ref="AU2:AU11" si="0">+TEXT($B$4,"DD.MM.YYYY")</f>
        <v>07.11.2024</v>
      </c>
      <c r="AV2" s="574" t="str">
        <f t="shared" ref="AV2:AV11" si="1">+TEXT($G$4,"DD.MM.YYYY")</f>
        <v>12.11.2024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10091.219999999999</v>
      </c>
      <c r="AQ3" s="576" t="s">
        <v>378</v>
      </c>
      <c r="AR3" s="572">
        <v>1</v>
      </c>
      <c r="AS3" s="572" t="s">
        <v>379</v>
      </c>
      <c r="AT3" s="576" t="s">
        <v>400</v>
      </c>
      <c r="AU3" s="574" t="str">
        <f t="shared" si="0"/>
        <v>07.11.2024</v>
      </c>
      <c r="AV3" s="574" t="str">
        <f t="shared" si="1"/>
        <v>12.11.2024</v>
      </c>
    </row>
    <row r="4" spans="1:48" ht="18.75">
      <c r="A4" s="600" t="s">
        <v>426</v>
      </c>
      <c r="B4" s="599">
        <v>45603</v>
      </c>
      <c r="C4" s="585"/>
      <c r="D4" s="598"/>
      <c r="F4" s="579" t="s">
        <v>427</v>
      </c>
      <c r="G4" s="599">
        <v>45608</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9596.8799999999992</v>
      </c>
      <c r="AQ4" s="576" t="s">
        <v>378</v>
      </c>
      <c r="AR4" s="572">
        <v>1</v>
      </c>
      <c r="AS4" s="572" t="s">
        <v>379</v>
      </c>
      <c r="AT4" s="576" t="s">
        <v>400</v>
      </c>
      <c r="AU4" s="574" t="str">
        <f t="shared" si="0"/>
        <v>07.11.2024</v>
      </c>
      <c r="AV4" s="574" t="str">
        <f t="shared" si="1"/>
        <v>12.11.2024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9681.18</v>
      </c>
      <c r="AQ5" s="592" t="s">
        <v>378</v>
      </c>
      <c r="AR5" s="594">
        <v>1</v>
      </c>
      <c r="AS5" s="594" t="s">
        <v>379</v>
      </c>
      <c r="AT5" s="592" t="s">
        <v>400</v>
      </c>
      <c r="AU5" s="591" t="str">
        <f t="shared" si="0"/>
        <v>07.11.2024</v>
      </c>
      <c r="AV5" s="591" t="str">
        <f t="shared" si="1"/>
        <v>12.11.2024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10091.219999999999</v>
      </c>
      <c r="AQ6" s="592" t="s">
        <v>378</v>
      </c>
      <c r="AR6" s="594">
        <v>1</v>
      </c>
      <c r="AS6" s="594" t="s">
        <v>379</v>
      </c>
      <c r="AT6" s="592" t="s">
        <v>400</v>
      </c>
      <c r="AU6" s="591" t="str">
        <f t="shared" si="0"/>
        <v>07.11.2024</v>
      </c>
      <c r="AV6" s="591" t="str">
        <f t="shared" si="1"/>
        <v>12.11.2024</v>
      </c>
    </row>
    <row r="7" spans="1:48" ht="27.6" customHeight="1">
      <c r="A7" s="70" t="s">
        <v>200</v>
      </c>
      <c r="B7" s="562">
        <v>9792.73</v>
      </c>
      <c r="C7" s="565">
        <f>+B7</f>
        <v>9792.73</v>
      </c>
      <c r="D7" s="562">
        <v>9792.73</v>
      </c>
      <c r="E7" s="565">
        <f>+D7</f>
        <v>9792.73</v>
      </c>
      <c r="F7" s="562">
        <v>9878.75</v>
      </c>
      <c r="G7" s="565">
        <f>+F7</f>
        <v>9878.75</v>
      </c>
      <c r="H7" s="562">
        <v>10297.16</v>
      </c>
      <c r="I7" s="565">
        <f>+H7</f>
        <v>10297.16</v>
      </c>
      <c r="J7" s="565">
        <f>+B7</f>
        <v>9792.73</v>
      </c>
      <c r="K7" s="564">
        <f>+J7</f>
        <v>9792.73</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9596.8799999999992</v>
      </c>
      <c r="AQ7" s="592" t="s">
        <v>378</v>
      </c>
      <c r="AR7" s="594">
        <v>1</v>
      </c>
      <c r="AS7" s="594" t="s">
        <v>379</v>
      </c>
      <c r="AT7" s="592" t="s">
        <v>400</v>
      </c>
      <c r="AU7" s="591" t="str">
        <f t="shared" si="0"/>
        <v>07.11.2024</v>
      </c>
      <c r="AV7" s="591" t="str">
        <f t="shared" si="1"/>
        <v>12.11.2024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636">
        <v>19996.885714285712</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si="0"/>
        <v>07.11.2024</v>
      </c>
      <c r="AV8" s="574" t="str">
        <f t="shared" si="1"/>
        <v>12.11.2024</v>
      </c>
    </row>
    <row r="9" spans="1:48" ht="35.450000000000003" customHeight="1">
      <c r="A9" s="248" t="s">
        <v>139</v>
      </c>
      <c r="B9" s="224">
        <f>+ROUND(B8*B5,2)+B7*(1-B5)</f>
        <v>9792.73</v>
      </c>
      <c r="C9" s="224">
        <f>+ROUND(C8*C5,2)+C7*(1-C5)</f>
        <v>9993.6053999999986</v>
      </c>
      <c r="D9" s="247">
        <f>+D8*D5+D7*(1-D5)</f>
        <v>9792.73</v>
      </c>
      <c r="E9" s="224">
        <f>+ROUND(E8*E5,2)+E7*(1-E5)</f>
        <v>9993.6053999999986</v>
      </c>
      <c r="F9" s="224">
        <f>+ROUND(F8*F5,2)+F7*(1-F5)</f>
        <v>9878.75</v>
      </c>
      <c r="G9" s="224">
        <f>ROUND((G8*G5),2)+ROUND(G7*(1-G5),2)</f>
        <v>10077.91</v>
      </c>
      <c r="H9" s="224">
        <f>+ROUND(H8*H5,2)+H7*(1-H5)</f>
        <v>10297.16</v>
      </c>
      <c r="I9" s="224">
        <f>+ROUND(I8*I5,2)+I7*(1-I5)</f>
        <v>10491.156800000001</v>
      </c>
      <c r="J9" s="318">
        <f>+J7</f>
        <v>9792.73</v>
      </c>
      <c r="K9" s="291">
        <f>+K7</f>
        <v>9792.73</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399.94</v>
      </c>
      <c r="AQ9" s="576" t="s">
        <v>378</v>
      </c>
      <c r="AR9" s="572">
        <v>1</v>
      </c>
      <c r="AS9" s="572" t="s">
        <v>379</v>
      </c>
      <c r="AT9" s="576" t="s">
        <v>400</v>
      </c>
      <c r="AU9" s="574" t="str">
        <f t="shared" si="0"/>
        <v>07.11.2024</v>
      </c>
      <c r="AV9" s="574" t="str">
        <f t="shared" si="1"/>
        <v>12.11.2024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0"/>
        <v>07.11.2024</v>
      </c>
      <c r="AV10" s="574" t="str">
        <f t="shared" si="1"/>
        <v>12.11.2024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0"/>
        <v>07.11.2024</v>
      </c>
      <c r="AV11" s="591" t="str">
        <f t="shared" si="1"/>
        <v>12.11.2024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9596.8799999999992</v>
      </c>
      <c r="AQ15" s="576" t="s">
        <v>378</v>
      </c>
      <c r="AR15" s="572">
        <v>1</v>
      </c>
      <c r="AS15" s="572" t="s">
        <v>379</v>
      </c>
      <c r="AT15" s="576" t="s">
        <v>400</v>
      </c>
      <c r="AU15" s="574" t="str">
        <f t="shared" ref="AU15:AU17" si="3">+TEXT($B$4,"DD.MM.YYYY")</f>
        <v>07.11.2024</v>
      </c>
      <c r="AV15" s="574" t="str">
        <f t="shared" ref="AV15:AV17" si="4">+TEXT($G$4,"DD.MM.YYYY")</f>
        <v>12.11.2024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9792.73</v>
      </c>
      <c r="AQ16" s="576" t="s">
        <v>378</v>
      </c>
      <c r="AR16" s="572">
        <v>1</v>
      </c>
      <c r="AS16" s="572" t="s">
        <v>379</v>
      </c>
      <c r="AT16" s="576" t="s">
        <v>400</v>
      </c>
      <c r="AU16" s="574" t="str">
        <f t="shared" si="3"/>
        <v>07.11.2024</v>
      </c>
      <c r="AV16" s="574" t="str">
        <f t="shared" si="4"/>
        <v>12.11.2024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3"/>
        <v>07.11.2024</v>
      </c>
      <c r="AV17" s="574" t="str">
        <f t="shared" si="4"/>
        <v>12.11.2024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jXSG1WErvWwegxqbblv7uh00LQN6ITAADXp66y2gi2eWv6WewymcOzIN/cvhfTdCzMmrIlym3lMESu3lK5ho8w==" saltValue="Vm+mvl+Oh1U3O+nMnolQSA=="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59" priority="2" operator="containsText" text="Seleccione...">
      <formula>NOT(ISERROR(SEARCH("Seleccione...",AA2)))</formula>
    </cfRule>
  </conditionalFormatting>
  <conditionalFormatting sqref="AA15:AV17">
    <cfRule type="containsText" dxfId="58"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32B7403-D65A-4699-8CBD-3C6AB31FF7C6}">
          <x14:formula1>
            <xm:f>Fechas!$A$2:$A$831</xm:f>
          </x14:formula1>
          <xm:sqref>B4 G4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5809-7F23-44AA-8D5C-E66D2A121EAC}">
  <dimension ref="A1:AV46"/>
  <sheetViews>
    <sheetView showGridLines="0" zoomScale="85" zoomScaleNormal="85" workbookViewId="0">
      <selection activeCell="D7" sqref="D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9984.35</v>
      </c>
      <c r="AQ2" s="576" t="s">
        <v>378</v>
      </c>
      <c r="AR2" s="572">
        <v>1</v>
      </c>
      <c r="AS2" s="572" t="s">
        <v>379</v>
      </c>
      <c r="AT2" s="576" t="s">
        <v>400</v>
      </c>
      <c r="AU2" s="574" t="str">
        <f t="shared" ref="AU2:AU11" si="0">+TEXT($B$4,"DD.MM.YYYY")</f>
        <v>13.11.2024</v>
      </c>
      <c r="AV2" s="574" t="str">
        <f t="shared" ref="AV2:AV11" si="1">+TEXT($G$4,"DD.MM.YYYY")</f>
        <v>18.11.2024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10394.84</v>
      </c>
      <c r="AQ3" s="576" t="s">
        <v>378</v>
      </c>
      <c r="AR3" s="572">
        <v>1</v>
      </c>
      <c r="AS3" s="572" t="s">
        <v>379</v>
      </c>
      <c r="AT3" s="576" t="s">
        <v>400</v>
      </c>
      <c r="AU3" s="574" t="str">
        <f t="shared" si="0"/>
        <v>13.11.2024</v>
      </c>
      <c r="AV3" s="574" t="str">
        <f t="shared" si="1"/>
        <v>18.11.2024</v>
      </c>
    </row>
    <row r="4" spans="1:48" ht="18.75">
      <c r="A4" s="600" t="s">
        <v>426</v>
      </c>
      <c r="B4" s="599">
        <v>45609</v>
      </c>
      <c r="C4" s="585"/>
      <c r="D4" s="598"/>
      <c r="F4" s="579" t="s">
        <v>427</v>
      </c>
      <c r="G4" s="599">
        <v>45614</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9900.0499999999993</v>
      </c>
      <c r="AQ4" s="576" t="s">
        <v>378</v>
      </c>
      <c r="AR4" s="572">
        <v>1</v>
      </c>
      <c r="AS4" s="572" t="s">
        <v>379</v>
      </c>
      <c r="AT4" s="576" t="s">
        <v>400</v>
      </c>
      <c r="AU4" s="574" t="str">
        <f t="shared" si="0"/>
        <v>13.11.2024</v>
      </c>
      <c r="AV4" s="574" t="str">
        <f t="shared" si="1"/>
        <v>18.11.2024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9984.35</v>
      </c>
      <c r="AQ5" s="592" t="s">
        <v>378</v>
      </c>
      <c r="AR5" s="594">
        <v>1</v>
      </c>
      <c r="AS5" s="594" t="s">
        <v>379</v>
      </c>
      <c r="AT5" s="592" t="s">
        <v>400</v>
      </c>
      <c r="AU5" s="591" t="str">
        <f t="shared" si="0"/>
        <v>13.11.2024</v>
      </c>
      <c r="AV5" s="591" t="str">
        <f t="shared" si="1"/>
        <v>18.11.2024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10394.84</v>
      </c>
      <c r="AQ6" s="592" t="s">
        <v>378</v>
      </c>
      <c r="AR6" s="594">
        <v>1</v>
      </c>
      <c r="AS6" s="594" t="s">
        <v>379</v>
      </c>
      <c r="AT6" s="592" t="s">
        <v>400</v>
      </c>
      <c r="AU6" s="591" t="str">
        <f t="shared" si="0"/>
        <v>13.11.2024</v>
      </c>
      <c r="AV6" s="591" t="str">
        <f t="shared" si="1"/>
        <v>18.11.2024</v>
      </c>
    </row>
    <row r="7" spans="1:48" ht="27.6" customHeight="1">
      <c r="A7" s="70" t="s">
        <v>200</v>
      </c>
      <c r="B7" s="562">
        <v>10102.09</v>
      </c>
      <c r="C7" s="565">
        <f>+B7</f>
        <v>10102.09</v>
      </c>
      <c r="D7" s="562">
        <v>10102.09</v>
      </c>
      <c r="E7" s="565">
        <f>+D7</f>
        <v>10102.09</v>
      </c>
      <c r="F7" s="562">
        <v>10188.11</v>
      </c>
      <c r="G7" s="565">
        <f>+F7</f>
        <v>10188.11</v>
      </c>
      <c r="H7" s="562">
        <v>10606.98</v>
      </c>
      <c r="I7" s="565">
        <v>10606.98</v>
      </c>
      <c r="J7" s="565">
        <f>+B7</f>
        <v>10102.09</v>
      </c>
      <c r="K7" s="564">
        <f>+J7</f>
        <v>10102.09</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9900.0499999999993</v>
      </c>
      <c r="AQ7" s="592" t="s">
        <v>378</v>
      </c>
      <c r="AR7" s="594">
        <v>1</v>
      </c>
      <c r="AS7" s="594" t="s">
        <v>379</v>
      </c>
      <c r="AT7" s="592" t="s">
        <v>400</v>
      </c>
      <c r="AU7" s="591" t="str">
        <f t="shared" si="0"/>
        <v>13.11.2024</v>
      </c>
      <c r="AV7" s="591" t="str">
        <f t="shared" si="1"/>
        <v>18.11.2024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636">
        <v>19996.885714285712</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si="0"/>
        <v>13.11.2024</v>
      </c>
      <c r="AV8" s="574" t="str">
        <f t="shared" si="1"/>
        <v>18.11.2024</v>
      </c>
    </row>
    <row r="9" spans="1:48" ht="35.450000000000003" customHeight="1">
      <c r="A9" s="248" t="s">
        <v>139</v>
      </c>
      <c r="B9" s="224">
        <f>+ROUND(B8*B5,2)+B7*(1-B5)</f>
        <v>10102.09</v>
      </c>
      <c r="C9" s="224">
        <f>+ROUND(C8*C5,2)+C7*(1-C5)</f>
        <v>10296.778199999999</v>
      </c>
      <c r="D9" s="247">
        <f>+D8*D5+D7*(1-D5)</f>
        <v>10102.09</v>
      </c>
      <c r="E9" s="224">
        <f>+ROUND(E8*E5,2)+ROUND(E7*(1-E5),2)</f>
        <v>10296.779999999999</v>
      </c>
      <c r="F9" s="224">
        <f>+ROUND(F8*F5,2)+F7*(1-F5)</f>
        <v>10188.11</v>
      </c>
      <c r="G9" s="224">
        <f>ROUND((G8*G5),2)+ROUND(G7*(1-G5),2)</f>
        <v>10381.08</v>
      </c>
      <c r="H9" s="224">
        <f>+ROUND(H8*H5,2)+H7*(1-H5)</f>
        <v>10606.98</v>
      </c>
      <c r="I9" s="224">
        <f>+ROUND(I8*I5,2)+I7*(1-I5)</f>
        <v>10794.7804</v>
      </c>
      <c r="J9" s="318">
        <f>+J7</f>
        <v>10102.09</v>
      </c>
      <c r="K9" s="291">
        <f>+K7</f>
        <v>10102.09</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399.94</v>
      </c>
      <c r="AQ9" s="576" t="s">
        <v>378</v>
      </c>
      <c r="AR9" s="572">
        <v>1</v>
      </c>
      <c r="AS9" s="572" t="s">
        <v>379</v>
      </c>
      <c r="AT9" s="576" t="s">
        <v>400</v>
      </c>
      <c r="AU9" s="574" t="str">
        <f t="shared" si="0"/>
        <v>13.11.2024</v>
      </c>
      <c r="AV9" s="574" t="str">
        <f t="shared" si="1"/>
        <v>18.11.2024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0"/>
        <v>13.11.2024</v>
      </c>
      <c r="AV10" s="574" t="str">
        <f t="shared" si="1"/>
        <v>18.11.2024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0"/>
        <v>13.11.2024</v>
      </c>
      <c r="AV11" s="591" t="str">
        <f t="shared" si="1"/>
        <v>18.11.2024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9900.0499999999993</v>
      </c>
      <c r="AQ15" s="576" t="s">
        <v>378</v>
      </c>
      <c r="AR15" s="572">
        <v>1</v>
      </c>
      <c r="AS15" s="572" t="s">
        <v>379</v>
      </c>
      <c r="AT15" s="576" t="s">
        <v>400</v>
      </c>
      <c r="AU15" s="574" t="str">
        <f t="shared" ref="AU15:AU17" si="3">+TEXT($B$4,"DD.MM.YYYY")</f>
        <v>13.11.2024</v>
      </c>
      <c r="AV15" s="574" t="str">
        <f t="shared" ref="AV15:AV17" si="4">+TEXT($G$4,"DD.MM.YYYY")</f>
        <v>18.11.2024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10102.09</v>
      </c>
      <c r="AQ16" s="576" t="s">
        <v>378</v>
      </c>
      <c r="AR16" s="572">
        <v>1</v>
      </c>
      <c r="AS16" s="572" t="s">
        <v>379</v>
      </c>
      <c r="AT16" s="576" t="s">
        <v>400</v>
      </c>
      <c r="AU16" s="574" t="str">
        <f t="shared" si="3"/>
        <v>13.11.2024</v>
      </c>
      <c r="AV16" s="574" t="str">
        <f t="shared" si="4"/>
        <v>18.11.2024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3"/>
        <v>13.11.2024</v>
      </c>
      <c r="AV17" s="574" t="str">
        <f t="shared" si="4"/>
        <v>18.11.2024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XtqDhwZbOy6Vbx/ox5nUrTR4B90n9qCUlpfIVzrtexTU69BZ+6QavwJXjQsp76k10rPDaQnmJriWCFMrvlvgg==" saltValue="bJrUrlB25rV48Tn9Y08FiQ=="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57" priority="2" operator="containsText" text="Seleccione...">
      <formula>NOT(ISERROR(SEARCH("Seleccione...",AA2)))</formula>
    </cfRule>
  </conditionalFormatting>
  <conditionalFormatting sqref="AA15:AV17">
    <cfRule type="containsText" dxfId="56"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AF2521C-2AD2-4B50-9B65-4C44F125AD1E}">
          <x14:formula1>
            <xm:f>Fechas!$A$2:$A$831</xm:f>
          </x14:formula1>
          <xm:sqref>B4 G4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B0AA-8BC1-4FC3-A3A9-4D0553F970CE}">
  <dimension ref="A1:AV46"/>
  <sheetViews>
    <sheetView showGridLines="0" zoomScale="85" zoomScaleNormal="85" workbookViewId="0">
      <selection activeCell="D7" sqref="D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9782.98</v>
      </c>
      <c r="AQ2" s="576" t="s">
        <v>378</v>
      </c>
      <c r="AR2" s="572">
        <v>1</v>
      </c>
      <c r="AS2" s="572" t="s">
        <v>379</v>
      </c>
      <c r="AT2" s="576" t="s">
        <v>400</v>
      </c>
      <c r="AU2" s="574" t="str">
        <f t="shared" ref="AU2:AU11" si="0">+TEXT($B$4,"DD.MM.YYYY")</f>
        <v>19.11.2024</v>
      </c>
      <c r="AV2" s="574" t="str">
        <f t="shared" ref="AV2:AV11" si="1">+TEXT($G$4,"DD.MM.YYYY")</f>
        <v>25.11.2024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10196.66</v>
      </c>
      <c r="AQ3" s="576" t="s">
        <v>378</v>
      </c>
      <c r="AR3" s="572">
        <v>1</v>
      </c>
      <c r="AS3" s="572" t="s">
        <v>379</v>
      </c>
      <c r="AT3" s="576" t="s">
        <v>400</v>
      </c>
      <c r="AU3" s="574" t="str">
        <f t="shared" si="0"/>
        <v>19.11.2024</v>
      </c>
      <c r="AV3" s="574" t="str">
        <f t="shared" si="1"/>
        <v>25.11.2024</v>
      </c>
    </row>
    <row r="4" spans="1:48" ht="18.75">
      <c r="A4" s="600" t="s">
        <v>426</v>
      </c>
      <c r="B4" s="599">
        <v>45615</v>
      </c>
      <c r="C4" s="585"/>
      <c r="D4" s="598"/>
      <c r="F4" s="579" t="s">
        <v>427</v>
      </c>
      <c r="G4" s="599">
        <v>45621</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9698.68</v>
      </c>
      <c r="AQ4" s="576" t="s">
        <v>378</v>
      </c>
      <c r="AR4" s="572">
        <v>1</v>
      </c>
      <c r="AS4" s="572" t="s">
        <v>379</v>
      </c>
      <c r="AT4" s="576" t="s">
        <v>400</v>
      </c>
      <c r="AU4" s="574" t="str">
        <f t="shared" si="0"/>
        <v>19.11.2024</v>
      </c>
      <c r="AV4" s="574" t="str">
        <f t="shared" si="1"/>
        <v>25.11.2024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9782.98</v>
      </c>
      <c r="AQ5" s="592" t="s">
        <v>378</v>
      </c>
      <c r="AR5" s="594">
        <v>1</v>
      </c>
      <c r="AS5" s="594" t="s">
        <v>379</v>
      </c>
      <c r="AT5" s="592" t="s">
        <v>400</v>
      </c>
      <c r="AU5" s="591" t="str">
        <f t="shared" si="0"/>
        <v>19.11.2024</v>
      </c>
      <c r="AV5" s="591" t="str">
        <f t="shared" si="1"/>
        <v>25.11.2024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10196.66</v>
      </c>
      <c r="AQ6" s="592" t="s">
        <v>378</v>
      </c>
      <c r="AR6" s="594">
        <v>1</v>
      </c>
      <c r="AS6" s="594" t="s">
        <v>379</v>
      </c>
      <c r="AT6" s="592" t="s">
        <v>400</v>
      </c>
      <c r="AU6" s="591" t="str">
        <f t="shared" si="0"/>
        <v>19.11.2024</v>
      </c>
      <c r="AV6" s="591" t="str">
        <f t="shared" si="1"/>
        <v>25.11.2024</v>
      </c>
    </row>
    <row r="7" spans="1:48" ht="27.6" customHeight="1">
      <c r="A7" s="70" t="s">
        <v>200</v>
      </c>
      <c r="B7" s="562">
        <v>9896.61</v>
      </c>
      <c r="C7" s="565">
        <f>+B7</f>
        <v>9896.61</v>
      </c>
      <c r="D7" s="562">
        <v>9896.61</v>
      </c>
      <c r="E7" s="565">
        <f>+D7</f>
        <v>9896.61</v>
      </c>
      <c r="F7" s="562">
        <v>9982.6299999999992</v>
      </c>
      <c r="G7" s="565">
        <f>+F7</f>
        <v>9982.6299999999992</v>
      </c>
      <c r="H7" s="562">
        <v>10404.76</v>
      </c>
      <c r="I7" s="565">
        <f>+H7</f>
        <v>10404.76</v>
      </c>
      <c r="J7" s="565">
        <f>+B7</f>
        <v>9896.61</v>
      </c>
      <c r="K7" s="564">
        <f>+J7</f>
        <v>9896.61</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9698.68</v>
      </c>
      <c r="AQ7" s="592" t="s">
        <v>378</v>
      </c>
      <c r="AR7" s="594">
        <v>1</v>
      </c>
      <c r="AS7" s="594" t="s">
        <v>379</v>
      </c>
      <c r="AT7" s="592" t="s">
        <v>400</v>
      </c>
      <c r="AU7" s="591" t="str">
        <f t="shared" si="0"/>
        <v>19.11.2024</v>
      </c>
      <c r="AV7" s="591" t="str">
        <f t="shared" si="1"/>
        <v>25.11.2024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636">
        <v>19996.885714285712</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si="0"/>
        <v>19.11.2024</v>
      </c>
      <c r="AV8" s="574" t="str">
        <f t="shared" si="1"/>
        <v>25.11.2024</v>
      </c>
    </row>
    <row r="9" spans="1:48" ht="35.450000000000003" customHeight="1">
      <c r="A9" s="248" t="s">
        <v>139</v>
      </c>
      <c r="B9" s="224">
        <f>+ROUND(B8*B5,2)+B7*(1-B5)</f>
        <v>9896.61</v>
      </c>
      <c r="C9" s="224">
        <f>+ROUND(C8*C5,2)+C7*(1-C5)</f>
        <v>10095.407800000001</v>
      </c>
      <c r="D9" s="247">
        <f>+D8*D5+D7*(1-D5)</f>
        <v>9896.61</v>
      </c>
      <c r="E9" s="224">
        <f>+ROUND(E8*E5,2)+ROUND(E7*(1-E5),2)</f>
        <v>10095.41</v>
      </c>
      <c r="F9" s="224">
        <f>+ROUND(F8*F5,2)+F7*(1-F5)</f>
        <v>9982.6299999999992</v>
      </c>
      <c r="G9" s="224">
        <f>ROUND((G8*G5),2)+ROUND(G7*(1-G5),2)</f>
        <v>10179.709999999999</v>
      </c>
      <c r="H9" s="224">
        <f>+ROUND(H8*H5,2)+H7*(1-H5)</f>
        <v>10404.76</v>
      </c>
      <c r="I9" s="224">
        <f>+ROUND(I8*I5,2)+I7*(1-I5)</f>
        <v>10596.604800000001</v>
      </c>
      <c r="J9" s="318">
        <f>+J7</f>
        <v>9896.61</v>
      </c>
      <c r="K9" s="291">
        <f>+K7</f>
        <v>9896.61</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399.94</v>
      </c>
      <c r="AQ9" s="576" t="s">
        <v>378</v>
      </c>
      <c r="AR9" s="572">
        <v>1</v>
      </c>
      <c r="AS9" s="572" t="s">
        <v>379</v>
      </c>
      <c r="AT9" s="576" t="s">
        <v>400</v>
      </c>
      <c r="AU9" s="574" t="str">
        <f t="shared" si="0"/>
        <v>19.11.2024</v>
      </c>
      <c r="AV9" s="574" t="str">
        <f t="shared" si="1"/>
        <v>25.11.2024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0"/>
        <v>19.11.2024</v>
      </c>
      <c r="AV10" s="574" t="str">
        <f t="shared" si="1"/>
        <v>25.11.2024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0"/>
        <v>19.11.2024</v>
      </c>
      <c r="AV11" s="591" t="str">
        <f t="shared" si="1"/>
        <v>25.11.2024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9698.68</v>
      </c>
      <c r="AQ15" s="576" t="s">
        <v>378</v>
      </c>
      <c r="AR15" s="572">
        <v>1</v>
      </c>
      <c r="AS15" s="572" t="s">
        <v>379</v>
      </c>
      <c r="AT15" s="576" t="s">
        <v>400</v>
      </c>
      <c r="AU15" s="574" t="str">
        <f t="shared" ref="AU15:AU17" si="3">+TEXT($B$4,"DD.MM.YYYY")</f>
        <v>19.11.2024</v>
      </c>
      <c r="AV15" s="574" t="str">
        <f t="shared" ref="AV15:AV17" si="4">+TEXT($G$4,"DD.MM.YYYY")</f>
        <v>25.11.2024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9896.61</v>
      </c>
      <c r="AQ16" s="576" t="s">
        <v>378</v>
      </c>
      <c r="AR16" s="572">
        <v>1</v>
      </c>
      <c r="AS16" s="572" t="s">
        <v>379</v>
      </c>
      <c r="AT16" s="576" t="s">
        <v>400</v>
      </c>
      <c r="AU16" s="574" t="str">
        <f t="shared" si="3"/>
        <v>19.11.2024</v>
      </c>
      <c r="AV16" s="574" t="str">
        <f t="shared" si="4"/>
        <v>25.11.2024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3"/>
        <v>19.11.2024</v>
      </c>
      <c r="AV17" s="574" t="str">
        <f t="shared" si="4"/>
        <v>25.11.2024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zZHTfpmfBTIdoBDj48ewMDhUddxwM8CoAVaNOF5yR9Pad0mHzVtRKtbc3Ih1lRjsdzeAo1T5wHmjHEbT1NeZ6A==" saltValue="jGxcBt+Jbcm60JjFCSDVZw=="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55" priority="2" operator="containsText" text="Seleccione...">
      <formula>NOT(ISERROR(SEARCH("Seleccione...",AA2)))</formula>
    </cfRule>
  </conditionalFormatting>
  <conditionalFormatting sqref="AA15:AV17">
    <cfRule type="containsText" dxfId="54"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3DBD20E-3F09-40D2-A674-77BBCBB77C79}">
          <x14:formula1>
            <xm:f>Fechas!$A$2:$A$831</xm:f>
          </x14:formula1>
          <xm:sqref>B4 G4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283B-3437-43E8-9D0D-189EF021E849}">
  <dimension ref="A1:AV46"/>
  <sheetViews>
    <sheetView showGridLines="0" zoomScale="85" zoomScaleNormal="85" workbookViewId="0">
      <selection activeCell="D7" sqref="D7"/>
    </sheetView>
  </sheetViews>
  <sheetFormatPr baseColWidth="10" defaultColWidth="7.85546875" defaultRowHeight="14.25"/>
  <cols>
    <col min="1" max="1" width="56.28515625" style="5" customWidth="1"/>
    <col min="2" max="2" width="20.42578125" style="5" customWidth="1"/>
    <col min="3" max="3" width="18.5703125" style="5" customWidth="1"/>
    <col min="4" max="4" width="14.7109375" style="5" customWidth="1"/>
    <col min="5" max="5" width="16" style="5" customWidth="1"/>
    <col min="6" max="6" width="13.85546875" style="5" customWidth="1"/>
    <col min="7" max="7" width="16.7109375" style="5" customWidth="1"/>
    <col min="8" max="8" width="18.85546875" style="5" customWidth="1"/>
    <col min="9" max="9" width="18.7109375" style="5" customWidth="1"/>
    <col min="10" max="10" width="10.85546875" style="5" bestFit="1" customWidth="1"/>
    <col min="11" max="11" width="14" style="5" customWidth="1"/>
    <col min="12" max="12" width="11.7109375" style="5" bestFit="1" customWidth="1"/>
    <col min="13" max="40" width="7.85546875" style="5"/>
    <col min="41" max="41" width="12.42578125" style="5" bestFit="1" customWidth="1"/>
    <col min="42" max="42" width="8.85546875" style="5" bestFit="1" customWidth="1"/>
    <col min="43" max="46" width="7.85546875" style="5"/>
    <col min="47" max="48" width="9.85546875" style="5" bestFit="1" customWidth="1"/>
    <col min="49" max="16384" width="7.85546875" style="5"/>
  </cols>
  <sheetData>
    <row r="1" spans="1:48" s="11" customFormat="1" ht="18.75" thickTop="1">
      <c r="A1" s="775" t="s">
        <v>25</v>
      </c>
      <c r="B1" s="776"/>
      <c r="C1" s="776"/>
      <c r="D1" s="776"/>
      <c r="E1" s="776"/>
      <c r="F1" s="776"/>
      <c r="G1" s="776"/>
      <c r="H1" s="776"/>
      <c r="I1" s="776"/>
      <c r="J1" s="552"/>
      <c r="K1" s="553"/>
      <c r="AA1" s="575" t="s">
        <v>354</v>
      </c>
      <c r="AB1" s="575" t="s">
        <v>355</v>
      </c>
      <c r="AC1" s="575" t="s">
        <v>356</v>
      </c>
      <c r="AD1" s="575" t="s">
        <v>357</v>
      </c>
      <c r="AE1" s="575" t="s">
        <v>358</v>
      </c>
      <c r="AF1" s="575" t="s">
        <v>359</v>
      </c>
      <c r="AG1" s="575" t="s">
        <v>360</v>
      </c>
      <c r="AH1" s="575" t="s">
        <v>361</v>
      </c>
      <c r="AI1" s="575" t="s">
        <v>362</v>
      </c>
      <c r="AJ1" s="575" t="s">
        <v>363</v>
      </c>
      <c r="AK1" s="575" t="s">
        <v>364</v>
      </c>
      <c r="AL1" s="575" t="s">
        <v>365</v>
      </c>
      <c r="AM1" s="575" t="s">
        <v>366</v>
      </c>
      <c r="AN1" s="575" t="s">
        <v>367</v>
      </c>
      <c r="AO1" s="575" t="s">
        <v>368</v>
      </c>
      <c r="AP1" s="575" t="s">
        <v>369</v>
      </c>
      <c r="AQ1" s="575" t="s">
        <v>370</v>
      </c>
      <c r="AR1" s="575" t="s">
        <v>371</v>
      </c>
      <c r="AS1" s="575" t="s">
        <v>372</v>
      </c>
      <c r="AT1" s="575" t="s">
        <v>373</v>
      </c>
      <c r="AU1" s="575" t="s">
        <v>374</v>
      </c>
      <c r="AV1" s="575" t="s">
        <v>375</v>
      </c>
    </row>
    <row r="2" spans="1:48" s="11" customFormat="1" ht="56.1" customHeight="1">
      <c r="A2" s="777" t="s">
        <v>236</v>
      </c>
      <c r="B2" s="778"/>
      <c r="C2" s="778"/>
      <c r="D2" s="778"/>
      <c r="E2" s="778"/>
      <c r="F2" s="778"/>
      <c r="G2" s="778"/>
      <c r="H2" s="778"/>
      <c r="I2" s="778"/>
      <c r="K2" s="554"/>
      <c r="L2" s="5"/>
      <c r="M2" s="5"/>
      <c r="N2" s="5"/>
      <c r="O2" s="5"/>
      <c r="P2" s="5"/>
      <c r="Q2" s="5"/>
      <c r="Z2" s="579" t="s">
        <v>433</v>
      </c>
      <c r="AA2" s="572" t="s">
        <v>376</v>
      </c>
      <c r="AB2" s="572">
        <v>929</v>
      </c>
      <c r="AC2" s="572" t="s">
        <v>377</v>
      </c>
      <c r="AD2" s="572"/>
      <c r="AE2" s="572"/>
      <c r="AF2" s="572">
        <v>2000</v>
      </c>
      <c r="AG2" s="572"/>
      <c r="AH2" s="572"/>
      <c r="AI2" s="572"/>
      <c r="AJ2" s="572"/>
      <c r="AK2" s="572"/>
      <c r="AL2" s="572"/>
      <c r="AM2" s="572" t="s">
        <v>398</v>
      </c>
      <c r="AN2" s="572"/>
      <c r="AO2" s="572">
        <v>30000002129</v>
      </c>
      <c r="AP2" s="573">
        <f>+ROUND($F$7*98%,2)</f>
        <v>10041.14</v>
      </c>
      <c r="AQ2" s="576" t="s">
        <v>378</v>
      </c>
      <c r="AR2" s="572">
        <v>1</v>
      </c>
      <c r="AS2" s="572" t="s">
        <v>379</v>
      </c>
      <c r="AT2" s="576" t="s">
        <v>400</v>
      </c>
      <c r="AU2" s="574" t="str">
        <f t="shared" ref="AU2:AU11" si="0">+TEXT($B$4,"DD.MM.YYYY")</f>
        <v>26.11.2024</v>
      </c>
      <c r="AV2" s="574" t="str">
        <f t="shared" ref="AV2:AV11" si="1">+TEXT($G$4,"DD.MM.YYYY")</f>
        <v>30.11.2024</v>
      </c>
    </row>
    <row r="3" spans="1:48" ht="24.75" customHeight="1">
      <c r="A3" s="777" t="s">
        <v>21</v>
      </c>
      <c r="B3" s="778"/>
      <c r="C3" s="778"/>
      <c r="D3" s="778"/>
      <c r="E3" s="778"/>
      <c r="F3" s="778"/>
      <c r="G3" s="778"/>
      <c r="H3" s="778"/>
      <c r="I3" s="778"/>
      <c r="J3" s="310"/>
      <c r="K3" s="555"/>
      <c r="L3" s="310"/>
      <c r="M3" s="310"/>
      <c r="N3" s="310"/>
      <c r="AA3" s="572" t="s">
        <v>376</v>
      </c>
      <c r="AB3" s="572">
        <v>929</v>
      </c>
      <c r="AC3" s="572" t="s">
        <v>377</v>
      </c>
      <c r="AD3" s="572"/>
      <c r="AE3" s="572"/>
      <c r="AF3" s="572">
        <v>3010</v>
      </c>
      <c r="AG3" s="572"/>
      <c r="AH3" s="572"/>
      <c r="AI3" s="572"/>
      <c r="AJ3" s="572"/>
      <c r="AK3" s="572"/>
      <c r="AL3" s="572"/>
      <c r="AM3" s="572" t="s">
        <v>398</v>
      </c>
      <c r="AN3" s="572"/>
      <c r="AO3" s="572">
        <v>30000002129</v>
      </c>
      <c r="AP3" s="573">
        <f>+ROUND($I$7*98%,2)</f>
        <v>10455.17</v>
      </c>
      <c r="AQ3" s="576" t="s">
        <v>378</v>
      </c>
      <c r="AR3" s="572">
        <v>1</v>
      </c>
      <c r="AS3" s="572" t="s">
        <v>379</v>
      </c>
      <c r="AT3" s="576" t="s">
        <v>400</v>
      </c>
      <c r="AU3" s="574" t="str">
        <f t="shared" si="0"/>
        <v>26.11.2024</v>
      </c>
      <c r="AV3" s="574" t="str">
        <f t="shared" si="1"/>
        <v>30.11.2024</v>
      </c>
    </row>
    <row r="4" spans="1:48" ht="18.75">
      <c r="A4" s="600" t="s">
        <v>426</v>
      </c>
      <c r="B4" s="599">
        <v>45622</v>
      </c>
      <c r="C4" s="585"/>
      <c r="D4" s="598"/>
      <c r="F4" s="579" t="s">
        <v>427</v>
      </c>
      <c r="G4" s="599">
        <v>45626</v>
      </c>
      <c r="H4" s="598"/>
      <c r="I4" s="585"/>
      <c r="K4" s="526"/>
      <c r="AA4" s="572" t="s">
        <v>376</v>
      </c>
      <c r="AB4" s="572">
        <v>929</v>
      </c>
      <c r="AC4" s="572" t="s">
        <v>377</v>
      </c>
      <c r="AD4" s="572"/>
      <c r="AE4" s="572"/>
      <c r="AF4" s="572">
        <v>4502</v>
      </c>
      <c r="AG4" s="572"/>
      <c r="AH4" s="572"/>
      <c r="AI4" s="572"/>
      <c r="AJ4" s="572"/>
      <c r="AK4" s="572"/>
      <c r="AL4" s="572"/>
      <c r="AM4" s="572" t="s">
        <v>398</v>
      </c>
      <c r="AN4" s="572"/>
      <c r="AO4" s="572">
        <v>30000002129</v>
      </c>
      <c r="AP4" s="573">
        <f>+ROUND($D$7*98%,2)</f>
        <v>9956.84</v>
      </c>
      <c r="AQ4" s="576" t="s">
        <v>378</v>
      </c>
      <c r="AR4" s="572">
        <v>1</v>
      </c>
      <c r="AS4" s="572" t="s">
        <v>379</v>
      </c>
      <c r="AT4" s="576" t="s">
        <v>400</v>
      </c>
      <c r="AU4" s="574" t="str">
        <f t="shared" si="0"/>
        <v>26.11.2024</v>
      </c>
      <c r="AV4" s="574" t="str">
        <f t="shared" si="1"/>
        <v>30.11.2024</v>
      </c>
    </row>
    <row r="5" spans="1:48" ht="15.75" thickBot="1">
      <c r="A5" s="556"/>
      <c r="B5" s="113">
        <v>0</v>
      </c>
      <c r="C5" s="113">
        <v>0.02</v>
      </c>
      <c r="D5" s="113">
        <v>0</v>
      </c>
      <c r="E5" s="113">
        <v>0.02</v>
      </c>
      <c r="F5" s="113">
        <v>0</v>
      </c>
      <c r="G5" s="557">
        <v>0.02</v>
      </c>
      <c r="H5" s="557">
        <v>0</v>
      </c>
      <c r="I5" s="557">
        <v>0.02</v>
      </c>
      <c r="J5" s="113">
        <v>0</v>
      </c>
      <c r="K5" s="558">
        <v>0</v>
      </c>
      <c r="AA5" s="594" t="s">
        <v>376</v>
      </c>
      <c r="AB5" s="594">
        <v>929</v>
      </c>
      <c r="AC5" s="594" t="s">
        <v>377</v>
      </c>
      <c r="AD5" s="594"/>
      <c r="AE5" s="594"/>
      <c r="AF5" s="594">
        <v>2000</v>
      </c>
      <c r="AG5" s="594"/>
      <c r="AH5" s="594"/>
      <c r="AI5" s="594"/>
      <c r="AJ5" s="594"/>
      <c r="AK5" s="594"/>
      <c r="AL5" s="594"/>
      <c r="AM5" s="594" t="s">
        <v>398</v>
      </c>
      <c r="AN5" s="594"/>
      <c r="AO5" s="594">
        <v>30000009291</v>
      </c>
      <c r="AP5" s="593">
        <f>+ROUND($F$7*98%,2)</f>
        <v>10041.14</v>
      </c>
      <c r="AQ5" s="592" t="s">
        <v>378</v>
      </c>
      <c r="AR5" s="594">
        <v>1</v>
      </c>
      <c r="AS5" s="594" t="s">
        <v>379</v>
      </c>
      <c r="AT5" s="592" t="s">
        <v>400</v>
      </c>
      <c r="AU5" s="591" t="str">
        <f t="shared" si="0"/>
        <v>26.11.2024</v>
      </c>
      <c r="AV5" s="591" t="str">
        <f t="shared" si="1"/>
        <v>30.11.2024</v>
      </c>
    </row>
    <row r="6" spans="1:48" ht="72.75" customHeight="1" thickTop="1">
      <c r="A6" s="244" t="s">
        <v>14</v>
      </c>
      <c r="B6" s="245" t="str">
        <f>+CONCATENATE("Cartagena (B0)",$B$43)</f>
        <v>Cartagena (B0).</v>
      </c>
      <c r="C6" s="245" t="str">
        <f>+CONCATENATE("Cartagena (B2)",$B$43)</f>
        <v>Cartagena (B2).</v>
      </c>
      <c r="D6" s="245" t="str">
        <f>+CONCATENATE("Pozos Colorados (B0)",$B$43)</f>
        <v>Pozos Colorados (B0).</v>
      </c>
      <c r="E6" s="245" t="str">
        <f>+CONCATENATE("Pozos Colorados (B2)",$B$43)</f>
        <v>Pozos Colorados (B2).</v>
      </c>
      <c r="F6" s="245" t="str">
        <f>+CONCATENATE("Barrancabermeja (B0)",$B$43)</f>
        <v>Barrancabermeja (B0).</v>
      </c>
      <c r="G6" s="245" t="str">
        <f>+CONCATENATE("Barrancabermeja (B2-B2 Extra)",$B$43)</f>
        <v>Barrancabermeja (B2-B2 Extra).</v>
      </c>
      <c r="H6" s="245" t="str">
        <f>+CONCATENATE("Puerto Palermo (B0)",$B$43)</f>
        <v>Puerto Palermo (B0).</v>
      </c>
      <c r="I6" s="245" t="str">
        <f>+CONCATENATE("Puerto Palermo (B2)",$B$43)</f>
        <v>Puerto Palermo (B2).</v>
      </c>
      <c r="J6" s="245" t="str">
        <f>+CONCATENATE("Cartagena Diesel Marino (B0)",$B$43)</f>
        <v>Cartagena Diesel Marino (B0).</v>
      </c>
      <c r="K6" s="559" t="str">
        <f>+CONCATENATE("Cartagena Diesel Marino (B0) con cupo",$B$43)</f>
        <v>Cartagena Diesel Marino (B0) con cupo.</v>
      </c>
      <c r="AA6" s="594" t="s">
        <v>376</v>
      </c>
      <c r="AB6" s="594">
        <v>929</v>
      </c>
      <c r="AC6" s="594" t="s">
        <v>377</v>
      </c>
      <c r="AD6" s="594"/>
      <c r="AE6" s="594"/>
      <c r="AF6" s="594">
        <v>3010</v>
      </c>
      <c r="AG6" s="594"/>
      <c r="AH6" s="594"/>
      <c r="AI6" s="594"/>
      <c r="AJ6" s="594"/>
      <c r="AK6" s="594"/>
      <c r="AL6" s="594"/>
      <c r="AM6" s="594" t="s">
        <v>398</v>
      </c>
      <c r="AN6" s="594"/>
      <c r="AO6" s="594">
        <v>30000009291</v>
      </c>
      <c r="AP6" s="593">
        <f>+ROUND($I$7*98%,2)</f>
        <v>10455.17</v>
      </c>
      <c r="AQ6" s="592" t="s">
        <v>378</v>
      </c>
      <c r="AR6" s="594">
        <v>1</v>
      </c>
      <c r="AS6" s="594" t="s">
        <v>379</v>
      </c>
      <c r="AT6" s="592" t="s">
        <v>400</v>
      </c>
      <c r="AU6" s="591" t="str">
        <f t="shared" si="0"/>
        <v>26.11.2024</v>
      </c>
      <c r="AV6" s="591" t="str">
        <f t="shared" si="1"/>
        <v>30.11.2024</v>
      </c>
    </row>
    <row r="7" spans="1:48" ht="27.6" customHeight="1">
      <c r="A7" s="70" t="s">
        <v>200</v>
      </c>
      <c r="B7" s="562">
        <v>10160.040000000001</v>
      </c>
      <c r="C7" s="565">
        <f>+B7</f>
        <v>10160.040000000001</v>
      </c>
      <c r="D7" s="562">
        <v>10160.040000000001</v>
      </c>
      <c r="E7" s="565">
        <f>+D7</f>
        <v>10160.040000000001</v>
      </c>
      <c r="F7" s="562">
        <v>10246.06</v>
      </c>
      <c r="G7" s="565">
        <f>+F7</f>
        <v>10246.06</v>
      </c>
      <c r="H7" s="562">
        <v>10668.54</v>
      </c>
      <c r="I7" s="565">
        <f>+H7</f>
        <v>10668.54</v>
      </c>
      <c r="J7" s="565">
        <f>+B7</f>
        <v>10160.040000000001</v>
      </c>
      <c r="K7" s="564">
        <f>+J7</f>
        <v>10160.040000000001</v>
      </c>
      <c r="N7" s="341"/>
      <c r="AA7" s="594" t="s">
        <v>376</v>
      </c>
      <c r="AB7" s="594">
        <v>929</v>
      </c>
      <c r="AC7" s="594" t="s">
        <v>377</v>
      </c>
      <c r="AD7" s="594"/>
      <c r="AE7" s="594"/>
      <c r="AF7" s="594">
        <v>4502</v>
      </c>
      <c r="AG7" s="594"/>
      <c r="AH7" s="594"/>
      <c r="AI7" s="594"/>
      <c r="AJ7" s="594"/>
      <c r="AK7" s="594"/>
      <c r="AL7" s="594"/>
      <c r="AM7" s="594" t="s">
        <v>398</v>
      </c>
      <c r="AN7" s="594"/>
      <c r="AO7" s="594">
        <v>30000009291</v>
      </c>
      <c r="AP7" s="593">
        <f>+ROUND($D$7*98%,2)</f>
        <v>9956.84</v>
      </c>
      <c r="AQ7" s="592" t="s">
        <v>378</v>
      </c>
      <c r="AR7" s="594">
        <v>1</v>
      </c>
      <c r="AS7" s="594" t="s">
        <v>379</v>
      </c>
      <c r="AT7" s="592" t="s">
        <v>400</v>
      </c>
      <c r="AU7" s="591" t="str">
        <f t="shared" si="0"/>
        <v>26.11.2024</v>
      </c>
      <c r="AV7" s="591" t="str">
        <f t="shared" si="1"/>
        <v>30.11.2024</v>
      </c>
    </row>
    <row r="8" spans="1:48" ht="27.6" customHeight="1">
      <c r="A8" s="232" t="s">
        <v>412</v>
      </c>
      <c r="B8" s="349">
        <f>+D8</f>
        <v>0</v>
      </c>
      <c r="C8" s="224">
        <f>+BIODIESEL!$B$7</f>
        <v>19836.599999999999</v>
      </c>
      <c r="D8" s="246">
        <v>0</v>
      </c>
      <c r="E8" s="224">
        <f>+BIODIESEL!$B$7</f>
        <v>19836.599999999999</v>
      </c>
      <c r="F8" s="349">
        <v>0</v>
      </c>
      <c r="G8" s="224">
        <f>+BIODIESEL!$B$7</f>
        <v>19836.599999999999</v>
      </c>
      <c r="H8" s="349">
        <v>0</v>
      </c>
      <c r="I8" s="636">
        <v>19996.885714285712</v>
      </c>
      <c r="J8" s="349">
        <f>+B8</f>
        <v>0</v>
      </c>
      <c r="K8" s="463">
        <f>+B8</f>
        <v>0</v>
      </c>
      <c r="N8" s="342"/>
      <c r="O8" s="342"/>
      <c r="P8" s="342"/>
      <c r="Q8" s="342"/>
      <c r="R8" s="342"/>
      <c r="S8" s="26"/>
      <c r="T8" s="26"/>
      <c r="U8" s="26"/>
      <c r="V8" s="26"/>
      <c r="W8" s="26"/>
      <c r="X8" s="26"/>
      <c r="Y8" s="26"/>
      <c r="Z8" s="26"/>
      <c r="AA8" s="572" t="s">
        <v>380</v>
      </c>
      <c r="AB8" s="572">
        <v>929</v>
      </c>
      <c r="AC8" s="572" t="s">
        <v>377</v>
      </c>
      <c r="AD8" s="572"/>
      <c r="AE8" s="572"/>
      <c r="AF8" s="572">
        <v>2000</v>
      </c>
      <c r="AG8" s="572"/>
      <c r="AH8" s="572"/>
      <c r="AI8" s="572"/>
      <c r="AJ8" s="572"/>
      <c r="AK8" s="572"/>
      <c r="AL8" s="572"/>
      <c r="AM8" s="572" t="s">
        <v>398</v>
      </c>
      <c r="AN8" s="572"/>
      <c r="AO8" s="572">
        <v>30000002129</v>
      </c>
      <c r="AP8" s="573">
        <f>+ROUND($G$8*2%,2)</f>
        <v>396.73</v>
      </c>
      <c r="AQ8" s="576" t="s">
        <v>378</v>
      </c>
      <c r="AR8" s="572">
        <v>1</v>
      </c>
      <c r="AS8" s="572" t="s">
        <v>379</v>
      </c>
      <c r="AT8" s="576" t="s">
        <v>400</v>
      </c>
      <c r="AU8" s="574" t="str">
        <f t="shared" si="0"/>
        <v>26.11.2024</v>
      </c>
      <c r="AV8" s="574" t="str">
        <f t="shared" si="1"/>
        <v>30.11.2024</v>
      </c>
    </row>
    <row r="9" spans="1:48" ht="35.450000000000003" customHeight="1">
      <c r="A9" s="248" t="s">
        <v>139</v>
      </c>
      <c r="B9" s="224">
        <f>+ROUND(B8*B5,2)+B7*(1-B5)</f>
        <v>10160.040000000001</v>
      </c>
      <c r="C9" s="224">
        <f>+ROUND(C8*C5,2)+C7*(1-C5)</f>
        <v>10353.5692</v>
      </c>
      <c r="D9" s="247">
        <f>+D8*D5+D7*(1-D5)</f>
        <v>10160.040000000001</v>
      </c>
      <c r="E9" s="224">
        <f>+ROUND(E8*E5,2)+ROUND(E7*(1-E5),2)</f>
        <v>10353.57</v>
      </c>
      <c r="F9" s="224">
        <f>+ROUND(F8*F5,2)+F7*(1-F5)</f>
        <v>10246.06</v>
      </c>
      <c r="G9" s="224">
        <f>ROUND((G8*G5),2)+ROUND(G7*(1-G5),2)</f>
        <v>10437.869999999999</v>
      </c>
      <c r="H9" s="224">
        <f>+ROUND(H8*H5,2)+H7*(1-H5)</f>
        <v>10668.54</v>
      </c>
      <c r="I9" s="224">
        <f>+ROUND(I8*I5,2)+I7*(1-I5)</f>
        <v>10855.109200000001</v>
      </c>
      <c r="J9" s="318">
        <f>+J7</f>
        <v>10160.040000000001</v>
      </c>
      <c r="K9" s="291">
        <f>+K7</f>
        <v>10160.040000000001</v>
      </c>
      <c r="L9" s="310"/>
      <c r="M9" s="329" t="s">
        <v>138</v>
      </c>
      <c r="N9" s="342"/>
      <c r="O9" s="26">
        <v>6978.4077749146245</v>
      </c>
      <c r="P9" s="26">
        <v>6875.1811988924737</v>
      </c>
      <c r="Q9" s="26">
        <v>7272.6860170874797</v>
      </c>
      <c r="R9" s="26">
        <v>6794.4669776671717</v>
      </c>
      <c r="S9" s="26">
        <v>6537.1057563440854</v>
      </c>
      <c r="T9" s="26">
        <v>7022.1892934113339</v>
      </c>
      <c r="U9" s="26">
        <v>6875.1811988924737</v>
      </c>
      <c r="V9" s="26">
        <v>6875.1811988924737</v>
      </c>
      <c r="W9" s="26"/>
      <c r="X9" s="26"/>
      <c r="Y9" s="26"/>
      <c r="Z9" s="26"/>
      <c r="AA9" s="572" t="s">
        <v>380</v>
      </c>
      <c r="AB9" s="572">
        <v>929</v>
      </c>
      <c r="AC9" s="572" t="s">
        <v>377</v>
      </c>
      <c r="AD9" s="572"/>
      <c r="AE9" s="572"/>
      <c r="AF9" s="572">
        <v>3010</v>
      </c>
      <c r="AG9" s="572"/>
      <c r="AH9" s="572"/>
      <c r="AI9" s="572"/>
      <c r="AJ9" s="572"/>
      <c r="AK9" s="572"/>
      <c r="AL9" s="572"/>
      <c r="AM9" s="572" t="s">
        <v>398</v>
      </c>
      <c r="AN9" s="572"/>
      <c r="AO9" s="572">
        <v>30000002129</v>
      </c>
      <c r="AP9" s="573">
        <f>+ROUND($I$8*2%,2)</f>
        <v>399.94</v>
      </c>
      <c r="AQ9" s="576" t="s">
        <v>378</v>
      </c>
      <c r="AR9" s="572">
        <v>1</v>
      </c>
      <c r="AS9" s="572" t="s">
        <v>379</v>
      </c>
      <c r="AT9" s="576" t="s">
        <v>400</v>
      </c>
      <c r="AU9" s="574" t="str">
        <f t="shared" si="0"/>
        <v>26.11.2024</v>
      </c>
      <c r="AV9" s="574" t="str">
        <f t="shared" si="1"/>
        <v>30.11.2024</v>
      </c>
    </row>
    <row r="10" spans="1:48" ht="27.6" customHeight="1">
      <c r="A10" s="232" t="s">
        <v>47</v>
      </c>
      <c r="B10" s="224">
        <f>+E10</f>
        <v>9.16</v>
      </c>
      <c r="C10" s="224">
        <f>+D10</f>
        <v>9.16</v>
      </c>
      <c r="D10" s="247">
        <f>+'COMBUSTIBLES '!E8</f>
        <v>9.16</v>
      </c>
      <c r="E10" s="247">
        <f>+D10</f>
        <v>9.16</v>
      </c>
      <c r="F10" s="224">
        <f>+E10</f>
        <v>9.16</v>
      </c>
      <c r="G10" s="224">
        <f>+BIODIESEL!D14</f>
        <v>9.16</v>
      </c>
      <c r="H10" s="224">
        <f>+BIODIESEL!$D$14</f>
        <v>9.16</v>
      </c>
      <c r="I10" s="224">
        <f>+BIODIESEL!$D$14</f>
        <v>9.16</v>
      </c>
      <c r="J10" s="349">
        <v>0</v>
      </c>
      <c r="K10" s="463">
        <v>0</v>
      </c>
      <c r="N10" s="26">
        <v>6474.0480291453787</v>
      </c>
      <c r="O10" s="26">
        <v>6414.6173003313961</v>
      </c>
      <c r="P10" s="26">
        <v>6875.1811988924737</v>
      </c>
      <c r="Q10" s="26">
        <v>6660.1986685624715</v>
      </c>
      <c r="R10" s="26">
        <v>6794.4669776671717</v>
      </c>
      <c r="S10" s="26">
        <v>6537.1057563440854</v>
      </c>
      <c r="T10" s="26">
        <v>6414.6173003313961</v>
      </c>
      <c r="U10" s="26">
        <v>6875.1811988924737</v>
      </c>
      <c r="V10" s="26">
        <v>6875.1811988924737</v>
      </c>
      <c r="W10" s="26"/>
      <c r="X10" s="26"/>
      <c r="Y10" s="26"/>
      <c r="Z10" s="26"/>
      <c r="AA10" s="572" t="s">
        <v>380</v>
      </c>
      <c r="AB10" s="572">
        <v>929</v>
      </c>
      <c r="AC10" s="572" t="s">
        <v>377</v>
      </c>
      <c r="AD10" s="572"/>
      <c r="AE10" s="572"/>
      <c r="AF10" s="572">
        <v>4502</v>
      </c>
      <c r="AG10" s="572"/>
      <c r="AH10" s="572"/>
      <c r="AI10" s="572"/>
      <c r="AJ10" s="572"/>
      <c r="AK10" s="572"/>
      <c r="AL10" s="572"/>
      <c r="AM10" s="572" t="s">
        <v>398</v>
      </c>
      <c r="AN10" s="572"/>
      <c r="AO10" s="572">
        <v>30000002129</v>
      </c>
      <c r="AP10" s="573">
        <f>+ROUND($E$8*2%,2)</f>
        <v>396.73</v>
      </c>
      <c r="AQ10" s="576" t="s">
        <v>378</v>
      </c>
      <c r="AR10" s="572">
        <v>1</v>
      </c>
      <c r="AS10" s="572" t="s">
        <v>379</v>
      </c>
      <c r="AT10" s="576" t="s">
        <v>400</v>
      </c>
      <c r="AU10" s="574" t="str">
        <f t="shared" si="0"/>
        <v>26.11.2024</v>
      </c>
      <c r="AV10" s="574" t="str">
        <f t="shared" si="1"/>
        <v>30.11.2024</v>
      </c>
    </row>
    <row r="11" spans="1:48" ht="27.6" customHeight="1">
      <c r="A11" s="232" t="s">
        <v>152</v>
      </c>
      <c r="B11" s="247" t="s">
        <v>11</v>
      </c>
      <c r="C11" s="247" t="s">
        <v>11</v>
      </c>
      <c r="D11" s="247" t="s">
        <v>11</v>
      </c>
      <c r="E11" s="247" t="s">
        <v>11</v>
      </c>
      <c r="F11" s="247" t="s">
        <v>11</v>
      </c>
      <c r="G11" s="247" t="s">
        <v>11</v>
      </c>
      <c r="H11" s="247" t="s">
        <v>11</v>
      </c>
      <c r="I11" s="247" t="s">
        <v>11</v>
      </c>
      <c r="J11" s="247" t="s">
        <v>11</v>
      </c>
      <c r="K11" s="563" t="s">
        <v>11</v>
      </c>
      <c r="N11" s="26"/>
      <c r="O11" s="26"/>
      <c r="P11" s="26"/>
      <c r="Q11" s="26"/>
      <c r="R11" s="26"/>
      <c r="S11" s="330">
        <f t="shared" ref="S11:V11" si="2">+(S10-S9)/S9</f>
        <v>0</v>
      </c>
      <c r="T11" s="330">
        <f t="shared" si="2"/>
        <v>-8.6521733848730145E-2</v>
      </c>
      <c r="U11" s="330">
        <f t="shared" si="2"/>
        <v>0</v>
      </c>
      <c r="V11" s="330">
        <f t="shared" si="2"/>
        <v>0</v>
      </c>
      <c r="W11" s="26"/>
      <c r="X11" s="26"/>
      <c r="Y11" s="26"/>
      <c r="Z11" s="26"/>
      <c r="AA11" s="594" t="s">
        <v>380</v>
      </c>
      <c r="AB11" s="594">
        <v>929</v>
      </c>
      <c r="AC11" s="594" t="s">
        <v>377</v>
      </c>
      <c r="AD11" s="594"/>
      <c r="AE11" s="594"/>
      <c r="AF11" s="594">
        <v>2000</v>
      </c>
      <c r="AG11" s="594"/>
      <c r="AH11" s="594"/>
      <c r="AI11" s="594"/>
      <c r="AJ11" s="594"/>
      <c r="AK11" s="594"/>
      <c r="AL11" s="594"/>
      <c r="AM11" s="594" t="s">
        <v>398</v>
      </c>
      <c r="AN11" s="594"/>
      <c r="AO11" s="594">
        <v>30000009291</v>
      </c>
      <c r="AP11" s="593">
        <f>+ROUND($G$8*2%,2)</f>
        <v>396.73</v>
      </c>
      <c r="AQ11" s="592" t="s">
        <v>378</v>
      </c>
      <c r="AR11" s="594">
        <v>1</v>
      </c>
      <c r="AS11" s="594" t="s">
        <v>379</v>
      </c>
      <c r="AT11" s="592" t="s">
        <v>400</v>
      </c>
      <c r="AU11" s="591" t="str">
        <f t="shared" si="0"/>
        <v>26.11.2024</v>
      </c>
      <c r="AV11" s="591" t="str">
        <f t="shared" si="1"/>
        <v>30.11.2024</v>
      </c>
    </row>
    <row r="12" spans="1:48" ht="23.65" hidden="1" customHeight="1">
      <c r="A12" s="57"/>
      <c r="B12" s="247"/>
      <c r="C12" s="247"/>
      <c r="D12" s="247"/>
      <c r="E12" s="247"/>
      <c r="F12" s="247"/>
      <c r="G12" s="247"/>
      <c r="H12" s="459"/>
      <c r="I12" s="459"/>
      <c r="J12" s="318"/>
      <c r="K12" s="291"/>
      <c r="N12" s="26"/>
      <c r="O12" s="26"/>
      <c r="P12" s="26"/>
      <c r="Q12" s="26"/>
      <c r="R12" s="26"/>
      <c r="S12" s="26"/>
      <c r="T12" s="26"/>
      <c r="U12" s="26"/>
      <c r="V12" s="26"/>
      <c r="W12" s="26"/>
      <c r="X12" s="26"/>
      <c r="Y12" s="26"/>
      <c r="Z12" s="26"/>
    </row>
    <row r="13" spans="1:48" ht="27.6" customHeight="1">
      <c r="A13" s="232" t="str">
        <f>+'COMBUSTIBLES '!A11</f>
        <v>Impuesto Nacional a la Gasolina y al ACPM</v>
      </c>
      <c r="B13" s="247">
        <f>+'Resoluciones, leyes'!$V$35</f>
        <v>693.65</v>
      </c>
      <c r="C13" s="247">
        <f>+ROUND('Resoluciones, leyes'!$V$35*(1-C$5),2)</f>
        <v>679.78</v>
      </c>
      <c r="D13" s="247">
        <f>+'Resoluciones, leyes'!$V$35</f>
        <v>693.65</v>
      </c>
      <c r="E13" s="247">
        <f>+ROUND('Resoluciones, leyes'!$V$35*(1-E$5),2)</f>
        <v>679.78</v>
      </c>
      <c r="F13" s="247">
        <f>+'Resoluciones, leyes'!$V$35</f>
        <v>693.65</v>
      </c>
      <c r="G13" s="247">
        <f>+ROUND('Resoluciones, leyes'!$V$35*(1-G$5),2)</f>
        <v>679.78</v>
      </c>
      <c r="H13" s="247">
        <f>+'Resoluciones, leyes'!$V$35</f>
        <v>693.65</v>
      </c>
      <c r="I13" s="247">
        <f>+ROUND('Resoluciones, leyes'!$V$35*(1-I$5),2)</f>
        <v>679.78</v>
      </c>
      <c r="J13" s="247">
        <f>+'Resoluciones, leyes'!$V$35</f>
        <v>693.65</v>
      </c>
      <c r="K13" s="291">
        <f>+'Resoluciones, leyes'!V38</f>
        <v>884.07</v>
      </c>
    </row>
    <row r="14" spans="1:48" ht="27.6" customHeight="1">
      <c r="A14" s="232" t="s">
        <v>210</v>
      </c>
      <c r="B14" s="464" t="s">
        <v>403</v>
      </c>
      <c r="C14" s="303" t="s">
        <v>403</v>
      </c>
      <c r="D14" s="303" t="s">
        <v>403</v>
      </c>
      <c r="E14" s="303" t="s">
        <v>403</v>
      </c>
      <c r="F14" s="303" t="s">
        <v>403</v>
      </c>
      <c r="G14" s="303" t="s">
        <v>403</v>
      </c>
      <c r="H14" s="303" t="s">
        <v>403</v>
      </c>
      <c r="I14" s="303" t="s">
        <v>403</v>
      </c>
      <c r="J14" s="303" t="s">
        <v>403</v>
      </c>
      <c r="K14" s="305" t="s">
        <v>403</v>
      </c>
    </row>
    <row r="15" spans="1:48" ht="27.6" customHeight="1">
      <c r="A15" s="560" t="s">
        <v>237</v>
      </c>
      <c r="B15" s="247">
        <f>+'Resoluciones, leyes'!$V$91</f>
        <v>210.63</v>
      </c>
      <c r="C15" s="247">
        <f>+B15*(1-C5)</f>
        <v>206.41739999999999</v>
      </c>
      <c r="D15" s="247">
        <f>+'Resoluciones, leyes'!$V$91</f>
        <v>210.63</v>
      </c>
      <c r="E15" s="247">
        <f>+D15*(1-E5)</f>
        <v>206.41739999999999</v>
      </c>
      <c r="F15" s="247">
        <f>+'Resoluciones, leyes'!$V$91</f>
        <v>210.63</v>
      </c>
      <c r="G15" s="247">
        <f>+F15*(1-G5)</f>
        <v>206.41739999999999</v>
      </c>
      <c r="H15" s="247">
        <f>+'Resoluciones, leyes'!$V$91</f>
        <v>210.63</v>
      </c>
      <c r="I15" s="247">
        <f>+H15*(1-I5)</f>
        <v>206.41739999999999</v>
      </c>
      <c r="J15" s="247">
        <f>+'Resoluciones, leyes'!$V$91</f>
        <v>210.63</v>
      </c>
      <c r="K15" s="291">
        <f>+'Resoluciones, leyes'!$V$38</f>
        <v>884.07</v>
      </c>
      <c r="M15" s="302"/>
      <c r="Z15" s="579" t="s">
        <v>432</v>
      </c>
      <c r="AA15" s="572" t="s">
        <v>376</v>
      </c>
      <c r="AB15" s="572">
        <v>567</v>
      </c>
      <c r="AC15" s="572" t="s">
        <v>385</v>
      </c>
      <c r="AD15" s="572"/>
      <c r="AE15" s="572"/>
      <c r="AF15" s="572"/>
      <c r="AG15" s="572"/>
      <c r="AH15" s="572"/>
      <c r="AI15" s="572"/>
      <c r="AJ15" s="572"/>
      <c r="AK15" s="572"/>
      <c r="AL15" s="572"/>
      <c r="AM15" s="572" t="s">
        <v>398</v>
      </c>
      <c r="AN15" s="572"/>
      <c r="AO15" s="572">
        <v>30000002129</v>
      </c>
      <c r="AP15" s="573">
        <f>+ROUND(C7*98%,2)</f>
        <v>9956.84</v>
      </c>
      <c r="AQ15" s="576" t="s">
        <v>378</v>
      </c>
      <c r="AR15" s="572">
        <v>1</v>
      </c>
      <c r="AS15" s="572" t="s">
        <v>379</v>
      </c>
      <c r="AT15" s="576" t="s">
        <v>400</v>
      </c>
      <c r="AU15" s="574" t="str">
        <f t="shared" ref="AU15:AU17" si="3">+TEXT($B$4,"DD.MM.YYYY")</f>
        <v>26.11.2024</v>
      </c>
      <c r="AV15" s="574" t="str">
        <f t="shared" ref="AV15:AV17" si="4">+TEXT($G$4,"DD.MM.YYYY")</f>
        <v>30.11.2024</v>
      </c>
    </row>
    <row r="16" spans="1:48" ht="27.6" customHeight="1">
      <c r="A16" s="232" t="s">
        <v>202</v>
      </c>
      <c r="B16" s="247" t="s">
        <v>19</v>
      </c>
      <c r="C16" s="247" t="s">
        <v>19</v>
      </c>
      <c r="D16" s="249" t="s">
        <v>19</v>
      </c>
      <c r="E16" s="249" t="s">
        <v>19</v>
      </c>
      <c r="F16" s="247" t="s">
        <v>19</v>
      </c>
      <c r="G16" s="247" t="s">
        <v>19</v>
      </c>
      <c r="H16" s="247" t="s">
        <v>19</v>
      </c>
      <c r="I16" s="247" t="s">
        <v>19</v>
      </c>
      <c r="J16" s="318" t="s">
        <v>19</v>
      </c>
      <c r="K16" s="291" t="s">
        <v>19</v>
      </c>
      <c r="AA16" s="572" t="s">
        <v>383</v>
      </c>
      <c r="AB16" s="572">
        <v>567</v>
      </c>
      <c r="AC16" s="572" t="s">
        <v>385</v>
      </c>
      <c r="AD16" s="572"/>
      <c r="AE16" s="572"/>
      <c r="AF16" s="572"/>
      <c r="AG16" s="572"/>
      <c r="AH16" s="572"/>
      <c r="AI16" s="572"/>
      <c r="AJ16" s="572"/>
      <c r="AK16" s="572"/>
      <c r="AL16" s="572"/>
      <c r="AM16" s="572" t="s">
        <v>398</v>
      </c>
      <c r="AN16" s="572"/>
      <c r="AO16" s="572">
        <v>30000000003</v>
      </c>
      <c r="AP16" s="573">
        <f>+$C$7</f>
        <v>10160.040000000001</v>
      </c>
      <c r="AQ16" s="576" t="s">
        <v>378</v>
      </c>
      <c r="AR16" s="572">
        <v>1</v>
      </c>
      <c r="AS16" s="572" t="s">
        <v>379</v>
      </c>
      <c r="AT16" s="576" t="s">
        <v>400</v>
      </c>
      <c r="AU16" s="574" t="str">
        <f t="shared" si="3"/>
        <v>26.11.2024</v>
      </c>
      <c r="AV16" s="574" t="str">
        <f t="shared" si="4"/>
        <v>30.11.2024</v>
      </c>
    </row>
    <row r="17" spans="1:48" ht="27.6" customHeight="1">
      <c r="A17" s="232" t="s">
        <v>201</v>
      </c>
      <c r="B17" s="247" t="s">
        <v>175</v>
      </c>
      <c r="C17" s="247" t="s">
        <v>175</v>
      </c>
      <c r="D17" s="247" t="s">
        <v>175</v>
      </c>
      <c r="E17" s="247" t="s">
        <v>175</v>
      </c>
      <c r="F17" s="247" t="s">
        <v>175</v>
      </c>
      <c r="G17" s="247" t="s">
        <v>175</v>
      </c>
      <c r="H17" s="247" t="s">
        <v>175</v>
      </c>
      <c r="I17" s="247" t="s">
        <v>175</v>
      </c>
      <c r="J17" s="318" t="s">
        <v>175</v>
      </c>
      <c r="K17" s="291" t="s">
        <v>175</v>
      </c>
      <c r="AA17" s="572" t="s">
        <v>380</v>
      </c>
      <c r="AB17" s="572">
        <v>567</v>
      </c>
      <c r="AC17" s="572" t="s">
        <v>385</v>
      </c>
      <c r="AD17" s="572"/>
      <c r="AE17" s="572"/>
      <c r="AF17" s="572"/>
      <c r="AG17" s="572"/>
      <c r="AH17" s="572"/>
      <c r="AI17" s="572"/>
      <c r="AJ17" s="572"/>
      <c r="AK17" s="572"/>
      <c r="AL17" s="572"/>
      <c r="AM17" s="572" t="s">
        <v>398</v>
      </c>
      <c r="AN17" s="572"/>
      <c r="AO17" s="572">
        <v>30000002129</v>
      </c>
      <c r="AP17" s="573">
        <f>+ROUND($C$8*2%,2)</f>
        <v>396.73</v>
      </c>
      <c r="AQ17" s="576" t="s">
        <v>378</v>
      </c>
      <c r="AR17" s="572">
        <v>1</v>
      </c>
      <c r="AS17" s="572" t="s">
        <v>379</v>
      </c>
      <c r="AT17" s="576" t="s">
        <v>400</v>
      </c>
      <c r="AU17" s="574" t="str">
        <f t="shared" si="3"/>
        <v>26.11.2024</v>
      </c>
      <c r="AV17" s="574" t="str">
        <f t="shared" si="4"/>
        <v>30.11.2024</v>
      </c>
    </row>
    <row r="18" spans="1:48" ht="27.6" customHeight="1" thickBot="1">
      <c r="A18" s="250" t="s">
        <v>317</v>
      </c>
      <c r="B18" s="411" t="str">
        <f>+D18</f>
        <v>(5)</v>
      </c>
      <c r="C18" s="411" t="str">
        <f>+D18</f>
        <v>(5)</v>
      </c>
      <c r="D18" s="411" t="str">
        <f>+'COMBUSTIBLES '!$E$16</f>
        <v>(5)</v>
      </c>
      <c r="E18" s="411" t="str">
        <f>+'COMBUSTIBLES '!$E$16</f>
        <v>(5)</v>
      </c>
      <c r="F18" s="411" t="str">
        <f>+E18</f>
        <v>(5)</v>
      </c>
      <c r="G18" s="411" t="str">
        <f>+D18</f>
        <v>(5)</v>
      </c>
      <c r="H18" s="411" t="str">
        <f t="shared" ref="H18:K18" si="5">+E18</f>
        <v>(5)</v>
      </c>
      <c r="I18" s="411" t="str">
        <f t="shared" si="5"/>
        <v>(5)</v>
      </c>
      <c r="J18" s="411" t="str">
        <f t="shared" si="5"/>
        <v>(5)</v>
      </c>
      <c r="K18" s="561" t="str">
        <f t="shared" si="5"/>
        <v>(5)</v>
      </c>
    </row>
    <row r="19" spans="1:48" s="26" customFormat="1" ht="15.95" customHeight="1" thickTop="1">
      <c r="A19" s="569"/>
      <c r="B19" s="16"/>
      <c r="C19" s="16"/>
      <c r="D19" s="16"/>
      <c r="E19" s="16"/>
      <c r="H19" s="16"/>
    </row>
    <row r="20" spans="1:48" s="26" customFormat="1" ht="15.95" customHeight="1">
      <c r="A20" s="301"/>
      <c r="B20" s="16"/>
      <c r="C20" s="16"/>
      <c r="D20" s="16"/>
      <c r="E20" s="16"/>
      <c r="H20" s="16"/>
    </row>
    <row r="21" spans="1:48" s="26" customFormat="1" ht="15.95" customHeight="1">
      <c r="A21" s="431" t="s">
        <v>337</v>
      </c>
      <c r="B21" s="16"/>
      <c r="C21" s="16"/>
      <c r="D21" s="16"/>
      <c r="E21" s="16" t="s">
        <v>449</v>
      </c>
      <c r="H21" s="16"/>
    </row>
    <row r="22" spans="1:48" s="26" customFormat="1" ht="18" customHeight="1">
      <c r="A22" s="12" t="s">
        <v>141</v>
      </c>
      <c r="B22" s="16"/>
      <c r="C22" s="16"/>
      <c r="D22" s="16"/>
      <c r="E22" s="16"/>
      <c r="H22" s="16"/>
    </row>
    <row r="23" spans="1:48" s="14" customFormat="1" ht="15">
      <c r="B23" s="13"/>
      <c r="C23" s="13"/>
    </row>
    <row r="24" spans="1:48" s="14" customFormat="1" ht="15">
      <c r="A24" s="12" t="s">
        <v>408</v>
      </c>
      <c r="B24" s="13"/>
      <c r="C24" s="13"/>
      <c r="J24" s="14" t="s">
        <v>138</v>
      </c>
    </row>
    <row r="25" spans="1:48" s="14" customFormat="1" ht="11.25" customHeight="1">
      <c r="A25" s="12"/>
      <c r="B25" s="13"/>
      <c r="C25" s="13"/>
    </row>
    <row r="26" spans="1:48" s="14" customFormat="1" ht="32.25" customHeight="1">
      <c r="A26" s="779" t="s">
        <v>199</v>
      </c>
      <c r="B26" s="779"/>
      <c r="C26" s="779"/>
      <c r="D26" s="779"/>
      <c r="E26" s="779"/>
      <c r="F26" s="779"/>
      <c r="G26" s="779"/>
      <c r="H26" s="779"/>
      <c r="I26" s="779"/>
    </row>
    <row r="27" spans="1:48" s="14" customFormat="1" ht="8.4499999999999993" customHeight="1">
      <c r="A27" s="12"/>
      <c r="B27" s="13"/>
      <c r="C27" s="13"/>
    </row>
    <row r="28" spans="1:48" s="14" customFormat="1" ht="30.75" customHeight="1">
      <c r="A28" s="779" t="s">
        <v>203</v>
      </c>
      <c r="B28" s="779"/>
      <c r="C28" s="779"/>
      <c r="D28" s="779"/>
      <c r="E28" s="779"/>
      <c r="F28" s="779"/>
      <c r="G28" s="779"/>
      <c r="H28" s="779"/>
      <c r="I28" s="779"/>
    </row>
    <row r="29" spans="1:48" s="14" customFormat="1" ht="9.6" customHeight="1">
      <c r="A29" s="12"/>
      <c r="B29" s="13"/>
      <c r="C29" s="13"/>
    </row>
    <row r="30" spans="1:48" s="14" customFormat="1" ht="14.25" customHeight="1">
      <c r="A30" s="780" t="s">
        <v>256</v>
      </c>
      <c r="B30" s="780"/>
      <c r="C30" s="780"/>
      <c r="D30" s="780"/>
      <c r="E30" s="780"/>
      <c r="F30" s="780"/>
      <c r="G30" s="780"/>
      <c r="H30" s="780"/>
      <c r="I30" s="780"/>
    </row>
    <row r="31" spans="1:48" ht="70.900000000000006" customHeight="1">
      <c r="A31" s="780"/>
      <c r="B31" s="780"/>
      <c r="C31" s="780"/>
      <c r="D31" s="780"/>
      <c r="E31" s="780"/>
      <c r="F31" s="780"/>
      <c r="G31" s="780"/>
      <c r="H31" s="780"/>
      <c r="I31" s="780"/>
    </row>
    <row r="32" spans="1:48" ht="23.65" customHeight="1">
      <c r="A32" s="773" t="s">
        <v>318</v>
      </c>
      <c r="B32" s="773"/>
      <c r="C32" s="773"/>
      <c r="D32" s="773"/>
      <c r="E32" s="773"/>
      <c r="F32" s="773"/>
      <c r="G32" s="773"/>
      <c r="H32" s="773"/>
    </row>
    <row r="33" spans="1:11">
      <c r="A33" s="773" t="s">
        <v>411</v>
      </c>
      <c r="B33" s="773"/>
      <c r="C33" s="773"/>
      <c r="D33" s="773"/>
      <c r="E33" s="773"/>
      <c r="F33" s="773"/>
      <c r="G33" s="773"/>
      <c r="H33" s="773"/>
    </row>
    <row r="34" spans="1:11" ht="203.25" customHeight="1">
      <c r="A34" s="774" t="s">
        <v>402</v>
      </c>
      <c r="B34" s="764"/>
      <c r="C34" s="764"/>
      <c r="D34" s="764"/>
      <c r="E34" s="764"/>
    </row>
    <row r="36" spans="1:11">
      <c r="A36" s="5" t="b">
        <f>+D7=E7</f>
        <v>1</v>
      </c>
      <c r="B36" s="462" t="str">
        <f>+D6</f>
        <v>Pozos Colorados (B0).</v>
      </c>
    </row>
    <row r="37" spans="1:11">
      <c r="A37" s="5" t="b">
        <f>+B7=C7</f>
        <v>1</v>
      </c>
      <c r="B37" s="462" t="str">
        <f>+B6</f>
        <v>Cartagena (B0).</v>
      </c>
    </row>
    <row r="38" spans="1:11">
      <c r="A38" s="5" t="b">
        <f>+F7=G7</f>
        <v>1</v>
      </c>
      <c r="B38" s="462" t="str">
        <f>+F6</f>
        <v>Barrancabermeja (B0).</v>
      </c>
    </row>
    <row r="39" spans="1:11">
      <c r="A39" s="5" t="b">
        <f>+I7=H7</f>
        <v>1</v>
      </c>
      <c r="B39" s="462" t="str">
        <f>+I6</f>
        <v>Puerto Palermo (B2).</v>
      </c>
    </row>
    <row r="40" spans="1:11">
      <c r="A40" s="5" t="b">
        <f>+J7=B7</f>
        <v>1</v>
      </c>
      <c r="B40" s="462" t="str">
        <f>+J6</f>
        <v>Cartagena Diesel Marino (B0).</v>
      </c>
    </row>
    <row r="43" spans="1:11">
      <c r="A43" s="32">
        <f>+COUNTIF($A$36:$A$40,"FALSO")</f>
        <v>0</v>
      </c>
      <c r="B43" s="32" t="str">
        <f>+IF(A43=0,".","ESTA MAL")</f>
        <v>.</v>
      </c>
    </row>
    <row r="45" spans="1:11">
      <c r="D45" s="310"/>
      <c r="E45" s="310"/>
      <c r="F45" s="310"/>
      <c r="G45" s="310"/>
      <c r="H45" s="310"/>
      <c r="I45" s="310"/>
      <c r="J45" s="310"/>
      <c r="K45" s="310"/>
    </row>
    <row r="46" spans="1:11">
      <c r="D46" s="310"/>
      <c r="E46" s="310"/>
      <c r="F46" s="310"/>
      <c r="G46" s="310"/>
      <c r="H46" s="310"/>
      <c r="I46" s="310"/>
      <c r="J46" s="310"/>
      <c r="K46" s="310"/>
    </row>
  </sheetData>
  <sheetProtection algorithmName="SHA-512" hashValue="EwWMB+wBLLmaJ8pOBuzxyEGhKRKZx/x179M08PhaQ0I6gYH0psWVYKshhAFOYvXxKJu1SDHTYPadxlrvLuKnrw==" saltValue="TtOWG5MKRZQKo+nBzt0q7w==" spinCount="100000" sheet="1" objects="1" scenarios="1"/>
  <mergeCells count="9">
    <mergeCell ref="A32:H32"/>
    <mergeCell ref="A33:H33"/>
    <mergeCell ref="A34:E34"/>
    <mergeCell ref="A1:I1"/>
    <mergeCell ref="A2:I2"/>
    <mergeCell ref="A3:I3"/>
    <mergeCell ref="A26:I26"/>
    <mergeCell ref="A28:I28"/>
    <mergeCell ref="A30:I31"/>
  </mergeCells>
  <conditionalFormatting sqref="AA2:AV11">
    <cfRule type="containsText" dxfId="53" priority="2" operator="containsText" text="Seleccione...">
      <formula>NOT(ISERROR(SEARCH("Seleccione...",AA2)))</formula>
    </cfRule>
  </conditionalFormatting>
  <conditionalFormatting sqref="AA15:AV17">
    <cfRule type="containsText" dxfId="52" priority="1" operator="containsText" text="Seleccione...">
      <formula>NOT(ISERROR(SEARCH("Seleccione...",AA15)))</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7C70EBC-A868-4C72-B5CF-37069C13BF42}">
          <x14:formula1>
            <xm:f>Fechas!$A$2:$A$831</xm:f>
          </x14:formula1>
          <xm:sqref>B4 G4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F1DA3-2D0F-49CD-B2B9-9CA8B950326F}">
  <dimension ref="A1:AW42"/>
  <sheetViews>
    <sheetView showGridLines="0" topLeftCell="B1" zoomScale="85" zoomScaleNormal="85" workbookViewId="0">
      <selection activeCell="Q5" sqref="Q5"/>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7987.55</v>
      </c>
      <c r="AR2" s="583" t="s">
        <v>378</v>
      </c>
      <c r="AS2" s="583">
        <v>1</v>
      </c>
      <c r="AT2" s="581" t="s">
        <v>379</v>
      </c>
      <c r="AU2" s="580" t="s">
        <v>400</v>
      </c>
      <c r="AV2" s="574" t="str">
        <f>+TEXT($B$4,"DD.MM.YYYY")</f>
        <v>29.10.2024</v>
      </c>
      <c r="AW2" s="574" t="str">
        <f>+TEXT($B$5,"DD.MM.YYYY")</f>
        <v>04.11.2024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8988.9500000000007</v>
      </c>
      <c r="AR3" s="602" t="s">
        <v>378</v>
      </c>
      <c r="AS3" s="602">
        <v>1</v>
      </c>
      <c r="AT3" s="604" t="s">
        <v>379</v>
      </c>
      <c r="AU3" s="605" t="s">
        <v>400</v>
      </c>
      <c r="AV3" s="574" t="str">
        <f>+TEXT($B$4,"DD.MM.YYYY")</f>
        <v>29.10.2024</v>
      </c>
      <c r="AW3" s="574" t="str">
        <f>+TEXT($B$5,"DD.MM.YYYY")</f>
        <v>04.11.2024</v>
      </c>
    </row>
    <row r="4" spans="1:49" ht="24.75" customHeight="1">
      <c r="A4" s="600" t="s">
        <v>426</v>
      </c>
      <c r="B4" s="599">
        <v>45594</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366.77</v>
      </c>
      <c r="AR4" s="602" t="s">
        <v>378</v>
      </c>
      <c r="AS4" s="602">
        <v>1</v>
      </c>
      <c r="AT4" s="604" t="s">
        <v>379</v>
      </c>
      <c r="AU4" s="605" t="s">
        <v>400</v>
      </c>
      <c r="AV4" s="574" t="str">
        <f>+TEXT($B$4,"DD.MM.YYYY")</f>
        <v>29.10.2024</v>
      </c>
      <c r="AW4" s="574" t="str">
        <f>+TEXT($B$5,"DD.MM.YYYY")</f>
        <v>04.11.2024</v>
      </c>
    </row>
    <row r="5" spans="1:49" ht="18.75">
      <c r="A5" s="579" t="s">
        <v>427</v>
      </c>
      <c r="B5" s="599">
        <v>45600</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9172.4</v>
      </c>
      <c r="AR5" s="583" t="s">
        <v>378</v>
      </c>
      <c r="AS5" s="583">
        <v>1</v>
      </c>
      <c r="AT5" s="581" t="s">
        <v>379</v>
      </c>
      <c r="AU5" s="580" t="s">
        <v>400</v>
      </c>
      <c r="AV5" s="574" t="str">
        <f>+TEXT($B$4,"DD.MM.YYYY")</f>
        <v>29.10.2024</v>
      </c>
      <c r="AW5" s="574" t="str">
        <f>+TEXT($B$5,"DD.MM.YYYY")</f>
        <v>04.11.2024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9258.4185276000007</v>
      </c>
      <c r="C8" s="565">
        <f>+B8</f>
        <v>9258.4185276000007</v>
      </c>
      <c r="D8" s="562">
        <v>9172.3985275999985</v>
      </c>
      <c r="E8" s="565">
        <f>+D8</f>
        <v>9172.3985275999985</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v>18338.36</v>
      </c>
      <c r="D9" s="349">
        <v>0</v>
      </c>
      <c r="E9" s="224">
        <v>18338.36</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8073.57</v>
      </c>
      <c r="AR9" s="583" t="s">
        <v>378</v>
      </c>
      <c r="AS9" s="583">
        <v>1</v>
      </c>
      <c r="AT9" s="581" t="s">
        <v>379</v>
      </c>
      <c r="AU9" s="580" t="s">
        <v>400</v>
      </c>
      <c r="AV9" s="574" t="str">
        <f>+TEXT($B$4,"DD.MM.YYYY")</f>
        <v>29.10.2024</v>
      </c>
      <c r="AW9" s="574" t="str">
        <f>+TEXT($B$5,"DD.MM.YYYY")</f>
        <v>04.11.2024</v>
      </c>
    </row>
    <row r="10" spans="1:49" ht="35.450000000000003" customHeight="1">
      <c r="A10" s="248" t="s">
        <v>139</v>
      </c>
      <c r="B10" s="224">
        <f t="shared" ref="B10" si="0">+ROUND(B9*B6,2)+B8*(1-B6)</f>
        <v>9258.4185276000007</v>
      </c>
      <c r="C10" s="224">
        <f>+ROUND(C9*C6,2)+C8*(1-C6)</f>
        <v>9440.0201570480003</v>
      </c>
      <c r="D10" s="224">
        <f t="shared" ref="D10:E10" si="1">+ROUND(D9*D6,2)+D8*(1-D6)</f>
        <v>9172.3985275999985</v>
      </c>
      <c r="E10" s="224">
        <f t="shared" si="1"/>
        <v>9355.7205570479982</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9073.25</v>
      </c>
      <c r="AR10" s="602" t="s">
        <v>378</v>
      </c>
      <c r="AS10" s="602">
        <v>1</v>
      </c>
      <c r="AT10" s="604" t="s">
        <v>379</v>
      </c>
      <c r="AU10" s="605" t="s">
        <v>400</v>
      </c>
      <c r="AV10" s="574" t="str">
        <f>+TEXT($B$4,"DD.MM.YYYY")</f>
        <v>29.10.2024</v>
      </c>
      <c r="AW10" s="574" t="str">
        <f>+TEXT($B$5,"DD.MM.YYYY")</f>
        <v>04.11.2024</v>
      </c>
    </row>
    <row r="11" spans="1:49" ht="35.450000000000003" customHeight="1">
      <c r="A11" s="248" t="s">
        <v>415</v>
      </c>
      <c r="B11" s="570">
        <v>8073.5676039</v>
      </c>
      <c r="C11" s="224"/>
      <c r="D11" s="570">
        <v>7987.5476039000005</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366.77</v>
      </c>
      <c r="AR11" s="602" t="s">
        <v>378</v>
      </c>
      <c r="AS11" s="602">
        <v>1</v>
      </c>
      <c r="AT11" s="604" t="s">
        <v>379</v>
      </c>
      <c r="AU11" s="605" t="s">
        <v>400</v>
      </c>
      <c r="AV11" s="574" t="str">
        <f>+TEXT($B$4,"DD.MM.YYYY")</f>
        <v>29.10.2024</v>
      </c>
      <c r="AW11" s="574" t="str">
        <f>+TEXT($B$5,"DD.MM.YYYY")</f>
        <v>04.11.2024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9258.42</v>
      </c>
      <c r="AR12" s="583" t="s">
        <v>378</v>
      </c>
      <c r="AS12" s="583">
        <v>1</v>
      </c>
      <c r="AT12" s="581" t="s">
        <v>379</v>
      </c>
      <c r="AU12" s="580" t="s">
        <v>400</v>
      </c>
      <c r="AV12" s="574" t="str">
        <f>+TEXT($B$4,"DD.MM.YYYY")</f>
        <v>29.10.2024</v>
      </c>
      <c r="AW12" s="574" t="str">
        <f>+TEXT($B$5,"DD.MM.YYYY")</f>
        <v>04.11.2024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PyvjYsaJi9vFcByqIi1Et782Tp3tlS7xmrCO7cZZjXDDLK6xY6fJoA1pBr3AvVfhuFBa1E9RB1BRJP9GqvlP7w==" saltValue="TEUqrIT/NnagDLBQSPlc5w=="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51" priority="2" operator="containsText" text="Seleccione...">
      <formula>NOT(ISERROR(SEARCH("Seleccione...",AV2)))</formula>
    </cfRule>
  </conditionalFormatting>
  <conditionalFormatting sqref="AV9:AW12">
    <cfRule type="containsText" dxfId="50"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C52727-5DDF-42FB-8192-70FCB0C867B9}">
          <x14:formula1>
            <xm:f>Fechas!$A$2:$A$831</xm:f>
          </x14:formula1>
          <xm:sqref>B4:B5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0CAE-F610-4621-ADDE-5CDDD8B57D03}">
  <dimension ref="A1:AW42"/>
  <sheetViews>
    <sheetView showGridLines="0" zoomScale="85" zoomScaleNormal="85" workbookViewId="0">
      <selection activeCell="B5" sqref="B5"/>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7846.86</v>
      </c>
      <c r="AR2" s="583" t="s">
        <v>378</v>
      </c>
      <c r="AS2" s="583">
        <v>1</v>
      </c>
      <c r="AT2" s="581" t="s">
        <v>379</v>
      </c>
      <c r="AU2" s="580" t="s">
        <v>400</v>
      </c>
      <c r="AV2" s="574" t="str">
        <f>+TEXT($B$4,"DD.MM.YYYY")</f>
        <v>05.11.2024</v>
      </c>
      <c r="AW2" s="574" t="str">
        <f>+TEXT($B$5,"DD.MM.YYYY")</f>
        <v>06.11.2024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9053.64</v>
      </c>
      <c r="AR3" s="602" t="s">
        <v>378</v>
      </c>
      <c r="AS3" s="602">
        <v>1</v>
      </c>
      <c r="AT3" s="604" t="s">
        <v>379</v>
      </c>
      <c r="AU3" s="605" t="s">
        <v>400</v>
      </c>
      <c r="AV3" s="574" t="str">
        <f>+TEXT($B$4,"DD.MM.YYYY")</f>
        <v>05.11.2024</v>
      </c>
      <c r="AW3" s="574" t="str">
        <f>+TEXT($B$5,"DD.MM.YYYY")</f>
        <v>06.11.2024</v>
      </c>
    </row>
    <row r="4" spans="1:49" ht="24.75" customHeight="1">
      <c r="A4" s="600" t="s">
        <v>426</v>
      </c>
      <c r="B4" s="599">
        <v>45601</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366.77</v>
      </c>
      <c r="AR4" s="602" t="s">
        <v>378</v>
      </c>
      <c r="AS4" s="602">
        <v>1</v>
      </c>
      <c r="AT4" s="604" t="s">
        <v>379</v>
      </c>
      <c r="AU4" s="605" t="s">
        <v>400</v>
      </c>
      <c r="AV4" s="574" t="str">
        <f>+TEXT($B$4,"DD.MM.YYYY")</f>
        <v>05.11.2024</v>
      </c>
      <c r="AW4" s="574" t="str">
        <f>+TEXT($B$5,"DD.MM.YYYY")</f>
        <v>06.11.2024</v>
      </c>
    </row>
    <row r="5" spans="1:49" ht="18.75">
      <c r="A5" s="579" t="s">
        <v>427</v>
      </c>
      <c r="B5" s="599">
        <v>45602</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9238.41</v>
      </c>
      <c r="AR5" s="583" t="s">
        <v>378</v>
      </c>
      <c r="AS5" s="583">
        <v>1</v>
      </c>
      <c r="AT5" s="581" t="s">
        <v>379</v>
      </c>
      <c r="AU5" s="580" t="s">
        <v>400</v>
      </c>
      <c r="AV5" s="574" t="str">
        <f>+TEXT($B$4,"DD.MM.YYYY")</f>
        <v>05.11.2024</v>
      </c>
      <c r="AW5" s="574" t="str">
        <f>+TEXT($B$5,"DD.MM.YYYY")</f>
        <v>06.11.2024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9324.4325500000014</v>
      </c>
      <c r="C8" s="565">
        <f>+B8</f>
        <v>9324.4325500000014</v>
      </c>
      <c r="D8" s="562">
        <v>9238.4125499999991</v>
      </c>
      <c r="E8" s="565">
        <f>+D8</f>
        <v>9238.4125499999991</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v>18338.36</v>
      </c>
      <c r="D9" s="349">
        <v>0</v>
      </c>
      <c r="E9" s="224">
        <v>18338.36</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7932.88</v>
      </c>
      <c r="AR9" s="583" t="s">
        <v>378</v>
      </c>
      <c r="AS9" s="583">
        <v>1</v>
      </c>
      <c r="AT9" s="581" t="s">
        <v>379</v>
      </c>
      <c r="AU9" s="580" t="s">
        <v>400</v>
      </c>
      <c r="AV9" s="574" t="str">
        <f>+TEXT($B$4,"DD.MM.YYYY")</f>
        <v>05.11.2024</v>
      </c>
      <c r="AW9" s="574" t="str">
        <f>+TEXT($B$5,"DD.MM.YYYY")</f>
        <v>06.11.2024</v>
      </c>
    </row>
    <row r="10" spans="1:49" ht="35.450000000000003" customHeight="1">
      <c r="A10" s="248" t="s">
        <v>139</v>
      </c>
      <c r="B10" s="224">
        <f t="shared" ref="B10" si="0">+ROUND(B9*B6,2)+B8*(1-B6)</f>
        <v>9324.4325500000014</v>
      </c>
      <c r="C10" s="224">
        <f>+ROUND(C9*C6,2)+C8*(1-C6)</f>
        <v>9504.7138990000021</v>
      </c>
      <c r="D10" s="224">
        <f t="shared" ref="D10:E10" si="1">+ROUND(D9*D6,2)+D8*(1-D6)</f>
        <v>9238.4125499999991</v>
      </c>
      <c r="E10" s="224">
        <f t="shared" si="1"/>
        <v>9420.414299</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9137.94</v>
      </c>
      <c r="AR10" s="602" t="s">
        <v>378</v>
      </c>
      <c r="AS10" s="602">
        <v>1</v>
      </c>
      <c r="AT10" s="604" t="s">
        <v>379</v>
      </c>
      <c r="AU10" s="605" t="s">
        <v>400</v>
      </c>
      <c r="AV10" s="574" t="str">
        <f>+TEXT($B$4,"DD.MM.YYYY")</f>
        <v>05.11.2024</v>
      </c>
      <c r="AW10" s="574" t="str">
        <f>+TEXT($B$5,"DD.MM.YYYY")</f>
        <v>06.11.2024</v>
      </c>
    </row>
    <row r="11" spans="1:49" ht="35.450000000000003" customHeight="1">
      <c r="A11" s="248" t="s">
        <v>415</v>
      </c>
      <c r="B11" s="570">
        <v>7932.8834686999999</v>
      </c>
      <c r="C11" s="224"/>
      <c r="D11" s="570">
        <v>7846.8634686999985</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366.77</v>
      </c>
      <c r="AR11" s="602" t="s">
        <v>378</v>
      </c>
      <c r="AS11" s="602">
        <v>1</v>
      </c>
      <c r="AT11" s="604" t="s">
        <v>379</v>
      </c>
      <c r="AU11" s="605" t="s">
        <v>400</v>
      </c>
      <c r="AV11" s="574" t="str">
        <f>+TEXT($B$4,"DD.MM.YYYY")</f>
        <v>05.11.2024</v>
      </c>
      <c r="AW11" s="574" t="str">
        <f>+TEXT($B$5,"DD.MM.YYYY")</f>
        <v>06.11.2024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9324.43</v>
      </c>
      <c r="AR12" s="583" t="s">
        <v>378</v>
      </c>
      <c r="AS12" s="583">
        <v>1</v>
      </c>
      <c r="AT12" s="581" t="s">
        <v>379</v>
      </c>
      <c r="AU12" s="580" t="s">
        <v>400</v>
      </c>
      <c r="AV12" s="574" t="str">
        <f>+TEXT($B$4,"DD.MM.YYYY")</f>
        <v>05.11.2024</v>
      </c>
      <c r="AW12" s="574" t="str">
        <f>+TEXT($B$5,"DD.MM.YYYY")</f>
        <v>06.11.2024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78cg3sJI0M2ldACenqTq9xdmCoH/LxsDQAUO/PrBSNhWANQkdXTpgTglfjdxt714BqugeBMPq7NfKAiZtKYz3w==" saltValue="1EkzLAOrDm4qqNHU0pVPSg=="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49" priority="2" operator="containsText" text="Seleccione...">
      <formula>NOT(ISERROR(SEARCH("Seleccione...",AV2)))</formula>
    </cfRule>
  </conditionalFormatting>
  <conditionalFormatting sqref="AV9:AW12">
    <cfRule type="containsText" dxfId="48"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8F05824-7E03-417A-9FD6-D3E40BC8F82E}">
          <x14:formula1>
            <xm:f>Fechas!$A$2:$A$831</xm:f>
          </x14:formula1>
          <xm:sqref>B4:B5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1E6A-7224-4997-B299-4239D3CEE322}">
  <dimension ref="A1:AW42"/>
  <sheetViews>
    <sheetView showGridLines="0" zoomScale="85" zoomScaleNormal="85" workbookViewId="0">
      <selection activeCell="J3" sqref="J3:P3"/>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7846.86</v>
      </c>
      <c r="AR2" s="583" t="s">
        <v>378</v>
      </c>
      <c r="AS2" s="583">
        <v>1</v>
      </c>
      <c r="AT2" s="581" t="s">
        <v>379</v>
      </c>
      <c r="AU2" s="580" t="s">
        <v>400</v>
      </c>
      <c r="AV2" s="574" t="str">
        <f>+TEXT($B$4,"DD.MM.YYYY")</f>
        <v>07.11.2024</v>
      </c>
      <c r="AW2" s="574" t="str">
        <f>+TEXT($B$5,"DD.MM.YYYY")</f>
        <v>11.11.2024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9053.64</v>
      </c>
      <c r="AR3" s="602" t="s">
        <v>378</v>
      </c>
      <c r="AS3" s="602">
        <v>1</v>
      </c>
      <c r="AT3" s="604" t="s">
        <v>379</v>
      </c>
      <c r="AU3" s="605" t="s">
        <v>400</v>
      </c>
      <c r="AV3" s="574" t="str">
        <f>+TEXT($B$4,"DD.MM.YYYY")</f>
        <v>07.11.2024</v>
      </c>
      <c r="AW3" s="574" t="str">
        <f>+TEXT($B$5,"DD.MM.YYYY")</f>
        <v>11.11.2024</v>
      </c>
    </row>
    <row r="4" spans="1:49" ht="24.75" customHeight="1">
      <c r="A4" s="600" t="s">
        <v>426</v>
      </c>
      <c r="B4" s="599">
        <v>45603</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07.11.2024</v>
      </c>
      <c r="AW4" s="574" t="str">
        <f>+TEXT($B$5,"DD.MM.YYYY")</f>
        <v>11.11.2024</v>
      </c>
    </row>
    <row r="5" spans="1:49" ht="18.75">
      <c r="A5" s="579" t="s">
        <v>427</v>
      </c>
      <c r="B5" s="599">
        <v>45607</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9238.41</v>
      </c>
      <c r="AR5" s="583" t="s">
        <v>378</v>
      </c>
      <c r="AS5" s="583">
        <v>1</v>
      </c>
      <c r="AT5" s="581" t="s">
        <v>379</v>
      </c>
      <c r="AU5" s="580" t="s">
        <v>400</v>
      </c>
      <c r="AV5" s="574" t="str">
        <f>+TEXT($B$4,"DD.MM.YYYY")</f>
        <v>07.11.2024</v>
      </c>
      <c r="AW5" s="574" t="str">
        <f>+TEXT($B$5,"DD.MM.YYYY")</f>
        <v>11.11.2024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9324.4325500000014</v>
      </c>
      <c r="C8" s="565">
        <f>+B8</f>
        <v>9324.4325500000014</v>
      </c>
      <c r="D8" s="562">
        <v>9238.4125499999991</v>
      </c>
      <c r="E8" s="565">
        <f>+D8</f>
        <v>9238.4125499999991</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7932.88</v>
      </c>
      <c r="AR9" s="583" t="s">
        <v>378</v>
      </c>
      <c r="AS9" s="583">
        <v>1</v>
      </c>
      <c r="AT9" s="581" t="s">
        <v>379</v>
      </c>
      <c r="AU9" s="580" t="s">
        <v>400</v>
      </c>
      <c r="AV9" s="574" t="str">
        <f>+TEXT($B$4,"DD.MM.YYYY")</f>
        <v>07.11.2024</v>
      </c>
      <c r="AW9" s="574" t="str">
        <f>+TEXT($B$5,"DD.MM.YYYY")</f>
        <v>11.11.2024</v>
      </c>
    </row>
    <row r="10" spans="1:49" ht="35.450000000000003" customHeight="1">
      <c r="A10" s="248" t="s">
        <v>139</v>
      </c>
      <c r="B10" s="224">
        <f t="shared" ref="B10" si="0">+ROUND(B9*B6,2)+B8*(1-B6)</f>
        <v>9324.4325500000014</v>
      </c>
      <c r="C10" s="224">
        <f>+ROUND(C9*C6,2)+C8*(1-C6)</f>
        <v>9534.6738990000013</v>
      </c>
      <c r="D10" s="224">
        <f t="shared" ref="D10:E10" si="1">+ROUND(D9*D6,2)+D8*(1-D6)</f>
        <v>9238.4125499999991</v>
      </c>
      <c r="E10" s="224">
        <f t="shared" si="1"/>
        <v>9450.3742989999992</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9137.94</v>
      </c>
      <c r="AR10" s="602" t="s">
        <v>378</v>
      </c>
      <c r="AS10" s="602">
        <v>1</v>
      </c>
      <c r="AT10" s="604" t="s">
        <v>379</v>
      </c>
      <c r="AU10" s="605" t="s">
        <v>400</v>
      </c>
      <c r="AV10" s="574" t="str">
        <f>+TEXT($B$4,"DD.MM.YYYY")</f>
        <v>07.11.2024</v>
      </c>
      <c r="AW10" s="574" t="str">
        <f>+TEXT($B$5,"DD.MM.YYYY")</f>
        <v>11.11.2024</v>
      </c>
    </row>
    <row r="11" spans="1:49" ht="35.450000000000003" customHeight="1">
      <c r="A11" s="248" t="s">
        <v>415</v>
      </c>
      <c r="B11" s="570">
        <v>7932.8834686999999</v>
      </c>
      <c r="C11" s="224"/>
      <c r="D11" s="570">
        <v>7846.8634686999985</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07.11.2024</v>
      </c>
      <c r="AW11" s="574" t="str">
        <f>+TEXT($B$5,"DD.MM.YYYY")</f>
        <v>11.11.2024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9324.43</v>
      </c>
      <c r="AR12" s="583" t="s">
        <v>378</v>
      </c>
      <c r="AS12" s="583">
        <v>1</v>
      </c>
      <c r="AT12" s="581" t="s">
        <v>379</v>
      </c>
      <c r="AU12" s="580" t="s">
        <v>400</v>
      </c>
      <c r="AV12" s="574" t="str">
        <f>+TEXT($B$4,"DD.MM.YYYY")</f>
        <v>07.11.2024</v>
      </c>
      <c r="AW12" s="574" t="str">
        <f>+TEXT($B$5,"DD.MM.YYYY")</f>
        <v>11.11.2024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pkJIE29l3hfUl/hsjQSRXsr5ETqBSw2MUHalLpGlm7VKY/5AwavOXDrvfthnfR/C1hvhr2ru/1jbUYIRDO92Ew==" saltValue="4vC27dmOxittTqE8wtwFlw=="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47" priority="2" operator="containsText" text="Seleccione...">
      <formula>NOT(ISERROR(SEARCH("Seleccione...",AV2)))</formula>
    </cfRule>
  </conditionalFormatting>
  <conditionalFormatting sqref="AV9:AW12">
    <cfRule type="containsText" dxfId="46"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81A531-7063-418F-B0FF-54B6A2D6075A}">
          <x14:formula1>
            <xm:f>Fechas!$A$2:$A$831</xm:f>
          </x14:formula1>
          <xm:sqref>B4:B5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4BA-889F-4C5F-B789-F6F5C2E34DEE}">
  <dimension ref="A1:AW42"/>
  <sheetViews>
    <sheetView showGridLines="0" zoomScale="85" zoomScaleNormal="85" workbookViewId="0">
      <selection activeCell="J7" sqref="J7"/>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9" width="7.85546875" style="5"/>
    <col min="10" max="10" width="15" style="5" bestFit="1" customWidth="1"/>
    <col min="11" max="11" width="14.140625" style="5" bestFit="1" customWidth="1"/>
    <col min="12" max="12" width="23.28515625" style="5" bestFit="1" customWidth="1"/>
    <col min="13" max="16" width="7.85546875" style="5"/>
    <col min="17" max="17" width="0" style="5" hidden="1" customWidth="1"/>
    <col min="18" max="18" width="35.5703125" style="5" hidden="1" customWidth="1"/>
    <col min="19" max="19" width="27" style="5" hidden="1" customWidth="1"/>
    <col min="20" max="20" width="19.5703125" style="5" hidden="1" customWidth="1"/>
    <col min="21" max="22" width="10.5703125" style="5" hidden="1" customWidth="1"/>
    <col min="23" max="23" width="12.28515625" style="5" hidden="1" customWidth="1"/>
    <col min="24" max="25" width="10.5703125" style="5" hidden="1" customWidth="1"/>
    <col min="26" max="26" width="0" style="5" hidden="1" customWidth="1"/>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637"/>
      <c r="J2" s="637"/>
      <c r="K2" s="637"/>
      <c r="L2" s="638"/>
      <c r="M2" s="638"/>
      <c r="N2" s="638"/>
      <c r="O2" s="638"/>
      <c r="P2" s="638"/>
      <c r="Q2" s="638"/>
      <c r="R2" s="638"/>
      <c r="S2" s="638"/>
      <c r="T2" s="638"/>
      <c r="U2" s="638"/>
      <c r="V2" s="638"/>
      <c r="W2" s="638"/>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8419.41</v>
      </c>
      <c r="AR2" s="583" t="s">
        <v>378</v>
      </c>
      <c r="AS2" s="583">
        <v>1</v>
      </c>
      <c r="AT2" s="581" t="s">
        <v>379</v>
      </c>
      <c r="AU2" s="580" t="s">
        <v>400</v>
      </c>
      <c r="AV2" s="574" t="str">
        <f>+TEXT($B$4,"DD.MM.YYYY")</f>
        <v>12.11.2024</v>
      </c>
      <c r="AW2" s="574" t="str">
        <f>+TEXT($B$5,"DD.MM.YYYY")</f>
        <v>18.11.2024</v>
      </c>
    </row>
    <row r="3" spans="1:49" ht="24.75" customHeight="1">
      <c r="A3" s="777" t="s">
        <v>21</v>
      </c>
      <c r="B3" s="778"/>
      <c r="C3" s="778"/>
      <c r="D3" s="778"/>
      <c r="E3" s="778"/>
      <c r="F3" s="310"/>
      <c r="G3" s="310"/>
      <c r="H3" s="310"/>
      <c r="I3" s="637"/>
      <c r="J3" s="783"/>
      <c r="K3" s="783"/>
      <c r="L3" s="783"/>
      <c r="M3" s="783"/>
      <c r="N3" s="783"/>
      <c r="O3" s="783"/>
      <c r="P3" s="783"/>
      <c r="Q3" s="637"/>
      <c r="R3" s="637"/>
      <c r="S3" s="637"/>
      <c r="T3" s="637"/>
      <c r="U3" s="637"/>
      <c r="V3" s="637"/>
      <c r="W3" s="637"/>
      <c r="AB3" s="575" t="s">
        <v>376</v>
      </c>
      <c r="AC3" s="575">
        <v>929</v>
      </c>
      <c r="AD3" s="602" t="s">
        <v>377</v>
      </c>
      <c r="AE3" s="602"/>
      <c r="AF3" s="602"/>
      <c r="AG3" s="602">
        <v>2000</v>
      </c>
      <c r="AH3" s="602"/>
      <c r="AI3" s="602"/>
      <c r="AJ3" s="602"/>
      <c r="AK3" s="602"/>
      <c r="AL3" s="602"/>
      <c r="AM3" s="602"/>
      <c r="AN3" s="602" t="s">
        <v>429</v>
      </c>
      <c r="AO3" s="602"/>
      <c r="AP3" s="602">
        <v>30000002129</v>
      </c>
      <c r="AQ3" s="603">
        <f>+ROUND($E$8*98%,2)</f>
        <v>9466.31</v>
      </c>
      <c r="AR3" s="602" t="s">
        <v>378</v>
      </c>
      <c r="AS3" s="602">
        <v>1</v>
      </c>
      <c r="AT3" s="604" t="s">
        <v>379</v>
      </c>
      <c r="AU3" s="605" t="s">
        <v>400</v>
      </c>
      <c r="AV3" s="574" t="str">
        <f>+TEXT($B$4,"DD.MM.YYYY")</f>
        <v>12.11.2024</v>
      </c>
      <c r="AW3" s="574" t="str">
        <f>+TEXT($B$5,"DD.MM.YYYY")</f>
        <v>18.11.2024</v>
      </c>
    </row>
    <row r="4" spans="1:49" ht="24.75" customHeight="1">
      <c r="A4" s="600" t="s">
        <v>426</v>
      </c>
      <c r="B4" s="599">
        <v>45608</v>
      </c>
      <c r="C4" s="590"/>
      <c r="D4" s="590"/>
      <c r="E4" s="590"/>
      <c r="F4" s="310"/>
      <c r="G4" s="310"/>
      <c r="H4" s="310"/>
      <c r="I4" s="637"/>
      <c r="J4" s="647" t="str">
        <f>+R4</f>
        <v>FECHA</v>
      </c>
      <c r="K4" s="647" t="s">
        <v>447</v>
      </c>
      <c r="L4" s="647" t="s">
        <v>448</v>
      </c>
      <c r="M4" s="639"/>
      <c r="N4" s="639"/>
      <c r="O4" s="639"/>
      <c r="P4" s="639"/>
      <c r="Q4" s="638"/>
      <c r="R4" s="646" t="s">
        <v>439</v>
      </c>
      <c r="S4" s="647" t="s">
        <v>440</v>
      </c>
      <c r="T4" s="647" t="s">
        <v>441</v>
      </c>
      <c r="U4" s="647" t="s">
        <v>437</v>
      </c>
      <c r="V4" s="637"/>
      <c r="W4" s="637"/>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12.11.2024</v>
      </c>
      <c r="AW4" s="574" t="str">
        <f>+TEXT($B$5,"DD.MM.YYYY")</f>
        <v>18.11.2024</v>
      </c>
    </row>
    <row r="5" spans="1:49" ht="18.75">
      <c r="A5" s="579" t="s">
        <v>427</v>
      </c>
      <c r="B5" s="599">
        <v>45614</v>
      </c>
      <c r="C5" s="585"/>
      <c r="D5" s="598"/>
      <c r="E5" s="585"/>
      <c r="I5" s="637"/>
      <c r="J5" s="654">
        <f>+R5</f>
        <v>45600</v>
      </c>
      <c r="K5" s="645">
        <f>+U5</f>
        <v>9773.0400000000009</v>
      </c>
      <c r="L5" s="645">
        <f>+K5-86.02</f>
        <v>9687.02</v>
      </c>
      <c r="M5" s="637"/>
      <c r="N5" s="637"/>
      <c r="O5" s="637"/>
      <c r="P5" s="637"/>
      <c r="Q5" s="638"/>
      <c r="R5" s="641">
        <v>45600</v>
      </c>
      <c r="S5" s="438">
        <v>2.2141000000000002</v>
      </c>
      <c r="T5" s="642">
        <v>4414</v>
      </c>
      <c r="U5" s="642">
        <f>+ROUND(S5*T5,2)</f>
        <v>9773.0400000000009</v>
      </c>
      <c r="V5" s="637"/>
      <c r="W5" s="637"/>
      <c r="AB5" s="575" t="s">
        <v>383</v>
      </c>
      <c r="AC5" s="575">
        <v>929</v>
      </c>
      <c r="AD5" s="583" t="s">
        <v>377</v>
      </c>
      <c r="AE5" s="583"/>
      <c r="AF5" s="583"/>
      <c r="AG5" s="583">
        <v>2000</v>
      </c>
      <c r="AH5" s="583"/>
      <c r="AI5" s="583"/>
      <c r="AJ5" s="583"/>
      <c r="AK5" s="583"/>
      <c r="AL5" s="583"/>
      <c r="AM5" s="583"/>
      <c r="AN5" s="583" t="s">
        <v>429</v>
      </c>
      <c r="AO5" s="583"/>
      <c r="AP5" s="583">
        <v>30000000003</v>
      </c>
      <c r="AQ5" s="582">
        <f>+ROUND($D$8,2)</f>
        <v>9659.5</v>
      </c>
      <c r="AR5" s="583" t="s">
        <v>378</v>
      </c>
      <c r="AS5" s="583">
        <v>1</v>
      </c>
      <c r="AT5" s="581" t="s">
        <v>379</v>
      </c>
      <c r="AU5" s="580" t="s">
        <v>400</v>
      </c>
      <c r="AV5" s="574" t="str">
        <f>+TEXT($B$4,"DD.MM.YYYY")</f>
        <v>12.11.2024</v>
      </c>
      <c r="AW5" s="574" t="str">
        <f>+TEXT($B$5,"DD.MM.YYYY")</f>
        <v>18.11.2024</v>
      </c>
    </row>
    <row r="6" spans="1:49" ht="15.75" thickBot="1">
      <c r="A6" s="556"/>
      <c r="B6" s="113">
        <v>0</v>
      </c>
      <c r="C6" s="113">
        <v>0.02</v>
      </c>
      <c r="D6" s="113">
        <v>0</v>
      </c>
      <c r="E6" s="557">
        <v>0.02</v>
      </c>
      <c r="I6" s="637"/>
      <c r="J6" s="654">
        <f t="shared" ref="J6:J9" si="0">+R6</f>
        <v>45601</v>
      </c>
      <c r="K6" s="645">
        <f t="shared" ref="K6:K9" si="1">+U6</f>
        <v>9897.07</v>
      </c>
      <c r="L6" s="645">
        <f t="shared" ref="L6:L9" si="2">+K6-86.02</f>
        <v>9811.0499999999993</v>
      </c>
      <c r="M6" s="637"/>
      <c r="N6" s="637"/>
      <c r="O6" s="637"/>
      <c r="P6" s="637"/>
      <c r="Q6" s="638"/>
      <c r="R6" s="641">
        <v>45601</v>
      </c>
      <c r="S6" s="438">
        <v>2.2422</v>
      </c>
      <c r="T6" s="642">
        <v>4414</v>
      </c>
      <c r="U6" s="642">
        <f t="shared" ref="U6:U9" si="3">+ROUND(S6*T6,2)</f>
        <v>9897.07</v>
      </c>
      <c r="V6" s="637"/>
      <c r="W6" s="637"/>
    </row>
    <row r="7" spans="1:49" ht="72.75" customHeight="1" thickTop="1">
      <c r="A7" s="244" t="s">
        <v>14</v>
      </c>
      <c r="B7" s="245" t="s">
        <v>417</v>
      </c>
      <c r="C7" s="245" t="s">
        <v>418</v>
      </c>
      <c r="D7" s="245" t="s">
        <v>419</v>
      </c>
      <c r="E7" s="245" t="s">
        <v>420</v>
      </c>
      <c r="I7" s="637"/>
      <c r="J7" s="654">
        <f t="shared" si="0"/>
        <v>45602</v>
      </c>
      <c r="K7" s="645">
        <f t="shared" si="1"/>
        <v>9712.6200000000008</v>
      </c>
      <c r="L7" s="645">
        <f t="shared" si="2"/>
        <v>9626.6</v>
      </c>
      <c r="M7" s="637"/>
      <c r="N7" s="637"/>
      <c r="O7" s="637"/>
      <c r="P7" s="637"/>
      <c r="Q7" s="638"/>
      <c r="R7" s="641">
        <v>45602</v>
      </c>
      <c r="S7" s="438">
        <v>2.1964999999999999</v>
      </c>
      <c r="T7" s="642">
        <v>4421.8599999999997</v>
      </c>
      <c r="U7" s="642">
        <f t="shared" si="3"/>
        <v>9712.6200000000008</v>
      </c>
      <c r="V7" s="637"/>
      <c r="W7" s="637"/>
    </row>
    <row r="8" spans="1:49" ht="27.6" customHeight="1">
      <c r="A8" s="70" t="s">
        <v>413</v>
      </c>
      <c r="B8" s="562">
        <f>+U10</f>
        <v>9745.52</v>
      </c>
      <c r="C8" s="565">
        <f>+B8</f>
        <v>9745.52</v>
      </c>
      <c r="D8" s="562">
        <f>+C8-86.02</f>
        <v>9659.5</v>
      </c>
      <c r="E8" s="565">
        <f>+D8</f>
        <v>9659.5</v>
      </c>
      <c r="H8" s="341"/>
      <c r="I8" s="637"/>
      <c r="J8" s="654">
        <f t="shared" si="0"/>
        <v>45603</v>
      </c>
      <c r="K8" s="645">
        <f t="shared" si="1"/>
        <v>9837.26</v>
      </c>
      <c r="L8" s="645">
        <f t="shared" si="2"/>
        <v>9751.24</v>
      </c>
      <c r="M8" s="637"/>
      <c r="N8" s="637"/>
      <c r="O8" s="637"/>
      <c r="P8" s="637"/>
      <c r="Q8" s="638"/>
      <c r="R8" s="641">
        <v>45603</v>
      </c>
      <c r="S8" s="438">
        <v>2.2204000000000002</v>
      </c>
      <c r="T8" s="642">
        <v>4430.3999999999996</v>
      </c>
      <c r="U8" s="642">
        <f t="shared" si="3"/>
        <v>9837.26</v>
      </c>
      <c r="V8" s="637"/>
      <c r="W8" s="637"/>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637"/>
      <c r="J9" s="654">
        <f t="shared" si="0"/>
        <v>45604</v>
      </c>
      <c r="K9" s="645">
        <f t="shared" si="1"/>
        <v>9507.61</v>
      </c>
      <c r="L9" s="645">
        <f t="shared" si="2"/>
        <v>9421.59</v>
      </c>
      <c r="M9" s="637"/>
      <c r="N9" s="637"/>
      <c r="O9" s="637"/>
      <c r="P9" s="637"/>
      <c r="Q9" s="637"/>
      <c r="R9" s="641">
        <v>45604</v>
      </c>
      <c r="S9" s="438">
        <v>2.1884000000000001</v>
      </c>
      <c r="T9" s="642">
        <v>4344.55</v>
      </c>
      <c r="U9" s="642">
        <f t="shared" si="3"/>
        <v>9507.61</v>
      </c>
      <c r="V9" s="637"/>
      <c r="W9" s="637"/>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8505.43</v>
      </c>
      <c r="AR9" s="583" t="s">
        <v>378</v>
      </c>
      <c r="AS9" s="583">
        <v>1</v>
      </c>
      <c r="AT9" s="581" t="s">
        <v>379</v>
      </c>
      <c r="AU9" s="580" t="s">
        <v>400</v>
      </c>
      <c r="AV9" s="574" t="str">
        <f>+TEXT($B$4,"DD.MM.YYYY")</f>
        <v>12.11.2024</v>
      </c>
      <c r="AW9" s="574" t="str">
        <f>+TEXT($B$5,"DD.MM.YYYY")</f>
        <v>18.11.2024</v>
      </c>
    </row>
    <row r="10" spans="1:49" ht="35.450000000000003" customHeight="1">
      <c r="A10" s="248" t="s">
        <v>139</v>
      </c>
      <c r="B10" s="224">
        <f t="shared" ref="B10" si="4">+ROUND(B9*B6,2)+B8*(1-B6)</f>
        <v>9745.52</v>
      </c>
      <c r="C10" s="224">
        <f>+ROUND(C9*C6,2)+C8*(1-C6)</f>
        <v>9947.3395999999993</v>
      </c>
      <c r="D10" s="224">
        <f t="shared" ref="D10:E10" si="5">+ROUND(D9*D6,2)+D8*(1-D6)</f>
        <v>9659.5</v>
      </c>
      <c r="E10" s="224">
        <f t="shared" si="5"/>
        <v>9863.0399999999991</v>
      </c>
      <c r="F10" s="310"/>
      <c r="G10" s="329" t="s">
        <v>138</v>
      </c>
      <c r="H10" s="342"/>
      <c r="I10" s="637"/>
      <c r="J10" s="655" t="s">
        <v>438</v>
      </c>
      <c r="K10" s="656">
        <f>+AVERAGE(K5:K9)</f>
        <v>9745.52</v>
      </c>
      <c r="L10" s="656">
        <f>+AVERAGE(L5:L9)</f>
        <v>9659.5</v>
      </c>
      <c r="M10" s="637"/>
      <c r="N10" s="637"/>
      <c r="O10" s="637"/>
      <c r="P10" s="637"/>
      <c r="Q10" s="637"/>
      <c r="R10" s="643" t="s">
        <v>438</v>
      </c>
      <c r="S10" s="643">
        <f>+AVERAGE(S5:S9)</f>
        <v>2.2123200000000001</v>
      </c>
      <c r="T10" s="643">
        <f>+AVERAGE(T5:T9)</f>
        <v>4404.9620000000004</v>
      </c>
      <c r="U10" s="645">
        <f>+ROUND(AVERAGE(U5:U9),2)</f>
        <v>9745.52</v>
      </c>
      <c r="V10" s="644"/>
      <c r="W10" s="637"/>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9550.61</v>
      </c>
      <c r="AR10" s="602" t="s">
        <v>378</v>
      </c>
      <c r="AS10" s="602">
        <v>1</v>
      </c>
      <c r="AT10" s="604" t="s">
        <v>379</v>
      </c>
      <c r="AU10" s="605" t="s">
        <v>400</v>
      </c>
      <c r="AV10" s="574" t="str">
        <f>+TEXT($B$4,"DD.MM.YYYY")</f>
        <v>12.11.2024</v>
      </c>
      <c r="AW10" s="574" t="str">
        <f>+TEXT($B$5,"DD.MM.YYYY")</f>
        <v>18.11.2024</v>
      </c>
    </row>
    <row r="11" spans="1:49" ht="35.450000000000003" customHeight="1">
      <c r="A11" s="248" t="s">
        <v>415</v>
      </c>
      <c r="B11" s="570">
        <f>+K19</f>
        <v>8505.4339999999993</v>
      </c>
      <c r="C11" s="224"/>
      <c r="D11" s="570">
        <f>+L19</f>
        <v>8419.4139999999989</v>
      </c>
      <c r="E11" s="224"/>
      <c r="F11" s="310"/>
      <c r="G11" s="329"/>
      <c r="H11" s="342"/>
      <c r="I11" s="637"/>
      <c r="J11" s="637"/>
      <c r="K11" s="637"/>
      <c r="L11" s="637"/>
      <c r="M11" s="637"/>
      <c r="N11" s="637"/>
      <c r="O11" s="637"/>
      <c r="P11" s="637"/>
      <c r="Q11" s="637"/>
      <c r="R11" s="637"/>
      <c r="S11" s="623"/>
      <c r="T11" s="637"/>
      <c r="U11" s="637"/>
      <c r="V11" s="637"/>
      <c r="W11" s="637"/>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12.11.2024</v>
      </c>
      <c r="AW11" s="574" t="str">
        <f>+TEXT($B$5,"DD.MM.YYYY")</f>
        <v>18.11.2024</v>
      </c>
    </row>
    <row r="12" spans="1:49" ht="27.6" customHeight="1">
      <c r="A12" s="232" t="s">
        <v>47</v>
      </c>
      <c r="B12" s="224">
        <f>+'COMBUSTIBLES '!E8</f>
        <v>9.16</v>
      </c>
      <c r="C12" s="224">
        <f>+B12</f>
        <v>9.16</v>
      </c>
      <c r="D12" s="224">
        <f>+C12</f>
        <v>9.16</v>
      </c>
      <c r="E12" s="224">
        <f>+BIODIESEL!D14</f>
        <v>9.16</v>
      </c>
      <c r="H12" s="26">
        <v>6474.0480291453787</v>
      </c>
      <c r="I12" s="637"/>
      <c r="J12" s="637"/>
      <c r="K12" s="637"/>
      <c r="L12" s="637"/>
      <c r="M12" s="637"/>
      <c r="N12" s="637"/>
      <c r="O12" s="637"/>
      <c r="P12" s="637"/>
      <c r="Q12" s="637"/>
      <c r="R12" s="637"/>
      <c r="S12" s="637"/>
      <c r="T12" s="637"/>
      <c r="U12" s="637"/>
      <c r="V12" s="637"/>
      <c r="W12" s="637"/>
      <c r="AB12" s="575" t="s">
        <v>383</v>
      </c>
      <c r="AC12" s="575">
        <v>567</v>
      </c>
      <c r="AD12" s="583" t="s">
        <v>385</v>
      </c>
      <c r="AE12" s="583"/>
      <c r="AF12" s="583"/>
      <c r="AG12" s="583"/>
      <c r="AH12" s="583"/>
      <c r="AI12" s="583"/>
      <c r="AJ12" s="583"/>
      <c r="AK12" s="583"/>
      <c r="AL12" s="583"/>
      <c r="AM12" s="583"/>
      <c r="AN12" s="583" t="s">
        <v>429</v>
      </c>
      <c r="AO12" s="583"/>
      <c r="AP12" s="583">
        <v>30000000003</v>
      </c>
      <c r="AQ12" s="582">
        <f>+ROUND($B$8,2)</f>
        <v>9745.52</v>
      </c>
      <c r="AR12" s="583" t="s">
        <v>378</v>
      </c>
      <c r="AS12" s="583">
        <v>1</v>
      </c>
      <c r="AT12" s="581" t="s">
        <v>379</v>
      </c>
      <c r="AU12" s="580" t="s">
        <v>400</v>
      </c>
      <c r="AV12" s="574" t="str">
        <f>+TEXT($B$4,"DD.MM.YYYY")</f>
        <v>12.11.2024</v>
      </c>
      <c r="AW12" s="574" t="str">
        <f>+TEXT($B$5,"DD.MM.YYYY")</f>
        <v>18.11.2024</v>
      </c>
    </row>
    <row r="13" spans="1:49" ht="27.6" customHeight="1">
      <c r="A13" s="232"/>
      <c r="B13" s="247"/>
      <c r="C13" s="247"/>
      <c r="D13" s="247"/>
      <c r="E13" s="247"/>
      <c r="H13" s="26"/>
      <c r="I13" s="637"/>
      <c r="J13" s="647" t="str">
        <f>+J4</f>
        <v>FECHA</v>
      </c>
      <c r="K13" s="647" t="s">
        <v>447</v>
      </c>
      <c r="L13" s="647" t="s">
        <v>448</v>
      </c>
      <c r="M13" s="640"/>
      <c r="N13" s="640"/>
      <c r="O13" s="640"/>
      <c r="P13" s="640"/>
      <c r="Q13" s="637"/>
      <c r="R13" s="637"/>
      <c r="S13" s="637"/>
      <c r="T13" s="637"/>
      <c r="U13" s="637"/>
      <c r="V13" s="637"/>
      <c r="W13" s="637"/>
      <c r="X13" s="637"/>
      <c r="Y13" s="637"/>
    </row>
    <row r="14" spans="1:49" ht="23.65" customHeight="1">
      <c r="A14" s="57"/>
      <c r="B14" s="247"/>
      <c r="C14" s="247"/>
      <c r="D14" s="247"/>
      <c r="E14" s="247"/>
      <c r="H14" s="26"/>
      <c r="I14" s="637"/>
      <c r="J14" s="654">
        <f>+J5</f>
        <v>45600</v>
      </c>
      <c r="K14" s="645">
        <f>+Y17</f>
        <v>8495.6299999999992</v>
      </c>
      <c r="L14" s="645">
        <f>+K14-86.02</f>
        <v>8409.6099999999988</v>
      </c>
      <c r="M14" s="637"/>
      <c r="N14" s="637"/>
      <c r="O14" s="637"/>
      <c r="P14" s="637"/>
      <c r="Q14" s="637"/>
      <c r="R14" s="637"/>
      <c r="S14" s="637"/>
      <c r="T14" s="637"/>
      <c r="U14" s="651" t="s">
        <v>444</v>
      </c>
      <c r="V14" s="648">
        <v>9.75</v>
      </c>
      <c r="W14" s="637"/>
    </row>
    <row r="15" spans="1:49" s="26" customFormat="1" ht="15.95" customHeight="1">
      <c r="A15" s="569"/>
      <c r="B15" s="16"/>
      <c r="C15" s="16"/>
      <c r="I15" s="637"/>
      <c r="J15" s="654">
        <f t="shared" ref="J15:J18" si="6">+J6</f>
        <v>45601</v>
      </c>
      <c r="K15" s="645">
        <f>+Y18</f>
        <v>8555.8799999999992</v>
      </c>
      <c r="L15" s="645">
        <f t="shared" ref="L15:L18" si="7">+K15-86.02</f>
        <v>8469.8599999999988</v>
      </c>
      <c r="M15" s="637"/>
      <c r="N15" s="637"/>
      <c r="O15" s="637"/>
      <c r="P15" s="637"/>
      <c r="Q15" s="637"/>
      <c r="R15" s="646" t="s">
        <v>439</v>
      </c>
      <c r="S15" s="647" t="s">
        <v>442</v>
      </c>
      <c r="T15" s="647" t="s">
        <v>443</v>
      </c>
      <c r="U15" s="647" t="s">
        <v>445</v>
      </c>
      <c r="V15" s="647" t="s">
        <v>446</v>
      </c>
      <c r="X15" s="647" t="s">
        <v>441</v>
      </c>
      <c r="Y15" s="647" t="s">
        <v>437</v>
      </c>
    </row>
    <row r="16" spans="1:49" s="26" customFormat="1" ht="15.95" customHeight="1">
      <c r="A16" s="301"/>
      <c r="B16" s="16"/>
      <c r="C16" s="16"/>
      <c r="I16" s="637"/>
      <c r="J16" s="654">
        <f t="shared" si="6"/>
        <v>45602</v>
      </c>
      <c r="K16" s="645">
        <f>+Y19</f>
        <v>8557.85</v>
      </c>
      <c r="L16" s="645">
        <f t="shared" si="7"/>
        <v>8471.83</v>
      </c>
      <c r="M16" s="637"/>
      <c r="N16" s="637"/>
      <c r="O16" s="637"/>
      <c r="P16" s="637"/>
      <c r="Q16" s="637"/>
      <c r="R16" s="650"/>
      <c r="S16" s="623"/>
      <c r="T16" s="637"/>
      <c r="U16" s="623"/>
      <c r="V16" s="652"/>
      <c r="W16" s="637"/>
      <c r="X16" s="642"/>
      <c r="Y16" s="642"/>
    </row>
    <row r="17" spans="1:25" s="26" customFormat="1" ht="15.95" customHeight="1">
      <c r="A17" s="431" t="s">
        <v>414</v>
      </c>
      <c r="B17" s="16"/>
      <c r="C17" s="16"/>
      <c r="I17" s="637"/>
      <c r="J17" s="654">
        <f t="shared" si="6"/>
        <v>45603</v>
      </c>
      <c r="K17" s="645">
        <f>+Y20</f>
        <v>8616.24</v>
      </c>
      <c r="L17" s="645">
        <f t="shared" si="7"/>
        <v>8530.2199999999993</v>
      </c>
      <c r="M17" s="637"/>
      <c r="N17" s="637"/>
      <c r="O17" s="637"/>
      <c r="P17" s="637"/>
      <c r="Q17" s="637"/>
      <c r="R17" s="641">
        <v>45600</v>
      </c>
      <c r="S17" s="438">
        <v>2.0341999999999998</v>
      </c>
      <c r="T17" s="438">
        <v>1.7791999999999999</v>
      </c>
      <c r="U17" s="438">
        <v>121.38</v>
      </c>
      <c r="V17" s="649">
        <f>ROUND(($V$14/(8.535*42))*(U17/100),4)</f>
        <v>3.3000000000000002E-2</v>
      </c>
      <c r="X17" s="642">
        <v>4414</v>
      </c>
      <c r="Y17" s="642">
        <f>+ROUND((S17*70%+T17*30%)*X17-(V17*X17),2)</f>
        <v>8495.6299999999992</v>
      </c>
    </row>
    <row r="18" spans="1:25" s="26" customFormat="1" ht="18" customHeight="1">
      <c r="A18" s="12" t="s">
        <v>141</v>
      </c>
      <c r="B18" s="16"/>
      <c r="C18" s="16"/>
      <c r="I18" s="637"/>
      <c r="J18" s="654">
        <f t="shared" si="6"/>
        <v>45604</v>
      </c>
      <c r="K18" s="645">
        <f>+Y21</f>
        <v>8301.57</v>
      </c>
      <c r="L18" s="645">
        <f t="shared" si="7"/>
        <v>8215.5499999999993</v>
      </c>
      <c r="M18" s="637"/>
      <c r="N18" s="637"/>
      <c r="O18" s="637"/>
      <c r="P18" s="637"/>
      <c r="Q18" s="637"/>
      <c r="R18" s="641">
        <v>45601</v>
      </c>
      <c r="S18" s="438">
        <v>2.0421</v>
      </c>
      <c r="T18" s="438">
        <v>1.8046</v>
      </c>
      <c r="U18" s="438">
        <v>119.39</v>
      </c>
      <c r="V18" s="649">
        <f t="shared" ref="V18:V21" si="8">ROUND(($V$14/(8.535*42))*(U18/100),4)</f>
        <v>3.2500000000000001E-2</v>
      </c>
      <c r="X18" s="642">
        <v>4414</v>
      </c>
      <c r="Y18" s="642">
        <f t="shared" ref="Y18:Y21" si="9">+ROUND((S18*70%+T18*30%)*X18-(V18*X18),2)</f>
        <v>8555.8799999999992</v>
      </c>
    </row>
    <row r="19" spans="1:25" s="14" customFormat="1" ht="15">
      <c r="B19" s="13"/>
      <c r="C19" s="13"/>
      <c r="I19" s="637"/>
      <c r="J19" s="655" t="s">
        <v>438</v>
      </c>
      <c r="K19" s="656">
        <f>+AVERAGE(K14:K18)</f>
        <v>8505.4339999999993</v>
      </c>
      <c r="L19" s="656">
        <f>+AVERAGE(L14:L18)</f>
        <v>8419.4139999999989</v>
      </c>
      <c r="M19" s="637"/>
      <c r="N19" s="637"/>
      <c r="O19" s="637"/>
      <c r="P19" s="637"/>
      <c r="Q19" s="637"/>
      <c r="R19" s="641">
        <v>45602</v>
      </c>
      <c r="S19" s="438">
        <v>2.0428999999999999</v>
      </c>
      <c r="T19" s="438">
        <v>1.7954000000000001</v>
      </c>
      <c r="U19" s="438">
        <v>122.29</v>
      </c>
      <c r="V19" s="649">
        <f t="shared" si="8"/>
        <v>3.3300000000000003E-2</v>
      </c>
      <c r="W19" s="26"/>
      <c r="X19" s="642">
        <v>4421.8599999999997</v>
      </c>
      <c r="Y19" s="642">
        <f t="shared" si="9"/>
        <v>8557.85</v>
      </c>
    </row>
    <row r="20" spans="1:25" s="14" customFormat="1" ht="15">
      <c r="A20" s="12"/>
      <c r="B20" s="13"/>
      <c r="C20" s="13"/>
      <c r="I20" s="637"/>
      <c r="J20" s="637"/>
      <c r="K20" s="637"/>
      <c r="L20" s="637"/>
      <c r="M20" s="637"/>
      <c r="N20" s="637"/>
      <c r="O20" s="637"/>
      <c r="P20" s="637"/>
      <c r="Q20" s="637"/>
      <c r="R20" s="641">
        <v>45603</v>
      </c>
      <c r="S20" s="438">
        <v>2.0486</v>
      </c>
      <c r="T20" s="438">
        <v>1.8136000000000001</v>
      </c>
      <c r="U20" s="438">
        <v>122.38</v>
      </c>
      <c r="V20" s="649">
        <f t="shared" si="8"/>
        <v>3.3300000000000003E-2</v>
      </c>
      <c r="X20" s="642">
        <v>4430.3999999999996</v>
      </c>
      <c r="Y20" s="642">
        <f t="shared" si="9"/>
        <v>8616.24</v>
      </c>
    </row>
    <row r="21" spans="1:25" s="14" customFormat="1" ht="11.25" customHeight="1">
      <c r="A21" s="12"/>
      <c r="B21" s="13"/>
      <c r="C21" s="13"/>
      <c r="I21" s="637"/>
      <c r="J21" s="637"/>
      <c r="K21" s="637"/>
      <c r="L21" s="637"/>
      <c r="M21" s="637"/>
      <c r="N21" s="637"/>
      <c r="O21" s="637"/>
      <c r="P21" s="637"/>
      <c r="Q21" s="637"/>
      <c r="R21" s="641">
        <v>45604</v>
      </c>
      <c r="S21" s="438">
        <v>2.0175000000000001</v>
      </c>
      <c r="T21" s="438">
        <v>1.7725</v>
      </c>
      <c r="U21" s="438">
        <v>122.14</v>
      </c>
      <c r="V21" s="649">
        <f t="shared" si="8"/>
        <v>3.32E-2</v>
      </c>
      <c r="X21" s="642">
        <v>4344.55</v>
      </c>
      <c r="Y21" s="642">
        <f t="shared" si="9"/>
        <v>8301.57</v>
      </c>
    </row>
    <row r="22" spans="1:25" s="14" customFormat="1" ht="246.6" customHeight="1">
      <c r="A22" s="782" t="s">
        <v>421</v>
      </c>
      <c r="B22" s="782"/>
      <c r="C22" s="782"/>
      <c r="D22" s="782"/>
      <c r="E22" s="782"/>
      <c r="I22" s="637"/>
      <c r="J22" s="637"/>
      <c r="K22" s="637"/>
      <c r="L22" s="637"/>
      <c r="M22" s="637"/>
      <c r="N22" s="637"/>
      <c r="O22" s="637"/>
      <c r="P22" s="637"/>
      <c r="Q22" s="637"/>
      <c r="R22" s="653" t="s">
        <v>438</v>
      </c>
      <c r="S22" s="653"/>
      <c r="T22" s="653"/>
      <c r="U22" s="653"/>
      <c r="V22" s="653"/>
      <c r="X22" s="645"/>
      <c r="Y22" s="642">
        <f>+ROUND(AVERAGE(Y17:Y21),2)</f>
        <v>8505.43</v>
      </c>
    </row>
    <row r="23" spans="1:25" s="14" customFormat="1" ht="8.4499999999999993" customHeight="1">
      <c r="A23" s="12"/>
      <c r="B23" s="13"/>
      <c r="C23" s="13"/>
    </row>
    <row r="24" spans="1:25" s="14" customFormat="1" ht="30.75" customHeight="1">
      <c r="A24" s="779"/>
      <c r="B24" s="779"/>
      <c r="C24" s="779"/>
      <c r="D24" s="779"/>
      <c r="E24" s="779"/>
    </row>
    <row r="25" spans="1:25" s="14" customFormat="1" ht="9.6" customHeight="1">
      <c r="A25" s="12"/>
      <c r="B25" s="13"/>
      <c r="C25" s="13"/>
    </row>
    <row r="26" spans="1:25" s="14" customFormat="1" ht="14.25" customHeight="1">
      <c r="A26" s="780"/>
      <c r="B26" s="780"/>
      <c r="C26" s="780"/>
      <c r="D26" s="780"/>
      <c r="E26" s="780"/>
    </row>
    <row r="27" spans="1:25" ht="70.900000000000006" customHeight="1">
      <c r="A27" s="780"/>
      <c r="B27" s="780"/>
      <c r="C27" s="780"/>
      <c r="D27" s="780"/>
      <c r="E27" s="780"/>
    </row>
    <row r="28" spans="1:25" ht="23.65" customHeight="1">
      <c r="A28" s="773"/>
      <c r="B28" s="773"/>
      <c r="C28" s="773"/>
      <c r="D28" s="773"/>
      <c r="E28" s="773"/>
    </row>
    <row r="29" spans="1:25">
      <c r="A29" s="773"/>
      <c r="B29" s="773"/>
      <c r="C29" s="773"/>
      <c r="D29" s="773"/>
      <c r="E29" s="773"/>
    </row>
    <row r="30" spans="1:25" ht="203.25" customHeight="1"/>
    <row r="32" spans="1:2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rbxeBYI5vXBqYZK4mfl0rPh8vPbIw0ytV1qeC3KsBpq3iajay9SUxnLh6yVHlQ0QMRAyhN1fMeHrz2Tyfp4EkQ==" saltValue="7GSn+PZzHQ6V8XhPCYAjYQ=="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45" priority="2" operator="containsText" text="Seleccione...">
      <formula>NOT(ISERROR(SEARCH("Seleccione...",AV2)))</formula>
    </cfRule>
  </conditionalFormatting>
  <conditionalFormatting sqref="AV9:AW12">
    <cfRule type="containsText" dxfId="44"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CDE5734-2390-4A37-AD96-F10BB30E9E87}">
          <x14:formula1>
            <xm:f>Fechas!$A$2:$A$831</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D6A6-B223-4FB6-A42D-9107C123D905}">
  <dimension ref="A1:B855"/>
  <sheetViews>
    <sheetView workbookViewId="0">
      <selection activeCell="A3" sqref="A3:A850"/>
    </sheetView>
  </sheetViews>
  <sheetFormatPr baseColWidth="10" defaultRowHeight="12.75"/>
  <cols>
    <col min="1" max="1" width="52.7109375" bestFit="1" customWidth="1"/>
  </cols>
  <sheetData>
    <row r="1" spans="1:2" ht="15">
      <c r="A1" s="578" t="s">
        <v>428</v>
      </c>
    </row>
    <row r="2" spans="1:2" ht="15">
      <c r="A2" s="601">
        <v>45535</v>
      </c>
      <c r="B2" t="str">
        <f>+TEXT(A2,"ddddddddd")</f>
        <v>sábado</v>
      </c>
    </row>
    <row r="3" spans="1:2" ht="15">
      <c r="A3" s="601">
        <v>45536</v>
      </c>
      <c r="B3" t="str">
        <f t="shared" ref="B3:B66" si="0">+TEXT(A3,"ddddddddd")</f>
        <v>domingo</v>
      </c>
    </row>
    <row r="4" spans="1:2" ht="15">
      <c r="A4" s="601">
        <v>45537</v>
      </c>
      <c r="B4" t="str">
        <f t="shared" si="0"/>
        <v>lunes</v>
      </c>
    </row>
    <row r="5" spans="1:2" ht="15">
      <c r="A5" s="601">
        <v>45538</v>
      </c>
      <c r="B5" t="str">
        <f t="shared" si="0"/>
        <v>martes</v>
      </c>
    </row>
    <row r="6" spans="1:2" ht="15">
      <c r="A6" s="601">
        <v>45539</v>
      </c>
      <c r="B6" t="str">
        <f t="shared" si="0"/>
        <v>miércoles</v>
      </c>
    </row>
    <row r="7" spans="1:2" ht="15">
      <c r="A7" s="601">
        <v>45540</v>
      </c>
      <c r="B7" t="str">
        <f t="shared" si="0"/>
        <v>jueves</v>
      </c>
    </row>
    <row r="8" spans="1:2" ht="15">
      <c r="A8" s="601">
        <v>45541</v>
      </c>
      <c r="B8" t="str">
        <f t="shared" si="0"/>
        <v>viernes</v>
      </c>
    </row>
    <row r="9" spans="1:2" ht="15">
      <c r="A9" s="601">
        <v>45542</v>
      </c>
      <c r="B9" t="str">
        <f t="shared" si="0"/>
        <v>sábado</v>
      </c>
    </row>
    <row r="10" spans="1:2" ht="15">
      <c r="A10" s="601">
        <v>45543</v>
      </c>
      <c r="B10" t="str">
        <f t="shared" si="0"/>
        <v>domingo</v>
      </c>
    </row>
    <row r="11" spans="1:2" ht="15">
      <c r="A11" s="601">
        <v>45544</v>
      </c>
      <c r="B11" t="str">
        <f t="shared" si="0"/>
        <v>lunes</v>
      </c>
    </row>
    <row r="12" spans="1:2" ht="15">
      <c r="A12" s="601">
        <v>45545</v>
      </c>
      <c r="B12" t="str">
        <f t="shared" si="0"/>
        <v>martes</v>
      </c>
    </row>
    <row r="13" spans="1:2" ht="15">
      <c r="A13" s="601">
        <v>45546</v>
      </c>
      <c r="B13" t="str">
        <f t="shared" si="0"/>
        <v>miércoles</v>
      </c>
    </row>
    <row r="14" spans="1:2" ht="15">
      <c r="A14" s="601">
        <v>45547</v>
      </c>
      <c r="B14" t="str">
        <f t="shared" si="0"/>
        <v>jueves</v>
      </c>
    </row>
    <row r="15" spans="1:2" ht="15">
      <c r="A15" s="601">
        <v>45548</v>
      </c>
      <c r="B15" t="str">
        <f t="shared" si="0"/>
        <v>viernes</v>
      </c>
    </row>
    <row r="16" spans="1:2" ht="15">
      <c r="A16" s="601">
        <v>45549</v>
      </c>
      <c r="B16" t="str">
        <f t="shared" si="0"/>
        <v>sábado</v>
      </c>
    </row>
    <row r="17" spans="1:2" ht="15">
      <c r="A17" s="601">
        <v>45550</v>
      </c>
      <c r="B17" t="str">
        <f t="shared" si="0"/>
        <v>domingo</v>
      </c>
    </row>
    <row r="18" spans="1:2" ht="15">
      <c r="A18" s="601">
        <v>45551</v>
      </c>
      <c r="B18" t="str">
        <f t="shared" si="0"/>
        <v>lunes</v>
      </c>
    </row>
    <row r="19" spans="1:2" ht="15">
      <c r="A19" s="601">
        <v>45552</v>
      </c>
      <c r="B19" t="str">
        <f t="shared" si="0"/>
        <v>martes</v>
      </c>
    </row>
    <row r="20" spans="1:2" ht="15">
      <c r="A20" s="601">
        <v>45553</v>
      </c>
      <c r="B20" t="str">
        <f t="shared" si="0"/>
        <v>miércoles</v>
      </c>
    </row>
    <row r="21" spans="1:2" ht="15">
      <c r="A21" s="601">
        <v>45554</v>
      </c>
      <c r="B21" t="str">
        <f t="shared" si="0"/>
        <v>jueves</v>
      </c>
    </row>
    <row r="22" spans="1:2" ht="15">
      <c r="A22" s="601">
        <v>45555</v>
      </c>
      <c r="B22" t="str">
        <f t="shared" si="0"/>
        <v>viernes</v>
      </c>
    </row>
    <row r="23" spans="1:2" ht="15">
      <c r="A23" s="601">
        <v>45556</v>
      </c>
      <c r="B23" t="str">
        <f t="shared" si="0"/>
        <v>sábado</v>
      </c>
    </row>
    <row r="24" spans="1:2" ht="15">
      <c r="A24" s="601">
        <v>45557</v>
      </c>
      <c r="B24" t="str">
        <f t="shared" si="0"/>
        <v>domingo</v>
      </c>
    </row>
    <row r="25" spans="1:2" ht="15">
      <c r="A25" s="601">
        <v>45558</v>
      </c>
      <c r="B25" t="str">
        <f t="shared" si="0"/>
        <v>lunes</v>
      </c>
    </row>
    <row r="26" spans="1:2" ht="15">
      <c r="A26" s="601">
        <v>45559</v>
      </c>
      <c r="B26" t="str">
        <f t="shared" si="0"/>
        <v>martes</v>
      </c>
    </row>
    <row r="27" spans="1:2" ht="15">
      <c r="A27" s="601">
        <v>45560</v>
      </c>
      <c r="B27" t="str">
        <f t="shared" si="0"/>
        <v>miércoles</v>
      </c>
    </row>
    <row r="28" spans="1:2" ht="15">
      <c r="A28" s="601">
        <v>45561</v>
      </c>
      <c r="B28" t="str">
        <f t="shared" si="0"/>
        <v>jueves</v>
      </c>
    </row>
    <row r="29" spans="1:2" ht="15">
      <c r="A29" s="601">
        <v>45562</v>
      </c>
      <c r="B29" t="str">
        <f t="shared" si="0"/>
        <v>viernes</v>
      </c>
    </row>
    <row r="30" spans="1:2" ht="15">
      <c r="A30" s="601">
        <v>45563</v>
      </c>
      <c r="B30" t="str">
        <f t="shared" si="0"/>
        <v>sábado</v>
      </c>
    </row>
    <row r="31" spans="1:2" ht="15">
      <c r="A31" s="601">
        <v>45564</v>
      </c>
      <c r="B31" t="str">
        <f t="shared" si="0"/>
        <v>domingo</v>
      </c>
    </row>
    <row r="32" spans="1:2" ht="15">
      <c r="A32" s="601">
        <v>45565</v>
      </c>
      <c r="B32" t="str">
        <f t="shared" si="0"/>
        <v>lunes</v>
      </c>
    </row>
    <row r="33" spans="1:2" ht="15">
      <c r="A33" s="601">
        <v>45566</v>
      </c>
      <c r="B33" t="str">
        <f t="shared" si="0"/>
        <v>martes</v>
      </c>
    </row>
    <row r="34" spans="1:2" ht="15">
      <c r="A34" s="601">
        <v>45567</v>
      </c>
      <c r="B34" t="str">
        <f t="shared" si="0"/>
        <v>miércoles</v>
      </c>
    </row>
    <row r="35" spans="1:2" ht="15">
      <c r="A35" s="601">
        <v>45568</v>
      </c>
      <c r="B35" t="str">
        <f t="shared" si="0"/>
        <v>jueves</v>
      </c>
    </row>
    <row r="36" spans="1:2" ht="15">
      <c r="A36" s="601">
        <v>45569</v>
      </c>
      <c r="B36" t="str">
        <f t="shared" si="0"/>
        <v>viernes</v>
      </c>
    </row>
    <row r="37" spans="1:2" ht="15">
      <c r="A37" s="601">
        <v>45570</v>
      </c>
      <c r="B37" t="str">
        <f t="shared" si="0"/>
        <v>sábado</v>
      </c>
    </row>
    <row r="38" spans="1:2" ht="15">
      <c r="A38" s="601">
        <v>45571</v>
      </c>
      <c r="B38" t="str">
        <f t="shared" si="0"/>
        <v>domingo</v>
      </c>
    </row>
    <row r="39" spans="1:2" ht="15">
      <c r="A39" s="601">
        <v>45572</v>
      </c>
      <c r="B39" t="str">
        <f t="shared" si="0"/>
        <v>lunes</v>
      </c>
    </row>
    <row r="40" spans="1:2" ht="15">
      <c r="A40" s="601">
        <v>45573</v>
      </c>
      <c r="B40" t="str">
        <f t="shared" si="0"/>
        <v>martes</v>
      </c>
    </row>
    <row r="41" spans="1:2" ht="15">
      <c r="A41" s="601">
        <v>45574</v>
      </c>
      <c r="B41" t="str">
        <f t="shared" si="0"/>
        <v>miércoles</v>
      </c>
    </row>
    <row r="42" spans="1:2" ht="15">
      <c r="A42" s="601">
        <v>45575</v>
      </c>
      <c r="B42" t="str">
        <f t="shared" si="0"/>
        <v>jueves</v>
      </c>
    </row>
    <row r="43" spans="1:2" ht="15">
      <c r="A43" s="601">
        <v>45576</v>
      </c>
      <c r="B43" t="str">
        <f t="shared" si="0"/>
        <v>viernes</v>
      </c>
    </row>
    <row r="44" spans="1:2" ht="15">
      <c r="A44" s="601">
        <v>45577</v>
      </c>
      <c r="B44" t="str">
        <f t="shared" si="0"/>
        <v>sábado</v>
      </c>
    </row>
    <row r="45" spans="1:2" ht="15">
      <c r="A45" s="601">
        <v>45578</v>
      </c>
      <c r="B45" t="str">
        <f t="shared" si="0"/>
        <v>domingo</v>
      </c>
    </row>
    <row r="46" spans="1:2" ht="15">
      <c r="A46" s="601">
        <v>45579</v>
      </c>
      <c r="B46" t="str">
        <f t="shared" si="0"/>
        <v>lunes</v>
      </c>
    </row>
    <row r="47" spans="1:2" ht="15">
      <c r="A47" s="601">
        <v>45580</v>
      </c>
      <c r="B47" t="str">
        <f t="shared" si="0"/>
        <v>martes</v>
      </c>
    </row>
    <row r="48" spans="1:2" ht="15">
      <c r="A48" s="601">
        <v>45581</v>
      </c>
      <c r="B48" t="str">
        <f t="shared" si="0"/>
        <v>miércoles</v>
      </c>
    </row>
    <row r="49" spans="1:2" ht="15">
      <c r="A49" s="601">
        <v>45582</v>
      </c>
      <c r="B49" t="str">
        <f t="shared" si="0"/>
        <v>jueves</v>
      </c>
    </row>
    <row r="50" spans="1:2" ht="15">
      <c r="A50" s="601">
        <v>45583</v>
      </c>
      <c r="B50" t="str">
        <f t="shared" si="0"/>
        <v>viernes</v>
      </c>
    </row>
    <row r="51" spans="1:2" ht="15">
      <c r="A51" s="601">
        <v>45584</v>
      </c>
      <c r="B51" t="str">
        <f t="shared" si="0"/>
        <v>sábado</v>
      </c>
    </row>
    <row r="52" spans="1:2" ht="15">
      <c r="A52" s="601">
        <v>45585</v>
      </c>
      <c r="B52" t="str">
        <f t="shared" si="0"/>
        <v>domingo</v>
      </c>
    </row>
    <row r="53" spans="1:2" ht="15">
      <c r="A53" s="601">
        <v>45586</v>
      </c>
      <c r="B53" t="str">
        <f t="shared" si="0"/>
        <v>lunes</v>
      </c>
    </row>
    <row r="54" spans="1:2" ht="15">
      <c r="A54" s="601">
        <v>45587</v>
      </c>
      <c r="B54" t="str">
        <f t="shared" si="0"/>
        <v>martes</v>
      </c>
    </row>
    <row r="55" spans="1:2" ht="15">
      <c r="A55" s="601">
        <v>45588</v>
      </c>
      <c r="B55" t="str">
        <f t="shared" si="0"/>
        <v>miércoles</v>
      </c>
    </row>
    <row r="56" spans="1:2" ht="15">
      <c r="A56" s="601">
        <v>45589</v>
      </c>
      <c r="B56" t="str">
        <f t="shared" si="0"/>
        <v>jueves</v>
      </c>
    </row>
    <row r="57" spans="1:2" ht="15">
      <c r="A57" s="601">
        <v>45590</v>
      </c>
      <c r="B57" t="str">
        <f t="shared" si="0"/>
        <v>viernes</v>
      </c>
    </row>
    <row r="58" spans="1:2" ht="15">
      <c r="A58" s="601">
        <v>45591</v>
      </c>
      <c r="B58" t="str">
        <f t="shared" si="0"/>
        <v>sábado</v>
      </c>
    </row>
    <row r="59" spans="1:2" ht="15">
      <c r="A59" s="601">
        <v>45592</v>
      </c>
      <c r="B59" t="str">
        <f t="shared" si="0"/>
        <v>domingo</v>
      </c>
    </row>
    <row r="60" spans="1:2" ht="15">
      <c r="A60" s="601">
        <v>45593</v>
      </c>
      <c r="B60" t="str">
        <f t="shared" si="0"/>
        <v>lunes</v>
      </c>
    </row>
    <row r="61" spans="1:2" ht="15">
      <c r="A61" s="601">
        <v>45594</v>
      </c>
      <c r="B61" t="str">
        <f t="shared" si="0"/>
        <v>martes</v>
      </c>
    </row>
    <row r="62" spans="1:2" ht="15">
      <c r="A62" s="601">
        <v>45595</v>
      </c>
      <c r="B62" t="str">
        <f t="shared" si="0"/>
        <v>miércoles</v>
      </c>
    </row>
    <row r="63" spans="1:2" ht="15">
      <c r="A63" s="601">
        <v>45596</v>
      </c>
      <c r="B63" t="str">
        <f t="shared" si="0"/>
        <v>jueves</v>
      </c>
    </row>
    <row r="64" spans="1:2" ht="15">
      <c r="A64" s="601">
        <v>45597</v>
      </c>
      <c r="B64" t="str">
        <f t="shared" si="0"/>
        <v>viernes</v>
      </c>
    </row>
    <row r="65" spans="1:2" ht="15">
      <c r="A65" s="601">
        <v>45598</v>
      </c>
      <c r="B65" t="str">
        <f t="shared" si="0"/>
        <v>sábado</v>
      </c>
    </row>
    <row r="66" spans="1:2" ht="15">
      <c r="A66" s="601">
        <v>45599</v>
      </c>
      <c r="B66" t="str">
        <f t="shared" si="0"/>
        <v>domingo</v>
      </c>
    </row>
    <row r="67" spans="1:2" ht="15">
      <c r="A67" s="601">
        <v>45600</v>
      </c>
      <c r="B67" t="str">
        <f t="shared" ref="B67:B130" si="1">+TEXT(A67,"ddddddddd")</f>
        <v>lunes</v>
      </c>
    </row>
    <row r="68" spans="1:2" ht="15">
      <c r="A68" s="601">
        <v>45601</v>
      </c>
      <c r="B68" t="str">
        <f t="shared" si="1"/>
        <v>martes</v>
      </c>
    </row>
    <row r="69" spans="1:2" ht="15">
      <c r="A69" s="601">
        <v>45602</v>
      </c>
      <c r="B69" t="str">
        <f t="shared" si="1"/>
        <v>miércoles</v>
      </c>
    </row>
    <row r="70" spans="1:2" ht="15">
      <c r="A70" s="601">
        <v>45603</v>
      </c>
      <c r="B70" t="str">
        <f t="shared" si="1"/>
        <v>jueves</v>
      </c>
    </row>
    <row r="71" spans="1:2" ht="15">
      <c r="A71" s="601">
        <v>45604</v>
      </c>
      <c r="B71" t="str">
        <f t="shared" si="1"/>
        <v>viernes</v>
      </c>
    </row>
    <row r="72" spans="1:2" ht="15">
      <c r="A72" s="601">
        <v>45605</v>
      </c>
      <c r="B72" t="str">
        <f t="shared" si="1"/>
        <v>sábado</v>
      </c>
    </row>
    <row r="73" spans="1:2" ht="15">
      <c r="A73" s="601">
        <v>45606</v>
      </c>
      <c r="B73" t="str">
        <f t="shared" si="1"/>
        <v>domingo</v>
      </c>
    </row>
    <row r="74" spans="1:2" ht="15">
      <c r="A74" s="601">
        <v>45607</v>
      </c>
      <c r="B74" t="str">
        <f t="shared" si="1"/>
        <v>lunes</v>
      </c>
    </row>
    <row r="75" spans="1:2" ht="15">
      <c r="A75" s="601">
        <v>45608</v>
      </c>
      <c r="B75" t="str">
        <f t="shared" si="1"/>
        <v>martes</v>
      </c>
    </row>
    <row r="76" spans="1:2" ht="15">
      <c r="A76" s="601">
        <v>45609</v>
      </c>
      <c r="B76" t="str">
        <f t="shared" si="1"/>
        <v>miércoles</v>
      </c>
    </row>
    <row r="77" spans="1:2" ht="15">
      <c r="A77" s="601">
        <v>45610</v>
      </c>
      <c r="B77" t="str">
        <f t="shared" si="1"/>
        <v>jueves</v>
      </c>
    </row>
    <row r="78" spans="1:2" ht="15">
      <c r="A78" s="601">
        <v>45611</v>
      </c>
      <c r="B78" t="str">
        <f t="shared" si="1"/>
        <v>viernes</v>
      </c>
    </row>
    <row r="79" spans="1:2" ht="15">
      <c r="A79" s="601">
        <v>45612</v>
      </c>
      <c r="B79" t="str">
        <f t="shared" si="1"/>
        <v>sábado</v>
      </c>
    </row>
    <row r="80" spans="1:2" ht="15">
      <c r="A80" s="601">
        <v>45613</v>
      </c>
      <c r="B80" t="str">
        <f t="shared" si="1"/>
        <v>domingo</v>
      </c>
    </row>
    <row r="81" spans="1:2" ht="15">
      <c r="A81" s="601">
        <v>45614</v>
      </c>
      <c r="B81" t="str">
        <f t="shared" si="1"/>
        <v>lunes</v>
      </c>
    </row>
    <row r="82" spans="1:2" ht="15">
      <c r="A82" s="601">
        <v>45615</v>
      </c>
      <c r="B82" t="str">
        <f t="shared" si="1"/>
        <v>martes</v>
      </c>
    </row>
    <row r="83" spans="1:2" ht="15">
      <c r="A83" s="601">
        <v>45616</v>
      </c>
      <c r="B83" t="str">
        <f t="shared" si="1"/>
        <v>miércoles</v>
      </c>
    </row>
    <row r="84" spans="1:2" ht="15">
      <c r="A84" s="601">
        <v>45617</v>
      </c>
      <c r="B84" t="str">
        <f t="shared" si="1"/>
        <v>jueves</v>
      </c>
    </row>
    <row r="85" spans="1:2" ht="15">
      <c r="A85" s="601">
        <v>45618</v>
      </c>
      <c r="B85" t="str">
        <f t="shared" si="1"/>
        <v>viernes</v>
      </c>
    </row>
    <row r="86" spans="1:2" ht="15">
      <c r="A86" s="601">
        <v>45619</v>
      </c>
      <c r="B86" t="str">
        <f t="shared" si="1"/>
        <v>sábado</v>
      </c>
    </row>
    <row r="87" spans="1:2" ht="15">
      <c r="A87" s="601">
        <v>45620</v>
      </c>
      <c r="B87" t="str">
        <f t="shared" si="1"/>
        <v>domingo</v>
      </c>
    </row>
    <row r="88" spans="1:2" ht="15">
      <c r="A88" s="601">
        <v>45621</v>
      </c>
      <c r="B88" t="str">
        <f t="shared" si="1"/>
        <v>lunes</v>
      </c>
    </row>
    <row r="89" spans="1:2" ht="15">
      <c r="A89" s="601">
        <v>45622</v>
      </c>
      <c r="B89" t="str">
        <f t="shared" si="1"/>
        <v>martes</v>
      </c>
    </row>
    <row r="90" spans="1:2" ht="15">
      <c r="A90" s="601">
        <v>45623</v>
      </c>
      <c r="B90" t="str">
        <f t="shared" si="1"/>
        <v>miércoles</v>
      </c>
    </row>
    <row r="91" spans="1:2" ht="15">
      <c r="A91" s="601">
        <v>45624</v>
      </c>
      <c r="B91" t="str">
        <f t="shared" si="1"/>
        <v>jueves</v>
      </c>
    </row>
    <row r="92" spans="1:2" ht="15">
      <c r="A92" s="601">
        <v>45625</v>
      </c>
      <c r="B92" t="str">
        <f t="shared" si="1"/>
        <v>viernes</v>
      </c>
    </row>
    <row r="93" spans="1:2" ht="15">
      <c r="A93" s="601">
        <v>45626</v>
      </c>
      <c r="B93" t="str">
        <f t="shared" si="1"/>
        <v>sábado</v>
      </c>
    </row>
    <row r="94" spans="1:2" ht="15">
      <c r="A94" s="601">
        <v>45627</v>
      </c>
      <c r="B94" t="str">
        <f t="shared" si="1"/>
        <v>domingo</v>
      </c>
    </row>
    <row r="95" spans="1:2" ht="15">
      <c r="A95" s="601">
        <v>45628</v>
      </c>
      <c r="B95" t="str">
        <f t="shared" si="1"/>
        <v>lunes</v>
      </c>
    </row>
    <row r="96" spans="1:2" ht="15">
      <c r="A96" s="601">
        <v>45629</v>
      </c>
      <c r="B96" t="str">
        <f t="shared" si="1"/>
        <v>martes</v>
      </c>
    </row>
    <row r="97" spans="1:2" ht="15">
      <c r="A97" s="601">
        <v>45630</v>
      </c>
      <c r="B97" t="str">
        <f t="shared" si="1"/>
        <v>miércoles</v>
      </c>
    </row>
    <row r="98" spans="1:2" ht="15">
      <c r="A98" s="601">
        <v>45631</v>
      </c>
      <c r="B98" t="str">
        <f t="shared" si="1"/>
        <v>jueves</v>
      </c>
    </row>
    <row r="99" spans="1:2" ht="15">
      <c r="A99" s="601">
        <v>45632</v>
      </c>
      <c r="B99" t="str">
        <f t="shared" si="1"/>
        <v>viernes</v>
      </c>
    </row>
    <row r="100" spans="1:2" ht="15">
      <c r="A100" s="601">
        <v>45633</v>
      </c>
      <c r="B100" t="str">
        <f t="shared" si="1"/>
        <v>sábado</v>
      </c>
    </row>
    <row r="101" spans="1:2" ht="15">
      <c r="A101" s="601">
        <v>45634</v>
      </c>
      <c r="B101" t="str">
        <f t="shared" si="1"/>
        <v>domingo</v>
      </c>
    </row>
    <row r="102" spans="1:2" ht="15">
      <c r="A102" s="601">
        <v>45635</v>
      </c>
      <c r="B102" t="str">
        <f t="shared" si="1"/>
        <v>lunes</v>
      </c>
    </row>
    <row r="103" spans="1:2" ht="15">
      <c r="A103" s="601">
        <v>45636</v>
      </c>
      <c r="B103" t="str">
        <f t="shared" si="1"/>
        <v>martes</v>
      </c>
    </row>
    <row r="104" spans="1:2" ht="15">
      <c r="A104" s="601">
        <v>45637</v>
      </c>
      <c r="B104" t="str">
        <f t="shared" si="1"/>
        <v>miércoles</v>
      </c>
    </row>
    <row r="105" spans="1:2" ht="15">
      <c r="A105" s="601">
        <v>45638</v>
      </c>
      <c r="B105" t="str">
        <f t="shared" si="1"/>
        <v>jueves</v>
      </c>
    </row>
    <row r="106" spans="1:2" ht="15">
      <c r="A106" s="601">
        <v>45639</v>
      </c>
      <c r="B106" t="str">
        <f t="shared" si="1"/>
        <v>viernes</v>
      </c>
    </row>
    <row r="107" spans="1:2" ht="15">
      <c r="A107" s="601">
        <v>45640</v>
      </c>
      <c r="B107" t="str">
        <f t="shared" si="1"/>
        <v>sábado</v>
      </c>
    </row>
    <row r="108" spans="1:2" ht="15">
      <c r="A108" s="601">
        <v>45641</v>
      </c>
      <c r="B108" t="str">
        <f t="shared" si="1"/>
        <v>domingo</v>
      </c>
    </row>
    <row r="109" spans="1:2" ht="15">
      <c r="A109" s="601">
        <v>45642</v>
      </c>
      <c r="B109" t="str">
        <f t="shared" si="1"/>
        <v>lunes</v>
      </c>
    </row>
    <row r="110" spans="1:2" ht="15">
      <c r="A110" s="601">
        <v>45643</v>
      </c>
      <c r="B110" t="str">
        <f t="shared" si="1"/>
        <v>martes</v>
      </c>
    </row>
    <row r="111" spans="1:2" ht="15">
      <c r="A111" s="601">
        <v>45644</v>
      </c>
      <c r="B111" t="str">
        <f t="shared" si="1"/>
        <v>miércoles</v>
      </c>
    </row>
    <row r="112" spans="1:2" ht="15">
      <c r="A112" s="601">
        <v>45645</v>
      </c>
      <c r="B112" t="str">
        <f t="shared" si="1"/>
        <v>jueves</v>
      </c>
    </row>
    <row r="113" spans="1:2" ht="15">
      <c r="A113" s="601">
        <v>45646</v>
      </c>
      <c r="B113" t="str">
        <f t="shared" si="1"/>
        <v>viernes</v>
      </c>
    </row>
    <row r="114" spans="1:2" ht="15">
      <c r="A114" s="601">
        <v>45647</v>
      </c>
      <c r="B114" t="str">
        <f t="shared" si="1"/>
        <v>sábado</v>
      </c>
    </row>
    <row r="115" spans="1:2" ht="15">
      <c r="A115" s="601">
        <v>45648</v>
      </c>
      <c r="B115" t="str">
        <f t="shared" si="1"/>
        <v>domingo</v>
      </c>
    </row>
    <row r="116" spans="1:2" ht="15">
      <c r="A116" s="601">
        <v>45649</v>
      </c>
      <c r="B116" t="str">
        <f t="shared" si="1"/>
        <v>lunes</v>
      </c>
    </row>
    <row r="117" spans="1:2" ht="15">
      <c r="A117" s="601">
        <v>45650</v>
      </c>
      <c r="B117" t="str">
        <f t="shared" si="1"/>
        <v>martes</v>
      </c>
    </row>
    <row r="118" spans="1:2" ht="15">
      <c r="A118" s="601">
        <v>45651</v>
      </c>
      <c r="B118" t="str">
        <f t="shared" si="1"/>
        <v>miércoles</v>
      </c>
    </row>
    <row r="119" spans="1:2" ht="15">
      <c r="A119" s="601">
        <v>45652</v>
      </c>
      <c r="B119" t="str">
        <f t="shared" si="1"/>
        <v>jueves</v>
      </c>
    </row>
    <row r="120" spans="1:2" ht="15">
      <c r="A120" s="601">
        <v>45653</v>
      </c>
      <c r="B120" t="str">
        <f t="shared" si="1"/>
        <v>viernes</v>
      </c>
    </row>
    <row r="121" spans="1:2" ht="15">
      <c r="A121" s="601">
        <v>45654</v>
      </c>
      <c r="B121" t="str">
        <f t="shared" si="1"/>
        <v>sábado</v>
      </c>
    </row>
    <row r="122" spans="1:2" ht="15">
      <c r="A122" s="601">
        <v>45655</v>
      </c>
      <c r="B122" t="str">
        <f t="shared" si="1"/>
        <v>domingo</v>
      </c>
    </row>
    <row r="123" spans="1:2" ht="15">
      <c r="A123" s="601">
        <v>45656</v>
      </c>
      <c r="B123" t="str">
        <f t="shared" si="1"/>
        <v>lunes</v>
      </c>
    </row>
    <row r="124" spans="1:2" ht="15">
      <c r="A124" s="601">
        <v>45657</v>
      </c>
      <c r="B124" t="str">
        <f t="shared" si="1"/>
        <v>martes</v>
      </c>
    </row>
    <row r="125" spans="1:2" ht="15">
      <c r="A125" s="601">
        <v>45658</v>
      </c>
      <c r="B125" t="str">
        <f t="shared" si="1"/>
        <v>miércoles</v>
      </c>
    </row>
    <row r="126" spans="1:2" ht="15">
      <c r="A126" s="601">
        <v>45659</v>
      </c>
      <c r="B126" t="str">
        <f t="shared" si="1"/>
        <v>jueves</v>
      </c>
    </row>
    <row r="127" spans="1:2" ht="15">
      <c r="A127" s="601">
        <v>45660</v>
      </c>
      <c r="B127" t="str">
        <f t="shared" si="1"/>
        <v>viernes</v>
      </c>
    </row>
    <row r="128" spans="1:2" ht="15">
      <c r="A128" s="601">
        <v>45661</v>
      </c>
      <c r="B128" t="str">
        <f t="shared" si="1"/>
        <v>sábado</v>
      </c>
    </row>
    <row r="129" spans="1:2" ht="15">
      <c r="A129" s="601">
        <v>45662</v>
      </c>
      <c r="B129" t="str">
        <f t="shared" si="1"/>
        <v>domingo</v>
      </c>
    </row>
    <row r="130" spans="1:2" ht="15">
      <c r="A130" s="601">
        <v>45663</v>
      </c>
      <c r="B130" t="str">
        <f t="shared" si="1"/>
        <v>lunes</v>
      </c>
    </row>
    <row r="131" spans="1:2" ht="15">
      <c r="A131" s="601">
        <v>45664</v>
      </c>
      <c r="B131" t="str">
        <f t="shared" ref="B131:B194" si="2">+TEXT(A131,"ddddddddd")</f>
        <v>martes</v>
      </c>
    </row>
    <row r="132" spans="1:2" ht="15">
      <c r="A132" s="601">
        <v>45665</v>
      </c>
      <c r="B132" t="str">
        <f t="shared" si="2"/>
        <v>miércoles</v>
      </c>
    </row>
    <row r="133" spans="1:2" ht="15">
      <c r="A133" s="601">
        <v>45666</v>
      </c>
      <c r="B133" t="str">
        <f t="shared" si="2"/>
        <v>jueves</v>
      </c>
    </row>
    <row r="134" spans="1:2" ht="15">
      <c r="A134" s="601">
        <v>45667</v>
      </c>
      <c r="B134" t="str">
        <f t="shared" si="2"/>
        <v>viernes</v>
      </c>
    </row>
    <row r="135" spans="1:2" ht="15">
      <c r="A135" s="601">
        <v>45668</v>
      </c>
      <c r="B135" t="str">
        <f t="shared" si="2"/>
        <v>sábado</v>
      </c>
    </row>
    <row r="136" spans="1:2" ht="15">
      <c r="A136" s="601">
        <v>45669</v>
      </c>
      <c r="B136" t="str">
        <f t="shared" si="2"/>
        <v>domingo</v>
      </c>
    </row>
    <row r="137" spans="1:2" ht="15">
      <c r="A137" s="601">
        <v>45670</v>
      </c>
      <c r="B137" t="str">
        <f t="shared" si="2"/>
        <v>lunes</v>
      </c>
    </row>
    <row r="138" spans="1:2" ht="15">
      <c r="A138" s="601">
        <v>45671</v>
      </c>
      <c r="B138" t="str">
        <f t="shared" si="2"/>
        <v>martes</v>
      </c>
    </row>
    <row r="139" spans="1:2" ht="15">
      <c r="A139" s="601">
        <v>45672</v>
      </c>
      <c r="B139" t="str">
        <f t="shared" si="2"/>
        <v>miércoles</v>
      </c>
    </row>
    <row r="140" spans="1:2" ht="15">
      <c r="A140" s="601">
        <v>45673</v>
      </c>
      <c r="B140" t="str">
        <f t="shared" si="2"/>
        <v>jueves</v>
      </c>
    </row>
    <row r="141" spans="1:2" ht="15">
      <c r="A141" s="601">
        <v>45674</v>
      </c>
      <c r="B141" t="str">
        <f t="shared" si="2"/>
        <v>viernes</v>
      </c>
    </row>
    <row r="142" spans="1:2" ht="15">
      <c r="A142" s="601">
        <v>45675</v>
      </c>
      <c r="B142" t="str">
        <f t="shared" si="2"/>
        <v>sábado</v>
      </c>
    </row>
    <row r="143" spans="1:2" ht="15">
      <c r="A143" s="601">
        <v>45676</v>
      </c>
      <c r="B143" t="str">
        <f t="shared" si="2"/>
        <v>domingo</v>
      </c>
    </row>
    <row r="144" spans="1:2" ht="15">
      <c r="A144" s="601">
        <v>45677</v>
      </c>
      <c r="B144" t="str">
        <f t="shared" si="2"/>
        <v>lunes</v>
      </c>
    </row>
    <row r="145" spans="1:2" ht="15">
      <c r="A145" s="601">
        <v>45678</v>
      </c>
      <c r="B145" t="str">
        <f t="shared" si="2"/>
        <v>martes</v>
      </c>
    </row>
    <row r="146" spans="1:2" ht="15">
      <c r="A146" s="601">
        <v>45679</v>
      </c>
      <c r="B146" t="str">
        <f t="shared" si="2"/>
        <v>miércoles</v>
      </c>
    </row>
    <row r="147" spans="1:2" ht="15">
      <c r="A147" s="601">
        <v>45680</v>
      </c>
      <c r="B147" t="str">
        <f t="shared" si="2"/>
        <v>jueves</v>
      </c>
    </row>
    <row r="148" spans="1:2" ht="15">
      <c r="A148" s="601">
        <v>45681</v>
      </c>
      <c r="B148" t="str">
        <f t="shared" si="2"/>
        <v>viernes</v>
      </c>
    </row>
    <row r="149" spans="1:2" ht="15">
      <c r="A149" s="601">
        <v>45682</v>
      </c>
      <c r="B149" t="str">
        <f t="shared" si="2"/>
        <v>sábado</v>
      </c>
    </row>
    <row r="150" spans="1:2" ht="15">
      <c r="A150" s="601">
        <v>45683</v>
      </c>
      <c r="B150" t="str">
        <f t="shared" si="2"/>
        <v>domingo</v>
      </c>
    </row>
    <row r="151" spans="1:2" ht="15">
      <c r="A151" s="601">
        <v>45684</v>
      </c>
      <c r="B151" t="str">
        <f t="shared" si="2"/>
        <v>lunes</v>
      </c>
    </row>
    <row r="152" spans="1:2" ht="15">
      <c r="A152" s="601">
        <v>45685</v>
      </c>
      <c r="B152" t="str">
        <f t="shared" si="2"/>
        <v>martes</v>
      </c>
    </row>
    <row r="153" spans="1:2" ht="15">
      <c r="A153" s="601">
        <v>45686</v>
      </c>
      <c r="B153" t="str">
        <f t="shared" si="2"/>
        <v>miércoles</v>
      </c>
    </row>
    <row r="154" spans="1:2" ht="15">
      <c r="A154" s="601">
        <v>45687</v>
      </c>
      <c r="B154" t="str">
        <f t="shared" si="2"/>
        <v>jueves</v>
      </c>
    </row>
    <row r="155" spans="1:2" ht="15">
      <c r="A155" s="601">
        <v>45688</v>
      </c>
      <c r="B155" t="str">
        <f t="shared" si="2"/>
        <v>viernes</v>
      </c>
    </row>
    <row r="156" spans="1:2" ht="15">
      <c r="A156" s="601">
        <v>45689</v>
      </c>
      <c r="B156" t="str">
        <f t="shared" si="2"/>
        <v>sábado</v>
      </c>
    </row>
    <row r="157" spans="1:2" ht="15">
      <c r="A157" s="601">
        <v>45690</v>
      </c>
      <c r="B157" t="str">
        <f t="shared" si="2"/>
        <v>domingo</v>
      </c>
    </row>
    <row r="158" spans="1:2" ht="15">
      <c r="A158" s="601">
        <v>45691</v>
      </c>
      <c r="B158" t="str">
        <f t="shared" si="2"/>
        <v>lunes</v>
      </c>
    </row>
    <row r="159" spans="1:2" ht="15">
      <c r="A159" s="601">
        <v>45692</v>
      </c>
      <c r="B159" t="str">
        <f t="shared" si="2"/>
        <v>martes</v>
      </c>
    </row>
    <row r="160" spans="1:2" ht="15">
      <c r="A160" s="601">
        <v>45693</v>
      </c>
      <c r="B160" t="str">
        <f t="shared" si="2"/>
        <v>miércoles</v>
      </c>
    </row>
    <row r="161" spans="1:2" ht="15">
      <c r="A161" s="601">
        <v>45694</v>
      </c>
      <c r="B161" t="str">
        <f t="shared" si="2"/>
        <v>jueves</v>
      </c>
    </row>
    <row r="162" spans="1:2" ht="15">
      <c r="A162" s="601">
        <v>45695</v>
      </c>
      <c r="B162" t="str">
        <f t="shared" si="2"/>
        <v>viernes</v>
      </c>
    </row>
    <row r="163" spans="1:2" ht="15">
      <c r="A163" s="601">
        <v>45696</v>
      </c>
      <c r="B163" t="str">
        <f t="shared" si="2"/>
        <v>sábado</v>
      </c>
    </row>
    <row r="164" spans="1:2" ht="15">
      <c r="A164" s="601">
        <v>45697</v>
      </c>
      <c r="B164" t="str">
        <f t="shared" si="2"/>
        <v>domingo</v>
      </c>
    </row>
    <row r="165" spans="1:2" ht="15">
      <c r="A165" s="601">
        <v>45698</v>
      </c>
      <c r="B165" t="str">
        <f t="shared" si="2"/>
        <v>lunes</v>
      </c>
    </row>
    <row r="166" spans="1:2" ht="15">
      <c r="A166" s="601">
        <v>45699</v>
      </c>
      <c r="B166" t="str">
        <f t="shared" si="2"/>
        <v>martes</v>
      </c>
    </row>
    <row r="167" spans="1:2" ht="15">
      <c r="A167" s="601">
        <v>45700</v>
      </c>
      <c r="B167" t="str">
        <f t="shared" si="2"/>
        <v>miércoles</v>
      </c>
    </row>
    <row r="168" spans="1:2" ht="15">
      <c r="A168" s="601">
        <v>45701</v>
      </c>
      <c r="B168" t="str">
        <f t="shared" si="2"/>
        <v>jueves</v>
      </c>
    </row>
    <row r="169" spans="1:2" ht="15">
      <c r="A169" s="601">
        <v>45702</v>
      </c>
      <c r="B169" t="str">
        <f t="shared" si="2"/>
        <v>viernes</v>
      </c>
    </row>
    <row r="170" spans="1:2" ht="15">
      <c r="A170" s="601">
        <v>45703</v>
      </c>
      <c r="B170" t="str">
        <f t="shared" si="2"/>
        <v>sábado</v>
      </c>
    </row>
    <row r="171" spans="1:2" ht="15">
      <c r="A171" s="601">
        <v>45704</v>
      </c>
      <c r="B171" t="str">
        <f t="shared" si="2"/>
        <v>domingo</v>
      </c>
    </row>
    <row r="172" spans="1:2" ht="15">
      <c r="A172" s="601">
        <v>45705</v>
      </c>
      <c r="B172" t="str">
        <f t="shared" si="2"/>
        <v>lunes</v>
      </c>
    </row>
    <row r="173" spans="1:2" ht="15">
      <c r="A173" s="601">
        <v>45706</v>
      </c>
      <c r="B173" t="str">
        <f t="shared" si="2"/>
        <v>martes</v>
      </c>
    </row>
    <row r="174" spans="1:2" ht="15">
      <c r="A174" s="601">
        <v>45707</v>
      </c>
      <c r="B174" t="str">
        <f t="shared" si="2"/>
        <v>miércoles</v>
      </c>
    </row>
    <row r="175" spans="1:2" ht="15">
      <c r="A175" s="601">
        <v>45708</v>
      </c>
      <c r="B175" t="str">
        <f t="shared" si="2"/>
        <v>jueves</v>
      </c>
    </row>
    <row r="176" spans="1:2" ht="15">
      <c r="A176" s="601">
        <v>45709</v>
      </c>
      <c r="B176" t="str">
        <f t="shared" si="2"/>
        <v>viernes</v>
      </c>
    </row>
    <row r="177" spans="1:2" ht="15">
      <c r="A177" s="601">
        <v>45710</v>
      </c>
      <c r="B177" t="str">
        <f t="shared" si="2"/>
        <v>sábado</v>
      </c>
    </row>
    <row r="178" spans="1:2" ht="15">
      <c r="A178" s="601">
        <v>45711</v>
      </c>
      <c r="B178" t="str">
        <f t="shared" si="2"/>
        <v>domingo</v>
      </c>
    </row>
    <row r="179" spans="1:2" ht="15">
      <c r="A179" s="601">
        <v>45712</v>
      </c>
      <c r="B179" t="str">
        <f t="shared" si="2"/>
        <v>lunes</v>
      </c>
    </row>
    <row r="180" spans="1:2" ht="15">
      <c r="A180" s="601">
        <v>45713</v>
      </c>
      <c r="B180" t="str">
        <f t="shared" si="2"/>
        <v>martes</v>
      </c>
    </row>
    <row r="181" spans="1:2" ht="15">
      <c r="A181" s="601">
        <v>45714</v>
      </c>
      <c r="B181" t="str">
        <f t="shared" si="2"/>
        <v>miércoles</v>
      </c>
    </row>
    <row r="182" spans="1:2" ht="15">
      <c r="A182" s="601">
        <v>45715</v>
      </c>
      <c r="B182" t="str">
        <f t="shared" si="2"/>
        <v>jueves</v>
      </c>
    </row>
    <row r="183" spans="1:2" ht="15">
      <c r="A183" s="601">
        <v>45716</v>
      </c>
      <c r="B183" t="str">
        <f t="shared" si="2"/>
        <v>viernes</v>
      </c>
    </row>
    <row r="184" spans="1:2" ht="15">
      <c r="A184" s="601">
        <v>45717</v>
      </c>
      <c r="B184" t="str">
        <f t="shared" si="2"/>
        <v>sábado</v>
      </c>
    </row>
    <row r="185" spans="1:2" ht="15">
      <c r="A185" s="601">
        <v>45718</v>
      </c>
      <c r="B185" t="str">
        <f t="shared" si="2"/>
        <v>domingo</v>
      </c>
    </row>
    <row r="186" spans="1:2" ht="15">
      <c r="A186" s="601">
        <v>45719</v>
      </c>
      <c r="B186" t="str">
        <f t="shared" si="2"/>
        <v>lunes</v>
      </c>
    </row>
    <row r="187" spans="1:2" ht="15">
      <c r="A187" s="601">
        <v>45720</v>
      </c>
      <c r="B187" t="str">
        <f t="shared" si="2"/>
        <v>martes</v>
      </c>
    </row>
    <row r="188" spans="1:2" ht="15">
      <c r="A188" s="601">
        <v>45721</v>
      </c>
      <c r="B188" t="str">
        <f t="shared" si="2"/>
        <v>miércoles</v>
      </c>
    </row>
    <row r="189" spans="1:2" ht="15">
      <c r="A189" s="601">
        <v>45722</v>
      </c>
      <c r="B189" t="str">
        <f t="shared" si="2"/>
        <v>jueves</v>
      </c>
    </row>
    <row r="190" spans="1:2" ht="15">
      <c r="A190" s="601">
        <v>45723</v>
      </c>
      <c r="B190" t="str">
        <f t="shared" si="2"/>
        <v>viernes</v>
      </c>
    </row>
    <row r="191" spans="1:2" ht="15">
      <c r="A191" s="601">
        <v>45724</v>
      </c>
      <c r="B191" t="str">
        <f t="shared" si="2"/>
        <v>sábado</v>
      </c>
    </row>
    <row r="192" spans="1:2" ht="15">
      <c r="A192" s="601">
        <v>45725</v>
      </c>
      <c r="B192" t="str">
        <f t="shared" si="2"/>
        <v>domingo</v>
      </c>
    </row>
    <row r="193" spans="1:2" ht="15">
      <c r="A193" s="601">
        <v>45726</v>
      </c>
      <c r="B193" t="str">
        <f t="shared" si="2"/>
        <v>lunes</v>
      </c>
    </row>
    <row r="194" spans="1:2" ht="15">
      <c r="A194" s="601">
        <v>45727</v>
      </c>
      <c r="B194" t="str">
        <f t="shared" si="2"/>
        <v>martes</v>
      </c>
    </row>
    <row r="195" spans="1:2" ht="15">
      <c r="A195" s="601">
        <v>45728</v>
      </c>
      <c r="B195" t="str">
        <f t="shared" ref="B195:B258" si="3">+TEXT(A195,"ddddddddd")</f>
        <v>miércoles</v>
      </c>
    </row>
    <row r="196" spans="1:2" ht="15">
      <c r="A196" s="601">
        <v>45729</v>
      </c>
      <c r="B196" t="str">
        <f t="shared" si="3"/>
        <v>jueves</v>
      </c>
    </row>
    <row r="197" spans="1:2" ht="15">
      <c r="A197" s="601">
        <v>45730</v>
      </c>
      <c r="B197" t="str">
        <f t="shared" si="3"/>
        <v>viernes</v>
      </c>
    </row>
    <row r="198" spans="1:2" ht="15">
      <c r="A198" s="601">
        <v>45731</v>
      </c>
      <c r="B198" t="str">
        <f t="shared" si="3"/>
        <v>sábado</v>
      </c>
    </row>
    <row r="199" spans="1:2" ht="15">
      <c r="A199" s="601">
        <v>45732</v>
      </c>
      <c r="B199" t="str">
        <f t="shared" si="3"/>
        <v>domingo</v>
      </c>
    </row>
    <row r="200" spans="1:2" ht="15">
      <c r="A200" s="601">
        <v>45733</v>
      </c>
      <c r="B200" t="str">
        <f t="shared" si="3"/>
        <v>lunes</v>
      </c>
    </row>
    <row r="201" spans="1:2" ht="15">
      <c r="A201" s="601">
        <v>45734</v>
      </c>
      <c r="B201" t="str">
        <f t="shared" si="3"/>
        <v>martes</v>
      </c>
    </row>
    <row r="202" spans="1:2" ht="15">
      <c r="A202" s="601">
        <v>45735</v>
      </c>
      <c r="B202" t="str">
        <f t="shared" si="3"/>
        <v>miércoles</v>
      </c>
    </row>
    <row r="203" spans="1:2" ht="15">
      <c r="A203" s="601">
        <v>45736</v>
      </c>
      <c r="B203" t="str">
        <f t="shared" si="3"/>
        <v>jueves</v>
      </c>
    </row>
    <row r="204" spans="1:2" ht="15">
      <c r="A204" s="601">
        <v>45737</v>
      </c>
      <c r="B204" t="str">
        <f t="shared" si="3"/>
        <v>viernes</v>
      </c>
    </row>
    <row r="205" spans="1:2" ht="15">
      <c r="A205" s="601">
        <v>45738</v>
      </c>
      <c r="B205" t="str">
        <f t="shared" si="3"/>
        <v>sábado</v>
      </c>
    </row>
    <row r="206" spans="1:2" ht="15">
      <c r="A206" s="601">
        <v>45739</v>
      </c>
      <c r="B206" t="str">
        <f t="shared" si="3"/>
        <v>domingo</v>
      </c>
    </row>
    <row r="207" spans="1:2" ht="15">
      <c r="A207" s="601">
        <v>45740</v>
      </c>
      <c r="B207" t="str">
        <f t="shared" si="3"/>
        <v>lunes</v>
      </c>
    </row>
    <row r="208" spans="1:2" ht="15">
      <c r="A208" s="601">
        <v>45741</v>
      </c>
      <c r="B208" t="str">
        <f t="shared" si="3"/>
        <v>martes</v>
      </c>
    </row>
    <row r="209" spans="1:2" ht="15">
      <c r="A209" s="601">
        <v>45742</v>
      </c>
      <c r="B209" t="str">
        <f t="shared" si="3"/>
        <v>miércoles</v>
      </c>
    </row>
    <row r="210" spans="1:2" ht="15">
      <c r="A210" s="601">
        <v>45743</v>
      </c>
      <c r="B210" t="str">
        <f t="shared" si="3"/>
        <v>jueves</v>
      </c>
    </row>
    <row r="211" spans="1:2" ht="15">
      <c r="A211" s="601">
        <v>45744</v>
      </c>
      <c r="B211" t="str">
        <f t="shared" si="3"/>
        <v>viernes</v>
      </c>
    </row>
    <row r="212" spans="1:2" ht="15">
      <c r="A212" s="601">
        <v>45745</v>
      </c>
      <c r="B212" t="str">
        <f t="shared" si="3"/>
        <v>sábado</v>
      </c>
    </row>
    <row r="213" spans="1:2" ht="15">
      <c r="A213" s="601">
        <v>45746</v>
      </c>
      <c r="B213" t="str">
        <f t="shared" si="3"/>
        <v>domingo</v>
      </c>
    </row>
    <row r="214" spans="1:2" ht="15">
      <c r="A214" s="601">
        <v>45747</v>
      </c>
      <c r="B214" t="str">
        <f t="shared" si="3"/>
        <v>lunes</v>
      </c>
    </row>
    <row r="215" spans="1:2" ht="15">
      <c r="A215" s="601">
        <v>45748</v>
      </c>
      <c r="B215" t="str">
        <f t="shared" si="3"/>
        <v>martes</v>
      </c>
    </row>
    <row r="216" spans="1:2" ht="15">
      <c r="A216" s="601">
        <v>45749</v>
      </c>
      <c r="B216" t="str">
        <f t="shared" si="3"/>
        <v>miércoles</v>
      </c>
    </row>
    <row r="217" spans="1:2" ht="15">
      <c r="A217" s="601">
        <v>45750</v>
      </c>
      <c r="B217" t="str">
        <f t="shared" si="3"/>
        <v>jueves</v>
      </c>
    </row>
    <row r="218" spans="1:2" ht="15">
      <c r="A218" s="601">
        <v>45751</v>
      </c>
      <c r="B218" t="str">
        <f t="shared" si="3"/>
        <v>viernes</v>
      </c>
    </row>
    <row r="219" spans="1:2" ht="15">
      <c r="A219" s="601">
        <v>45752</v>
      </c>
      <c r="B219" t="str">
        <f t="shared" si="3"/>
        <v>sábado</v>
      </c>
    </row>
    <row r="220" spans="1:2" ht="15">
      <c r="A220" s="601">
        <v>45753</v>
      </c>
      <c r="B220" t="str">
        <f t="shared" si="3"/>
        <v>domingo</v>
      </c>
    </row>
    <row r="221" spans="1:2" ht="15">
      <c r="A221" s="601">
        <v>45754</v>
      </c>
      <c r="B221" t="str">
        <f t="shared" si="3"/>
        <v>lunes</v>
      </c>
    </row>
    <row r="222" spans="1:2" ht="15">
      <c r="A222" s="601">
        <v>45755</v>
      </c>
      <c r="B222" t="str">
        <f t="shared" si="3"/>
        <v>martes</v>
      </c>
    </row>
    <row r="223" spans="1:2" ht="15">
      <c r="A223" s="601">
        <v>45756</v>
      </c>
      <c r="B223" t="str">
        <f t="shared" si="3"/>
        <v>miércoles</v>
      </c>
    </row>
    <row r="224" spans="1:2" ht="15">
      <c r="A224" s="601">
        <v>45757</v>
      </c>
      <c r="B224" t="str">
        <f t="shared" si="3"/>
        <v>jueves</v>
      </c>
    </row>
    <row r="225" spans="1:2" ht="15">
      <c r="A225" s="601">
        <v>45758</v>
      </c>
      <c r="B225" t="str">
        <f t="shared" si="3"/>
        <v>viernes</v>
      </c>
    </row>
    <row r="226" spans="1:2" ht="15">
      <c r="A226" s="601">
        <v>45759</v>
      </c>
      <c r="B226" t="str">
        <f t="shared" si="3"/>
        <v>sábado</v>
      </c>
    </row>
    <row r="227" spans="1:2" ht="15">
      <c r="A227" s="601">
        <v>45760</v>
      </c>
      <c r="B227" t="str">
        <f t="shared" si="3"/>
        <v>domingo</v>
      </c>
    </row>
    <row r="228" spans="1:2" ht="15">
      <c r="A228" s="601">
        <v>45761</v>
      </c>
      <c r="B228" t="str">
        <f t="shared" si="3"/>
        <v>lunes</v>
      </c>
    </row>
    <row r="229" spans="1:2" ht="15">
      <c r="A229" s="601">
        <v>45762</v>
      </c>
      <c r="B229" t="str">
        <f t="shared" si="3"/>
        <v>martes</v>
      </c>
    </row>
    <row r="230" spans="1:2" ht="15">
      <c r="A230" s="601">
        <v>45763</v>
      </c>
      <c r="B230" t="str">
        <f t="shared" si="3"/>
        <v>miércoles</v>
      </c>
    </row>
    <row r="231" spans="1:2" ht="15">
      <c r="A231" s="601">
        <v>45764</v>
      </c>
      <c r="B231" t="str">
        <f t="shared" si="3"/>
        <v>jueves</v>
      </c>
    </row>
    <row r="232" spans="1:2" ht="15">
      <c r="A232" s="601">
        <v>45765</v>
      </c>
      <c r="B232" t="str">
        <f t="shared" si="3"/>
        <v>viernes</v>
      </c>
    </row>
    <row r="233" spans="1:2" ht="15">
      <c r="A233" s="601">
        <v>45766</v>
      </c>
      <c r="B233" t="str">
        <f t="shared" si="3"/>
        <v>sábado</v>
      </c>
    </row>
    <row r="234" spans="1:2" ht="15">
      <c r="A234" s="601">
        <v>45767</v>
      </c>
      <c r="B234" t="str">
        <f t="shared" si="3"/>
        <v>domingo</v>
      </c>
    </row>
    <row r="235" spans="1:2" ht="15">
      <c r="A235" s="601">
        <v>45768</v>
      </c>
      <c r="B235" t="str">
        <f t="shared" si="3"/>
        <v>lunes</v>
      </c>
    </row>
    <row r="236" spans="1:2" ht="15">
      <c r="A236" s="601">
        <v>45769</v>
      </c>
      <c r="B236" t="str">
        <f t="shared" si="3"/>
        <v>martes</v>
      </c>
    </row>
    <row r="237" spans="1:2" ht="15">
      <c r="A237" s="601">
        <v>45770</v>
      </c>
      <c r="B237" t="str">
        <f t="shared" si="3"/>
        <v>miércoles</v>
      </c>
    </row>
    <row r="238" spans="1:2" ht="15">
      <c r="A238" s="601">
        <v>45771</v>
      </c>
      <c r="B238" t="str">
        <f t="shared" si="3"/>
        <v>jueves</v>
      </c>
    </row>
    <row r="239" spans="1:2" ht="15">
      <c r="A239" s="601">
        <v>45772</v>
      </c>
      <c r="B239" t="str">
        <f t="shared" si="3"/>
        <v>viernes</v>
      </c>
    </row>
    <row r="240" spans="1:2" ht="15">
      <c r="A240" s="601">
        <v>45773</v>
      </c>
      <c r="B240" t="str">
        <f t="shared" si="3"/>
        <v>sábado</v>
      </c>
    </row>
    <row r="241" spans="1:2" ht="15">
      <c r="A241" s="601">
        <v>45774</v>
      </c>
      <c r="B241" t="str">
        <f t="shared" si="3"/>
        <v>domingo</v>
      </c>
    </row>
    <row r="242" spans="1:2" ht="15">
      <c r="A242" s="601">
        <v>45775</v>
      </c>
      <c r="B242" t="str">
        <f t="shared" si="3"/>
        <v>lunes</v>
      </c>
    </row>
    <row r="243" spans="1:2" ht="15">
      <c r="A243" s="601">
        <v>45776</v>
      </c>
      <c r="B243" t="str">
        <f t="shared" si="3"/>
        <v>martes</v>
      </c>
    </row>
    <row r="244" spans="1:2" ht="15">
      <c r="A244" s="601">
        <v>45777</v>
      </c>
      <c r="B244" t="str">
        <f t="shared" si="3"/>
        <v>miércoles</v>
      </c>
    </row>
    <row r="245" spans="1:2" ht="15">
      <c r="A245" s="601">
        <v>45778</v>
      </c>
      <c r="B245" t="str">
        <f t="shared" si="3"/>
        <v>jueves</v>
      </c>
    </row>
    <row r="246" spans="1:2" ht="15">
      <c r="A246" s="601">
        <v>45779</v>
      </c>
      <c r="B246" t="str">
        <f t="shared" si="3"/>
        <v>viernes</v>
      </c>
    </row>
    <row r="247" spans="1:2" ht="15">
      <c r="A247" s="601">
        <v>45780</v>
      </c>
      <c r="B247" t="str">
        <f t="shared" si="3"/>
        <v>sábado</v>
      </c>
    </row>
    <row r="248" spans="1:2" ht="15">
      <c r="A248" s="601">
        <v>45781</v>
      </c>
      <c r="B248" t="str">
        <f t="shared" si="3"/>
        <v>domingo</v>
      </c>
    </row>
    <row r="249" spans="1:2" ht="15">
      <c r="A249" s="601">
        <v>45782</v>
      </c>
      <c r="B249" t="str">
        <f t="shared" si="3"/>
        <v>lunes</v>
      </c>
    </row>
    <row r="250" spans="1:2" ht="15">
      <c r="A250" s="601">
        <v>45783</v>
      </c>
      <c r="B250" t="str">
        <f t="shared" si="3"/>
        <v>martes</v>
      </c>
    </row>
    <row r="251" spans="1:2" ht="15">
      <c r="A251" s="601">
        <v>45784</v>
      </c>
      <c r="B251" t="str">
        <f t="shared" si="3"/>
        <v>miércoles</v>
      </c>
    </row>
    <row r="252" spans="1:2" ht="15">
      <c r="A252" s="601">
        <v>45785</v>
      </c>
      <c r="B252" t="str">
        <f t="shared" si="3"/>
        <v>jueves</v>
      </c>
    </row>
    <row r="253" spans="1:2" ht="15">
      <c r="A253" s="601">
        <v>45786</v>
      </c>
      <c r="B253" t="str">
        <f t="shared" si="3"/>
        <v>viernes</v>
      </c>
    </row>
    <row r="254" spans="1:2" ht="15">
      <c r="A254" s="601">
        <v>45787</v>
      </c>
      <c r="B254" t="str">
        <f t="shared" si="3"/>
        <v>sábado</v>
      </c>
    </row>
    <row r="255" spans="1:2" ht="15">
      <c r="A255" s="601">
        <v>45788</v>
      </c>
      <c r="B255" t="str">
        <f t="shared" si="3"/>
        <v>domingo</v>
      </c>
    </row>
    <row r="256" spans="1:2" ht="15">
      <c r="A256" s="601">
        <v>45789</v>
      </c>
      <c r="B256" t="str">
        <f t="shared" si="3"/>
        <v>lunes</v>
      </c>
    </row>
    <row r="257" spans="1:2" ht="15">
      <c r="A257" s="601">
        <v>45790</v>
      </c>
      <c r="B257" t="str">
        <f t="shared" si="3"/>
        <v>martes</v>
      </c>
    </row>
    <row r="258" spans="1:2" ht="15">
      <c r="A258" s="601">
        <v>45791</v>
      </c>
      <c r="B258" t="str">
        <f t="shared" si="3"/>
        <v>miércoles</v>
      </c>
    </row>
    <row r="259" spans="1:2" ht="15">
      <c r="A259" s="601">
        <v>45792</v>
      </c>
      <c r="B259" t="str">
        <f t="shared" ref="B259:B322" si="4">+TEXT(A259,"ddddddddd")</f>
        <v>jueves</v>
      </c>
    </row>
    <row r="260" spans="1:2" ht="15">
      <c r="A260" s="601">
        <v>45793</v>
      </c>
      <c r="B260" t="str">
        <f t="shared" si="4"/>
        <v>viernes</v>
      </c>
    </row>
    <row r="261" spans="1:2" ht="15">
      <c r="A261" s="601">
        <v>45794</v>
      </c>
      <c r="B261" t="str">
        <f t="shared" si="4"/>
        <v>sábado</v>
      </c>
    </row>
    <row r="262" spans="1:2" ht="15">
      <c r="A262" s="601">
        <v>45795</v>
      </c>
      <c r="B262" t="str">
        <f t="shared" si="4"/>
        <v>domingo</v>
      </c>
    </row>
    <row r="263" spans="1:2" ht="15">
      <c r="A263" s="601">
        <v>45796</v>
      </c>
      <c r="B263" t="str">
        <f t="shared" si="4"/>
        <v>lunes</v>
      </c>
    </row>
    <row r="264" spans="1:2" ht="15">
      <c r="A264" s="601">
        <v>45797</v>
      </c>
      <c r="B264" t="str">
        <f t="shared" si="4"/>
        <v>martes</v>
      </c>
    </row>
    <row r="265" spans="1:2" ht="15">
      <c r="A265" s="601">
        <v>45798</v>
      </c>
      <c r="B265" t="str">
        <f t="shared" si="4"/>
        <v>miércoles</v>
      </c>
    </row>
    <row r="266" spans="1:2" ht="15">
      <c r="A266" s="601">
        <v>45799</v>
      </c>
      <c r="B266" t="str">
        <f t="shared" si="4"/>
        <v>jueves</v>
      </c>
    </row>
    <row r="267" spans="1:2" ht="15">
      <c r="A267" s="601">
        <v>45800</v>
      </c>
      <c r="B267" t="str">
        <f t="shared" si="4"/>
        <v>viernes</v>
      </c>
    </row>
    <row r="268" spans="1:2" ht="15">
      <c r="A268" s="601">
        <v>45801</v>
      </c>
      <c r="B268" t="str">
        <f t="shared" si="4"/>
        <v>sábado</v>
      </c>
    </row>
    <row r="269" spans="1:2" ht="15">
      <c r="A269" s="601">
        <v>45802</v>
      </c>
      <c r="B269" t="str">
        <f t="shared" si="4"/>
        <v>domingo</v>
      </c>
    </row>
    <row r="270" spans="1:2" ht="15">
      <c r="A270" s="601">
        <v>45803</v>
      </c>
      <c r="B270" t="str">
        <f t="shared" si="4"/>
        <v>lunes</v>
      </c>
    </row>
    <row r="271" spans="1:2" ht="15">
      <c r="A271" s="601">
        <v>45804</v>
      </c>
      <c r="B271" t="str">
        <f t="shared" si="4"/>
        <v>martes</v>
      </c>
    </row>
    <row r="272" spans="1:2" ht="15">
      <c r="A272" s="601">
        <v>45805</v>
      </c>
      <c r="B272" t="str">
        <f t="shared" si="4"/>
        <v>miércoles</v>
      </c>
    </row>
    <row r="273" spans="1:2" ht="15">
      <c r="A273" s="601">
        <v>45806</v>
      </c>
      <c r="B273" t="str">
        <f t="shared" si="4"/>
        <v>jueves</v>
      </c>
    </row>
    <row r="274" spans="1:2" ht="15">
      <c r="A274" s="601">
        <v>45807</v>
      </c>
      <c r="B274" t="str">
        <f t="shared" si="4"/>
        <v>viernes</v>
      </c>
    </row>
    <row r="275" spans="1:2" ht="15">
      <c r="A275" s="601">
        <v>45808</v>
      </c>
      <c r="B275" t="str">
        <f t="shared" si="4"/>
        <v>sábado</v>
      </c>
    </row>
    <row r="276" spans="1:2" ht="15">
      <c r="A276" s="601">
        <v>45809</v>
      </c>
      <c r="B276" t="str">
        <f t="shared" si="4"/>
        <v>domingo</v>
      </c>
    </row>
    <row r="277" spans="1:2" ht="15">
      <c r="A277" s="601">
        <v>45810</v>
      </c>
      <c r="B277" t="str">
        <f t="shared" si="4"/>
        <v>lunes</v>
      </c>
    </row>
    <row r="278" spans="1:2" ht="15">
      <c r="A278" s="601">
        <v>45811</v>
      </c>
      <c r="B278" t="str">
        <f t="shared" si="4"/>
        <v>martes</v>
      </c>
    </row>
    <row r="279" spans="1:2" ht="15">
      <c r="A279" s="601">
        <v>45812</v>
      </c>
      <c r="B279" t="str">
        <f t="shared" si="4"/>
        <v>miércoles</v>
      </c>
    </row>
    <row r="280" spans="1:2" ht="15">
      <c r="A280" s="601">
        <v>45813</v>
      </c>
      <c r="B280" t="str">
        <f t="shared" si="4"/>
        <v>jueves</v>
      </c>
    </row>
    <row r="281" spans="1:2" ht="15">
      <c r="A281" s="601">
        <v>45814</v>
      </c>
      <c r="B281" t="str">
        <f t="shared" si="4"/>
        <v>viernes</v>
      </c>
    </row>
    <row r="282" spans="1:2" ht="15">
      <c r="A282" s="601">
        <v>45815</v>
      </c>
      <c r="B282" t="str">
        <f t="shared" si="4"/>
        <v>sábado</v>
      </c>
    </row>
    <row r="283" spans="1:2" ht="15">
      <c r="A283" s="601">
        <v>45816</v>
      </c>
      <c r="B283" t="str">
        <f t="shared" si="4"/>
        <v>domingo</v>
      </c>
    </row>
    <row r="284" spans="1:2" ht="15">
      <c r="A284" s="601">
        <v>45817</v>
      </c>
      <c r="B284" t="str">
        <f t="shared" si="4"/>
        <v>lunes</v>
      </c>
    </row>
    <row r="285" spans="1:2" ht="15">
      <c r="A285" s="601">
        <v>45818</v>
      </c>
      <c r="B285" t="str">
        <f t="shared" si="4"/>
        <v>martes</v>
      </c>
    </row>
    <row r="286" spans="1:2" ht="15">
      <c r="A286" s="601">
        <v>45819</v>
      </c>
      <c r="B286" t="str">
        <f t="shared" si="4"/>
        <v>miércoles</v>
      </c>
    </row>
    <row r="287" spans="1:2" ht="15">
      <c r="A287" s="601">
        <v>45820</v>
      </c>
      <c r="B287" t="str">
        <f t="shared" si="4"/>
        <v>jueves</v>
      </c>
    </row>
    <row r="288" spans="1:2" ht="15">
      <c r="A288" s="601">
        <v>45821</v>
      </c>
      <c r="B288" t="str">
        <f t="shared" si="4"/>
        <v>viernes</v>
      </c>
    </row>
    <row r="289" spans="1:2" ht="15">
      <c r="A289" s="601">
        <v>45822</v>
      </c>
      <c r="B289" t="str">
        <f t="shared" si="4"/>
        <v>sábado</v>
      </c>
    </row>
    <row r="290" spans="1:2" ht="15">
      <c r="A290" s="601">
        <v>45823</v>
      </c>
      <c r="B290" t="str">
        <f t="shared" si="4"/>
        <v>domingo</v>
      </c>
    </row>
    <row r="291" spans="1:2" ht="15">
      <c r="A291" s="601">
        <v>45824</v>
      </c>
      <c r="B291" t="str">
        <f t="shared" si="4"/>
        <v>lunes</v>
      </c>
    </row>
    <row r="292" spans="1:2" ht="15">
      <c r="A292" s="601">
        <v>45825</v>
      </c>
      <c r="B292" t="str">
        <f t="shared" si="4"/>
        <v>martes</v>
      </c>
    </row>
    <row r="293" spans="1:2" ht="15">
      <c r="A293" s="601">
        <v>45826</v>
      </c>
      <c r="B293" t="str">
        <f t="shared" si="4"/>
        <v>miércoles</v>
      </c>
    </row>
    <row r="294" spans="1:2" ht="15">
      <c r="A294" s="601">
        <v>45827</v>
      </c>
      <c r="B294" t="str">
        <f t="shared" si="4"/>
        <v>jueves</v>
      </c>
    </row>
    <row r="295" spans="1:2" ht="15">
      <c r="A295" s="601">
        <v>45828</v>
      </c>
      <c r="B295" t="str">
        <f t="shared" si="4"/>
        <v>viernes</v>
      </c>
    </row>
    <row r="296" spans="1:2" ht="15">
      <c r="A296" s="601">
        <v>45829</v>
      </c>
      <c r="B296" t="str">
        <f t="shared" si="4"/>
        <v>sábado</v>
      </c>
    </row>
    <row r="297" spans="1:2" ht="15">
      <c r="A297" s="601">
        <v>45830</v>
      </c>
      <c r="B297" t="str">
        <f t="shared" si="4"/>
        <v>domingo</v>
      </c>
    </row>
    <row r="298" spans="1:2" ht="15">
      <c r="A298" s="601">
        <v>45831</v>
      </c>
      <c r="B298" t="str">
        <f t="shared" si="4"/>
        <v>lunes</v>
      </c>
    </row>
    <row r="299" spans="1:2" ht="15">
      <c r="A299" s="601">
        <v>45832</v>
      </c>
      <c r="B299" t="str">
        <f t="shared" si="4"/>
        <v>martes</v>
      </c>
    </row>
    <row r="300" spans="1:2" ht="15">
      <c r="A300" s="601">
        <v>45833</v>
      </c>
      <c r="B300" t="str">
        <f t="shared" si="4"/>
        <v>miércoles</v>
      </c>
    </row>
    <row r="301" spans="1:2" ht="15">
      <c r="A301" s="601">
        <v>45834</v>
      </c>
      <c r="B301" t="str">
        <f t="shared" si="4"/>
        <v>jueves</v>
      </c>
    </row>
    <row r="302" spans="1:2" ht="15">
      <c r="A302" s="601">
        <v>45835</v>
      </c>
      <c r="B302" t="str">
        <f t="shared" si="4"/>
        <v>viernes</v>
      </c>
    </row>
    <row r="303" spans="1:2" ht="15">
      <c r="A303" s="601">
        <v>45836</v>
      </c>
      <c r="B303" t="str">
        <f t="shared" si="4"/>
        <v>sábado</v>
      </c>
    </row>
    <row r="304" spans="1:2" ht="15">
      <c r="A304" s="601">
        <v>45837</v>
      </c>
      <c r="B304" t="str">
        <f t="shared" si="4"/>
        <v>domingo</v>
      </c>
    </row>
    <row r="305" spans="1:2" ht="15">
      <c r="A305" s="601">
        <v>45838</v>
      </c>
      <c r="B305" t="str">
        <f t="shared" si="4"/>
        <v>lunes</v>
      </c>
    </row>
    <row r="306" spans="1:2" ht="15">
      <c r="A306" s="601">
        <v>45839</v>
      </c>
      <c r="B306" t="str">
        <f t="shared" si="4"/>
        <v>martes</v>
      </c>
    </row>
    <row r="307" spans="1:2" ht="15">
      <c r="A307" s="601">
        <v>45840</v>
      </c>
      <c r="B307" t="str">
        <f t="shared" si="4"/>
        <v>miércoles</v>
      </c>
    </row>
    <row r="308" spans="1:2" ht="15">
      <c r="A308" s="601">
        <v>45841</v>
      </c>
      <c r="B308" t="str">
        <f t="shared" si="4"/>
        <v>jueves</v>
      </c>
    </row>
    <row r="309" spans="1:2" ht="15">
      <c r="A309" s="601">
        <v>45842</v>
      </c>
      <c r="B309" t="str">
        <f t="shared" si="4"/>
        <v>viernes</v>
      </c>
    </row>
    <row r="310" spans="1:2" ht="15">
      <c r="A310" s="601">
        <v>45843</v>
      </c>
      <c r="B310" t="str">
        <f t="shared" si="4"/>
        <v>sábado</v>
      </c>
    </row>
    <row r="311" spans="1:2" ht="15">
      <c r="A311" s="601">
        <v>45844</v>
      </c>
      <c r="B311" t="str">
        <f t="shared" si="4"/>
        <v>domingo</v>
      </c>
    </row>
    <row r="312" spans="1:2" ht="15">
      <c r="A312" s="601">
        <v>45845</v>
      </c>
      <c r="B312" t="str">
        <f t="shared" si="4"/>
        <v>lunes</v>
      </c>
    </row>
    <row r="313" spans="1:2" ht="15">
      <c r="A313" s="601">
        <v>45846</v>
      </c>
      <c r="B313" t="str">
        <f t="shared" si="4"/>
        <v>martes</v>
      </c>
    </row>
    <row r="314" spans="1:2" ht="15">
      <c r="A314" s="601">
        <v>45847</v>
      </c>
      <c r="B314" t="str">
        <f t="shared" si="4"/>
        <v>miércoles</v>
      </c>
    </row>
    <row r="315" spans="1:2" ht="15">
      <c r="A315" s="601">
        <v>45848</v>
      </c>
      <c r="B315" t="str">
        <f t="shared" si="4"/>
        <v>jueves</v>
      </c>
    </row>
    <row r="316" spans="1:2" ht="15">
      <c r="A316" s="601">
        <v>45849</v>
      </c>
      <c r="B316" t="str">
        <f t="shared" si="4"/>
        <v>viernes</v>
      </c>
    </row>
    <row r="317" spans="1:2" ht="15">
      <c r="A317" s="601">
        <v>45850</v>
      </c>
      <c r="B317" t="str">
        <f t="shared" si="4"/>
        <v>sábado</v>
      </c>
    </row>
    <row r="318" spans="1:2" ht="15">
      <c r="A318" s="601">
        <v>45851</v>
      </c>
      <c r="B318" t="str">
        <f t="shared" si="4"/>
        <v>domingo</v>
      </c>
    </row>
    <row r="319" spans="1:2" ht="15">
      <c r="A319" s="601">
        <v>45852</v>
      </c>
      <c r="B319" t="str">
        <f t="shared" si="4"/>
        <v>lunes</v>
      </c>
    </row>
    <row r="320" spans="1:2" ht="15">
      <c r="A320" s="601">
        <v>45853</v>
      </c>
      <c r="B320" t="str">
        <f t="shared" si="4"/>
        <v>martes</v>
      </c>
    </row>
    <row r="321" spans="1:2" ht="15">
      <c r="A321" s="601">
        <v>45854</v>
      </c>
      <c r="B321" t="str">
        <f t="shared" si="4"/>
        <v>miércoles</v>
      </c>
    </row>
    <row r="322" spans="1:2" ht="15">
      <c r="A322" s="601">
        <v>45855</v>
      </c>
      <c r="B322" t="str">
        <f t="shared" si="4"/>
        <v>jueves</v>
      </c>
    </row>
    <row r="323" spans="1:2" ht="15">
      <c r="A323" s="601">
        <v>45856</v>
      </c>
      <c r="B323" t="str">
        <f t="shared" ref="B323:B386" si="5">+TEXT(A323,"ddddddddd")</f>
        <v>viernes</v>
      </c>
    </row>
    <row r="324" spans="1:2" ht="15">
      <c r="A324" s="601">
        <v>45857</v>
      </c>
      <c r="B324" t="str">
        <f t="shared" si="5"/>
        <v>sábado</v>
      </c>
    </row>
    <row r="325" spans="1:2" ht="15">
      <c r="A325" s="601">
        <v>45858</v>
      </c>
      <c r="B325" t="str">
        <f t="shared" si="5"/>
        <v>domingo</v>
      </c>
    </row>
    <row r="326" spans="1:2" ht="15">
      <c r="A326" s="601">
        <v>45859</v>
      </c>
      <c r="B326" t="str">
        <f t="shared" si="5"/>
        <v>lunes</v>
      </c>
    </row>
    <row r="327" spans="1:2" ht="15">
      <c r="A327" s="601">
        <v>45860</v>
      </c>
      <c r="B327" t="str">
        <f t="shared" si="5"/>
        <v>martes</v>
      </c>
    </row>
    <row r="328" spans="1:2" ht="15">
      <c r="A328" s="601">
        <v>45861</v>
      </c>
      <c r="B328" t="str">
        <f t="shared" si="5"/>
        <v>miércoles</v>
      </c>
    </row>
    <row r="329" spans="1:2" ht="15">
      <c r="A329" s="601">
        <v>45862</v>
      </c>
      <c r="B329" t="str">
        <f t="shared" si="5"/>
        <v>jueves</v>
      </c>
    </row>
    <row r="330" spans="1:2" ht="15">
      <c r="A330" s="601">
        <v>45863</v>
      </c>
      <c r="B330" t="str">
        <f t="shared" si="5"/>
        <v>viernes</v>
      </c>
    </row>
    <row r="331" spans="1:2" ht="15">
      <c r="A331" s="601">
        <v>45864</v>
      </c>
      <c r="B331" t="str">
        <f t="shared" si="5"/>
        <v>sábado</v>
      </c>
    </row>
    <row r="332" spans="1:2" ht="15">
      <c r="A332" s="601">
        <v>45865</v>
      </c>
      <c r="B332" t="str">
        <f t="shared" si="5"/>
        <v>domingo</v>
      </c>
    </row>
    <row r="333" spans="1:2" ht="15">
      <c r="A333" s="601">
        <v>45866</v>
      </c>
      <c r="B333" t="str">
        <f t="shared" si="5"/>
        <v>lunes</v>
      </c>
    </row>
    <row r="334" spans="1:2" ht="15">
      <c r="A334" s="601">
        <v>45867</v>
      </c>
      <c r="B334" t="str">
        <f t="shared" si="5"/>
        <v>martes</v>
      </c>
    </row>
    <row r="335" spans="1:2" ht="15">
      <c r="A335" s="601">
        <v>45868</v>
      </c>
      <c r="B335" t="str">
        <f t="shared" si="5"/>
        <v>miércoles</v>
      </c>
    </row>
    <row r="336" spans="1:2" ht="15">
      <c r="A336" s="601">
        <v>45869</v>
      </c>
      <c r="B336" t="str">
        <f t="shared" si="5"/>
        <v>jueves</v>
      </c>
    </row>
    <row r="337" spans="1:2" ht="15">
      <c r="A337" s="601">
        <v>45870</v>
      </c>
      <c r="B337" t="str">
        <f t="shared" si="5"/>
        <v>viernes</v>
      </c>
    </row>
    <row r="338" spans="1:2" ht="15">
      <c r="A338" s="601">
        <v>45871</v>
      </c>
      <c r="B338" t="str">
        <f t="shared" si="5"/>
        <v>sábado</v>
      </c>
    </row>
    <row r="339" spans="1:2" ht="15">
      <c r="A339" s="601">
        <v>45872</v>
      </c>
      <c r="B339" t="str">
        <f t="shared" si="5"/>
        <v>domingo</v>
      </c>
    </row>
    <row r="340" spans="1:2" ht="15">
      <c r="A340" s="601">
        <v>45873</v>
      </c>
      <c r="B340" t="str">
        <f t="shared" si="5"/>
        <v>lunes</v>
      </c>
    </row>
    <row r="341" spans="1:2" ht="15">
      <c r="A341" s="601">
        <v>45874</v>
      </c>
      <c r="B341" t="str">
        <f t="shared" si="5"/>
        <v>martes</v>
      </c>
    </row>
    <row r="342" spans="1:2" ht="15">
      <c r="A342" s="601">
        <v>45875</v>
      </c>
      <c r="B342" t="str">
        <f t="shared" si="5"/>
        <v>miércoles</v>
      </c>
    </row>
    <row r="343" spans="1:2" ht="15">
      <c r="A343" s="601">
        <v>45876</v>
      </c>
      <c r="B343" t="str">
        <f t="shared" si="5"/>
        <v>jueves</v>
      </c>
    </row>
    <row r="344" spans="1:2" ht="15">
      <c r="A344" s="601">
        <v>45877</v>
      </c>
      <c r="B344" t="str">
        <f t="shared" si="5"/>
        <v>viernes</v>
      </c>
    </row>
    <row r="345" spans="1:2" ht="15">
      <c r="A345" s="601">
        <v>45878</v>
      </c>
      <c r="B345" t="str">
        <f t="shared" si="5"/>
        <v>sábado</v>
      </c>
    </row>
    <row r="346" spans="1:2" ht="15">
      <c r="A346" s="601">
        <v>45879</v>
      </c>
      <c r="B346" t="str">
        <f t="shared" si="5"/>
        <v>domingo</v>
      </c>
    </row>
    <row r="347" spans="1:2" ht="15">
      <c r="A347" s="601">
        <v>45880</v>
      </c>
      <c r="B347" t="str">
        <f t="shared" si="5"/>
        <v>lunes</v>
      </c>
    </row>
    <row r="348" spans="1:2" ht="15">
      <c r="A348" s="601">
        <v>45881</v>
      </c>
      <c r="B348" t="str">
        <f t="shared" si="5"/>
        <v>martes</v>
      </c>
    </row>
    <row r="349" spans="1:2" ht="15">
      <c r="A349" s="601">
        <v>45882</v>
      </c>
      <c r="B349" t="str">
        <f t="shared" si="5"/>
        <v>miércoles</v>
      </c>
    </row>
    <row r="350" spans="1:2" ht="15">
      <c r="A350" s="601">
        <v>45883</v>
      </c>
      <c r="B350" t="str">
        <f t="shared" si="5"/>
        <v>jueves</v>
      </c>
    </row>
    <row r="351" spans="1:2" ht="15">
      <c r="A351" s="601">
        <v>45884</v>
      </c>
      <c r="B351" t="str">
        <f t="shared" si="5"/>
        <v>viernes</v>
      </c>
    </row>
    <row r="352" spans="1:2" ht="15">
      <c r="A352" s="601">
        <v>45885</v>
      </c>
      <c r="B352" t="str">
        <f t="shared" si="5"/>
        <v>sábado</v>
      </c>
    </row>
    <row r="353" spans="1:2" ht="15">
      <c r="A353" s="601">
        <v>45886</v>
      </c>
      <c r="B353" t="str">
        <f t="shared" si="5"/>
        <v>domingo</v>
      </c>
    </row>
    <row r="354" spans="1:2" ht="15">
      <c r="A354" s="601">
        <v>45887</v>
      </c>
      <c r="B354" t="str">
        <f t="shared" si="5"/>
        <v>lunes</v>
      </c>
    </row>
    <row r="355" spans="1:2" ht="15">
      <c r="A355" s="601">
        <v>45888</v>
      </c>
      <c r="B355" t="str">
        <f t="shared" si="5"/>
        <v>martes</v>
      </c>
    </row>
    <row r="356" spans="1:2" ht="15">
      <c r="A356" s="601">
        <v>45889</v>
      </c>
      <c r="B356" t="str">
        <f t="shared" si="5"/>
        <v>miércoles</v>
      </c>
    </row>
    <row r="357" spans="1:2" ht="15">
      <c r="A357" s="601">
        <v>45890</v>
      </c>
      <c r="B357" t="str">
        <f t="shared" si="5"/>
        <v>jueves</v>
      </c>
    </row>
    <row r="358" spans="1:2" ht="15">
      <c r="A358" s="601">
        <v>45891</v>
      </c>
      <c r="B358" t="str">
        <f t="shared" si="5"/>
        <v>viernes</v>
      </c>
    </row>
    <row r="359" spans="1:2" ht="15">
      <c r="A359" s="601">
        <v>45892</v>
      </c>
      <c r="B359" t="str">
        <f t="shared" si="5"/>
        <v>sábado</v>
      </c>
    </row>
    <row r="360" spans="1:2" ht="15">
      <c r="A360" s="601">
        <v>45893</v>
      </c>
      <c r="B360" t="str">
        <f t="shared" si="5"/>
        <v>domingo</v>
      </c>
    </row>
    <row r="361" spans="1:2" ht="15">
      <c r="A361" s="601">
        <v>45894</v>
      </c>
      <c r="B361" t="str">
        <f t="shared" si="5"/>
        <v>lunes</v>
      </c>
    </row>
    <row r="362" spans="1:2" ht="15">
      <c r="A362" s="601">
        <v>45895</v>
      </c>
      <c r="B362" t="str">
        <f t="shared" si="5"/>
        <v>martes</v>
      </c>
    </row>
    <row r="363" spans="1:2" ht="15">
      <c r="A363" s="601">
        <v>45896</v>
      </c>
      <c r="B363" t="str">
        <f t="shared" si="5"/>
        <v>miércoles</v>
      </c>
    </row>
    <row r="364" spans="1:2" ht="15">
      <c r="A364" s="601">
        <v>45897</v>
      </c>
      <c r="B364" t="str">
        <f t="shared" si="5"/>
        <v>jueves</v>
      </c>
    </row>
    <row r="365" spans="1:2" ht="15">
      <c r="A365" s="601">
        <v>45898</v>
      </c>
      <c r="B365" t="str">
        <f t="shared" si="5"/>
        <v>viernes</v>
      </c>
    </row>
    <row r="366" spans="1:2" ht="15">
      <c r="A366" s="601">
        <v>45899</v>
      </c>
      <c r="B366" t="str">
        <f t="shared" si="5"/>
        <v>sábado</v>
      </c>
    </row>
    <row r="367" spans="1:2" ht="15">
      <c r="A367" s="601">
        <v>45900</v>
      </c>
      <c r="B367" t="str">
        <f t="shared" si="5"/>
        <v>domingo</v>
      </c>
    </row>
    <row r="368" spans="1:2" ht="15">
      <c r="A368" s="601">
        <v>45901</v>
      </c>
      <c r="B368" t="str">
        <f t="shared" si="5"/>
        <v>lunes</v>
      </c>
    </row>
    <row r="369" spans="1:2" ht="15">
      <c r="A369" s="601">
        <v>45902</v>
      </c>
      <c r="B369" t="str">
        <f t="shared" si="5"/>
        <v>martes</v>
      </c>
    </row>
    <row r="370" spans="1:2" ht="15">
      <c r="A370" s="601">
        <v>45903</v>
      </c>
      <c r="B370" t="str">
        <f t="shared" si="5"/>
        <v>miércoles</v>
      </c>
    </row>
    <row r="371" spans="1:2" ht="15">
      <c r="A371" s="601">
        <v>45904</v>
      </c>
      <c r="B371" t="str">
        <f t="shared" si="5"/>
        <v>jueves</v>
      </c>
    </row>
    <row r="372" spans="1:2" ht="15">
      <c r="A372" s="601">
        <v>45905</v>
      </c>
      <c r="B372" t="str">
        <f t="shared" si="5"/>
        <v>viernes</v>
      </c>
    </row>
    <row r="373" spans="1:2" ht="15">
      <c r="A373" s="601">
        <v>45906</v>
      </c>
      <c r="B373" t="str">
        <f t="shared" si="5"/>
        <v>sábado</v>
      </c>
    </row>
    <row r="374" spans="1:2" ht="15">
      <c r="A374" s="601">
        <v>45907</v>
      </c>
      <c r="B374" t="str">
        <f t="shared" si="5"/>
        <v>domingo</v>
      </c>
    </row>
    <row r="375" spans="1:2" ht="15">
      <c r="A375" s="601">
        <v>45908</v>
      </c>
      <c r="B375" t="str">
        <f t="shared" si="5"/>
        <v>lunes</v>
      </c>
    </row>
    <row r="376" spans="1:2" ht="15">
      <c r="A376" s="601">
        <v>45909</v>
      </c>
      <c r="B376" t="str">
        <f t="shared" si="5"/>
        <v>martes</v>
      </c>
    </row>
    <row r="377" spans="1:2" ht="15">
      <c r="A377" s="601">
        <v>45910</v>
      </c>
      <c r="B377" t="str">
        <f t="shared" si="5"/>
        <v>miércoles</v>
      </c>
    </row>
    <row r="378" spans="1:2" ht="15">
      <c r="A378" s="601">
        <v>45911</v>
      </c>
      <c r="B378" t="str">
        <f t="shared" si="5"/>
        <v>jueves</v>
      </c>
    </row>
    <row r="379" spans="1:2" ht="15">
      <c r="A379" s="601">
        <v>45912</v>
      </c>
      <c r="B379" t="str">
        <f t="shared" si="5"/>
        <v>viernes</v>
      </c>
    </row>
    <row r="380" spans="1:2" ht="15">
      <c r="A380" s="601">
        <v>45913</v>
      </c>
      <c r="B380" t="str">
        <f t="shared" si="5"/>
        <v>sábado</v>
      </c>
    </row>
    <row r="381" spans="1:2" ht="15">
      <c r="A381" s="601">
        <v>45914</v>
      </c>
      <c r="B381" t="str">
        <f t="shared" si="5"/>
        <v>domingo</v>
      </c>
    </row>
    <row r="382" spans="1:2" ht="15">
      <c r="A382" s="601">
        <v>45915</v>
      </c>
      <c r="B382" t="str">
        <f t="shared" si="5"/>
        <v>lunes</v>
      </c>
    </row>
    <row r="383" spans="1:2" ht="15">
      <c r="A383" s="601">
        <v>45916</v>
      </c>
      <c r="B383" t="str">
        <f t="shared" si="5"/>
        <v>martes</v>
      </c>
    </row>
    <row r="384" spans="1:2" ht="15">
      <c r="A384" s="601">
        <v>45917</v>
      </c>
      <c r="B384" t="str">
        <f t="shared" si="5"/>
        <v>miércoles</v>
      </c>
    </row>
    <row r="385" spans="1:2" ht="15">
      <c r="A385" s="601">
        <v>45918</v>
      </c>
      <c r="B385" t="str">
        <f t="shared" si="5"/>
        <v>jueves</v>
      </c>
    </row>
    <row r="386" spans="1:2" ht="15">
      <c r="A386" s="601">
        <v>45919</v>
      </c>
      <c r="B386" t="str">
        <f t="shared" si="5"/>
        <v>viernes</v>
      </c>
    </row>
    <row r="387" spans="1:2" ht="15">
      <c r="A387" s="601">
        <v>45920</v>
      </c>
      <c r="B387" t="str">
        <f t="shared" ref="B387:B450" si="6">+TEXT(A387,"ddddddddd")</f>
        <v>sábado</v>
      </c>
    </row>
    <row r="388" spans="1:2" ht="15">
      <c r="A388" s="601">
        <v>45921</v>
      </c>
      <c r="B388" t="str">
        <f t="shared" si="6"/>
        <v>domingo</v>
      </c>
    </row>
    <row r="389" spans="1:2" ht="15">
      <c r="A389" s="601">
        <v>45922</v>
      </c>
      <c r="B389" t="str">
        <f t="shared" si="6"/>
        <v>lunes</v>
      </c>
    </row>
    <row r="390" spans="1:2" ht="15">
      <c r="A390" s="601">
        <v>45923</v>
      </c>
      <c r="B390" t="str">
        <f t="shared" si="6"/>
        <v>martes</v>
      </c>
    </row>
    <row r="391" spans="1:2" ht="15">
      <c r="A391" s="601">
        <v>45924</v>
      </c>
      <c r="B391" t="str">
        <f t="shared" si="6"/>
        <v>miércoles</v>
      </c>
    </row>
    <row r="392" spans="1:2" ht="15">
      <c r="A392" s="601">
        <v>45925</v>
      </c>
      <c r="B392" t="str">
        <f t="shared" si="6"/>
        <v>jueves</v>
      </c>
    </row>
    <row r="393" spans="1:2" ht="15">
      <c r="A393" s="601">
        <v>45926</v>
      </c>
      <c r="B393" t="str">
        <f t="shared" si="6"/>
        <v>viernes</v>
      </c>
    </row>
    <row r="394" spans="1:2" ht="15">
      <c r="A394" s="601">
        <v>45927</v>
      </c>
      <c r="B394" t="str">
        <f t="shared" si="6"/>
        <v>sábado</v>
      </c>
    </row>
    <row r="395" spans="1:2" ht="15">
      <c r="A395" s="601">
        <v>45928</v>
      </c>
      <c r="B395" t="str">
        <f t="shared" si="6"/>
        <v>domingo</v>
      </c>
    </row>
    <row r="396" spans="1:2" ht="15">
      <c r="A396" s="601">
        <v>45929</v>
      </c>
      <c r="B396" t="str">
        <f t="shared" si="6"/>
        <v>lunes</v>
      </c>
    </row>
    <row r="397" spans="1:2" ht="15">
      <c r="A397" s="601">
        <v>45930</v>
      </c>
      <c r="B397" t="str">
        <f t="shared" si="6"/>
        <v>martes</v>
      </c>
    </row>
    <row r="398" spans="1:2" ht="15">
      <c r="A398" s="601">
        <v>45931</v>
      </c>
      <c r="B398" t="str">
        <f t="shared" si="6"/>
        <v>miércoles</v>
      </c>
    </row>
    <row r="399" spans="1:2" ht="15">
      <c r="A399" s="601">
        <v>45932</v>
      </c>
      <c r="B399" t="str">
        <f t="shared" si="6"/>
        <v>jueves</v>
      </c>
    </row>
    <row r="400" spans="1:2" ht="15">
      <c r="A400" s="601">
        <v>45933</v>
      </c>
      <c r="B400" t="str">
        <f t="shared" si="6"/>
        <v>viernes</v>
      </c>
    </row>
    <row r="401" spans="1:2" ht="15">
      <c r="A401" s="601">
        <v>45934</v>
      </c>
      <c r="B401" t="str">
        <f t="shared" si="6"/>
        <v>sábado</v>
      </c>
    </row>
    <row r="402" spans="1:2" ht="15">
      <c r="A402" s="601">
        <v>45935</v>
      </c>
      <c r="B402" t="str">
        <f t="shared" si="6"/>
        <v>domingo</v>
      </c>
    </row>
    <row r="403" spans="1:2" ht="15">
      <c r="A403" s="601">
        <v>45936</v>
      </c>
      <c r="B403" t="str">
        <f t="shared" si="6"/>
        <v>lunes</v>
      </c>
    </row>
    <row r="404" spans="1:2" ht="15">
      <c r="A404" s="601">
        <v>45937</v>
      </c>
      <c r="B404" t="str">
        <f t="shared" si="6"/>
        <v>martes</v>
      </c>
    </row>
    <row r="405" spans="1:2" ht="15">
      <c r="A405" s="601">
        <v>45938</v>
      </c>
      <c r="B405" t="str">
        <f t="shared" si="6"/>
        <v>miércoles</v>
      </c>
    </row>
    <row r="406" spans="1:2" ht="15">
      <c r="A406" s="601">
        <v>45939</v>
      </c>
      <c r="B406" t="str">
        <f t="shared" si="6"/>
        <v>jueves</v>
      </c>
    </row>
    <row r="407" spans="1:2" ht="15">
      <c r="A407" s="601">
        <v>45940</v>
      </c>
      <c r="B407" t="str">
        <f t="shared" si="6"/>
        <v>viernes</v>
      </c>
    </row>
    <row r="408" spans="1:2" ht="15">
      <c r="A408" s="601">
        <v>45941</v>
      </c>
      <c r="B408" t="str">
        <f t="shared" si="6"/>
        <v>sábado</v>
      </c>
    </row>
    <row r="409" spans="1:2" ht="15">
      <c r="A409" s="601">
        <v>45942</v>
      </c>
      <c r="B409" t="str">
        <f t="shared" si="6"/>
        <v>domingo</v>
      </c>
    </row>
    <row r="410" spans="1:2" ht="15">
      <c r="A410" s="601">
        <v>45943</v>
      </c>
      <c r="B410" t="str">
        <f t="shared" si="6"/>
        <v>lunes</v>
      </c>
    </row>
    <row r="411" spans="1:2" ht="15">
      <c r="A411" s="601">
        <v>45944</v>
      </c>
      <c r="B411" t="str">
        <f t="shared" si="6"/>
        <v>martes</v>
      </c>
    </row>
    <row r="412" spans="1:2" ht="15">
      <c r="A412" s="601">
        <v>45945</v>
      </c>
      <c r="B412" t="str">
        <f t="shared" si="6"/>
        <v>miércoles</v>
      </c>
    </row>
    <row r="413" spans="1:2" ht="15">
      <c r="A413" s="601">
        <v>45946</v>
      </c>
      <c r="B413" t="str">
        <f t="shared" si="6"/>
        <v>jueves</v>
      </c>
    </row>
    <row r="414" spans="1:2" ht="15">
      <c r="A414" s="601">
        <v>45947</v>
      </c>
      <c r="B414" t="str">
        <f t="shared" si="6"/>
        <v>viernes</v>
      </c>
    </row>
    <row r="415" spans="1:2" ht="15">
      <c r="A415" s="601">
        <v>45948</v>
      </c>
      <c r="B415" t="str">
        <f t="shared" si="6"/>
        <v>sábado</v>
      </c>
    </row>
    <row r="416" spans="1:2" ht="15">
      <c r="A416" s="601">
        <v>45949</v>
      </c>
      <c r="B416" t="str">
        <f t="shared" si="6"/>
        <v>domingo</v>
      </c>
    </row>
    <row r="417" spans="1:2" ht="15">
      <c r="A417" s="601">
        <v>45950</v>
      </c>
      <c r="B417" t="str">
        <f t="shared" si="6"/>
        <v>lunes</v>
      </c>
    </row>
    <row r="418" spans="1:2" ht="15">
      <c r="A418" s="601">
        <v>45951</v>
      </c>
      <c r="B418" t="str">
        <f t="shared" si="6"/>
        <v>martes</v>
      </c>
    </row>
    <row r="419" spans="1:2" ht="15">
      <c r="A419" s="601">
        <v>45952</v>
      </c>
      <c r="B419" t="str">
        <f t="shared" si="6"/>
        <v>miércoles</v>
      </c>
    </row>
    <row r="420" spans="1:2" ht="15">
      <c r="A420" s="601">
        <v>45953</v>
      </c>
      <c r="B420" t="str">
        <f t="shared" si="6"/>
        <v>jueves</v>
      </c>
    </row>
    <row r="421" spans="1:2" ht="15">
      <c r="A421" s="601">
        <v>45954</v>
      </c>
      <c r="B421" t="str">
        <f t="shared" si="6"/>
        <v>viernes</v>
      </c>
    </row>
    <row r="422" spans="1:2" ht="15">
      <c r="A422" s="601">
        <v>45955</v>
      </c>
      <c r="B422" t="str">
        <f t="shared" si="6"/>
        <v>sábado</v>
      </c>
    </row>
    <row r="423" spans="1:2" ht="15">
      <c r="A423" s="601">
        <v>45956</v>
      </c>
      <c r="B423" t="str">
        <f t="shared" si="6"/>
        <v>domingo</v>
      </c>
    </row>
    <row r="424" spans="1:2" ht="15">
      <c r="A424" s="601">
        <v>45957</v>
      </c>
      <c r="B424" t="str">
        <f t="shared" si="6"/>
        <v>lunes</v>
      </c>
    </row>
    <row r="425" spans="1:2" ht="15">
      <c r="A425" s="601">
        <v>45958</v>
      </c>
      <c r="B425" t="str">
        <f t="shared" si="6"/>
        <v>martes</v>
      </c>
    </row>
    <row r="426" spans="1:2" ht="15">
      <c r="A426" s="601">
        <v>45959</v>
      </c>
      <c r="B426" t="str">
        <f t="shared" si="6"/>
        <v>miércoles</v>
      </c>
    </row>
    <row r="427" spans="1:2" ht="15">
      <c r="A427" s="601">
        <v>45960</v>
      </c>
      <c r="B427" t="str">
        <f t="shared" si="6"/>
        <v>jueves</v>
      </c>
    </row>
    <row r="428" spans="1:2" ht="15">
      <c r="A428" s="601">
        <v>45961</v>
      </c>
      <c r="B428" t="str">
        <f t="shared" si="6"/>
        <v>viernes</v>
      </c>
    </row>
    <row r="429" spans="1:2" ht="15">
      <c r="A429" s="601">
        <v>45962</v>
      </c>
      <c r="B429" t="str">
        <f t="shared" si="6"/>
        <v>sábado</v>
      </c>
    </row>
    <row r="430" spans="1:2" ht="15">
      <c r="A430" s="601">
        <v>45963</v>
      </c>
      <c r="B430" t="str">
        <f t="shared" si="6"/>
        <v>domingo</v>
      </c>
    </row>
    <row r="431" spans="1:2" ht="15">
      <c r="A431" s="601">
        <v>45964</v>
      </c>
      <c r="B431" t="str">
        <f t="shared" si="6"/>
        <v>lunes</v>
      </c>
    </row>
    <row r="432" spans="1:2" ht="15">
      <c r="A432" s="601">
        <v>45965</v>
      </c>
      <c r="B432" t="str">
        <f t="shared" si="6"/>
        <v>martes</v>
      </c>
    </row>
    <row r="433" spans="1:2" ht="15">
      <c r="A433" s="601">
        <v>45966</v>
      </c>
      <c r="B433" t="str">
        <f t="shared" si="6"/>
        <v>miércoles</v>
      </c>
    </row>
    <row r="434" spans="1:2" ht="15">
      <c r="A434" s="601">
        <v>45967</v>
      </c>
      <c r="B434" t="str">
        <f t="shared" si="6"/>
        <v>jueves</v>
      </c>
    </row>
    <row r="435" spans="1:2" ht="15">
      <c r="A435" s="601">
        <v>45968</v>
      </c>
      <c r="B435" t="str">
        <f t="shared" si="6"/>
        <v>viernes</v>
      </c>
    </row>
    <row r="436" spans="1:2" ht="15">
      <c r="A436" s="601">
        <v>45969</v>
      </c>
      <c r="B436" t="str">
        <f t="shared" si="6"/>
        <v>sábado</v>
      </c>
    </row>
    <row r="437" spans="1:2" ht="15">
      <c r="A437" s="601">
        <v>45970</v>
      </c>
      <c r="B437" t="str">
        <f t="shared" si="6"/>
        <v>domingo</v>
      </c>
    </row>
    <row r="438" spans="1:2" ht="15">
      <c r="A438" s="601">
        <v>45971</v>
      </c>
      <c r="B438" t="str">
        <f t="shared" si="6"/>
        <v>lunes</v>
      </c>
    </row>
    <row r="439" spans="1:2" ht="15">
      <c r="A439" s="601">
        <v>45972</v>
      </c>
      <c r="B439" t="str">
        <f t="shared" si="6"/>
        <v>martes</v>
      </c>
    </row>
    <row r="440" spans="1:2" ht="15">
      <c r="A440" s="601">
        <v>45973</v>
      </c>
      <c r="B440" t="str">
        <f t="shared" si="6"/>
        <v>miércoles</v>
      </c>
    </row>
    <row r="441" spans="1:2" ht="15">
      <c r="A441" s="601">
        <v>45974</v>
      </c>
      <c r="B441" t="str">
        <f t="shared" si="6"/>
        <v>jueves</v>
      </c>
    </row>
    <row r="442" spans="1:2" ht="15">
      <c r="A442" s="601">
        <v>45975</v>
      </c>
      <c r="B442" t="str">
        <f t="shared" si="6"/>
        <v>viernes</v>
      </c>
    </row>
    <row r="443" spans="1:2" ht="15">
      <c r="A443" s="601">
        <v>45976</v>
      </c>
      <c r="B443" t="str">
        <f t="shared" si="6"/>
        <v>sábado</v>
      </c>
    </row>
    <row r="444" spans="1:2" ht="15">
      <c r="A444" s="601">
        <v>45977</v>
      </c>
      <c r="B444" t="str">
        <f t="shared" si="6"/>
        <v>domingo</v>
      </c>
    </row>
    <row r="445" spans="1:2" ht="15">
      <c r="A445" s="601">
        <v>45978</v>
      </c>
      <c r="B445" t="str">
        <f t="shared" si="6"/>
        <v>lunes</v>
      </c>
    </row>
    <row r="446" spans="1:2" ht="15">
      <c r="A446" s="601">
        <v>45979</v>
      </c>
      <c r="B446" t="str">
        <f t="shared" si="6"/>
        <v>martes</v>
      </c>
    </row>
    <row r="447" spans="1:2" ht="15">
      <c r="A447" s="601">
        <v>45980</v>
      </c>
      <c r="B447" t="str">
        <f t="shared" si="6"/>
        <v>miércoles</v>
      </c>
    </row>
    <row r="448" spans="1:2" ht="15">
      <c r="A448" s="601">
        <v>45981</v>
      </c>
      <c r="B448" t="str">
        <f t="shared" si="6"/>
        <v>jueves</v>
      </c>
    </row>
    <row r="449" spans="1:2" ht="15">
      <c r="A449" s="601">
        <v>45982</v>
      </c>
      <c r="B449" t="str">
        <f t="shared" si="6"/>
        <v>viernes</v>
      </c>
    </row>
    <row r="450" spans="1:2" ht="15">
      <c r="A450" s="601">
        <v>45983</v>
      </c>
      <c r="B450" t="str">
        <f t="shared" si="6"/>
        <v>sábado</v>
      </c>
    </row>
    <row r="451" spans="1:2" ht="15">
      <c r="A451" s="601">
        <v>45984</v>
      </c>
      <c r="B451" t="str">
        <f t="shared" ref="B451:B514" si="7">+TEXT(A451,"ddddddddd")</f>
        <v>domingo</v>
      </c>
    </row>
    <row r="452" spans="1:2" ht="15">
      <c r="A452" s="601">
        <v>45985</v>
      </c>
      <c r="B452" t="str">
        <f t="shared" si="7"/>
        <v>lunes</v>
      </c>
    </row>
    <row r="453" spans="1:2" ht="15">
      <c r="A453" s="601">
        <v>45986</v>
      </c>
      <c r="B453" t="str">
        <f t="shared" si="7"/>
        <v>martes</v>
      </c>
    </row>
    <row r="454" spans="1:2" ht="15">
      <c r="A454" s="601">
        <v>45987</v>
      </c>
      <c r="B454" t="str">
        <f t="shared" si="7"/>
        <v>miércoles</v>
      </c>
    </row>
    <row r="455" spans="1:2" ht="15">
      <c r="A455" s="601">
        <v>45988</v>
      </c>
      <c r="B455" t="str">
        <f t="shared" si="7"/>
        <v>jueves</v>
      </c>
    </row>
    <row r="456" spans="1:2" ht="15">
      <c r="A456" s="601">
        <v>45989</v>
      </c>
      <c r="B456" t="str">
        <f t="shared" si="7"/>
        <v>viernes</v>
      </c>
    </row>
    <row r="457" spans="1:2" ht="15">
      <c r="A457" s="601">
        <v>45990</v>
      </c>
      <c r="B457" t="str">
        <f t="shared" si="7"/>
        <v>sábado</v>
      </c>
    </row>
    <row r="458" spans="1:2" ht="15">
      <c r="A458" s="601">
        <v>45991</v>
      </c>
      <c r="B458" t="str">
        <f t="shared" si="7"/>
        <v>domingo</v>
      </c>
    </row>
    <row r="459" spans="1:2" ht="15">
      <c r="A459" s="601">
        <v>45992</v>
      </c>
      <c r="B459" t="str">
        <f t="shared" si="7"/>
        <v>lunes</v>
      </c>
    </row>
    <row r="460" spans="1:2" ht="15">
      <c r="A460" s="601">
        <v>45993</v>
      </c>
      <c r="B460" t="str">
        <f t="shared" si="7"/>
        <v>martes</v>
      </c>
    </row>
    <row r="461" spans="1:2" ht="15">
      <c r="A461" s="601">
        <v>45994</v>
      </c>
      <c r="B461" t="str">
        <f t="shared" si="7"/>
        <v>miércoles</v>
      </c>
    </row>
    <row r="462" spans="1:2" ht="15">
      <c r="A462" s="601">
        <v>45995</v>
      </c>
      <c r="B462" t="str">
        <f t="shared" si="7"/>
        <v>jueves</v>
      </c>
    </row>
    <row r="463" spans="1:2" ht="15">
      <c r="A463" s="601">
        <v>45996</v>
      </c>
      <c r="B463" t="str">
        <f t="shared" si="7"/>
        <v>viernes</v>
      </c>
    </row>
    <row r="464" spans="1:2" ht="15">
      <c r="A464" s="601">
        <v>45997</v>
      </c>
      <c r="B464" t="str">
        <f t="shared" si="7"/>
        <v>sábado</v>
      </c>
    </row>
    <row r="465" spans="1:2" ht="15">
      <c r="A465" s="601">
        <v>45998</v>
      </c>
      <c r="B465" t="str">
        <f t="shared" si="7"/>
        <v>domingo</v>
      </c>
    </row>
    <row r="466" spans="1:2" ht="15">
      <c r="A466" s="601">
        <v>45999</v>
      </c>
      <c r="B466" t="str">
        <f t="shared" si="7"/>
        <v>lunes</v>
      </c>
    </row>
    <row r="467" spans="1:2" ht="15">
      <c r="A467" s="601">
        <v>46000</v>
      </c>
      <c r="B467" t="str">
        <f t="shared" si="7"/>
        <v>martes</v>
      </c>
    </row>
    <row r="468" spans="1:2" ht="15">
      <c r="A468" s="601">
        <v>46001</v>
      </c>
      <c r="B468" t="str">
        <f t="shared" si="7"/>
        <v>miércoles</v>
      </c>
    </row>
    <row r="469" spans="1:2" ht="15">
      <c r="A469" s="601">
        <v>46002</v>
      </c>
      <c r="B469" t="str">
        <f t="shared" si="7"/>
        <v>jueves</v>
      </c>
    </row>
    <row r="470" spans="1:2" ht="15">
      <c r="A470" s="601">
        <v>46003</v>
      </c>
      <c r="B470" t="str">
        <f t="shared" si="7"/>
        <v>viernes</v>
      </c>
    </row>
    <row r="471" spans="1:2" ht="15">
      <c r="A471" s="601">
        <v>46004</v>
      </c>
      <c r="B471" t="str">
        <f t="shared" si="7"/>
        <v>sábado</v>
      </c>
    </row>
    <row r="472" spans="1:2" ht="15">
      <c r="A472" s="601">
        <v>46005</v>
      </c>
      <c r="B472" t="str">
        <f t="shared" si="7"/>
        <v>domingo</v>
      </c>
    </row>
    <row r="473" spans="1:2" ht="15">
      <c r="A473" s="601">
        <v>46006</v>
      </c>
      <c r="B473" t="str">
        <f t="shared" si="7"/>
        <v>lunes</v>
      </c>
    </row>
    <row r="474" spans="1:2" ht="15">
      <c r="A474" s="601">
        <v>46007</v>
      </c>
      <c r="B474" t="str">
        <f t="shared" si="7"/>
        <v>martes</v>
      </c>
    </row>
    <row r="475" spans="1:2" ht="15">
      <c r="A475" s="601">
        <v>46008</v>
      </c>
      <c r="B475" t="str">
        <f t="shared" si="7"/>
        <v>miércoles</v>
      </c>
    </row>
    <row r="476" spans="1:2" ht="15">
      <c r="A476" s="601">
        <v>46009</v>
      </c>
      <c r="B476" t="str">
        <f t="shared" si="7"/>
        <v>jueves</v>
      </c>
    </row>
    <row r="477" spans="1:2" ht="15">
      <c r="A477" s="601">
        <v>46010</v>
      </c>
      <c r="B477" t="str">
        <f t="shared" si="7"/>
        <v>viernes</v>
      </c>
    </row>
    <row r="478" spans="1:2" ht="15">
      <c r="A478" s="601">
        <v>46011</v>
      </c>
      <c r="B478" t="str">
        <f t="shared" si="7"/>
        <v>sábado</v>
      </c>
    </row>
    <row r="479" spans="1:2" ht="15">
      <c r="A479" s="601">
        <v>46012</v>
      </c>
      <c r="B479" t="str">
        <f t="shared" si="7"/>
        <v>domingo</v>
      </c>
    </row>
    <row r="480" spans="1:2" ht="15">
      <c r="A480" s="601">
        <v>46013</v>
      </c>
      <c r="B480" t="str">
        <f t="shared" si="7"/>
        <v>lunes</v>
      </c>
    </row>
    <row r="481" spans="1:2" ht="15">
      <c r="A481" s="601">
        <v>46014</v>
      </c>
      <c r="B481" t="str">
        <f t="shared" si="7"/>
        <v>martes</v>
      </c>
    </row>
    <row r="482" spans="1:2" ht="15">
      <c r="A482" s="601">
        <v>46015</v>
      </c>
      <c r="B482" t="str">
        <f t="shared" si="7"/>
        <v>miércoles</v>
      </c>
    </row>
    <row r="483" spans="1:2" ht="15">
      <c r="A483" s="601">
        <v>46016</v>
      </c>
      <c r="B483" t="str">
        <f t="shared" si="7"/>
        <v>jueves</v>
      </c>
    </row>
    <row r="484" spans="1:2" ht="15">
      <c r="A484" s="601">
        <v>46017</v>
      </c>
      <c r="B484" t="str">
        <f t="shared" si="7"/>
        <v>viernes</v>
      </c>
    </row>
    <row r="485" spans="1:2" ht="15">
      <c r="A485" s="601">
        <v>46018</v>
      </c>
      <c r="B485" t="str">
        <f t="shared" si="7"/>
        <v>sábado</v>
      </c>
    </row>
    <row r="486" spans="1:2" ht="15">
      <c r="A486" s="601">
        <v>46019</v>
      </c>
      <c r="B486" t="str">
        <f t="shared" si="7"/>
        <v>domingo</v>
      </c>
    </row>
    <row r="487" spans="1:2" ht="15">
      <c r="A487" s="601">
        <v>46020</v>
      </c>
      <c r="B487" t="str">
        <f t="shared" si="7"/>
        <v>lunes</v>
      </c>
    </row>
    <row r="488" spans="1:2" ht="15">
      <c r="A488" s="601">
        <v>46021</v>
      </c>
      <c r="B488" t="str">
        <f t="shared" si="7"/>
        <v>martes</v>
      </c>
    </row>
    <row r="489" spans="1:2" ht="15">
      <c r="A489" s="601">
        <v>46022</v>
      </c>
      <c r="B489" t="str">
        <f t="shared" si="7"/>
        <v>miércoles</v>
      </c>
    </row>
    <row r="490" spans="1:2" ht="15">
      <c r="A490" s="601">
        <v>46023</v>
      </c>
      <c r="B490" t="str">
        <f t="shared" si="7"/>
        <v>jueves</v>
      </c>
    </row>
    <row r="491" spans="1:2" ht="15">
      <c r="A491" s="601">
        <v>46024</v>
      </c>
      <c r="B491" t="str">
        <f t="shared" si="7"/>
        <v>viernes</v>
      </c>
    </row>
    <row r="492" spans="1:2" ht="15">
      <c r="A492" s="601">
        <v>46025</v>
      </c>
      <c r="B492" t="str">
        <f t="shared" si="7"/>
        <v>sábado</v>
      </c>
    </row>
    <row r="493" spans="1:2" ht="15">
      <c r="A493" s="601">
        <v>46026</v>
      </c>
      <c r="B493" t="str">
        <f t="shared" si="7"/>
        <v>domingo</v>
      </c>
    </row>
    <row r="494" spans="1:2" ht="15">
      <c r="A494" s="601">
        <v>46027</v>
      </c>
      <c r="B494" t="str">
        <f t="shared" si="7"/>
        <v>lunes</v>
      </c>
    </row>
    <row r="495" spans="1:2" ht="15">
      <c r="A495" s="601">
        <v>46028</v>
      </c>
      <c r="B495" t="str">
        <f t="shared" si="7"/>
        <v>martes</v>
      </c>
    </row>
    <row r="496" spans="1:2" ht="15">
      <c r="A496" s="601">
        <v>46029</v>
      </c>
      <c r="B496" t="str">
        <f t="shared" si="7"/>
        <v>miércoles</v>
      </c>
    </row>
    <row r="497" spans="1:2" ht="15">
      <c r="A497" s="601">
        <v>46030</v>
      </c>
      <c r="B497" t="str">
        <f t="shared" si="7"/>
        <v>jueves</v>
      </c>
    </row>
    <row r="498" spans="1:2" ht="15">
      <c r="A498" s="601">
        <v>46031</v>
      </c>
      <c r="B498" t="str">
        <f t="shared" si="7"/>
        <v>viernes</v>
      </c>
    </row>
    <row r="499" spans="1:2" ht="15">
      <c r="A499" s="601">
        <v>46032</v>
      </c>
      <c r="B499" t="str">
        <f t="shared" si="7"/>
        <v>sábado</v>
      </c>
    </row>
    <row r="500" spans="1:2" ht="15">
      <c r="A500" s="601">
        <v>46033</v>
      </c>
      <c r="B500" t="str">
        <f t="shared" si="7"/>
        <v>domingo</v>
      </c>
    </row>
    <row r="501" spans="1:2" ht="15">
      <c r="A501" s="601">
        <v>46034</v>
      </c>
      <c r="B501" t="str">
        <f t="shared" si="7"/>
        <v>lunes</v>
      </c>
    </row>
    <row r="502" spans="1:2" ht="15">
      <c r="A502" s="601">
        <v>46035</v>
      </c>
      <c r="B502" t="str">
        <f t="shared" si="7"/>
        <v>martes</v>
      </c>
    </row>
    <row r="503" spans="1:2" ht="15">
      <c r="A503" s="601">
        <v>46036</v>
      </c>
      <c r="B503" t="str">
        <f t="shared" si="7"/>
        <v>miércoles</v>
      </c>
    </row>
    <row r="504" spans="1:2" ht="15">
      <c r="A504" s="601">
        <v>46037</v>
      </c>
      <c r="B504" t="str">
        <f t="shared" si="7"/>
        <v>jueves</v>
      </c>
    </row>
    <row r="505" spans="1:2" ht="15">
      <c r="A505" s="601">
        <v>46038</v>
      </c>
      <c r="B505" t="str">
        <f t="shared" si="7"/>
        <v>viernes</v>
      </c>
    </row>
    <row r="506" spans="1:2" ht="15">
      <c r="A506" s="601">
        <v>46039</v>
      </c>
      <c r="B506" t="str">
        <f t="shared" si="7"/>
        <v>sábado</v>
      </c>
    </row>
    <row r="507" spans="1:2" ht="15">
      <c r="A507" s="601">
        <v>46040</v>
      </c>
      <c r="B507" t="str">
        <f t="shared" si="7"/>
        <v>domingo</v>
      </c>
    </row>
    <row r="508" spans="1:2" ht="15">
      <c r="A508" s="601">
        <v>46041</v>
      </c>
      <c r="B508" t="str">
        <f t="shared" si="7"/>
        <v>lunes</v>
      </c>
    </row>
    <row r="509" spans="1:2" ht="15">
      <c r="A509" s="601">
        <v>46042</v>
      </c>
      <c r="B509" t="str">
        <f t="shared" si="7"/>
        <v>martes</v>
      </c>
    </row>
    <row r="510" spans="1:2" ht="15">
      <c r="A510" s="601">
        <v>46043</v>
      </c>
      <c r="B510" t="str">
        <f t="shared" si="7"/>
        <v>miércoles</v>
      </c>
    </row>
    <row r="511" spans="1:2" ht="15">
      <c r="A511" s="601">
        <v>46044</v>
      </c>
      <c r="B511" t="str">
        <f t="shared" si="7"/>
        <v>jueves</v>
      </c>
    </row>
    <row r="512" spans="1:2" ht="15">
      <c r="A512" s="601">
        <v>46045</v>
      </c>
      <c r="B512" t="str">
        <f t="shared" si="7"/>
        <v>viernes</v>
      </c>
    </row>
    <row r="513" spans="1:2" ht="15">
      <c r="A513" s="601">
        <v>46046</v>
      </c>
      <c r="B513" t="str">
        <f t="shared" si="7"/>
        <v>sábado</v>
      </c>
    </row>
    <row r="514" spans="1:2" ht="15">
      <c r="A514" s="601">
        <v>46047</v>
      </c>
      <c r="B514" t="str">
        <f t="shared" si="7"/>
        <v>domingo</v>
      </c>
    </row>
    <row r="515" spans="1:2" ht="15">
      <c r="A515" s="601">
        <v>46048</v>
      </c>
      <c r="B515" t="str">
        <f t="shared" ref="B515:B578" si="8">+TEXT(A515,"ddddddddd")</f>
        <v>lunes</v>
      </c>
    </row>
    <row r="516" spans="1:2" ht="15">
      <c r="A516" s="601">
        <v>46049</v>
      </c>
      <c r="B516" t="str">
        <f t="shared" si="8"/>
        <v>martes</v>
      </c>
    </row>
    <row r="517" spans="1:2" ht="15">
      <c r="A517" s="601">
        <v>46050</v>
      </c>
      <c r="B517" t="str">
        <f t="shared" si="8"/>
        <v>miércoles</v>
      </c>
    </row>
    <row r="518" spans="1:2" ht="15">
      <c r="A518" s="601">
        <v>46051</v>
      </c>
      <c r="B518" t="str">
        <f t="shared" si="8"/>
        <v>jueves</v>
      </c>
    </row>
    <row r="519" spans="1:2" ht="15">
      <c r="A519" s="601">
        <v>46052</v>
      </c>
      <c r="B519" t="str">
        <f t="shared" si="8"/>
        <v>viernes</v>
      </c>
    </row>
    <row r="520" spans="1:2" ht="15">
      <c r="A520" s="601">
        <v>46053</v>
      </c>
      <c r="B520" t="str">
        <f t="shared" si="8"/>
        <v>sábado</v>
      </c>
    </row>
    <row r="521" spans="1:2" ht="15">
      <c r="A521" s="601">
        <v>46054</v>
      </c>
      <c r="B521" t="str">
        <f t="shared" si="8"/>
        <v>domingo</v>
      </c>
    </row>
    <row r="522" spans="1:2" ht="15">
      <c r="A522" s="601">
        <v>46055</v>
      </c>
      <c r="B522" t="str">
        <f t="shared" si="8"/>
        <v>lunes</v>
      </c>
    </row>
    <row r="523" spans="1:2" ht="15">
      <c r="A523" s="601">
        <v>46056</v>
      </c>
      <c r="B523" t="str">
        <f t="shared" si="8"/>
        <v>martes</v>
      </c>
    </row>
    <row r="524" spans="1:2" ht="15">
      <c r="A524" s="601">
        <v>46057</v>
      </c>
      <c r="B524" t="str">
        <f t="shared" si="8"/>
        <v>miércoles</v>
      </c>
    </row>
    <row r="525" spans="1:2" ht="15">
      <c r="A525" s="601">
        <v>46058</v>
      </c>
      <c r="B525" t="str">
        <f t="shared" si="8"/>
        <v>jueves</v>
      </c>
    </row>
    <row r="526" spans="1:2" ht="15">
      <c r="A526" s="601">
        <v>46059</v>
      </c>
      <c r="B526" t="str">
        <f t="shared" si="8"/>
        <v>viernes</v>
      </c>
    </row>
    <row r="527" spans="1:2" ht="15">
      <c r="A527" s="601">
        <v>46060</v>
      </c>
      <c r="B527" t="str">
        <f t="shared" si="8"/>
        <v>sábado</v>
      </c>
    </row>
    <row r="528" spans="1:2" ht="15">
      <c r="A528" s="601">
        <v>46061</v>
      </c>
      <c r="B528" t="str">
        <f t="shared" si="8"/>
        <v>domingo</v>
      </c>
    </row>
    <row r="529" spans="1:2" ht="15">
      <c r="A529" s="601">
        <v>46062</v>
      </c>
      <c r="B529" t="str">
        <f t="shared" si="8"/>
        <v>lunes</v>
      </c>
    </row>
    <row r="530" spans="1:2" ht="15">
      <c r="A530" s="601">
        <v>46063</v>
      </c>
      <c r="B530" t="str">
        <f t="shared" si="8"/>
        <v>martes</v>
      </c>
    </row>
    <row r="531" spans="1:2" ht="15">
      <c r="A531" s="601">
        <v>46064</v>
      </c>
      <c r="B531" t="str">
        <f t="shared" si="8"/>
        <v>miércoles</v>
      </c>
    </row>
    <row r="532" spans="1:2" ht="15">
      <c r="A532" s="601">
        <v>46065</v>
      </c>
      <c r="B532" t="str">
        <f t="shared" si="8"/>
        <v>jueves</v>
      </c>
    </row>
    <row r="533" spans="1:2" ht="15">
      <c r="A533" s="601">
        <v>46066</v>
      </c>
      <c r="B533" t="str">
        <f t="shared" si="8"/>
        <v>viernes</v>
      </c>
    </row>
    <row r="534" spans="1:2" ht="15">
      <c r="A534" s="601">
        <v>46067</v>
      </c>
      <c r="B534" t="str">
        <f t="shared" si="8"/>
        <v>sábado</v>
      </c>
    </row>
    <row r="535" spans="1:2" ht="15">
      <c r="A535" s="601">
        <v>46068</v>
      </c>
      <c r="B535" t="str">
        <f t="shared" si="8"/>
        <v>domingo</v>
      </c>
    </row>
    <row r="536" spans="1:2" ht="15">
      <c r="A536" s="601">
        <v>46069</v>
      </c>
      <c r="B536" t="str">
        <f t="shared" si="8"/>
        <v>lunes</v>
      </c>
    </row>
    <row r="537" spans="1:2" ht="15">
      <c r="A537" s="601">
        <v>46070</v>
      </c>
      <c r="B537" t="str">
        <f t="shared" si="8"/>
        <v>martes</v>
      </c>
    </row>
    <row r="538" spans="1:2" ht="15">
      <c r="A538" s="601">
        <v>46071</v>
      </c>
      <c r="B538" t="str">
        <f t="shared" si="8"/>
        <v>miércoles</v>
      </c>
    </row>
    <row r="539" spans="1:2" ht="15">
      <c r="A539" s="601">
        <v>46072</v>
      </c>
      <c r="B539" t="str">
        <f t="shared" si="8"/>
        <v>jueves</v>
      </c>
    </row>
    <row r="540" spans="1:2" ht="15">
      <c r="A540" s="601">
        <v>46073</v>
      </c>
      <c r="B540" t="str">
        <f t="shared" si="8"/>
        <v>viernes</v>
      </c>
    </row>
    <row r="541" spans="1:2" ht="15">
      <c r="A541" s="601">
        <v>46074</v>
      </c>
      <c r="B541" t="str">
        <f t="shared" si="8"/>
        <v>sábado</v>
      </c>
    </row>
    <row r="542" spans="1:2" ht="15">
      <c r="A542" s="601">
        <v>46075</v>
      </c>
      <c r="B542" t="str">
        <f t="shared" si="8"/>
        <v>domingo</v>
      </c>
    </row>
    <row r="543" spans="1:2" ht="15">
      <c r="A543" s="601">
        <v>46076</v>
      </c>
      <c r="B543" t="str">
        <f t="shared" si="8"/>
        <v>lunes</v>
      </c>
    </row>
    <row r="544" spans="1:2" ht="15">
      <c r="A544" s="601">
        <v>46077</v>
      </c>
      <c r="B544" t="str">
        <f t="shared" si="8"/>
        <v>martes</v>
      </c>
    </row>
    <row r="545" spans="1:2" ht="15">
      <c r="A545" s="601">
        <v>46078</v>
      </c>
      <c r="B545" t="str">
        <f t="shared" si="8"/>
        <v>miércoles</v>
      </c>
    </row>
    <row r="546" spans="1:2" ht="15">
      <c r="A546" s="601">
        <v>46079</v>
      </c>
      <c r="B546" t="str">
        <f t="shared" si="8"/>
        <v>jueves</v>
      </c>
    </row>
    <row r="547" spans="1:2" ht="15">
      <c r="A547" s="601">
        <v>46080</v>
      </c>
      <c r="B547" t="str">
        <f t="shared" si="8"/>
        <v>viernes</v>
      </c>
    </row>
    <row r="548" spans="1:2" ht="15">
      <c r="A548" s="601">
        <v>46081</v>
      </c>
      <c r="B548" t="str">
        <f t="shared" si="8"/>
        <v>sábado</v>
      </c>
    </row>
    <row r="549" spans="1:2" ht="15">
      <c r="A549" s="601">
        <v>46082</v>
      </c>
      <c r="B549" t="str">
        <f t="shared" si="8"/>
        <v>domingo</v>
      </c>
    </row>
    <row r="550" spans="1:2" ht="15">
      <c r="A550" s="601">
        <v>46083</v>
      </c>
      <c r="B550" t="str">
        <f t="shared" si="8"/>
        <v>lunes</v>
      </c>
    </row>
    <row r="551" spans="1:2" ht="15">
      <c r="A551" s="601">
        <v>46084</v>
      </c>
      <c r="B551" t="str">
        <f t="shared" si="8"/>
        <v>martes</v>
      </c>
    </row>
    <row r="552" spans="1:2" ht="15">
      <c r="A552" s="601">
        <v>46085</v>
      </c>
      <c r="B552" t="str">
        <f t="shared" si="8"/>
        <v>miércoles</v>
      </c>
    </row>
    <row r="553" spans="1:2" ht="15">
      <c r="A553" s="601">
        <v>46086</v>
      </c>
      <c r="B553" t="str">
        <f t="shared" si="8"/>
        <v>jueves</v>
      </c>
    </row>
    <row r="554" spans="1:2" ht="15">
      <c r="A554" s="601">
        <v>46087</v>
      </c>
      <c r="B554" t="str">
        <f t="shared" si="8"/>
        <v>viernes</v>
      </c>
    </row>
    <row r="555" spans="1:2" ht="15">
      <c r="A555" s="601">
        <v>46088</v>
      </c>
      <c r="B555" t="str">
        <f t="shared" si="8"/>
        <v>sábado</v>
      </c>
    </row>
    <row r="556" spans="1:2" ht="15">
      <c r="A556" s="601">
        <v>46089</v>
      </c>
      <c r="B556" t="str">
        <f t="shared" si="8"/>
        <v>domingo</v>
      </c>
    </row>
    <row r="557" spans="1:2" ht="15">
      <c r="A557" s="601">
        <v>46090</v>
      </c>
      <c r="B557" t="str">
        <f t="shared" si="8"/>
        <v>lunes</v>
      </c>
    </row>
    <row r="558" spans="1:2" ht="15">
      <c r="A558" s="601">
        <v>46091</v>
      </c>
      <c r="B558" t="str">
        <f t="shared" si="8"/>
        <v>martes</v>
      </c>
    </row>
    <row r="559" spans="1:2" ht="15">
      <c r="A559" s="601">
        <v>46092</v>
      </c>
      <c r="B559" t="str">
        <f t="shared" si="8"/>
        <v>miércoles</v>
      </c>
    </row>
    <row r="560" spans="1:2" ht="15">
      <c r="A560" s="601">
        <v>46093</v>
      </c>
      <c r="B560" t="str">
        <f t="shared" si="8"/>
        <v>jueves</v>
      </c>
    </row>
    <row r="561" spans="1:2" ht="15">
      <c r="A561" s="601">
        <v>46094</v>
      </c>
      <c r="B561" t="str">
        <f t="shared" si="8"/>
        <v>viernes</v>
      </c>
    </row>
    <row r="562" spans="1:2" ht="15">
      <c r="A562" s="601">
        <v>46095</v>
      </c>
      <c r="B562" t="str">
        <f t="shared" si="8"/>
        <v>sábado</v>
      </c>
    </row>
    <row r="563" spans="1:2" ht="15">
      <c r="A563" s="601">
        <v>46096</v>
      </c>
      <c r="B563" t="str">
        <f t="shared" si="8"/>
        <v>domingo</v>
      </c>
    </row>
    <row r="564" spans="1:2" ht="15">
      <c r="A564" s="601">
        <v>46097</v>
      </c>
      <c r="B564" t="str">
        <f t="shared" si="8"/>
        <v>lunes</v>
      </c>
    </row>
    <row r="565" spans="1:2" ht="15">
      <c r="A565" s="601">
        <v>46098</v>
      </c>
      <c r="B565" t="str">
        <f t="shared" si="8"/>
        <v>martes</v>
      </c>
    </row>
    <row r="566" spans="1:2" ht="15">
      <c r="A566" s="601">
        <v>46099</v>
      </c>
      <c r="B566" t="str">
        <f t="shared" si="8"/>
        <v>miércoles</v>
      </c>
    </row>
    <row r="567" spans="1:2" ht="15">
      <c r="A567" s="601">
        <v>46100</v>
      </c>
      <c r="B567" t="str">
        <f t="shared" si="8"/>
        <v>jueves</v>
      </c>
    </row>
    <row r="568" spans="1:2" ht="15">
      <c r="A568" s="601">
        <v>46101</v>
      </c>
      <c r="B568" t="str">
        <f t="shared" si="8"/>
        <v>viernes</v>
      </c>
    </row>
    <row r="569" spans="1:2" ht="15">
      <c r="A569" s="601">
        <v>46102</v>
      </c>
      <c r="B569" t="str">
        <f t="shared" si="8"/>
        <v>sábado</v>
      </c>
    </row>
    <row r="570" spans="1:2" ht="15">
      <c r="A570" s="601">
        <v>46103</v>
      </c>
      <c r="B570" t="str">
        <f t="shared" si="8"/>
        <v>domingo</v>
      </c>
    </row>
    <row r="571" spans="1:2" ht="15">
      <c r="A571" s="601">
        <v>46104</v>
      </c>
      <c r="B571" t="str">
        <f t="shared" si="8"/>
        <v>lunes</v>
      </c>
    </row>
    <row r="572" spans="1:2" ht="15">
      <c r="A572" s="601">
        <v>46105</v>
      </c>
      <c r="B572" t="str">
        <f t="shared" si="8"/>
        <v>martes</v>
      </c>
    </row>
    <row r="573" spans="1:2" ht="15">
      <c r="A573" s="601">
        <v>46106</v>
      </c>
      <c r="B573" t="str">
        <f t="shared" si="8"/>
        <v>miércoles</v>
      </c>
    </row>
    <row r="574" spans="1:2" ht="15">
      <c r="A574" s="601">
        <v>46107</v>
      </c>
      <c r="B574" t="str">
        <f t="shared" si="8"/>
        <v>jueves</v>
      </c>
    </row>
    <row r="575" spans="1:2" ht="15">
      <c r="A575" s="601">
        <v>46108</v>
      </c>
      <c r="B575" t="str">
        <f t="shared" si="8"/>
        <v>viernes</v>
      </c>
    </row>
    <row r="576" spans="1:2" ht="15">
      <c r="A576" s="601">
        <v>46109</v>
      </c>
      <c r="B576" t="str">
        <f t="shared" si="8"/>
        <v>sábado</v>
      </c>
    </row>
    <row r="577" spans="1:2" ht="15">
      <c r="A577" s="601">
        <v>46110</v>
      </c>
      <c r="B577" t="str">
        <f t="shared" si="8"/>
        <v>domingo</v>
      </c>
    </row>
    <row r="578" spans="1:2" ht="15">
      <c r="A578" s="601">
        <v>46111</v>
      </c>
      <c r="B578" t="str">
        <f t="shared" si="8"/>
        <v>lunes</v>
      </c>
    </row>
    <row r="579" spans="1:2" ht="15">
      <c r="A579" s="601">
        <v>46112</v>
      </c>
      <c r="B579" t="str">
        <f t="shared" ref="B579:B642" si="9">+TEXT(A579,"ddddddddd")</f>
        <v>martes</v>
      </c>
    </row>
    <row r="580" spans="1:2" ht="15">
      <c r="A580" s="601">
        <v>46113</v>
      </c>
      <c r="B580" t="str">
        <f t="shared" si="9"/>
        <v>miércoles</v>
      </c>
    </row>
    <row r="581" spans="1:2" ht="15">
      <c r="A581" s="601">
        <v>46114</v>
      </c>
      <c r="B581" t="str">
        <f t="shared" si="9"/>
        <v>jueves</v>
      </c>
    </row>
    <row r="582" spans="1:2" ht="15">
      <c r="A582" s="601">
        <v>46115</v>
      </c>
      <c r="B582" t="str">
        <f t="shared" si="9"/>
        <v>viernes</v>
      </c>
    </row>
    <row r="583" spans="1:2" ht="15">
      <c r="A583" s="601">
        <v>46116</v>
      </c>
      <c r="B583" t="str">
        <f t="shared" si="9"/>
        <v>sábado</v>
      </c>
    </row>
    <row r="584" spans="1:2" ht="15">
      <c r="A584" s="601">
        <v>46117</v>
      </c>
      <c r="B584" t="str">
        <f t="shared" si="9"/>
        <v>domingo</v>
      </c>
    </row>
    <row r="585" spans="1:2" ht="15">
      <c r="A585" s="601">
        <v>46118</v>
      </c>
      <c r="B585" t="str">
        <f t="shared" si="9"/>
        <v>lunes</v>
      </c>
    </row>
    <row r="586" spans="1:2" ht="15">
      <c r="A586" s="601">
        <v>46119</v>
      </c>
      <c r="B586" t="str">
        <f t="shared" si="9"/>
        <v>martes</v>
      </c>
    </row>
    <row r="587" spans="1:2" ht="15">
      <c r="A587" s="601">
        <v>46120</v>
      </c>
      <c r="B587" t="str">
        <f t="shared" si="9"/>
        <v>miércoles</v>
      </c>
    </row>
    <row r="588" spans="1:2" ht="15">
      <c r="A588" s="601">
        <v>46121</v>
      </c>
      <c r="B588" t="str">
        <f t="shared" si="9"/>
        <v>jueves</v>
      </c>
    </row>
    <row r="589" spans="1:2" ht="15">
      <c r="A589" s="601">
        <v>46122</v>
      </c>
      <c r="B589" t="str">
        <f t="shared" si="9"/>
        <v>viernes</v>
      </c>
    </row>
    <row r="590" spans="1:2" ht="15">
      <c r="A590" s="601">
        <v>46123</v>
      </c>
      <c r="B590" t="str">
        <f t="shared" si="9"/>
        <v>sábado</v>
      </c>
    </row>
    <row r="591" spans="1:2" ht="15">
      <c r="A591" s="601">
        <v>46124</v>
      </c>
      <c r="B591" t="str">
        <f t="shared" si="9"/>
        <v>domingo</v>
      </c>
    </row>
    <row r="592" spans="1:2" ht="15">
      <c r="A592" s="601">
        <v>46125</v>
      </c>
      <c r="B592" t="str">
        <f t="shared" si="9"/>
        <v>lunes</v>
      </c>
    </row>
    <row r="593" spans="1:2" ht="15">
      <c r="A593" s="601">
        <v>46126</v>
      </c>
      <c r="B593" t="str">
        <f t="shared" si="9"/>
        <v>martes</v>
      </c>
    </row>
    <row r="594" spans="1:2" ht="15">
      <c r="A594" s="601">
        <v>46127</v>
      </c>
      <c r="B594" t="str">
        <f t="shared" si="9"/>
        <v>miércoles</v>
      </c>
    </row>
    <row r="595" spans="1:2" ht="15">
      <c r="A595" s="601">
        <v>46128</v>
      </c>
      <c r="B595" t="str">
        <f t="shared" si="9"/>
        <v>jueves</v>
      </c>
    </row>
    <row r="596" spans="1:2" ht="15">
      <c r="A596" s="601">
        <v>46129</v>
      </c>
      <c r="B596" t="str">
        <f t="shared" si="9"/>
        <v>viernes</v>
      </c>
    </row>
    <row r="597" spans="1:2" ht="15">
      <c r="A597" s="601">
        <v>46130</v>
      </c>
      <c r="B597" t="str">
        <f t="shared" si="9"/>
        <v>sábado</v>
      </c>
    </row>
    <row r="598" spans="1:2" ht="15">
      <c r="A598" s="601">
        <v>46131</v>
      </c>
      <c r="B598" t="str">
        <f t="shared" si="9"/>
        <v>domingo</v>
      </c>
    </row>
    <row r="599" spans="1:2" ht="15">
      <c r="A599" s="601">
        <v>46132</v>
      </c>
      <c r="B599" t="str">
        <f t="shared" si="9"/>
        <v>lunes</v>
      </c>
    </row>
    <row r="600" spans="1:2" ht="15">
      <c r="A600" s="601">
        <v>46133</v>
      </c>
      <c r="B600" t="str">
        <f t="shared" si="9"/>
        <v>martes</v>
      </c>
    </row>
    <row r="601" spans="1:2" ht="15">
      <c r="A601" s="601">
        <v>46134</v>
      </c>
      <c r="B601" t="str">
        <f t="shared" si="9"/>
        <v>miércoles</v>
      </c>
    </row>
    <row r="602" spans="1:2" ht="15">
      <c r="A602" s="601">
        <v>46135</v>
      </c>
      <c r="B602" t="str">
        <f t="shared" si="9"/>
        <v>jueves</v>
      </c>
    </row>
    <row r="603" spans="1:2" ht="15">
      <c r="A603" s="601">
        <v>46136</v>
      </c>
      <c r="B603" t="str">
        <f t="shared" si="9"/>
        <v>viernes</v>
      </c>
    </row>
    <row r="604" spans="1:2" ht="15">
      <c r="A604" s="601">
        <v>46137</v>
      </c>
      <c r="B604" t="str">
        <f t="shared" si="9"/>
        <v>sábado</v>
      </c>
    </row>
    <row r="605" spans="1:2" ht="15">
      <c r="A605" s="601">
        <v>46138</v>
      </c>
      <c r="B605" t="str">
        <f t="shared" si="9"/>
        <v>domingo</v>
      </c>
    </row>
    <row r="606" spans="1:2" ht="15">
      <c r="A606" s="601">
        <v>46139</v>
      </c>
      <c r="B606" t="str">
        <f t="shared" si="9"/>
        <v>lunes</v>
      </c>
    </row>
    <row r="607" spans="1:2" ht="15">
      <c r="A607" s="601">
        <v>46140</v>
      </c>
      <c r="B607" t="str">
        <f t="shared" si="9"/>
        <v>martes</v>
      </c>
    </row>
    <row r="608" spans="1:2" ht="15">
      <c r="A608" s="601">
        <v>46141</v>
      </c>
      <c r="B608" t="str">
        <f t="shared" si="9"/>
        <v>miércoles</v>
      </c>
    </row>
    <row r="609" spans="1:2" ht="15">
      <c r="A609" s="601">
        <v>46142</v>
      </c>
      <c r="B609" t="str">
        <f t="shared" si="9"/>
        <v>jueves</v>
      </c>
    </row>
    <row r="610" spans="1:2" ht="15">
      <c r="A610" s="601">
        <v>46143</v>
      </c>
      <c r="B610" t="str">
        <f t="shared" si="9"/>
        <v>viernes</v>
      </c>
    </row>
    <row r="611" spans="1:2" ht="15">
      <c r="A611" s="601">
        <v>46144</v>
      </c>
      <c r="B611" t="str">
        <f t="shared" si="9"/>
        <v>sábado</v>
      </c>
    </row>
    <row r="612" spans="1:2" ht="15">
      <c r="A612" s="601">
        <v>46145</v>
      </c>
      <c r="B612" t="str">
        <f t="shared" si="9"/>
        <v>domingo</v>
      </c>
    </row>
    <row r="613" spans="1:2" ht="15">
      <c r="A613" s="601">
        <v>46146</v>
      </c>
      <c r="B613" t="str">
        <f t="shared" si="9"/>
        <v>lunes</v>
      </c>
    </row>
    <row r="614" spans="1:2" ht="15">
      <c r="A614" s="601">
        <v>46147</v>
      </c>
      <c r="B614" t="str">
        <f t="shared" si="9"/>
        <v>martes</v>
      </c>
    </row>
    <row r="615" spans="1:2" ht="15">
      <c r="A615" s="601">
        <v>46148</v>
      </c>
      <c r="B615" t="str">
        <f t="shared" si="9"/>
        <v>miércoles</v>
      </c>
    </row>
    <row r="616" spans="1:2" ht="15">
      <c r="A616" s="601">
        <v>46149</v>
      </c>
      <c r="B616" t="str">
        <f t="shared" si="9"/>
        <v>jueves</v>
      </c>
    </row>
    <row r="617" spans="1:2" ht="15">
      <c r="A617" s="601">
        <v>46150</v>
      </c>
      <c r="B617" t="str">
        <f t="shared" si="9"/>
        <v>viernes</v>
      </c>
    </row>
    <row r="618" spans="1:2" ht="15">
      <c r="A618" s="601">
        <v>46151</v>
      </c>
      <c r="B618" t="str">
        <f t="shared" si="9"/>
        <v>sábado</v>
      </c>
    </row>
    <row r="619" spans="1:2" ht="15">
      <c r="A619" s="601">
        <v>46152</v>
      </c>
      <c r="B619" t="str">
        <f t="shared" si="9"/>
        <v>domingo</v>
      </c>
    </row>
    <row r="620" spans="1:2" ht="15">
      <c r="A620" s="601">
        <v>46153</v>
      </c>
      <c r="B620" t="str">
        <f t="shared" si="9"/>
        <v>lunes</v>
      </c>
    </row>
    <row r="621" spans="1:2" ht="15">
      <c r="A621" s="601">
        <v>46154</v>
      </c>
      <c r="B621" t="str">
        <f t="shared" si="9"/>
        <v>martes</v>
      </c>
    </row>
    <row r="622" spans="1:2" ht="15">
      <c r="A622" s="601">
        <v>46155</v>
      </c>
      <c r="B622" t="str">
        <f t="shared" si="9"/>
        <v>miércoles</v>
      </c>
    </row>
    <row r="623" spans="1:2" ht="15">
      <c r="A623" s="601">
        <v>46156</v>
      </c>
      <c r="B623" t="str">
        <f t="shared" si="9"/>
        <v>jueves</v>
      </c>
    </row>
    <row r="624" spans="1:2" ht="15">
      <c r="A624" s="601">
        <v>46157</v>
      </c>
      <c r="B624" t="str">
        <f t="shared" si="9"/>
        <v>viernes</v>
      </c>
    </row>
    <row r="625" spans="1:2" ht="15">
      <c r="A625" s="601">
        <v>46158</v>
      </c>
      <c r="B625" t="str">
        <f t="shared" si="9"/>
        <v>sábado</v>
      </c>
    </row>
    <row r="626" spans="1:2" ht="15">
      <c r="A626" s="601">
        <v>46159</v>
      </c>
      <c r="B626" t="str">
        <f t="shared" si="9"/>
        <v>domingo</v>
      </c>
    </row>
    <row r="627" spans="1:2" ht="15">
      <c r="A627" s="601">
        <v>46160</v>
      </c>
      <c r="B627" t="str">
        <f t="shared" si="9"/>
        <v>lunes</v>
      </c>
    </row>
    <row r="628" spans="1:2" ht="15">
      <c r="A628" s="601">
        <v>46161</v>
      </c>
      <c r="B628" t="str">
        <f t="shared" si="9"/>
        <v>martes</v>
      </c>
    </row>
    <row r="629" spans="1:2" ht="15">
      <c r="A629" s="601">
        <v>46162</v>
      </c>
      <c r="B629" t="str">
        <f t="shared" si="9"/>
        <v>miércoles</v>
      </c>
    </row>
    <row r="630" spans="1:2" ht="15">
      <c r="A630" s="601">
        <v>46163</v>
      </c>
      <c r="B630" t="str">
        <f t="shared" si="9"/>
        <v>jueves</v>
      </c>
    </row>
    <row r="631" spans="1:2" ht="15">
      <c r="A631" s="601">
        <v>46164</v>
      </c>
      <c r="B631" t="str">
        <f t="shared" si="9"/>
        <v>viernes</v>
      </c>
    </row>
    <row r="632" spans="1:2" ht="15">
      <c r="A632" s="601">
        <v>46165</v>
      </c>
      <c r="B632" t="str">
        <f t="shared" si="9"/>
        <v>sábado</v>
      </c>
    </row>
    <row r="633" spans="1:2" ht="15">
      <c r="A633" s="601">
        <v>46166</v>
      </c>
      <c r="B633" t="str">
        <f t="shared" si="9"/>
        <v>domingo</v>
      </c>
    </row>
    <row r="634" spans="1:2" ht="15">
      <c r="A634" s="601">
        <v>46167</v>
      </c>
      <c r="B634" t="str">
        <f t="shared" si="9"/>
        <v>lunes</v>
      </c>
    </row>
    <row r="635" spans="1:2" ht="15">
      <c r="A635" s="601">
        <v>46168</v>
      </c>
      <c r="B635" t="str">
        <f t="shared" si="9"/>
        <v>martes</v>
      </c>
    </row>
    <row r="636" spans="1:2" ht="15">
      <c r="A636" s="601">
        <v>46169</v>
      </c>
      <c r="B636" t="str">
        <f t="shared" si="9"/>
        <v>miércoles</v>
      </c>
    </row>
    <row r="637" spans="1:2" ht="15">
      <c r="A637" s="601">
        <v>46170</v>
      </c>
      <c r="B637" t="str">
        <f t="shared" si="9"/>
        <v>jueves</v>
      </c>
    </row>
    <row r="638" spans="1:2" ht="15">
      <c r="A638" s="601">
        <v>46171</v>
      </c>
      <c r="B638" t="str">
        <f t="shared" si="9"/>
        <v>viernes</v>
      </c>
    </row>
    <row r="639" spans="1:2" ht="15">
      <c r="A639" s="601">
        <v>46172</v>
      </c>
      <c r="B639" t="str">
        <f t="shared" si="9"/>
        <v>sábado</v>
      </c>
    </row>
    <row r="640" spans="1:2" ht="15">
      <c r="A640" s="601">
        <v>46173</v>
      </c>
      <c r="B640" t="str">
        <f t="shared" si="9"/>
        <v>domingo</v>
      </c>
    </row>
    <row r="641" spans="1:2" ht="15">
      <c r="A641" s="601">
        <v>46174</v>
      </c>
      <c r="B641" t="str">
        <f t="shared" si="9"/>
        <v>lunes</v>
      </c>
    </row>
    <row r="642" spans="1:2" ht="15">
      <c r="A642" s="601">
        <v>46175</v>
      </c>
      <c r="B642" t="str">
        <f t="shared" si="9"/>
        <v>martes</v>
      </c>
    </row>
    <row r="643" spans="1:2" ht="15">
      <c r="A643" s="601">
        <v>46176</v>
      </c>
      <c r="B643" t="str">
        <f t="shared" ref="B643:B706" si="10">+TEXT(A643,"ddddddddd")</f>
        <v>miércoles</v>
      </c>
    </row>
    <row r="644" spans="1:2" ht="15">
      <c r="A644" s="601">
        <v>46177</v>
      </c>
      <c r="B644" t="str">
        <f t="shared" si="10"/>
        <v>jueves</v>
      </c>
    </row>
    <row r="645" spans="1:2" ht="15">
      <c r="A645" s="601">
        <v>46178</v>
      </c>
      <c r="B645" t="str">
        <f t="shared" si="10"/>
        <v>viernes</v>
      </c>
    </row>
    <row r="646" spans="1:2" ht="15">
      <c r="A646" s="601">
        <v>46179</v>
      </c>
      <c r="B646" t="str">
        <f t="shared" si="10"/>
        <v>sábado</v>
      </c>
    </row>
    <row r="647" spans="1:2" ht="15">
      <c r="A647" s="601">
        <v>46180</v>
      </c>
      <c r="B647" t="str">
        <f t="shared" si="10"/>
        <v>domingo</v>
      </c>
    </row>
    <row r="648" spans="1:2" ht="15">
      <c r="A648" s="601">
        <v>46181</v>
      </c>
      <c r="B648" t="str">
        <f t="shared" si="10"/>
        <v>lunes</v>
      </c>
    </row>
    <row r="649" spans="1:2" ht="15">
      <c r="A649" s="601">
        <v>46182</v>
      </c>
      <c r="B649" t="str">
        <f t="shared" si="10"/>
        <v>martes</v>
      </c>
    </row>
    <row r="650" spans="1:2" ht="15">
      <c r="A650" s="601">
        <v>46183</v>
      </c>
      <c r="B650" t="str">
        <f t="shared" si="10"/>
        <v>miércoles</v>
      </c>
    </row>
    <row r="651" spans="1:2" ht="15">
      <c r="A651" s="601">
        <v>46184</v>
      </c>
      <c r="B651" t="str">
        <f t="shared" si="10"/>
        <v>jueves</v>
      </c>
    </row>
    <row r="652" spans="1:2" ht="15">
      <c r="A652" s="601">
        <v>46185</v>
      </c>
      <c r="B652" t="str">
        <f t="shared" si="10"/>
        <v>viernes</v>
      </c>
    </row>
    <row r="653" spans="1:2" ht="15">
      <c r="A653" s="601">
        <v>46186</v>
      </c>
      <c r="B653" t="str">
        <f t="shared" si="10"/>
        <v>sábado</v>
      </c>
    </row>
    <row r="654" spans="1:2" ht="15">
      <c r="A654" s="601">
        <v>46187</v>
      </c>
      <c r="B654" t="str">
        <f t="shared" si="10"/>
        <v>domingo</v>
      </c>
    </row>
    <row r="655" spans="1:2" ht="15">
      <c r="A655" s="601">
        <v>46188</v>
      </c>
      <c r="B655" t="str">
        <f t="shared" si="10"/>
        <v>lunes</v>
      </c>
    </row>
    <row r="656" spans="1:2" ht="15">
      <c r="A656" s="601">
        <v>46189</v>
      </c>
      <c r="B656" t="str">
        <f t="shared" si="10"/>
        <v>martes</v>
      </c>
    </row>
    <row r="657" spans="1:2" ht="15">
      <c r="A657" s="601">
        <v>46190</v>
      </c>
      <c r="B657" t="str">
        <f t="shared" si="10"/>
        <v>miércoles</v>
      </c>
    </row>
    <row r="658" spans="1:2" ht="15">
      <c r="A658" s="601">
        <v>46191</v>
      </c>
      <c r="B658" t="str">
        <f t="shared" si="10"/>
        <v>jueves</v>
      </c>
    </row>
    <row r="659" spans="1:2" ht="15">
      <c r="A659" s="601">
        <v>46192</v>
      </c>
      <c r="B659" t="str">
        <f t="shared" si="10"/>
        <v>viernes</v>
      </c>
    </row>
    <row r="660" spans="1:2" ht="15">
      <c r="A660" s="601">
        <v>46193</v>
      </c>
      <c r="B660" t="str">
        <f t="shared" si="10"/>
        <v>sábado</v>
      </c>
    </row>
    <row r="661" spans="1:2" ht="15">
      <c r="A661" s="601">
        <v>46194</v>
      </c>
      <c r="B661" t="str">
        <f t="shared" si="10"/>
        <v>domingo</v>
      </c>
    </row>
    <row r="662" spans="1:2" ht="15">
      <c r="A662" s="601">
        <v>46195</v>
      </c>
      <c r="B662" t="str">
        <f t="shared" si="10"/>
        <v>lunes</v>
      </c>
    </row>
    <row r="663" spans="1:2" ht="15">
      <c r="A663" s="601">
        <v>46196</v>
      </c>
      <c r="B663" t="str">
        <f t="shared" si="10"/>
        <v>martes</v>
      </c>
    </row>
    <row r="664" spans="1:2" ht="15">
      <c r="A664" s="601">
        <v>46197</v>
      </c>
      <c r="B664" t="str">
        <f t="shared" si="10"/>
        <v>miércoles</v>
      </c>
    </row>
    <row r="665" spans="1:2" ht="15">
      <c r="A665" s="601">
        <v>46198</v>
      </c>
      <c r="B665" t="str">
        <f t="shared" si="10"/>
        <v>jueves</v>
      </c>
    </row>
    <row r="666" spans="1:2" ht="15">
      <c r="A666" s="601">
        <v>46199</v>
      </c>
      <c r="B666" t="str">
        <f t="shared" si="10"/>
        <v>viernes</v>
      </c>
    </row>
    <row r="667" spans="1:2" ht="15">
      <c r="A667" s="601">
        <v>46200</v>
      </c>
      <c r="B667" t="str">
        <f t="shared" si="10"/>
        <v>sábado</v>
      </c>
    </row>
    <row r="668" spans="1:2" ht="15">
      <c r="A668" s="601">
        <v>46201</v>
      </c>
      <c r="B668" t="str">
        <f t="shared" si="10"/>
        <v>domingo</v>
      </c>
    </row>
    <row r="669" spans="1:2" ht="15">
      <c r="A669" s="601">
        <v>46202</v>
      </c>
      <c r="B669" t="str">
        <f t="shared" si="10"/>
        <v>lunes</v>
      </c>
    </row>
    <row r="670" spans="1:2" ht="15">
      <c r="A670" s="601">
        <v>46203</v>
      </c>
      <c r="B670" t="str">
        <f t="shared" si="10"/>
        <v>martes</v>
      </c>
    </row>
    <row r="671" spans="1:2" ht="15">
      <c r="A671" s="601">
        <v>46204</v>
      </c>
      <c r="B671" t="str">
        <f t="shared" si="10"/>
        <v>miércoles</v>
      </c>
    </row>
    <row r="672" spans="1:2" ht="15">
      <c r="A672" s="601">
        <v>46205</v>
      </c>
      <c r="B672" t="str">
        <f t="shared" si="10"/>
        <v>jueves</v>
      </c>
    </row>
    <row r="673" spans="1:2" ht="15">
      <c r="A673" s="601">
        <v>46206</v>
      </c>
      <c r="B673" t="str">
        <f t="shared" si="10"/>
        <v>viernes</v>
      </c>
    </row>
    <row r="674" spans="1:2" ht="15">
      <c r="A674" s="601">
        <v>46207</v>
      </c>
      <c r="B674" t="str">
        <f t="shared" si="10"/>
        <v>sábado</v>
      </c>
    </row>
    <row r="675" spans="1:2" ht="15">
      <c r="A675" s="601">
        <v>46208</v>
      </c>
      <c r="B675" t="str">
        <f t="shared" si="10"/>
        <v>domingo</v>
      </c>
    </row>
    <row r="676" spans="1:2" ht="15">
      <c r="A676" s="601">
        <v>46209</v>
      </c>
      <c r="B676" t="str">
        <f t="shared" si="10"/>
        <v>lunes</v>
      </c>
    </row>
    <row r="677" spans="1:2" ht="15">
      <c r="A677" s="601">
        <v>46210</v>
      </c>
      <c r="B677" t="str">
        <f t="shared" si="10"/>
        <v>martes</v>
      </c>
    </row>
    <row r="678" spans="1:2" ht="15">
      <c r="A678" s="601">
        <v>46211</v>
      </c>
      <c r="B678" t="str">
        <f t="shared" si="10"/>
        <v>miércoles</v>
      </c>
    </row>
    <row r="679" spans="1:2" ht="15">
      <c r="A679" s="601">
        <v>46212</v>
      </c>
      <c r="B679" t="str">
        <f t="shared" si="10"/>
        <v>jueves</v>
      </c>
    </row>
    <row r="680" spans="1:2" ht="15">
      <c r="A680" s="601">
        <v>46213</v>
      </c>
      <c r="B680" t="str">
        <f t="shared" si="10"/>
        <v>viernes</v>
      </c>
    </row>
    <row r="681" spans="1:2" ht="15">
      <c r="A681" s="601">
        <v>46214</v>
      </c>
      <c r="B681" t="str">
        <f t="shared" si="10"/>
        <v>sábado</v>
      </c>
    </row>
    <row r="682" spans="1:2" ht="15">
      <c r="A682" s="601">
        <v>46215</v>
      </c>
      <c r="B682" t="str">
        <f t="shared" si="10"/>
        <v>domingo</v>
      </c>
    </row>
    <row r="683" spans="1:2" ht="15">
      <c r="A683" s="601">
        <v>46216</v>
      </c>
      <c r="B683" t="str">
        <f t="shared" si="10"/>
        <v>lunes</v>
      </c>
    </row>
    <row r="684" spans="1:2" ht="15">
      <c r="A684" s="601">
        <v>46217</v>
      </c>
      <c r="B684" t="str">
        <f t="shared" si="10"/>
        <v>martes</v>
      </c>
    </row>
    <row r="685" spans="1:2" ht="15">
      <c r="A685" s="601">
        <v>46218</v>
      </c>
      <c r="B685" t="str">
        <f t="shared" si="10"/>
        <v>miércoles</v>
      </c>
    </row>
    <row r="686" spans="1:2" ht="15">
      <c r="A686" s="601">
        <v>46219</v>
      </c>
      <c r="B686" t="str">
        <f t="shared" si="10"/>
        <v>jueves</v>
      </c>
    </row>
    <row r="687" spans="1:2" ht="15">
      <c r="A687" s="601">
        <v>46220</v>
      </c>
      <c r="B687" t="str">
        <f t="shared" si="10"/>
        <v>viernes</v>
      </c>
    </row>
    <row r="688" spans="1:2" ht="15">
      <c r="A688" s="601">
        <v>46221</v>
      </c>
      <c r="B688" t="str">
        <f t="shared" si="10"/>
        <v>sábado</v>
      </c>
    </row>
    <row r="689" spans="1:2" ht="15">
      <c r="A689" s="601">
        <v>46222</v>
      </c>
      <c r="B689" t="str">
        <f t="shared" si="10"/>
        <v>domingo</v>
      </c>
    </row>
    <row r="690" spans="1:2" ht="15">
      <c r="A690" s="601">
        <v>46223</v>
      </c>
      <c r="B690" t="str">
        <f t="shared" si="10"/>
        <v>lunes</v>
      </c>
    </row>
    <row r="691" spans="1:2" ht="15">
      <c r="A691" s="601">
        <v>46224</v>
      </c>
      <c r="B691" t="str">
        <f t="shared" si="10"/>
        <v>martes</v>
      </c>
    </row>
    <row r="692" spans="1:2" ht="15">
      <c r="A692" s="601">
        <v>46225</v>
      </c>
      <c r="B692" t="str">
        <f t="shared" si="10"/>
        <v>miércoles</v>
      </c>
    </row>
    <row r="693" spans="1:2" ht="15">
      <c r="A693" s="601">
        <v>46226</v>
      </c>
      <c r="B693" t="str">
        <f t="shared" si="10"/>
        <v>jueves</v>
      </c>
    </row>
    <row r="694" spans="1:2" ht="15">
      <c r="A694" s="601">
        <v>46227</v>
      </c>
      <c r="B694" t="str">
        <f t="shared" si="10"/>
        <v>viernes</v>
      </c>
    </row>
    <row r="695" spans="1:2" ht="15">
      <c r="A695" s="601">
        <v>46228</v>
      </c>
      <c r="B695" t="str">
        <f t="shared" si="10"/>
        <v>sábado</v>
      </c>
    </row>
    <row r="696" spans="1:2" ht="15">
      <c r="A696" s="601">
        <v>46229</v>
      </c>
      <c r="B696" t="str">
        <f t="shared" si="10"/>
        <v>domingo</v>
      </c>
    </row>
    <row r="697" spans="1:2" ht="15">
      <c r="A697" s="601">
        <v>46230</v>
      </c>
      <c r="B697" t="str">
        <f t="shared" si="10"/>
        <v>lunes</v>
      </c>
    </row>
    <row r="698" spans="1:2" ht="15">
      <c r="A698" s="601">
        <v>46231</v>
      </c>
      <c r="B698" t="str">
        <f t="shared" si="10"/>
        <v>martes</v>
      </c>
    </row>
    <row r="699" spans="1:2" ht="15">
      <c r="A699" s="601">
        <v>46232</v>
      </c>
      <c r="B699" t="str">
        <f t="shared" si="10"/>
        <v>miércoles</v>
      </c>
    </row>
    <row r="700" spans="1:2" ht="15">
      <c r="A700" s="601">
        <v>46233</v>
      </c>
      <c r="B700" t="str">
        <f t="shared" si="10"/>
        <v>jueves</v>
      </c>
    </row>
    <row r="701" spans="1:2" ht="15">
      <c r="A701" s="601">
        <v>46234</v>
      </c>
      <c r="B701" t="str">
        <f t="shared" si="10"/>
        <v>viernes</v>
      </c>
    </row>
    <row r="702" spans="1:2" ht="15">
      <c r="A702" s="601">
        <v>46235</v>
      </c>
      <c r="B702" t="str">
        <f t="shared" si="10"/>
        <v>sábado</v>
      </c>
    </row>
    <row r="703" spans="1:2" ht="15">
      <c r="A703" s="601">
        <v>46236</v>
      </c>
      <c r="B703" t="str">
        <f t="shared" si="10"/>
        <v>domingo</v>
      </c>
    </row>
    <row r="704" spans="1:2" ht="15">
      <c r="A704" s="601">
        <v>46237</v>
      </c>
      <c r="B704" t="str">
        <f t="shared" si="10"/>
        <v>lunes</v>
      </c>
    </row>
    <row r="705" spans="1:2" ht="15">
      <c r="A705" s="601">
        <v>46238</v>
      </c>
      <c r="B705" t="str">
        <f t="shared" si="10"/>
        <v>martes</v>
      </c>
    </row>
    <row r="706" spans="1:2" ht="15">
      <c r="A706" s="601">
        <v>46239</v>
      </c>
      <c r="B706" t="str">
        <f t="shared" si="10"/>
        <v>miércoles</v>
      </c>
    </row>
    <row r="707" spans="1:2" ht="15">
      <c r="A707" s="601">
        <v>46240</v>
      </c>
      <c r="B707" t="str">
        <f t="shared" ref="B707:B770" si="11">+TEXT(A707,"ddddddddd")</f>
        <v>jueves</v>
      </c>
    </row>
    <row r="708" spans="1:2" ht="15">
      <c r="A708" s="601">
        <v>46241</v>
      </c>
      <c r="B708" t="str">
        <f t="shared" si="11"/>
        <v>viernes</v>
      </c>
    </row>
    <row r="709" spans="1:2" ht="15">
      <c r="A709" s="601">
        <v>46242</v>
      </c>
      <c r="B709" t="str">
        <f t="shared" si="11"/>
        <v>sábado</v>
      </c>
    </row>
    <row r="710" spans="1:2" ht="15">
      <c r="A710" s="601">
        <v>46243</v>
      </c>
      <c r="B710" t="str">
        <f t="shared" si="11"/>
        <v>domingo</v>
      </c>
    </row>
    <row r="711" spans="1:2" ht="15">
      <c r="A711" s="601">
        <v>46244</v>
      </c>
      <c r="B711" t="str">
        <f t="shared" si="11"/>
        <v>lunes</v>
      </c>
    </row>
    <row r="712" spans="1:2" ht="15">
      <c r="A712" s="601">
        <v>46245</v>
      </c>
      <c r="B712" t="str">
        <f t="shared" si="11"/>
        <v>martes</v>
      </c>
    </row>
    <row r="713" spans="1:2" ht="15">
      <c r="A713" s="601">
        <v>46246</v>
      </c>
      <c r="B713" t="str">
        <f t="shared" si="11"/>
        <v>miércoles</v>
      </c>
    </row>
    <row r="714" spans="1:2" ht="15">
      <c r="A714" s="601">
        <v>46247</v>
      </c>
      <c r="B714" t="str">
        <f t="shared" si="11"/>
        <v>jueves</v>
      </c>
    </row>
    <row r="715" spans="1:2" ht="15">
      <c r="A715" s="601">
        <v>46248</v>
      </c>
      <c r="B715" t="str">
        <f t="shared" si="11"/>
        <v>viernes</v>
      </c>
    </row>
    <row r="716" spans="1:2" ht="15">
      <c r="A716" s="601">
        <v>46249</v>
      </c>
      <c r="B716" t="str">
        <f t="shared" si="11"/>
        <v>sábado</v>
      </c>
    </row>
    <row r="717" spans="1:2" ht="15">
      <c r="A717" s="601">
        <v>46250</v>
      </c>
      <c r="B717" t="str">
        <f t="shared" si="11"/>
        <v>domingo</v>
      </c>
    </row>
    <row r="718" spans="1:2" ht="15">
      <c r="A718" s="601">
        <v>46251</v>
      </c>
      <c r="B718" t="str">
        <f t="shared" si="11"/>
        <v>lunes</v>
      </c>
    </row>
    <row r="719" spans="1:2" ht="15">
      <c r="A719" s="601">
        <v>46252</v>
      </c>
      <c r="B719" t="str">
        <f t="shared" si="11"/>
        <v>martes</v>
      </c>
    </row>
    <row r="720" spans="1:2" ht="15">
      <c r="A720" s="601">
        <v>46253</v>
      </c>
      <c r="B720" t="str">
        <f t="shared" si="11"/>
        <v>miércoles</v>
      </c>
    </row>
    <row r="721" spans="1:2" ht="15">
      <c r="A721" s="601">
        <v>46254</v>
      </c>
      <c r="B721" t="str">
        <f t="shared" si="11"/>
        <v>jueves</v>
      </c>
    </row>
    <row r="722" spans="1:2" ht="15">
      <c r="A722" s="601">
        <v>46255</v>
      </c>
      <c r="B722" t="str">
        <f t="shared" si="11"/>
        <v>viernes</v>
      </c>
    </row>
    <row r="723" spans="1:2" ht="15">
      <c r="A723" s="601">
        <v>46256</v>
      </c>
      <c r="B723" t="str">
        <f t="shared" si="11"/>
        <v>sábado</v>
      </c>
    </row>
    <row r="724" spans="1:2" ht="15">
      <c r="A724" s="601">
        <v>46257</v>
      </c>
      <c r="B724" t="str">
        <f t="shared" si="11"/>
        <v>domingo</v>
      </c>
    </row>
    <row r="725" spans="1:2" ht="15">
      <c r="A725" s="601">
        <v>46258</v>
      </c>
      <c r="B725" t="str">
        <f t="shared" si="11"/>
        <v>lunes</v>
      </c>
    </row>
    <row r="726" spans="1:2" ht="15">
      <c r="A726" s="601">
        <v>46259</v>
      </c>
      <c r="B726" t="str">
        <f t="shared" si="11"/>
        <v>martes</v>
      </c>
    </row>
    <row r="727" spans="1:2" ht="15">
      <c r="A727" s="601">
        <v>46260</v>
      </c>
      <c r="B727" t="str">
        <f t="shared" si="11"/>
        <v>miércoles</v>
      </c>
    </row>
    <row r="728" spans="1:2" ht="15">
      <c r="A728" s="601">
        <v>46261</v>
      </c>
      <c r="B728" t="str">
        <f t="shared" si="11"/>
        <v>jueves</v>
      </c>
    </row>
    <row r="729" spans="1:2" ht="15">
      <c r="A729" s="601">
        <v>46262</v>
      </c>
      <c r="B729" t="str">
        <f t="shared" si="11"/>
        <v>viernes</v>
      </c>
    </row>
    <row r="730" spans="1:2" ht="15">
      <c r="A730" s="601">
        <v>46263</v>
      </c>
      <c r="B730" t="str">
        <f t="shared" si="11"/>
        <v>sábado</v>
      </c>
    </row>
    <row r="731" spans="1:2" ht="15">
      <c r="A731" s="601">
        <v>46264</v>
      </c>
      <c r="B731" t="str">
        <f t="shared" si="11"/>
        <v>domingo</v>
      </c>
    </row>
    <row r="732" spans="1:2" ht="15">
      <c r="A732" s="601">
        <v>46265</v>
      </c>
      <c r="B732" t="str">
        <f t="shared" si="11"/>
        <v>lunes</v>
      </c>
    </row>
    <row r="733" spans="1:2" ht="15">
      <c r="A733" s="601">
        <v>46266</v>
      </c>
      <c r="B733" t="str">
        <f t="shared" si="11"/>
        <v>martes</v>
      </c>
    </row>
    <row r="734" spans="1:2" ht="15">
      <c r="A734" s="601">
        <v>46267</v>
      </c>
      <c r="B734" t="str">
        <f t="shared" si="11"/>
        <v>miércoles</v>
      </c>
    </row>
    <row r="735" spans="1:2" ht="15">
      <c r="A735" s="601">
        <v>46268</v>
      </c>
      <c r="B735" t="str">
        <f t="shared" si="11"/>
        <v>jueves</v>
      </c>
    </row>
    <row r="736" spans="1:2" ht="15">
      <c r="A736" s="601">
        <v>46269</v>
      </c>
      <c r="B736" t="str">
        <f t="shared" si="11"/>
        <v>viernes</v>
      </c>
    </row>
    <row r="737" spans="1:2" ht="15">
      <c r="A737" s="601">
        <v>46270</v>
      </c>
      <c r="B737" t="str">
        <f t="shared" si="11"/>
        <v>sábado</v>
      </c>
    </row>
    <row r="738" spans="1:2" ht="15">
      <c r="A738" s="601">
        <v>46271</v>
      </c>
      <c r="B738" t="str">
        <f t="shared" si="11"/>
        <v>domingo</v>
      </c>
    </row>
    <row r="739" spans="1:2" ht="15">
      <c r="A739" s="601">
        <v>46272</v>
      </c>
      <c r="B739" t="str">
        <f t="shared" si="11"/>
        <v>lunes</v>
      </c>
    </row>
    <row r="740" spans="1:2" ht="15">
      <c r="A740" s="601">
        <v>46273</v>
      </c>
      <c r="B740" t="str">
        <f t="shared" si="11"/>
        <v>martes</v>
      </c>
    </row>
    <row r="741" spans="1:2" ht="15">
      <c r="A741" s="601">
        <v>46274</v>
      </c>
      <c r="B741" t="str">
        <f t="shared" si="11"/>
        <v>miércoles</v>
      </c>
    </row>
    <row r="742" spans="1:2" ht="15">
      <c r="A742" s="601">
        <v>46275</v>
      </c>
      <c r="B742" t="str">
        <f t="shared" si="11"/>
        <v>jueves</v>
      </c>
    </row>
    <row r="743" spans="1:2" ht="15">
      <c r="A743" s="601">
        <v>46276</v>
      </c>
      <c r="B743" t="str">
        <f t="shared" si="11"/>
        <v>viernes</v>
      </c>
    </row>
    <row r="744" spans="1:2" ht="15">
      <c r="A744" s="601">
        <v>46277</v>
      </c>
      <c r="B744" t="str">
        <f t="shared" si="11"/>
        <v>sábado</v>
      </c>
    </row>
    <row r="745" spans="1:2" ht="15">
      <c r="A745" s="601">
        <v>46278</v>
      </c>
      <c r="B745" t="str">
        <f t="shared" si="11"/>
        <v>domingo</v>
      </c>
    </row>
    <row r="746" spans="1:2" ht="15">
      <c r="A746" s="601">
        <v>46279</v>
      </c>
      <c r="B746" t="str">
        <f t="shared" si="11"/>
        <v>lunes</v>
      </c>
    </row>
    <row r="747" spans="1:2" ht="15">
      <c r="A747" s="601">
        <v>46280</v>
      </c>
      <c r="B747" t="str">
        <f t="shared" si="11"/>
        <v>martes</v>
      </c>
    </row>
    <row r="748" spans="1:2" ht="15">
      <c r="A748" s="601">
        <v>46281</v>
      </c>
      <c r="B748" t="str">
        <f t="shared" si="11"/>
        <v>miércoles</v>
      </c>
    </row>
    <row r="749" spans="1:2" ht="15">
      <c r="A749" s="601">
        <v>46282</v>
      </c>
      <c r="B749" t="str">
        <f t="shared" si="11"/>
        <v>jueves</v>
      </c>
    </row>
    <row r="750" spans="1:2" ht="15">
      <c r="A750" s="601">
        <v>46283</v>
      </c>
      <c r="B750" t="str">
        <f t="shared" si="11"/>
        <v>viernes</v>
      </c>
    </row>
    <row r="751" spans="1:2" ht="15">
      <c r="A751" s="601">
        <v>46284</v>
      </c>
      <c r="B751" t="str">
        <f t="shared" si="11"/>
        <v>sábado</v>
      </c>
    </row>
    <row r="752" spans="1:2" ht="15">
      <c r="A752" s="601">
        <v>46285</v>
      </c>
      <c r="B752" t="str">
        <f t="shared" si="11"/>
        <v>domingo</v>
      </c>
    </row>
    <row r="753" spans="1:2" ht="15">
      <c r="A753" s="601">
        <v>46286</v>
      </c>
      <c r="B753" t="str">
        <f t="shared" si="11"/>
        <v>lunes</v>
      </c>
    </row>
    <row r="754" spans="1:2" ht="15">
      <c r="A754" s="601">
        <v>46287</v>
      </c>
      <c r="B754" t="str">
        <f t="shared" si="11"/>
        <v>martes</v>
      </c>
    </row>
    <row r="755" spans="1:2" ht="15">
      <c r="A755" s="601">
        <v>46288</v>
      </c>
      <c r="B755" t="str">
        <f t="shared" si="11"/>
        <v>miércoles</v>
      </c>
    </row>
    <row r="756" spans="1:2" ht="15">
      <c r="A756" s="601">
        <v>46289</v>
      </c>
      <c r="B756" t="str">
        <f t="shared" si="11"/>
        <v>jueves</v>
      </c>
    </row>
    <row r="757" spans="1:2" ht="15">
      <c r="A757" s="601">
        <v>46290</v>
      </c>
      <c r="B757" t="str">
        <f t="shared" si="11"/>
        <v>viernes</v>
      </c>
    </row>
    <row r="758" spans="1:2" ht="15">
      <c r="A758" s="601">
        <v>46291</v>
      </c>
      <c r="B758" t="str">
        <f t="shared" si="11"/>
        <v>sábado</v>
      </c>
    </row>
    <row r="759" spans="1:2" ht="15">
      <c r="A759" s="601">
        <v>46292</v>
      </c>
      <c r="B759" t="str">
        <f t="shared" si="11"/>
        <v>domingo</v>
      </c>
    </row>
    <row r="760" spans="1:2" ht="15">
      <c r="A760" s="601">
        <v>46293</v>
      </c>
      <c r="B760" t="str">
        <f t="shared" si="11"/>
        <v>lunes</v>
      </c>
    </row>
    <row r="761" spans="1:2" ht="15">
      <c r="A761" s="601">
        <v>46294</v>
      </c>
      <c r="B761" t="str">
        <f t="shared" si="11"/>
        <v>martes</v>
      </c>
    </row>
    <row r="762" spans="1:2" ht="15">
      <c r="A762" s="601">
        <v>46295</v>
      </c>
      <c r="B762" t="str">
        <f t="shared" si="11"/>
        <v>miércoles</v>
      </c>
    </row>
    <row r="763" spans="1:2" ht="15">
      <c r="A763" s="601">
        <v>46296</v>
      </c>
      <c r="B763" t="str">
        <f t="shared" si="11"/>
        <v>jueves</v>
      </c>
    </row>
    <row r="764" spans="1:2" ht="15">
      <c r="A764" s="601">
        <v>46297</v>
      </c>
      <c r="B764" t="str">
        <f t="shared" si="11"/>
        <v>viernes</v>
      </c>
    </row>
    <row r="765" spans="1:2" ht="15">
      <c r="A765" s="601">
        <v>46298</v>
      </c>
      <c r="B765" t="str">
        <f t="shared" si="11"/>
        <v>sábado</v>
      </c>
    </row>
    <row r="766" spans="1:2" ht="15">
      <c r="A766" s="601">
        <v>46299</v>
      </c>
      <c r="B766" t="str">
        <f t="shared" si="11"/>
        <v>domingo</v>
      </c>
    </row>
    <row r="767" spans="1:2" ht="15">
      <c r="A767" s="601">
        <v>46300</v>
      </c>
      <c r="B767" t="str">
        <f t="shared" si="11"/>
        <v>lunes</v>
      </c>
    </row>
    <row r="768" spans="1:2" ht="15">
      <c r="A768" s="601">
        <v>46301</v>
      </c>
      <c r="B768" t="str">
        <f t="shared" si="11"/>
        <v>martes</v>
      </c>
    </row>
    <row r="769" spans="1:2" ht="15">
      <c r="A769" s="601">
        <v>46302</v>
      </c>
      <c r="B769" t="str">
        <f t="shared" si="11"/>
        <v>miércoles</v>
      </c>
    </row>
    <row r="770" spans="1:2" ht="15">
      <c r="A770" s="601">
        <v>46303</v>
      </c>
      <c r="B770" t="str">
        <f t="shared" si="11"/>
        <v>jueves</v>
      </c>
    </row>
    <row r="771" spans="1:2" ht="15">
      <c r="A771" s="601">
        <v>46304</v>
      </c>
      <c r="B771" t="str">
        <f t="shared" ref="B771:B831" si="12">+TEXT(A771,"ddddddddd")</f>
        <v>viernes</v>
      </c>
    </row>
    <row r="772" spans="1:2" ht="15">
      <c r="A772" s="601">
        <v>46305</v>
      </c>
      <c r="B772" t="str">
        <f t="shared" si="12"/>
        <v>sábado</v>
      </c>
    </row>
    <row r="773" spans="1:2" ht="15">
      <c r="A773" s="601">
        <v>46306</v>
      </c>
      <c r="B773" t="str">
        <f t="shared" si="12"/>
        <v>domingo</v>
      </c>
    </row>
    <row r="774" spans="1:2" ht="15">
      <c r="A774" s="601">
        <v>46307</v>
      </c>
      <c r="B774" t="str">
        <f t="shared" si="12"/>
        <v>lunes</v>
      </c>
    </row>
    <row r="775" spans="1:2" ht="15">
      <c r="A775" s="601">
        <v>46308</v>
      </c>
      <c r="B775" t="str">
        <f t="shared" si="12"/>
        <v>martes</v>
      </c>
    </row>
    <row r="776" spans="1:2" ht="15">
      <c r="A776" s="601">
        <v>46309</v>
      </c>
      <c r="B776" t="str">
        <f t="shared" si="12"/>
        <v>miércoles</v>
      </c>
    </row>
    <row r="777" spans="1:2" ht="15">
      <c r="A777" s="601">
        <v>46310</v>
      </c>
      <c r="B777" t="str">
        <f t="shared" si="12"/>
        <v>jueves</v>
      </c>
    </row>
    <row r="778" spans="1:2" ht="15">
      <c r="A778" s="601">
        <v>46311</v>
      </c>
      <c r="B778" t="str">
        <f t="shared" si="12"/>
        <v>viernes</v>
      </c>
    </row>
    <row r="779" spans="1:2" ht="15">
      <c r="A779" s="601">
        <v>46312</v>
      </c>
      <c r="B779" t="str">
        <f t="shared" si="12"/>
        <v>sábado</v>
      </c>
    </row>
    <row r="780" spans="1:2" ht="15">
      <c r="A780" s="601">
        <v>46313</v>
      </c>
      <c r="B780" t="str">
        <f t="shared" si="12"/>
        <v>domingo</v>
      </c>
    </row>
    <row r="781" spans="1:2" ht="15">
      <c r="A781" s="601">
        <v>46314</v>
      </c>
      <c r="B781" t="str">
        <f t="shared" si="12"/>
        <v>lunes</v>
      </c>
    </row>
    <row r="782" spans="1:2" ht="15">
      <c r="A782" s="601">
        <v>46315</v>
      </c>
      <c r="B782" t="str">
        <f t="shared" si="12"/>
        <v>martes</v>
      </c>
    </row>
    <row r="783" spans="1:2" ht="15">
      <c r="A783" s="601">
        <v>46316</v>
      </c>
      <c r="B783" t="str">
        <f t="shared" si="12"/>
        <v>miércoles</v>
      </c>
    </row>
    <row r="784" spans="1:2" ht="15">
      <c r="A784" s="601">
        <v>46317</v>
      </c>
      <c r="B784" t="str">
        <f t="shared" si="12"/>
        <v>jueves</v>
      </c>
    </row>
    <row r="785" spans="1:2" ht="15">
      <c r="A785" s="601">
        <v>46318</v>
      </c>
      <c r="B785" t="str">
        <f t="shared" si="12"/>
        <v>viernes</v>
      </c>
    </row>
    <row r="786" spans="1:2" ht="15">
      <c r="A786" s="601">
        <v>46319</v>
      </c>
      <c r="B786" t="str">
        <f t="shared" si="12"/>
        <v>sábado</v>
      </c>
    </row>
    <row r="787" spans="1:2" ht="15">
      <c r="A787" s="601">
        <v>46320</v>
      </c>
      <c r="B787" t="str">
        <f t="shared" si="12"/>
        <v>domingo</v>
      </c>
    </row>
    <row r="788" spans="1:2" ht="15">
      <c r="A788" s="601">
        <v>46321</v>
      </c>
      <c r="B788" t="str">
        <f t="shared" si="12"/>
        <v>lunes</v>
      </c>
    </row>
    <row r="789" spans="1:2" ht="15">
      <c r="A789" s="601">
        <v>46322</v>
      </c>
      <c r="B789" t="str">
        <f t="shared" si="12"/>
        <v>martes</v>
      </c>
    </row>
    <row r="790" spans="1:2" ht="15">
      <c r="A790" s="601">
        <v>46323</v>
      </c>
      <c r="B790" t="str">
        <f t="shared" si="12"/>
        <v>miércoles</v>
      </c>
    </row>
    <row r="791" spans="1:2" ht="15">
      <c r="A791" s="601">
        <v>46324</v>
      </c>
      <c r="B791" t="str">
        <f t="shared" si="12"/>
        <v>jueves</v>
      </c>
    </row>
    <row r="792" spans="1:2" ht="15">
      <c r="A792" s="601">
        <v>46325</v>
      </c>
      <c r="B792" t="str">
        <f t="shared" si="12"/>
        <v>viernes</v>
      </c>
    </row>
    <row r="793" spans="1:2" ht="15">
      <c r="A793" s="601">
        <v>46326</v>
      </c>
      <c r="B793" t="str">
        <f t="shared" si="12"/>
        <v>sábado</v>
      </c>
    </row>
    <row r="794" spans="1:2" ht="15">
      <c r="A794" s="601">
        <v>46327</v>
      </c>
      <c r="B794" t="str">
        <f t="shared" si="12"/>
        <v>domingo</v>
      </c>
    </row>
    <row r="795" spans="1:2" ht="15">
      <c r="A795" s="601">
        <v>46328</v>
      </c>
      <c r="B795" t="str">
        <f t="shared" si="12"/>
        <v>lunes</v>
      </c>
    </row>
    <row r="796" spans="1:2" ht="15">
      <c r="A796" s="601">
        <v>46329</v>
      </c>
      <c r="B796" t="str">
        <f t="shared" si="12"/>
        <v>martes</v>
      </c>
    </row>
    <row r="797" spans="1:2" ht="15">
      <c r="A797" s="601">
        <v>46330</v>
      </c>
      <c r="B797" t="str">
        <f t="shared" si="12"/>
        <v>miércoles</v>
      </c>
    </row>
    <row r="798" spans="1:2" ht="15">
      <c r="A798" s="601">
        <v>46331</v>
      </c>
      <c r="B798" t="str">
        <f t="shared" si="12"/>
        <v>jueves</v>
      </c>
    </row>
    <row r="799" spans="1:2" ht="15">
      <c r="A799" s="601">
        <v>46332</v>
      </c>
      <c r="B799" t="str">
        <f t="shared" si="12"/>
        <v>viernes</v>
      </c>
    </row>
    <row r="800" spans="1:2" ht="15">
      <c r="A800" s="601">
        <v>46333</v>
      </c>
      <c r="B800" t="str">
        <f t="shared" si="12"/>
        <v>sábado</v>
      </c>
    </row>
    <row r="801" spans="1:2" ht="15">
      <c r="A801" s="601">
        <v>46334</v>
      </c>
      <c r="B801" t="str">
        <f t="shared" si="12"/>
        <v>domingo</v>
      </c>
    </row>
    <row r="802" spans="1:2" ht="15">
      <c r="A802" s="601">
        <v>46335</v>
      </c>
      <c r="B802" t="str">
        <f t="shared" si="12"/>
        <v>lunes</v>
      </c>
    </row>
    <row r="803" spans="1:2" ht="15">
      <c r="A803" s="601">
        <v>46336</v>
      </c>
      <c r="B803" t="str">
        <f t="shared" si="12"/>
        <v>martes</v>
      </c>
    </row>
    <row r="804" spans="1:2" ht="15">
      <c r="A804" s="601">
        <v>46337</v>
      </c>
      <c r="B804" t="str">
        <f t="shared" si="12"/>
        <v>miércoles</v>
      </c>
    </row>
    <row r="805" spans="1:2" ht="15">
      <c r="A805" s="601">
        <v>46338</v>
      </c>
      <c r="B805" t="str">
        <f t="shared" si="12"/>
        <v>jueves</v>
      </c>
    </row>
    <row r="806" spans="1:2" ht="15">
      <c r="A806" s="601">
        <v>46339</v>
      </c>
      <c r="B806" t="str">
        <f t="shared" si="12"/>
        <v>viernes</v>
      </c>
    </row>
    <row r="807" spans="1:2" ht="15">
      <c r="A807" s="601">
        <v>46340</v>
      </c>
      <c r="B807" t="str">
        <f t="shared" si="12"/>
        <v>sábado</v>
      </c>
    </row>
    <row r="808" spans="1:2" ht="15">
      <c r="A808" s="601">
        <v>46341</v>
      </c>
      <c r="B808" t="str">
        <f t="shared" si="12"/>
        <v>domingo</v>
      </c>
    </row>
    <row r="809" spans="1:2" ht="15">
      <c r="A809" s="601">
        <v>46342</v>
      </c>
      <c r="B809" t="str">
        <f t="shared" si="12"/>
        <v>lunes</v>
      </c>
    </row>
    <row r="810" spans="1:2" ht="15">
      <c r="A810" s="601">
        <v>46343</v>
      </c>
      <c r="B810" t="str">
        <f t="shared" si="12"/>
        <v>martes</v>
      </c>
    </row>
    <row r="811" spans="1:2" ht="15">
      <c r="A811" s="601">
        <v>46344</v>
      </c>
      <c r="B811" t="str">
        <f t="shared" si="12"/>
        <v>miércoles</v>
      </c>
    </row>
    <row r="812" spans="1:2" ht="15">
      <c r="A812" s="601">
        <v>46345</v>
      </c>
      <c r="B812" t="str">
        <f t="shared" si="12"/>
        <v>jueves</v>
      </c>
    </row>
    <row r="813" spans="1:2" ht="15">
      <c r="A813" s="601">
        <v>46346</v>
      </c>
      <c r="B813" t="str">
        <f t="shared" si="12"/>
        <v>viernes</v>
      </c>
    </row>
    <row r="814" spans="1:2" ht="15">
      <c r="A814" s="601">
        <v>46347</v>
      </c>
      <c r="B814" t="str">
        <f t="shared" si="12"/>
        <v>sábado</v>
      </c>
    </row>
    <row r="815" spans="1:2" ht="15">
      <c r="A815" s="601">
        <v>46348</v>
      </c>
      <c r="B815" t="str">
        <f t="shared" si="12"/>
        <v>domingo</v>
      </c>
    </row>
    <row r="816" spans="1:2" ht="15">
      <c r="A816" s="601">
        <v>46349</v>
      </c>
      <c r="B816" t="str">
        <f t="shared" si="12"/>
        <v>lunes</v>
      </c>
    </row>
    <row r="817" spans="1:2" ht="15">
      <c r="A817" s="601">
        <v>46350</v>
      </c>
      <c r="B817" t="str">
        <f t="shared" si="12"/>
        <v>martes</v>
      </c>
    </row>
    <row r="818" spans="1:2" ht="15">
      <c r="A818" s="601">
        <v>46351</v>
      </c>
      <c r="B818" t="str">
        <f t="shared" si="12"/>
        <v>miércoles</v>
      </c>
    </row>
    <row r="819" spans="1:2" ht="15">
      <c r="A819" s="601">
        <v>46352</v>
      </c>
      <c r="B819" t="str">
        <f t="shared" si="12"/>
        <v>jueves</v>
      </c>
    </row>
    <row r="820" spans="1:2" ht="15">
      <c r="A820" s="601">
        <v>46353</v>
      </c>
      <c r="B820" t="str">
        <f t="shared" si="12"/>
        <v>viernes</v>
      </c>
    </row>
    <row r="821" spans="1:2" ht="15">
      <c r="A821" s="601">
        <v>46354</v>
      </c>
      <c r="B821" t="str">
        <f t="shared" si="12"/>
        <v>sábado</v>
      </c>
    </row>
    <row r="822" spans="1:2" ht="15">
      <c r="A822" s="601">
        <v>46355</v>
      </c>
      <c r="B822" t="str">
        <f t="shared" si="12"/>
        <v>domingo</v>
      </c>
    </row>
    <row r="823" spans="1:2" ht="15">
      <c r="A823" s="601">
        <v>46356</v>
      </c>
      <c r="B823" t="str">
        <f t="shared" si="12"/>
        <v>lunes</v>
      </c>
    </row>
    <row r="824" spans="1:2" ht="15">
      <c r="A824" s="601">
        <v>46357</v>
      </c>
      <c r="B824" t="str">
        <f t="shared" si="12"/>
        <v>martes</v>
      </c>
    </row>
    <row r="825" spans="1:2" ht="15">
      <c r="A825" s="601">
        <v>46358</v>
      </c>
      <c r="B825" t="str">
        <f t="shared" si="12"/>
        <v>miércoles</v>
      </c>
    </row>
    <row r="826" spans="1:2" ht="15">
      <c r="A826" s="601">
        <v>46359</v>
      </c>
      <c r="B826" t="str">
        <f t="shared" si="12"/>
        <v>jueves</v>
      </c>
    </row>
    <row r="827" spans="1:2" ht="15">
      <c r="A827" s="601">
        <v>46360</v>
      </c>
      <c r="B827" t="str">
        <f t="shared" si="12"/>
        <v>viernes</v>
      </c>
    </row>
    <row r="828" spans="1:2" ht="15">
      <c r="A828" s="601">
        <v>46361</v>
      </c>
      <c r="B828" t="str">
        <f t="shared" si="12"/>
        <v>sábado</v>
      </c>
    </row>
    <row r="829" spans="1:2" ht="15">
      <c r="A829" s="601">
        <v>46362</v>
      </c>
      <c r="B829" t="str">
        <f t="shared" si="12"/>
        <v>domingo</v>
      </c>
    </row>
    <row r="830" spans="1:2" ht="15">
      <c r="A830" s="601">
        <v>46363</v>
      </c>
      <c r="B830" t="str">
        <f t="shared" si="12"/>
        <v>lunes</v>
      </c>
    </row>
    <row r="831" spans="1:2" ht="15">
      <c r="A831" s="601">
        <v>46364</v>
      </c>
      <c r="B831" t="str">
        <f t="shared" si="12"/>
        <v>martes</v>
      </c>
    </row>
    <row r="832" spans="1:2" ht="15">
      <c r="A832" s="601">
        <v>46365</v>
      </c>
      <c r="B832" t="str">
        <f t="shared" ref="B832:B847" si="13">+TEXT(A832,"ddddddddd")</f>
        <v>miércoles</v>
      </c>
    </row>
    <row r="833" spans="1:2" ht="15">
      <c r="A833" s="601">
        <v>46366</v>
      </c>
      <c r="B833" t="str">
        <f t="shared" si="13"/>
        <v>jueves</v>
      </c>
    </row>
    <row r="834" spans="1:2" ht="15">
      <c r="A834" s="601">
        <v>46367</v>
      </c>
      <c r="B834" t="str">
        <f t="shared" si="13"/>
        <v>viernes</v>
      </c>
    </row>
    <row r="835" spans="1:2" ht="15">
      <c r="A835" s="601">
        <v>46368</v>
      </c>
      <c r="B835" t="str">
        <f t="shared" si="13"/>
        <v>sábado</v>
      </c>
    </row>
    <row r="836" spans="1:2" ht="15">
      <c r="A836" s="601">
        <v>46369</v>
      </c>
      <c r="B836" t="str">
        <f t="shared" si="13"/>
        <v>domingo</v>
      </c>
    </row>
    <row r="837" spans="1:2" ht="15">
      <c r="A837" s="601">
        <v>46370</v>
      </c>
      <c r="B837" t="str">
        <f t="shared" si="13"/>
        <v>lunes</v>
      </c>
    </row>
    <row r="838" spans="1:2" ht="15">
      <c r="A838" s="601">
        <v>46371</v>
      </c>
      <c r="B838" t="str">
        <f t="shared" si="13"/>
        <v>martes</v>
      </c>
    </row>
    <row r="839" spans="1:2" ht="15">
      <c r="A839" s="601">
        <v>46372</v>
      </c>
      <c r="B839" t="str">
        <f t="shared" si="13"/>
        <v>miércoles</v>
      </c>
    </row>
    <row r="840" spans="1:2" ht="15">
      <c r="A840" s="601">
        <v>46373</v>
      </c>
      <c r="B840" t="str">
        <f t="shared" si="13"/>
        <v>jueves</v>
      </c>
    </row>
    <row r="841" spans="1:2" ht="15">
      <c r="A841" s="601">
        <v>46374</v>
      </c>
      <c r="B841" t="str">
        <f t="shared" si="13"/>
        <v>viernes</v>
      </c>
    </row>
    <row r="842" spans="1:2" ht="15">
      <c r="A842" s="601">
        <v>46375</v>
      </c>
      <c r="B842" t="str">
        <f t="shared" si="13"/>
        <v>sábado</v>
      </c>
    </row>
    <row r="843" spans="1:2" ht="15">
      <c r="A843" s="601">
        <v>46376</v>
      </c>
      <c r="B843" t="str">
        <f t="shared" si="13"/>
        <v>domingo</v>
      </c>
    </row>
    <row r="844" spans="1:2" ht="15">
      <c r="A844" s="601">
        <v>46377</v>
      </c>
      <c r="B844" t="str">
        <f t="shared" si="13"/>
        <v>lunes</v>
      </c>
    </row>
    <row r="845" spans="1:2" ht="15">
      <c r="A845" s="601">
        <v>46378</v>
      </c>
      <c r="B845" t="str">
        <f t="shared" si="13"/>
        <v>martes</v>
      </c>
    </row>
    <row r="846" spans="1:2" ht="15">
      <c r="A846" s="601">
        <v>46379</v>
      </c>
      <c r="B846" t="str">
        <f t="shared" si="13"/>
        <v>miércoles</v>
      </c>
    </row>
    <row r="847" spans="1:2" ht="15">
      <c r="A847" s="601">
        <v>46380</v>
      </c>
      <c r="B847" t="str">
        <f t="shared" si="13"/>
        <v>jueves</v>
      </c>
    </row>
    <row r="848" spans="1:2" ht="15">
      <c r="A848" s="601">
        <v>46381</v>
      </c>
      <c r="B848" t="str">
        <f t="shared" ref="B848:B853" si="14">+TEXT(A848,"ddddddddd")</f>
        <v>viernes</v>
      </c>
    </row>
    <row r="849" spans="1:2" ht="15">
      <c r="A849" s="601">
        <v>46382</v>
      </c>
      <c r="B849" t="str">
        <f t="shared" si="14"/>
        <v>sábado</v>
      </c>
    </row>
    <row r="850" spans="1:2" ht="15">
      <c r="A850" s="601">
        <v>46383</v>
      </c>
      <c r="B850" t="str">
        <f t="shared" si="14"/>
        <v>domingo</v>
      </c>
    </row>
    <row r="851" spans="1:2" ht="15">
      <c r="A851" s="601">
        <v>46384</v>
      </c>
      <c r="B851" t="str">
        <f t="shared" si="14"/>
        <v>lunes</v>
      </c>
    </row>
    <row r="852" spans="1:2" ht="15">
      <c r="A852" s="601">
        <v>46385</v>
      </c>
      <c r="B852" t="str">
        <f t="shared" si="14"/>
        <v>martes</v>
      </c>
    </row>
    <row r="853" spans="1:2" ht="15">
      <c r="A853" s="601">
        <v>46386</v>
      </c>
      <c r="B853" t="str">
        <f t="shared" si="14"/>
        <v>miércoles</v>
      </c>
    </row>
    <row r="854" spans="1:2" ht="15">
      <c r="A854" s="601">
        <v>46387</v>
      </c>
      <c r="B854" t="str">
        <f t="shared" ref="B854" si="15">+TEXT(A854,"ddddddddd")</f>
        <v>jueves</v>
      </c>
    </row>
    <row r="855" spans="1:2" ht="15">
      <c r="A855" s="601"/>
    </row>
  </sheetData>
  <autoFilter ref="A1:B854" xr:uid="{E872D6A6-B223-4FB6-A42D-9107C123D905}"/>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3A5A-BB7C-4189-BE48-D99A44ACA809}">
  <dimension ref="A1:AW42"/>
  <sheetViews>
    <sheetView showGridLines="0" zoomScale="85" zoomScaleNormal="85" workbookViewId="0">
      <selection activeCell="W22" sqref="W22"/>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7921.04</v>
      </c>
      <c r="AR2" s="583" t="s">
        <v>378</v>
      </c>
      <c r="AS2" s="583">
        <v>1</v>
      </c>
      <c r="AT2" s="581" t="s">
        <v>379</v>
      </c>
      <c r="AU2" s="580" t="s">
        <v>400</v>
      </c>
      <c r="AV2" s="574" t="str">
        <f>+TEXT($B$4,"DD.MM.YYYY")</f>
        <v>19.11.2024</v>
      </c>
      <c r="AW2" s="574" t="str">
        <f>+TEXT($B$5,"DD.MM.YYYY")</f>
        <v>25.11.2024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9187.52</v>
      </c>
      <c r="AR3" s="602" t="s">
        <v>378</v>
      </c>
      <c r="AS3" s="602">
        <v>1</v>
      </c>
      <c r="AT3" s="604" t="s">
        <v>379</v>
      </c>
      <c r="AU3" s="605" t="s">
        <v>400</v>
      </c>
      <c r="AV3" s="574" t="str">
        <f>+TEXT($B$4,"DD.MM.YYYY")</f>
        <v>19.11.2024</v>
      </c>
      <c r="AW3" s="574" t="str">
        <f>+TEXT($B$5,"DD.MM.YYYY")</f>
        <v>25.11.2024</v>
      </c>
    </row>
    <row r="4" spans="1:49" ht="24.75" customHeight="1">
      <c r="A4" s="600" t="s">
        <v>426</v>
      </c>
      <c r="B4" s="599">
        <v>45615</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19.11.2024</v>
      </c>
      <c r="AW4" s="574" t="str">
        <f>+TEXT($B$5,"DD.MM.YYYY")</f>
        <v>25.11.2024</v>
      </c>
    </row>
    <row r="5" spans="1:49" ht="18.75">
      <c r="A5" s="579" t="s">
        <v>427</v>
      </c>
      <c r="B5" s="599">
        <v>45621</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9375.02</v>
      </c>
      <c r="AR5" s="583" t="s">
        <v>378</v>
      </c>
      <c r="AS5" s="583">
        <v>1</v>
      </c>
      <c r="AT5" s="581" t="s">
        <v>379</v>
      </c>
      <c r="AU5" s="580" t="s">
        <v>400</v>
      </c>
      <c r="AV5" s="574" t="str">
        <f>+TEXT($B$4,"DD.MM.YYYY")</f>
        <v>19.11.2024</v>
      </c>
      <c r="AW5" s="574" t="str">
        <f>+TEXT($B$5,"DD.MM.YYYY")</f>
        <v>25.11.2024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9461.0375785999986</v>
      </c>
      <c r="C8" s="565">
        <f>+B8</f>
        <v>9461.0375785999986</v>
      </c>
      <c r="D8" s="562">
        <v>9375.0175786</v>
      </c>
      <c r="E8" s="565">
        <f>+D8</f>
        <v>9375.0175786</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8007.06</v>
      </c>
      <c r="AR9" s="583" t="s">
        <v>378</v>
      </c>
      <c r="AS9" s="583">
        <v>1</v>
      </c>
      <c r="AT9" s="581" t="s">
        <v>379</v>
      </c>
      <c r="AU9" s="580" t="s">
        <v>400</v>
      </c>
      <c r="AV9" s="574" t="str">
        <f>+TEXT($B$4,"DD.MM.YYYY")</f>
        <v>19.11.2024</v>
      </c>
      <c r="AW9" s="574" t="str">
        <f>+TEXT($B$5,"DD.MM.YYYY")</f>
        <v>25.11.2024</v>
      </c>
    </row>
    <row r="10" spans="1:49" ht="35.450000000000003" customHeight="1">
      <c r="A10" s="248" t="s">
        <v>139</v>
      </c>
      <c r="B10" s="224">
        <f t="shared" ref="B10" si="0">+ROUND(B9*B6,2)+B8*(1-B6)</f>
        <v>9461.0375785999986</v>
      </c>
      <c r="C10" s="224">
        <f>+ROUND(C9*C6,2)+C8*(1-C6)</f>
        <v>9668.546827027998</v>
      </c>
      <c r="D10" s="224">
        <f t="shared" ref="D10:E10" si="1">+ROUND(D9*D6,2)+D8*(1-D6)</f>
        <v>9375.0175786</v>
      </c>
      <c r="E10" s="224">
        <f t="shared" si="1"/>
        <v>9584.2472270279995</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9271.82</v>
      </c>
      <c r="AR10" s="602" t="s">
        <v>378</v>
      </c>
      <c r="AS10" s="602">
        <v>1</v>
      </c>
      <c r="AT10" s="604" t="s">
        <v>379</v>
      </c>
      <c r="AU10" s="605" t="s">
        <v>400</v>
      </c>
      <c r="AV10" s="574" t="str">
        <f>+TEXT($B$4,"DD.MM.YYYY")</f>
        <v>19.11.2024</v>
      </c>
      <c r="AW10" s="574" t="str">
        <f>+TEXT($B$5,"DD.MM.YYYY")</f>
        <v>25.11.2024</v>
      </c>
    </row>
    <row r="11" spans="1:49" ht="35.450000000000003" customHeight="1">
      <c r="A11" s="248" t="s">
        <v>415</v>
      </c>
      <c r="B11" s="570">
        <v>8007.0561352999994</v>
      </c>
      <c r="C11" s="224"/>
      <c r="D11" s="570">
        <v>7921.0361352999998</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19.11.2024</v>
      </c>
      <c r="AW11" s="574" t="str">
        <f>+TEXT($B$5,"DD.MM.YYYY")</f>
        <v>25.11.2024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9461.0400000000009</v>
      </c>
      <c r="AR12" s="583" t="s">
        <v>378</v>
      </c>
      <c r="AS12" s="583">
        <v>1</v>
      </c>
      <c r="AT12" s="581" t="s">
        <v>379</v>
      </c>
      <c r="AU12" s="580" t="s">
        <v>400</v>
      </c>
      <c r="AV12" s="574" t="str">
        <f>+TEXT($B$4,"DD.MM.YYYY")</f>
        <v>19.11.2024</v>
      </c>
      <c r="AW12" s="574" t="str">
        <f>+TEXT($B$5,"DD.MM.YYYY")</f>
        <v>25.11.2024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rTD9UgUkr+bruqbqYG1wqCNYILUfZJhKOKJDezFXK6swi+GcYAtdkaJPD5v4h/H4iPdRt2nLUZ5FZF6133aHFQ==" saltValue="9AIwMk8B7Hjd6iK49pGojA=="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43" priority="2" operator="containsText" text="Seleccione...">
      <formula>NOT(ISERROR(SEARCH("Seleccione...",AV2)))</formula>
    </cfRule>
  </conditionalFormatting>
  <conditionalFormatting sqref="AV9:AW12">
    <cfRule type="containsText" dxfId="42"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7F9266-6668-4012-A8C7-BEF9FE0F0E11}">
          <x14:formula1>
            <xm:f>Fechas!$A$2:$A$831</xm:f>
          </x14:formula1>
          <xm:sqref>B4:B5</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95B6-1BC9-4F70-BC40-9FCC5BD8FC25}">
  <dimension ref="A1:AW42"/>
  <sheetViews>
    <sheetView showGridLines="0" tabSelected="1" zoomScale="85" zoomScaleNormal="85" workbookViewId="0">
      <selection activeCell="D19" sqref="D19"/>
    </sheetView>
  </sheetViews>
  <sheetFormatPr baseColWidth="10" defaultColWidth="7.85546875" defaultRowHeight="14.25"/>
  <cols>
    <col min="1" max="1" width="56.28515625" style="5" customWidth="1"/>
    <col min="2" max="2" width="20.42578125" style="5" customWidth="1"/>
    <col min="3" max="3" width="18.5703125" style="5" customWidth="1"/>
    <col min="4" max="4" width="13.85546875" style="5" customWidth="1"/>
    <col min="5" max="5" width="16.7109375" style="5" customWidth="1"/>
    <col min="6" max="6" width="11.7109375" style="5" bestFit="1" customWidth="1"/>
    <col min="7" max="26" width="7.85546875" style="5"/>
    <col min="27" max="27" width="10.7109375" style="5" bestFit="1" customWidth="1"/>
    <col min="28" max="41" width="7.85546875" style="5"/>
    <col min="42" max="42" width="12.140625" style="5" bestFit="1" customWidth="1"/>
    <col min="43" max="43" width="8" style="5" bestFit="1" customWidth="1"/>
    <col min="44" max="47" width="7.85546875" style="5"/>
    <col min="48" max="48" width="9.85546875" style="5" bestFit="1" customWidth="1"/>
    <col min="49" max="49" width="10.140625" style="5" bestFit="1" customWidth="1"/>
    <col min="50" max="16384" width="7.85546875" style="5"/>
  </cols>
  <sheetData>
    <row r="1" spans="1:49" s="11" customFormat="1" ht="18.75" thickTop="1">
      <c r="A1" s="775" t="s">
        <v>25</v>
      </c>
      <c r="B1" s="776"/>
      <c r="C1" s="776"/>
      <c r="D1" s="776"/>
      <c r="E1" s="776"/>
      <c r="AB1" s="588" t="s">
        <v>354</v>
      </c>
      <c r="AC1" s="589" t="s">
        <v>355</v>
      </c>
      <c r="AD1" s="588" t="s">
        <v>356</v>
      </c>
      <c r="AE1" s="588" t="s">
        <v>357</v>
      </c>
      <c r="AF1" s="588" t="s">
        <v>358</v>
      </c>
      <c r="AG1" s="588" t="s">
        <v>359</v>
      </c>
      <c r="AH1" s="588" t="s">
        <v>360</v>
      </c>
      <c r="AI1" s="588" t="s">
        <v>361</v>
      </c>
      <c r="AJ1" s="588" t="s">
        <v>362</v>
      </c>
      <c r="AK1" s="588" t="s">
        <v>363</v>
      </c>
      <c r="AL1" s="588" t="s">
        <v>364</v>
      </c>
      <c r="AM1" s="588" t="s">
        <v>365</v>
      </c>
      <c r="AN1" s="588" t="s">
        <v>366</v>
      </c>
      <c r="AO1" s="588" t="s">
        <v>367</v>
      </c>
      <c r="AP1" s="588" t="s">
        <v>368</v>
      </c>
      <c r="AQ1" s="588" t="s">
        <v>369</v>
      </c>
      <c r="AR1" s="588" t="s">
        <v>370</v>
      </c>
      <c r="AS1" s="588" t="s">
        <v>371</v>
      </c>
      <c r="AT1" s="588" t="s">
        <v>372</v>
      </c>
      <c r="AU1" s="586" t="s">
        <v>373</v>
      </c>
      <c r="AV1" s="587" t="s">
        <v>374</v>
      </c>
      <c r="AW1" s="587" t="s">
        <v>375</v>
      </c>
    </row>
    <row r="2" spans="1:49" s="11" customFormat="1" ht="56.1" customHeight="1">
      <c r="A2" s="777" t="s">
        <v>416</v>
      </c>
      <c r="B2" s="778"/>
      <c r="C2" s="778"/>
      <c r="D2" s="778"/>
      <c r="E2" s="778"/>
      <c r="F2" s="5"/>
      <c r="G2" s="5"/>
      <c r="H2" s="5"/>
      <c r="I2" s="5"/>
      <c r="J2" s="5"/>
      <c r="K2" s="5"/>
      <c r="AA2" s="606" t="s">
        <v>430</v>
      </c>
      <c r="AB2" s="575" t="s">
        <v>383</v>
      </c>
      <c r="AC2" s="575">
        <v>929</v>
      </c>
      <c r="AD2" s="583" t="s">
        <v>377</v>
      </c>
      <c r="AE2" s="583"/>
      <c r="AF2" s="583"/>
      <c r="AG2" s="583">
        <v>2000</v>
      </c>
      <c r="AH2" s="583"/>
      <c r="AI2" s="583"/>
      <c r="AJ2" s="583"/>
      <c r="AK2" s="583"/>
      <c r="AL2" s="583"/>
      <c r="AM2" s="583"/>
      <c r="AN2" s="583" t="s">
        <v>429</v>
      </c>
      <c r="AO2" s="583"/>
      <c r="AP2" s="583">
        <v>30000000070</v>
      </c>
      <c r="AQ2" s="582">
        <f>+ROUND($D$11,2)</f>
        <v>8037.71</v>
      </c>
      <c r="AR2" s="583" t="s">
        <v>378</v>
      </c>
      <c r="AS2" s="583">
        <v>1</v>
      </c>
      <c r="AT2" s="581" t="s">
        <v>379</v>
      </c>
      <c r="AU2" s="580" t="s">
        <v>400</v>
      </c>
      <c r="AV2" s="574" t="str">
        <f>+TEXT($B$4,"DD.MM.YYYY")</f>
        <v>26.11.2024</v>
      </c>
      <c r="AW2" s="574" t="str">
        <f>+TEXT($B$5,"DD.MM.YYYY")</f>
        <v>30.11.2024</v>
      </c>
    </row>
    <row r="3" spans="1:49" ht="24.75" customHeight="1">
      <c r="A3" s="777" t="s">
        <v>21</v>
      </c>
      <c r="B3" s="778"/>
      <c r="C3" s="778"/>
      <c r="D3" s="778"/>
      <c r="E3" s="778"/>
      <c r="F3" s="310"/>
      <c r="G3" s="310"/>
      <c r="H3" s="310"/>
      <c r="J3" s="781" t="s">
        <v>422</v>
      </c>
      <c r="K3" s="781"/>
      <c r="L3" s="781"/>
      <c r="M3" s="781"/>
      <c r="N3" s="781"/>
      <c r="O3" s="781"/>
      <c r="P3" s="781"/>
      <c r="AB3" s="575" t="s">
        <v>376</v>
      </c>
      <c r="AC3" s="575">
        <v>929</v>
      </c>
      <c r="AD3" s="602" t="s">
        <v>377</v>
      </c>
      <c r="AE3" s="602"/>
      <c r="AF3" s="602"/>
      <c r="AG3" s="602">
        <v>2000</v>
      </c>
      <c r="AH3" s="602"/>
      <c r="AI3" s="602"/>
      <c r="AJ3" s="602"/>
      <c r="AK3" s="602"/>
      <c r="AL3" s="602"/>
      <c r="AM3" s="602"/>
      <c r="AN3" s="602" t="s">
        <v>429</v>
      </c>
      <c r="AO3" s="602"/>
      <c r="AP3" s="602">
        <v>30000002129</v>
      </c>
      <c r="AQ3" s="603">
        <f>+ROUND($E$8*98%,2)</f>
        <v>9445.9500000000007</v>
      </c>
      <c r="AR3" s="602" t="s">
        <v>378</v>
      </c>
      <c r="AS3" s="602">
        <v>1</v>
      </c>
      <c r="AT3" s="604" t="s">
        <v>379</v>
      </c>
      <c r="AU3" s="605" t="s">
        <v>400</v>
      </c>
      <c r="AV3" s="574" t="str">
        <f>+TEXT($B$4,"DD.MM.YYYY")</f>
        <v>26.11.2024</v>
      </c>
      <c r="AW3" s="574" t="str">
        <f>+TEXT($B$5,"DD.MM.YYYY")</f>
        <v>30.11.2024</v>
      </c>
    </row>
    <row r="4" spans="1:49" ht="24.75" customHeight="1">
      <c r="A4" s="600" t="s">
        <v>426</v>
      </c>
      <c r="B4" s="599">
        <v>45622</v>
      </c>
      <c r="C4" s="590"/>
      <c r="D4" s="590"/>
      <c r="E4" s="590"/>
      <c r="F4" s="310"/>
      <c r="G4" s="310"/>
      <c r="H4" s="310"/>
      <c r="J4" s="525"/>
      <c r="K4" s="525"/>
      <c r="L4" s="525"/>
      <c r="M4" s="525"/>
      <c r="N4" s="525"/>
      <c r="O4" s="525"/>
      <c r="P4" s="525"/>
      <c r="AB4" s="575" t="s">
        <v>380</v>
      </c>
      <c r="AC4" s="575">
        <v>929</v>
      </c>
      <c r="AD4" s="602" t="s">
        <v>377</v>
      </c>
      <c r="AE4" s="602"/>
      <c r="AF4" s="602"/>
      <c r="AG4" s="602">
        <v>2000</v>
      </c>
      <c r="AH4" s="602"/>
      <c r="AI4" s="602"/>
      <c r="AJ4" s="602"/>
      <c r="AK4" s="602"/>
      <c r="AL4" s="602"/>
      <c r="AM4" s="602"/>
      <c r="AN4" s="602" t="s">
        <v>429</v>
      </c>
      <c r="AO4" s="602"/>
      <c r="AP4" s="602">
        <v>30000002129</v>
      </c>
      <c r="AQ4" s="603">
        <f>+ROUND($E$9*2%,2)</f>
        <v>396.73</v>
      </c>
      <c r="AR4" s="602" t="s">
        <v>378</v>
      </c>
      <c r="AS4" s="602">
        <v>1</v>
      </c>
      <c r="AT4" s="604" t="s">
        <v>379</v>
      </c>
      <c r="AU4" s="605" t="s">
        <v>400</v>
      </c>
      <c r="AV4" s="574" t="str">
        <f>+TEXT($B$4,"DD.MM.YYYY")</f>
        <v>26.11.2024</v>
      </c>
      <c r="AW4" s="574" t="str">
        <f>+TEXT($B$5,"DD.MM.YYYY")</f>
        <v>30.11.2024</v>
      </c>
    </row>
    <row r="5" spans="1:49" ht="18.75">
      <c r="A5" s="579" t="s">
        <v>427</v>
      </c>
      <c r="B5" s="599">
        <v>45626</v>
      </c>
      <c r="C5" s="585"/>
      <c r="D5" s="598"/>
      <c r="E5" s="585"/>
      <c r="AB5" s="575" t="s">
        <v>383</v>
      </c>
      <c r="AC5" s="575">
        <v>929</v>
      </c>
      <c r="AD5" s="583" t="s">
        <v>377</v>
      </c>
      <c r="AE5" s="583"/>
      <c r="AF5" s="583"/>
      <c r="AG5" s="583">
        <v>2000</v>
      </c>
      <c r="AH5" s="583"/>
      <c r="AI5" s="583"/>
      <c r="AJ5" s="583"/>
      <c r="AK5" s="583"/>
      <c r="AL5" s="583"/>
      <c r="AM5" s="583"/>
      <c r="AN5" s="583" t="s">
        <v>429</v>
      </c>
      <c r="AO5" s="583"/>
      <c r="AP5" s="583">
        <v>30000000003</v>
      </c>
      <c r="AQ5" s="582">
        <f>+ROUND($D$8,2)</f>
        <v>9638.7199999999993</v>
      </c>
      <c r="AR5" s="583" t="s">
        <v>378</v>
      </c>
      <c r="AS5" s="583">
        <v>1</v>
      </c>
      <c r="AT5" s="581" t="s">
        <v>379</v>
      </c>
      <c r="AU5" s="580" t="s">
        <v>400</v>
      </c>
      <c r="AV5" s="574" t="str">
        <f>+TEXT($B$4,"DD.MM.YYYY")</f>
        <v>26.11.2024</v>
      </c>
      <c r="AW5" s="574" t="str">
        <f>+TEXT($B$5,"DD.MM.YYYY")</f>
        <v>30.11.2024</v>
      </c>
    </row>
    <row r="6" spans="1:49" ht="15.75" thickBot="1">
      <c r="A6" s="556"/>
      <c r="B6" s="113">
        <v>0</v>
      </c>
      <c r="C6" s="113">
        <v>0.02</v>
      </c>
      <c r="D6" s="113">
        <v>0</v>
      </c>
      <c r="E6" s="557">
        <v>0.02</v>
      </c>
    </row>
    <row r="7" spans="1:49" ht="72.75" customHeight="1" thickTop="1">
      <c r="A7" s="244" t="s">
        <v>14</v>
      </c>
      <c r="B7" s="245" t="s">
        <v>417</v>
      </c>
      <c r="C7" s="245" t="s">
        <v>418</v>
      </c>
      <c r="D7" s="245" t="s">
        <v>419</v>
      </c>
      <c r="E7" s="245" t="s">
        <v>420</v>
      </c>
    </row>
    <row r="8" spans="1:49" ht="27.6" customHeight="1">
      <c r="A8" s="70" t="s">
        <v>413</v>
      </c>
      <c r="B8" s="562">
        <v>9724.7402607999993</v>
      </c>
      <c r="C8" s="565">
        <f>+B8</f>
        <v>9724.7402607999993</v>
      </c>
      <c r="D8" s="562">
        <v>9638.7202607999989</v>
      </c>
      <c r="E8" s="565">
        <f>+D8</f>
        <v>9638.7202607999989</v>
      </c>
      <c r="H8" s="341"/>
      <c r="AA8" s="606"/>
      <c r="AB8" s="588" t="s">
        <v>354</v>
      </c>
      <c r="AC8" s="588" t="s">
        <v>355</v>
      </c>
      <c r="AD8" s="588" t="s">
        <v>356</v>
      </c>
      <c r="AE8" s="588" t="s">
        <v>357</v>
      </c>
      <c r="AF8" s="588" t="s">
        <v>358</v>
      </c>
      <c r="AG8" s="588" t="s">
        <v>359</v>
      </c>
      <c r="AH8" s="588" t="s">
        <v>360</v>
      </c>
      <c r="AI8" s="588" t="s">
        <v>361</v>
      </c>
      <c r="AJ8" s="588" t="s">
        <v>362</v>
      </c>
      <c r="AK8" s="588" t="s">
        <v>363</v>
      </c>
      <c r="AL8" s="588" t="s">
        <v>364</v>
      </c>
      <c r="AM8" s="588" t="s">
        <v>365</v>
      </c>
      <c r="AN8" s="588" t="s">
        <v>366</v>
      </c>
      <c r="AO8" s="588" t="s">
        <v>367</v>
      </c>
      <c r="AP8" s="588" t="s">
        <v>368</v>
      </c>
      <c r="AQ8" s="588" t="s">
        <v>369</v>
      </c>
      <c r="AR8" s="588" t="s">
        <v>370</v>
      </c>
      <c r="AS8" s="588" t="s">
        <v>371</v>
      </c>
      <c r="AT8" s="588" t="s">
        <v>372</v>
      </c>
      <c r="AU8" s="586" t="s">
        <v>373</v>
      </c>
      <c r="AV8" s="587" t="s">
        <v>374</v>
      </c>
      <c r="AW8" s="587" t="s">
        <v>375</v>
      </c>
    </row>
    <row r="9" spans="1:49" ht="27.6" customHeight="1">
      <c r="A9" s="232" t="s">
        <v>412</v>
      </c>
      <c r="B9" s="349">
        <v>0</v>
      </c>
      <c r="C9" s="224">
        <f>+BIODIESEL!$B$7</f>
        <v>19836.599999999999</v>
      </c>
      <c r="D9" s="349">
        <v>0</v>
      </c>
      <c r="E9" s="224">
        <f>+BIODIESEL!$B$7</f>
        <v>19836.599999999999</v>
      </c>
      <c r="H9" s="342"/>
      <c r="I9" s="342"/>
      <c r="J9" s="342"/>
      <c r="K9" s="342"/>
      <c r="L9" s="342"/>
      <c r="M9" s="26"/>
      <c r="N9" s="26"/>
      <c r="O9" s="26"/>
      <c r="P9" s="26"/>
      <c r="Q9" s="26"/>
      <c r="R9" s="26"/>
      <c r="S9" s="26"/>
      <c r="T9" s="26"/>
      <c r="AA9" s="5" t="s">
        <v>431</v>
      </c>
      <c r="AB9" s="575" t="s">
        <v>383</v>
      </c>
      <c r="AC9" s="575">
        <v>567</v>
      </c>
      <c r="AD9" s="583" t="s">
        <v>385</v>
      </c>
      <c r="AE9" s="583"/>
      <c r="AF9" s="583"/>
      <c r="AG9" s="583"/>
      <c r="AH9" s="583"/>
      <c r="AI9" s="583"/>
      <c r="AJ9" s="583"/>
      <c r="AK9" s="583"/>
      <c r="AL9" s="583"/>
      <c r="AM9" s="583"/>
      <c r="AN9" s="583" t="s">
        <v>429</v>
      </c>
      <c r="AO9" s="583"/>
      <c r="AP9" s="583">
        <v>30000000070</v>
      </c>
      <c r="AQ9" s="582">
        <f>+ROUND($B$11,2)</f>
        <v>8123.73</v>
      </c>
      <c r="AR9" s="583" t="s">
        <v>378</v>
      </c>
      <c r="AS9" s="583">
        <v>1</v>
      </c>
      <c r="AT9" s="581" t="s">
        <v>379</v>
      </c>
      <c r="AU9" s="580" t="s">
        <v>400</v>
      </c>
      <c r="AV9" s="574" t="str">
        <f>+TEXT($B$4,"DD.MM.YYYY")</f>
        <v>26.11.2024</v>
      </c>
      <c r="AW9" s="574" t="str">
        <f>+TEXT($B$5,"DD.MM.YYYY")</f>
        <v>30.11.2024</v>
      </c>
    </row>
    <row r="10" spans="1:49" ht="35.450000000000003" customHeight="1">
      <c r="A10" s="248" t="s">
        <v>139</v>
      </c>
      <c r="B10" s="224">
        <f t="shared" ref="B10" si="0">+ROUND(B9*B6,2)+B8*(1-B6)</f>
        <v>9724.7402607999993</v>
      </c>
      <c r="C10" s="224">
        <f>+ROUND(C9*C6,2)+C8*(1-C6)</f>
        <v>9926.9754555839991</v>
      </c>
      <c r="D10" s="224">
        <f t="shared" ref="D10:E10" si="1">+ROUND(D9*D6,2)+D8*(1-D6)</f>
        <v>9638.7202607999989</v>
      </c>
      <c r="E10" s="224">
        <f t="shared" si="1"/>
        <v>9842.6758555839988</v>
      </c>
      <c r="F10" s="310"/>
      <c r="G10" s="329" t="s">
        <v>138</v>
      </c>
      <c r="H10" s="342"/>
      <c r="I10" s="26">
        <v>6978.4077749146245</v>
      </c>
      <c r="J10" s="26">
        <v>6875.1811988924737</v>
      </c>
      <c r="K10" s="26">
        <v>7272.6860170874797</v>
      </c>
      <c r="L10" s="26">
        <v>6794.4669776671717</v>
      </c>
      <c r="M10" s="26">
        <v>6537.1057563440854</v>
      </c>
      <c r="N10" s="26">
        <v>7022.1892934113339</v>
      </c>
      <c r="O10" s="26">
        <v>6875.1811988924737</v>
      </c>
      <c r="P10" s="26">
        <v>6875.1811988924737</v>
      </c>
      <c r="Q10" s="26"/>
      <c r="R10" s="26"/>
      <c r="S10" s="26"/>
      <c r="T10" s="26"/>
      <c r="AB10" s="575" t="s">
        <v>376</v>
      </c>
      <c r="AC10" s="575">
        <v>567</v>
      </c>
      <c r="AD10" s="583" t="s">
        <v>385</v>
      </c>
      <c r="AE10" s="602"/>
      <c r="AF10" s="602"/>
      <c r="AG10" s="602"/>
      <c r="AH10" s="602"/>
      <c r="AI10" s="602"/>
      <c r="AJ10" s="602"/>
      <c r="AK10" s="602"/>
      <c r="AL10" s="602"/>
      <c r="AM10" s="602"/>
      <c r="AN10" s="602" t="s">
        <v>429</v>
      </c>
      <c r="AO10" s="602"/>
      <c r="AP10" s="602">
        <v>30000002129</v>
      </c>
      <c r="AQ10" s="603">
        <f>+ROUND($B$8*98%,2)</f>
        <v>9530.25</v>
      </c>
      <c r="AR10" s="602" t="s">
        <v>378</v>
      </c>
      <c r="AS10" s="602">
        <v>1</v>
      </c>
      <c r="AT10" s="604" t="s">
        <v>379</v>
      </c>
      <c r="AU10" s="605" t="s">
        <v>400</v>
      </c>
      <c r="AV10" s="574" t="str">
        <f>+TEXT($B$4,"DD.MM.YYYY")</f>
        <v>26.11.2024</v>
      </c>
      <c r="AW10" s="574" t="str">
        <f>+TEXT($B$5,"DD.MM.YYYY")</f>
        <v>30.11.2024</v>
      </c>
    </row>
    <row r="11" spans="1:49" ht="35.450000000000003" customHeight="1">
      <c r="A11" s="248" t="s">
        <v>415</v>
      </c>
      <c r="B11" s="570">
        <v>8123.7283862200002</v>
      </c>
      <c r="C11" s="224"/>
      <c r="D11" s="570">
        <v>8037.7083862199997</v>
      </c>
      <c r="E11" s="224"/>
      <c r="F11" s="310"/>
      <c r="G11" s="329"/>
      <c r="H11" s="342"/>
      <c r="I11" s="26"/>
      <c r="J11" s="26"/>
      <c r="K11" s="26"/>
      <c r="L11" s="26"/>
      <c r="M11" s="26"/>
      <c r="N11" s="26"/>
      <c r="O11" s="26"/>
      <c r="P11" s="26"/>
      <c r="Q11" s="26"/>
      <c r="R11" s="26"/>
      <c r="S11" s="26"/>
      <c r="T11" s="26"/>
      <c r="AB11" s="575" t="s">
        <v>380</v>
      </c>
      <c r="AC11" s="575">
        <v>567</v>
      </c>
      <c r="AD11" s="583" t="s">
        <v>385</v>
      </c>
      <c r="AE11" s="602"/>
      <c r="AF11" s="602"/>
      <c r="AG11" s="602"/>
      <c r="AH11" s="602"/>
      <c r="AI11" s="602"/>
      <c r="AJ11" s="602"/>
      <c r="AK11" s="602"/>
      <c r="AL11" s="602"/>
      <c r="AM11" s="602"/>
      <c r="AN11" s="602" t="s">
        <v>429</v>
      </c>
      <c r="AO11" s="602"/>
      <c r="AP11" s="602">
        <v>30000002129</v>
      </c>
      <c r="AQ11" s="603">
        <f>+ROUND($C$9*2%,2)</f>
        <v>396.73</v>
      </c>
      <c r="AR11" s="602" t="s">
        <v>378</v>
      </c>
      <c r="AS11" s="602">
        <v>1</v>
      </c>
      <c r="AT11" s="604" t="s">
        <v>379</v>
      </c>
      <c r="AU11" s="605" t="s">
        <v>400</v>
      </c>
      <c r="AV11" s="574" t="str">
        <f>+TEXT($B$4,"DD.MM.YYYY")</f>
        <v>26.11.2024</v>
      </c>
      <c r="AW11" s="574" t="str">
        <f>+TEXT($B$5,"DD.MM.YYYY")</f>
        <v>30.11.2024</v>
      </c>
    </row>
    <row r="12" spans="1:49" ht="27.6" customHeight="1">
      <c r="A12" s="232" t="s">
        <v>47</v>
      </c>
      <c r="B12" s="224">
        <f>+'COMBUSTIBLES '!E8</f>
        <v>9.16</v>
      </c>
      <c r="C12" s="224">
        <f>+B12</f>
        <v>9.16</v>
      </c>
      <c r="D12" s="224">
        <f>+C12</f>
        <v>9.16</v>
      </c>
      <c r="E12" s="224">
        <f>+BIODIESEL!D14</f>
        <v>9.16</v>
      </c>
      <c r="H12" s="26">
        <v>6474.0480291453787</v>
      </c>
      <c r="I12" s="26">
        <v>6414.6173003313961</v>
      </c>
      <c r="J12" s="26">
        <v>6875.1811988924737</v>
      </c>
      <c r="K12" s="26">
        <v>6660.1986685624715</v>
      </c>
      <c r="L12" s="26">
        <v>6794.4669776671717</v>
      </c>
      <c r="M12" s="26">
        <v>6537.1057563440854</v>
      </c>
      <c r="N12" s="26">
        <v>6414.6173003313961</v>
      </c>
      <c r="O12" s="26">
        <v>6875.1811988924737</v>
      </c>
      <c r="P12" s="26">
        <v>6875.1811988924737</v>
      </c>
      <c r="Q12" s="26"/>
      <c r="R12" s="26"/>
      <c r="S12" s="26"/>
      <c r="T12" s="26"/>
      <c r="AB12" s="575" t="s">
        <v>383</v>
      </c>
      <c r="AC12" s="575">
        <v>567</v>
      </c>
      <c r="AD12" s="583" t="s">
        <v>385</v>
      </c>
      <c r="AE12" s="583"/>
      <c r="AF12" s="583"/>
      <c r="AG12" s="583"/>
      <c r="AH12" s="583"/>
      <c r="AI12" s="583"/>
      <c r="AJ12" s="583"/>
      <c r="AK12" s="583"/>
      <c r="AL12" s="583"/>
      <c r="AM12" s="583"/>
      <c r="AN12" s="583" t="s">
        <v>429</v>
      </c>
      <c r="AO12" s="583"/>
      <c r="AP12" s="583">
        <v>30000000003</v>
      </c>
      <c r="AQ12" s="582">
        <f>+ROUND($B$8,2)</f>
        <v>9724.74</v>
      </c>
      <c r="AR12" s="583" t="s">
        <v>378</v>
      </c>
      <c r="AS12" s="583">
        <v>1</v>
      </c>
      <c r="AT12" s="581" t="s">
        <v>379</v>
      </c>
      <c r="AU12" s="580" t="s">
        <v>400</v>
      </c>
      <c r="AV12" s="574" t="str">
        <f>+TEXT($B$4,"DD.MM.YYYY")</f>
        <v>26.11.2024</v>
      </c>
      <c r="AW12" s="574" t="str">
        <f>+TEXT($B$5,"DD.MM.YYYY")</f>
        <v>30.11.2024</v>
      </c>
    </row>
    <row r="13" spans="1:49" ht="27.6" customHeight="1">
      <c r="A13" s="232"/>
      <c r="B13" s="247"/>
      <c r="C13" s="247"/>
      <c r="D13" s="247"/>
      <c r="E13" s="247"/>
      <c r="H13" s="26"/>
      <c r="I13" s="26"/>
      <c r="J13" s="26"/>
      <c r="K13" s="26"/>
      <c r="L13" s="26"/>
      <c r="M13" s="330">
        <f t="shared" ref="M13:P13" si="2">+(M12-M10)/M10</f>
        <v>0</v>
      </c>
      <c r="N13" s="330">
        <f t="shared" si="2"/>
        <v>-8.6521733848730145E-2</v>
      </c>
      <c r="O13" s="330">
        <f t="shared" si="2"/>
        <v>0</v>
      </c>
      <c r="P13" s="330">
        <f t="shared" si="2"/>
        <v>0</v>
      </c>
      <c r="Q13" s="26"/>
      <c r="R13" s="26"/>
      <c r="S13" s="26"/>
      <c r="T13" s="26"/>
    </row>
    <row r="14" spans="1:49" ht="23.65" customHeight="1">
      <c r="A14" s="57"/>
      <c r="B14" s="247"/>
      <c r="C14" s="247"/>
      <c r="D14" s="247"/>
      <c r="E14" s="247"/>
      <c r="H14" s="26"/>
      <c r="I14" s="26"/>
      <c r="J14" s="26"/>
      <c r="K14" s="26"/>
      <c r="L14" s="26"/>
      <c r="M14" s="26"/>
      <c r="N14" s="26"/>
      <c r="O14" s="26"/>
      <c r="P14" s="26"/>
      <c r="Q14" s="26"/>
      <c r="R14" s="26"/>
      <c r="S14" s="26"/>
      <c r="T14" s="26"/>
    </row>
    <row r="15" spans="1:49" s="26" customFormat="1" ht="15.95" customHeight="1">
      <c r="A15" s="569"/>
      <c r="B15" s="16"/>
      <c r="C15" s="16"/>
    </row>
    <row r="16" spans="1:49" s="26" customFormat="1" ht="15.95" customHeight="1">
      <c r="A16" s="301"/>
      <c r="B16" s="16"/>
      <c r="C16" s="16"/>
    </row>
    <row r="17" spans="1:5" s="26" customFormat="1" ht="15.95" customHeight="1">
      <c r="A17" s="431" t="s">
        <v>414</v>
      </c>
      <c r="B17" s="16"/>
      <c r="C17" s="16"/>
    </row>
    <row r="18" spans="1:5" s="26" customFormat="1" ht="18" customHeight="1">
      <c r="A18" s="12" t="s">
        <v>141</v>
      </c>
      <c r="B18" s="16"/>
      <c r="C18" s="16"/>
    </row>
    <row r="19" spans="1:5" s="14" customFormat="1" ht="15">
      <c r="B19" s="13"/>
      <c r="C19" s="13"/>
    </row>
    <row r="20" spans="1:5" s="14" customFormat="1" ht="15">
      <c r="A20" s="12"/>
      <c r="B20" s="13"/>
      <c r="C20" s="13"/>
    </row>
    <row r="21" spans="1:5" s="14" customFormat="1" ht="11.25" customHeight="1">
      <c r="A21" s="12"/>
      <c r="B21" s="13"/>
      <c r="C21" s="13"/>
    </row>
    <row r="22" spans="1:5" s="14" customFormat="1" ht="246.6" customHeight="1">
      <c r="A22" s="782" t="s">
        <v>421</v>
      </c>
      <c r="B22" s="782"/>
      <c r="C22" s="782"/>
      <c r="D22" s="782"/>
      <c r="E22" s="782"/>
    </row>
    <row r="23" spans="1:5" s="14" customFormat="1" ht="8.4499999999999993" customHeight="1">
      <c r="A23" s="12"/>
      <c r="B23" s="13"/>
      <c r="C23" s="13"/>
    </row>
    <row r="24" spans="1:5" s="14" customFormat="1" ht="30.75" customHeight="1">
      <c r="A24" s="779"/>
      <c r="B24" s="779"/>
      <c r="C24" s="779"/>
      <c r="D24" s="779"/>
      <c r="E24" s="779"/>
    </row>
    <row r="25" spans="1:5" s="14" customFormat="1" ht="9.6" customHeight="1">
      <c r="A25" s="12"/>
      <c r="B25" s="13"/>
      <c r="C25" s="13"/>
    </row>
    <row r="26" spans="1:5" s="14" customFormat="1" ht="14.25" customHeight="1">
      <c r="A26" s="780"/>
      <c r="B26" s="780"/>
      <c r="C26" s="780"/>
      <c r="D26" s="780"/>
      <c r="E26" s="780"/>
    </row>
    <row r="27" spans="1:5" ht="70.900000000000006" customHeight="1">
      <c r="A27" s="780"/>
      <c r="B27" s="780"/>
      <c r="C27" s="780"/>
      <c r="D27" s="780"/>
      <c r="E27" s="780"/>
    </row>
    <row r="28" spans="1:5" ht="23.65" customHeight="1">
      <c r="A28" s="773"/>
      <c r="B28" s="773"/>
      <c r="C28" s="773"/>
      <c r="D28" s="773"/>
      <c r="E28" s="773"/>
    </row>
    <row r="29" spans="1:5">
      <c r="A29" s="773"/>
      <c r="B29" s="773"/>
      <c r="C29" s="773"/>
      <c r="D29" s="773"/>
      <c r="E29" s="773"/>
    </row>
    <row r="30" spans="1:5" ht="203.25" customHeight="1"/>
    <row r="32" spans="1:5">
      <c r="A32" s="5" t="e">
        <f>+#REF!=#REF!</f>
        <v>#REF!</v>
      </c>
      <c r="B32" s="462" t="e">
        <f>+#REF!</f>
        <v>#REF!</v>
      </c>
    </row>
    <row r="33" spans="1:5">
      <c r="A33" s="5" t="b">
        <f>+B8=C8</f>
        <v>1</v>
      </c>
      <c r="B33" s="462" t="str">
        <f>+B7</f>
        <v>Cartagena (B0).</v>
      </c>
    </row>
    <row r="34" spans="1:5">
      <c r="A34" s="5" t="b">
        <f>+D8=E8</f>
        <v>1</v>
      </c>
      <c r="B34" s="462" t="str">
        <f>+D7</f>
        <v>Barrancabermeja (B0).</v>
      </c>
    </row>
    <row r="35" spans="1:5">
      <c r="A35" s="5" t="e">
        <f>+#REF!=#REF!</f>
        <v>#REF!</v>
      </c>
      <c r="B35" s="462" t="e">
        <f>+#REF!</f>
        <v>#REF!</v>
      </c>
    </row>
    <row r="36" spans="1:5">
      <c r="A36" s="5" t="e">
        <f>+#REF!=B8</f>
        <v>#REF!</v>
      </c>
      <c r="B36" s="462" t="e">
        <f>+#REF!</f>
        <v>#REF!</v>
      </c>
    </row>
    <row r="39" spans="1:5">
      <c r="A39" s="32">
        <f>+COUNTIF($A$32:$A$36,"FALSO")</f>
        <v>0</v>
      </c>
      <c r="B39" s="32" t="str">
        <f>+IF(A39=0,".","ESTA MAL")</f>
        <v>.</v>
      </c>
    </row>
    <row r="41" spans="1:5">
      <c r="D41" s="310"/>
      <c r="E41" s="310"/>
    </row>
    <row r="42" spans="1:5">
      <c r="D42" s="310"/>
      <c r="E42" s="310"/>
    </row>
  </sheetData>
  <sheetProtection algorithmName="SHA-512" hashValue="amgg2gyrULrX4frZREE3LXU1sZGNq5PhCf0yPzzuu7kRH/bRUmISf/dWX0lRpqH0aMovRv7wP9GV60FaJiir5A==" saltValue="FlExUebz8GGdi5gs7bsUvA==" spinCount="100000" sheet="1" objects="1" scenarios="1"/>
  <mergeCells count="9">
    <mergeCell ref="A29:E29"/>
    <mergeCell ref="A1:E1"/>
    <mergeCell ref="A2:E2"/>
    <mergeCell ref="A3:E3"/>
    <mergeCell ref="J3:P3"/>
    <mergeCell ref="A22:E22"/>
    <mergeCell ref="A24:E24"/>
    <mergeCell ref="A26:E27"/>
    <mergeCell ref="A28:E28"/>
  </mergeCells>
  <conditionalFormatting sqref="AV2:AW5">
    <cfRule type="containsText" dxfId="41" priority="2" operator="containsText" text="Seleccione...">
      <formula>NOT(ISERROR(SEARCH("Seleccione...",AV2)))</formula>
    </cfRule>
  </conditionalFormatting>
  <conditionalFormatting sqref="AV9:AW12">
    <cfRule type="containsText" dxfId="40" priority="1" operator="containsText" text="Seleccione...">
      <formula>NOT(ISERROR(SEARCH("Seleccione...",AV9)))</formula>
    </cfRule>
  </conditionalFormatting>
  <printOptions horizontalCentered="1" verticalCentered="1"/>
  <pageMargins left="0.74803149606299213" right="0.74803149606299213" top="0.98425196850393704" bottom="0.98425196850393704" header="0.51181102362204722" footer="0.51181102362204722"/>
  <pageSetup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6C287E-01D4-44DF-85B7-B9AB519B2181}">
          <x14:formula1>
            <xm:f>Fechas!$A$2:$A$831</xm:f>
          </x14:formula1>
          <xm:sqref>B4:B5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E6539-7128-428B-A6A5-D4801F4CAB90}">
  <sheetPr codeName="Hoja8"/>
  <dimension ref="A1:V98"/>
  <sheetViews>
    <sheetView topLeftCell="A8" zoomScale="85" zoomScaleNormal="85" workbookViewId="0">
      <selection activeCell="H6" sqref="H6"/>
    </sheetView>
  </sheetViews>
  <sheetFormatPr baseColWidth="10" defaultRowHeight="12.75"/>
  <cols>
    <col min="15" max="15" width="14.7109375" bestFit="1" customWidth="1"/>
    <col min="16" max="16" width="12.140625" bestFit="1" customWidth="1"/>
    <col min="21" max="21" width="21.5703125" bestFit="1" customWidth="1"/>
    <col min="22" max="22" width="14.5703125" bestFit="1" customWidth="1"/>
  </cols>
  <sheetData>
    <row r="1" spans="1:22" ht="15">
      <c r="A1" s="438" t="s">
        <v>354</v>
      </c>
      <c r="B1" t="s">
        <v>355</v>
      </c>
      <c r="C1" s="439" t="s">
        <v>356</v>
      </c>
      <c r="D1" s="439" t="s">
        <v>357</v>
      </c>
      <c r="E1" s="439" t="s">
        <v>358</v>
      </c>
      <c r="F1" s="439" t="s">
        <v>359</v>
      </c>
      <c r="G1" s="439" t="s">
        <v>360</v>
      </c>
      <c r="H1" s="439" t="s">
        <v>361</v>
      </c>
      <c r="I1" s="439" t="s">
        <v>362</v>
      </c>
      <c r="J1" s="439" t="s">
        <v>363</v>
      </c>
      <c r="K1" s="439" t="s">
        <v>364</v>
      </c>
      <c r="L1" s="439" t="s">
        <v>365</v>
      </c>
      <c r="M1" s="439" t="s">
        <v>366</v>
      </c>
      <c r="N1" s="439" t="s">
        <v>367</v>
      </c>
      <c r="O1" s="439" t="s">
        <v>368</v>
      </c>
      <c r="P1" s="439" t="s">
        <v>369</v>
      </c>
      <c r="Q1" s="439" t="s">
        <v>370</v>
      </c>
      <c r="R1" s="439" t="s">
        <v>371</v>
      </c>
      <c r="S1" s="439" t="s">
        <v>372</v>
      </c>
      <c r="T1" s="439" t="s">
        <v>373</v>
      </c>
      <c r="U1" s="440" t="s">
        <v>374</v>
      </c>
      <c r="V1" s="440" t="s">
        <v>375</v>
      </c>
    </row>
    <row r="2" spans="1:22" ht="21">
      <c r="A2" s="441" t="s">
        <v>376</v>
      </c>
      <c r="B2" s="443">
        <v>930</v>
      </c>
      <c r="C2" s="443" t="s">
        <v>377</v>
      </c>
      <c r="D2" s="443"/>
      <c r="E2" s="443"/>
      <c r="F2" s="443">
        <v>3010</v>
      </c>
      <c r="G2" s="443"/>
      <c r="H2" s="443"/>
      <c r="I2" s="443"/>
      <c r="J2" s="443"/>
      <c r="K2" s="443"/>
      <c r="L2" s="443"/>
      <c r="M2" s="443"/>
      <c r="N2" s="443"/>
      <c r="O2" s="443">
        <v>30000009420</v>
      </c>
      <c r="P2" s="444">
        <f>+BIODIESEL!$D$8</f>
        <v>5150.95</v>
      </c>
      <c r="Q2" s="445" t="s">
        <v>378</v>
      </c>
      <c r="R2" s="445">
        <v>1</v>
      </c>
      <c r="S2" t="s">
        <v>379</v>
      </c>
      <c r="T2" s="445" t="s">
        <v>400</v>
      </c>
      <c r="U2" s="574" t="str">
        <f>+TEXT('COMBUSTIBLES '!$A$53,"dd.mm.yyyyy")</f>
        <v>07.11.2024</v>
      </c>
      <c r="V2" s="611" t="s">
        <v>450</v>
      </c>
    </row>
    <row r="3" spans="1:22" ht="15">
      <c r="A3" s="441" t="s">
        <v>380</v>
      </c>
      <c r="B3" s="443">
        <v>930</v>
      </c>
      <c r="C3" s="443" t="s">
        <v>377</v>
      </c>
      <c r="D3" s="443"/>
      <c r="E3" s="443"/>
      <c r="F3" s="443">
        <v>3010</v>
      </c>
      <c r="G3" s="443"/>
      <c r="H3" s="443"/>
      <c r="I3" s="443"/>
      <c r="J3" s="443"/>
      <c r="K3" s="443"/>
      <c r="L3" s="443"/>
      <c r="M3" s="445"/>
      <c r="N3" s="443"/>
      <c r="O3" s="443">
        <v>30000009420</v>
      </c>
      <c r="P3" s="444">
        <f>+BIODIESEL!$D$9</f>
        <v>396.73</v>
      </c>
      <c r="Q3" s="445" t="s">
        <v>378</v>
      </c>
      <c r="R3" s="445">
        <v>1</v>
      </c>
      <c r="S3" t="s">
        <v>379</v>
      </c>
      <c r="T3" s="445" t="s">
        <v>400</v>
      </c>
      <c r="U3" s="458" t="str">
        <f t="shared" ref="U3:V44" si="0">+U2</f>
        <v>07.11.2024</v>
      </c>
      <c r="V3" s="457" t="str">
        <f t="shared" si="0"/>
        <v>30.11.2024</v>
      </c>
    </row>
    <row r="4" spans="1:22" ht="15">
      <c r="A4" s="445" t="s">
        <v>376</v>
      </c>
      <c r="B4" s="443">
        <v>930</v>
      </c>
      <c r="C4" s="445" t="s">
        <v>377</v>
      </c>
      <c r="D4" s="445"/>
      <c r="E4" s="445"/>
      <c r="F4" s="445">
        <v>4531</v>
      </c>
      <c r="G4" s="445"/>
      <c r="H4" s="445"/>
      <c r="I4" s="445"/>
      <c r="J4" s="445"/>
      <c r="K4" s="445"/>
      <c r="L4" s="445"/>
      <c r="M4" s="445"/>
      <c r="N4" s="445"/>
      <c r="O4" s="445">
        <v>30000009250</v>
      </c>
      <c r="P4" s="444">
        <f>+BIODIESEL!$D$8</f>
        <v>5150.95</v>
      </c>
      <c r="Q4" s="445" t="s">
        <v>378</v>
      </c>
      <c r="R4" s="445">
        <v>1</v>
      </c>
      <c r="S4" t="s">
        <v>379</v>
      </c>
      <c r="T4" s="445" t="s">
        <v>400</v>
      </c>
      <c r="U4" s="458" t="str">
        <f t="shared" si="0"/>
        <v>07.11.2024</v>
      </c>
      <c r="V4" s="457" t="str">
        <f t="shared" si="0"/>
        <v>30.11.2024</v>
      </c>
    </row>
    <row r="5" spans="1:22" ht="15">
      <c r="A5" s="445" t="s">
        <v>380</v>
      </c>
      <c r="B5" s="443">
        <v>930</v>
      </c>
      <c r="C5" s="446" t="s">
        <v>377</v>
      </c>
      <c r="D5" s="446"/>
      <c r="E5" s="446"/>
      <c r="F5" s="446">
        <v>4531</v>
      </c>
      <c r="G5" s="446"/>
      <c r="H5" s="446"/>
      <c r="I5" s="446"/>
      <c r="J5" s="446"/>
      <c r="K5" s="446"/>
      <c r="L5" s="446"/>
      <c r="M5" s="446"/>
      <c r="N5" s="446"/>
      <c r="O5" s="445">
        <v>30000009250</v>
      </c>
      <c r="P5" s="444">
        <f>+BIODIESEL!$D$9</f>
        <v>396.73</v>
      </c>
      <c r="Q5" s="446" t="s">
        <v>378</v>
      </c>
      <c r="R5" s="446">
        <v>1</v>
      </c>
      <c r="S5" s="447" t="s">
        <v>379</v>
      </c>
      <c r="T5" s="445" t="s">
        <v>400</v>
      </c>
      <c r="U5" s="458" t="str">
        <f t="shared" si="0"/>
        <v>07.11.2024</v>
      </c>
      <c r="V5" s="457" t="str">
        <f t="shared" si="0"/>
        <v>30.11.2024</v>
      </c>
    </row>
    <row r="6" spans="1:22" ht="15">
      <c r="A6" s="445" t="s">
        <v>376</v>
      </c>
      <c r="B6" s="443">
        <v>929</v>
      </c>
      <c r="C6" s="445" t="s">
        <v>377</v>
      </c>
      <c r="D6" s="445"/>
      <c r="E6" s="445"/>
      <c r="F6" s="445">
        <v>4523</v>
      </c>
      <c r="G6" s="445"/>
      <c r="H6" s="445"/>
      <c r="I6" s="445"/>
      <c r="J6" s="445"/>
      <c r="K6" s="445"/>
      <c r="L6" s="445"/>
      <c r="M6" s="445" t="s">
        <v>381</v>
      </c>
      <c r="N6" s="445"/>
      <c r="O6" s="445">
        <v>30000009420</v>
      </c>
      <c r="P6" s="444">
        <f>+BIODIESEL!$D$8</f>
        <v>5150.95</v>
      </c>
      <c r="Q6" s="445" t="s">
        <v>378</v>
      </c>
      <c r="R6" s="445">
        <v>1</v>
      </c>
      <c r="S6" t="s">
        <v>379</v>
      </c>
      <c r="T6" s="445" t="s">
        <v>400</v>
      </c>
      <c r="U6" s="458" t="str">
        <f t="shared" si="0"/>
        <v>07.11.2024</v>
      </c>
      <c r="V6" s="457" t="str">
        <f t="shared" si="0"/>
        <v>30.11.2024</v>
      </c>
    </row>
    <row r="7" spans="1:22" ht="15">
      <c r="A7" s="445" t="s">
        <v>380</v>
      </c>
      <c r="B7" s="443">
        <v>929</v>
      </c>
      <c r="C7" s="446" t="s">
        <v>377</v>
      </c>
      <c r="D7" s="446"/>
      <c r="E7" s="446"/>
      <c r="F7" s="446">
        <v>4523</v>
      </c>
      <c r="G7" s="446"/>
      <c r="H7" s="446"/>
      <c r="I7" s="446"/>
      <c r="J7" s="446"/>
      <c r="K7" s="446"/>
      <c r="L7" s="446"/>
      <c r="M7" s="446" t="s">
        <v>381</v>
      </c>
      <c r="N7" s="446"/>
      <c r="O7" s="446">
        <v>30000009420</v>
      </c>
      <c r="P7" s="444">
        <f>+BIODIESEL!$D$9</f>
        <v>396.73</v>
      </c>
      <c r="Q7" s="446" t="s">
        <v>378</v>
      </c>
      <c r="R7" s="446">
        <v>1</v>
      </c>
      <c r="S7" s="447" t="s">
        <v>379</v>
      </c>
      <c r="T7" s="445" t="s">
        <v>400</v>
      </c>
      <c r="U7" s="458" t="str">
        <f t="shared" si="0"/>
        <v>07.11.2024</v>
      </c>
      <c r="V7" s="457" t="str">
        <f t="shared" si="0"/>
        <v>30.11.2024</v>
      </c>
    </row>
    <row r="8" spans="1:22" ht="15">
      <c r="A8" s="445" t="s">
        <v>376</v>
      </c>
      <c r="B8" s="443">
        <v>929</v>
      </c>
      <c r="C8" s="445" t="s">
        <v>377</v>
      </c>
      <c r="D8" s="445"/>
      <c r="E8" s="445"/>
      <c r="F8" s="445">
        <v>4523</v>
      </c>
      <c r="G8" s="445"/>
      <c r="H8" s="445"/>
      <c r="I8" s="445"/>
      <c r="J8" s="445"/>
      <c r="K8" s="445"/>
      <c r="L8" s="445"/>
      <c r="M8" s="445" t="s">
        <v>382</v>
      </c>
      <c r="N8" s="445"/>
      <c r="O8" s="445">
        <v>30000009420</v>
      </c>
      <c r="P8" s="444">
        <f>+BIODIESEL!$D$8</f>
        <v>5150.95</v>
      </c>
      <c r="Q8" s="445" t="s">
        <v>378</v>
      </c>
      <c r="R8" s="445">
        <v>1</v>
      </c>
      <c r="S8" t="s">
        <v>379</v>
      </c>
      <c r="T8" s="445" t="s">
        <v>400</v>
      </c>
      <c r="U8" s="458" t="str">
        <f t="shared" si="0"/>
        <v>07.11.2024</v>
      </c>
      <c r="V8" s="457" t="str">
        <f t="shared" si="0"/>
        <v>30.11.2024</v>
      </c>
    </row>
    <row r="9" spans="1:22" ht="15">
      <c r="A9" s="445" t="s">
        <v>380</v>
      </c>
      <c r="B9" s="443">
        <v>929</v>
      </c>
      <c r="C9" s="446" t="s">
        <v>377</v>
      </c>
      <c r="D9" s="446"/>
      <c r="E9" s="446"/>
      <c r="F9" s="446">
        <v>4523</v>
      </c>
      <c r="G9" s="446"/>
      <c r="H9" s="446"/>
      <c r="I9" s="446"/>
      <c r="J9" s="446"/>
      <c r="K9" s="446"/>
      <c r="L9" s="446"/>
      <c r="M9" s="446" t="s">
        <v>382</v>
      </c>
      <c r="N9" s="446"/>
      <c r="O9" s="446">
        <v>30000009420</v>
      </c>
      <c r="P9" s="444">
        <f>+BIODIESEL!$D$9</f>
        <v>396.73</v>
      </c>
      <c r="Q9" s="446" t="s">
        <v>378</v>
      </c>
      <c r="R9" s="446">
        <v>1</v>
      </c>
      <c r="S9" s="447" t="s">
        <v>379</v>
      </c>
      <c r="T9" s="445" t="s">
        <v>400</v>
      </c>
      <c r="U9" s="458" t="str">
        <f t="shared" si="0"/>
        <v>07.11.2024</v>
      </c>
      <c r="V9" s="457" t="str">
        <f t="shared" si="0"/>
        <v>30.11.2024</v>
      </c>
    </row>
    <row r="10" spans="1:22" ht="15">
      <c r="A10" s="441" t="s">
        <v>376</v>
      </c>
      <c r="B10" s="443">
        <v>929</v>
      </c>
      <c r="C10" s="445" t="s">
        <v>377</v>
      </c>
      <c r="D10" s="445"/>
      <c r="E10" s="445"/>
      <c r="F10" s="445">
        <v>4502</v>
      </c>
      <c r="G10" s="445"/>
      <c r="H10" s="445"/>
      <c r="I10" s="445"/>
      <c r="J10" s="445"/>
      <c r="K10" s="445"/>
      <c r="L10" s="445"/>
      <c r="M10" s="445" t="s">
        <v>381</v>
      </c>
      <c r="N10" s="445"/>
      <c r="O10" s="445">
        <v>30000009291</v>
      </c>
      <c r="P10" s="444">
        <f>+BIODIESEL!$D$8</f>
        <v>5150.95</v>
      </c>
      <c r="Q10" s="445" t="s">
        <v>378</v>
      </c>
      <c r="R10" s="445">
        <v>1</v>
      </c>
      <c r="S10" t="s">
        <v>379</v>
      </c>
      <c r="T10" s="445" t="s">
        <v>400</v>
      </c>
      <c r="U10" s="458" t="str">
        <f t="shared" si="0"/>
        <v>07.11.2024</v>
      </c>
      <c r="V10" s="457" t="str">
        <f t="shared" si="0"/>
        <v>30.11.2024</v>
      </c>
    </row>
    <row r="11" spans="1:22" ht="15">
      <c r="A11" s="445" t="s">
        <v>380</v>
      </c>
      <c r="B11" s="443">
        <v>929</v>
      </c>
      <c r="C11" s="445" t="s">
        <v>377</v>
      </c>
      <c r="D11" s="445"/>
      <c r="E11" s="445"/>
      <c r="F11" s="445">
        <v>4502</v>
      </c>
      <c r="G11" s="445"/>
      <c r="H11" s="445"/>
      <c r="I11" s="445"/>
      <c r="J11" s="445"/>
      <c r="K11" s="445"/>
      <c r="L11" s="445"/>
      <c r="M11" s="445" t="s">
        <v>381</v>
      </c>
      <c r="N11" s="445"/>
      <c r="O11" s="445">
        <v>30000009291</v>
      </c>
      <c r="P11" s="444">
        <f>+BIODIESEL!$D$9</f>
        <v>396.73</v>
      </c>
      <c r="Q11" s="445" t="s">
        <v>378</v>
      </c>
      <c r="R11" s="445">
        <v>1</v>
      </c>
      <c r="S11" t="s">
        <v>379</v>
      </c>
      <c r="T11" s="445" t="s">
        <v>400</v>
      </c>
      <c r="U11" s="458" t="str">
        <f t="shared" si="0"/>
        <v>07.11.2024</v>
      </c>
      <c r="V11" s="457" t="str">
        <f t="shared" si="0"/>
        <v>30.11.2024</v>
      </c>
    </row>
    <row r="12" spans="1:22" ht="15">
      <c r="A12" s="441" t="s">
        <v>376</v>
      </c>
      <c r="B12" s="443">
        <v>929</v>
      </c>
      <c r="C12" s="445" t="s">
        <v>377</v>
      </c>
      <c r="D12" s="445"/>
      <c r="E12" s="445"/>
      <c r="F12" s="445">
        <v>4502</v>
      </c>
      <c r="G12" s="445"/>
      <c r="H12" s="445"/>
      <c r="I12" s="445"/>
      <c r="J12" s="445"/>
      <c r="K12" s="445"/>
      <c r="L12" s="445"/>
      <c r="M12" s="445" t="s">
        <v>382</v>
      </c>
      <c r="N12" s="445"/>
      <c r="O12" s="445">
        <v>30000009291</v>
      </c>
      <c r="P12" s="444">
        <f>+BIODIESEL!$D$8</f>
        <v>5150.95</v>
      </c>
      <c r="Q12" s="445" t="s">
        <v>378</v>
      </c>
      <c r="R12" s="445">
        <v>1</v>
      </c>
      <c r="S12" t="s">
        <v>379</v>
      </c>
      <c r="T12" s="445" t="s">
        <v>400</v>
      </c>
      <c r="U12" s="458" t="str">
        <f t="shared" si="0"/>
        <v>07.11.2024</v>
      </c>
      <c r="V12" s="457" t="str">
        <f t="shared" si="0"/>
        <v>30.11.2024</v>
      </c>
    </row>
    <row r="13" spans="1:22" ht="15">
      <c r="A13" s="443" t="s">
        <v>380</v>
      </c>
      <c r="B13" s="443">
        <v>929</v>
      </c>
      <c r="C13" s="443" t="s">
        <v>377</v>
      </c>
      <c r="D13" s="443"/>
      <c r="E13" s="443"/>
      <c r="F13" s="443">
        <v>4502</v>
      </c>
      <c r="G13" s="443"/>
      <c r="H13" s="443"/>
      <c r="I13" s="443"/>
      <c r="J13" s="443"/>
      <c r="K13" s="443"/>
      <c r="L13" s="443"/>
      <c r="M13" s="443" t="s">
        <v>382</v>
      </c>
      <c r="N13" s="443"/>
      <c r="O13" s="443">
        <v>30000009291</v>
      </c>
      <c r="P13" s="444">
        <f>+BIODIESEL!$D$9</f>
        <v>396.73</v>
      </c>
      <c r="Q13" s="443" t="s">
        <v>378</v>
      </c>
      <c r="R13" s="443">
        <v>1</v>
      </c>
      <c r="S13" s="448" t="s">
        <v>379</v>
      </c>
      <c r="T13" s="445" t="s">
        <v>400</v>
      </c>
      <c r="U13" s="458" t="str">
        <f t="shared" si="0"/>
        <v>07.11.2024</v>
      </c>
      <c r="V13" s="457" t="str">
        <f t="shared" si="0"/>
        <v>30.11.2024</v>
      </c>
    </row>
    <row r="14" spans="1:22" ht="15">
      <c r="A14" s="445" t="s">
        <v>376</v>
      </c>
      <c r="B14" s="443">
        <v>929</v>
      </c>
      <c r="C14" s="445" t="s">
        <v>377</v>
      </c>
      <c r="D14" s="445"/>
      <c r="E14" s="445"/>
      <c r="F14" s="445">
        <v>3010</v>
      </c>
      <c r="G14" s="445"/>
      <c r="H14" s="445"/>
      <c r="I14" s="445"/>
      <c r="J14" s="445"/>
      <c r="K14" s="445"/>
      <c r="L14" s="445"/>
      <c r="M14" s="445" t="s">
        <v>381</v>
      </c>
      <c r="N14" s="445"/>
      <c r="O14" s="445">
        <v>30000009531</v>
      </c>
      <c r="P14" s="444">
        <f>+BIODIESEL!$D$8</f>
        <v>5150.95</v>
      </c>
      <c r="Q14" s="445" t="s">
        <v>378</v>
      </c>
      <c r="R14" s="445">
        <v>1</v>
      </c>
      <c r="S14" t="s">
        <v>379</v>
      </c>
      <c r="T14" s="445" t="s">
        <v>400</v>
      </c>
      <c r="U14" s="458" t="str">
        <f t="shared" si="0"/>
        <v>07.11.2024</v>
      </c>
      <c r="V14" s="457" t="str">
        <f t="shared" si="0"/>
        <v>30.11.2024</v>
      </c>
    </row>
    <row r="15" spans="1:22" ht="15">
      <c r="A15" s="445" t="s">
        <v>380</v>
      </c>
      <c r="B15" s="443">
        <v>929</v>
      </c>
      <c r="C15" s="445" t="s">
        <v>377</v>
      </c>
      <c r="D15" s="445"/>
      <c r="E15" s="445"/>
      <c r="F15" s="445">
        <v>3010</v>
      </c>
      <c r="G15" s="445"/>
      <c r="H15" s="445"/>
      <c r="I15" s="445"/>
      <c r="J15" s="445"/>
      <c r="K15" s="445"/>
      <c r="L15" s="445"/>
      <c r="M15" s="445" t="s">
        <v>381</v>
      </c>
      <c r="N15" s="445"/>
      <c r="O15" s="445">
        <v>30000009531</v>
      </c>
      <c r="P15" s="444">
        <f>+BIODIESEL!$D$9</f>
        <v>396.73</v>
      </c>
      <c r="Q15" s="445" t="s">
        <v>378</v>
      </c>
      <c r="R15" s="445">
        <v>1</v>
      </c>
      <c r="S15" t="s">
        <v>379</v>
      </c>
      <c r="T15" s="445" t="s">
        <v>400</v>
      </c>
      <c r="U15" s="458" t="str">
        <f t="shared" si="0"/>
        <v>07.11.2024</v>
      </c>
      <c r="V15" s="457" t="str">
        <f t="shared" si="0"/>
        <v>30.11.2024</v>
      </c>
    </row>
    <row r="16" spans="1:22" ht="15">
      <c r="A16" s="449" t="s">
        <v>376</v>
      </c>
      <c r="B16" s="443">
        <v>929</v>
      </c>
      <c r="C16" s="450" t="s">
        <v>377</v>
      </c>
      <c r="D16" s="450"/>
      <c r="E16" s="450"/>
      <c r="F16" s="450">
        <v>3010</v>
      </c>
      <c r="G16" s="450"/>
      <c r="H16" s="450"/>
      <c r="I16" s="450"/>
      <c r="J16" s="450"/>
      <c r="K16" s="450"/>
      <c r="L16" s="450"/>
      <c r="M16" s="450" t="s">
        <v>382</v>
      </c>
      <c r="N16" s="450"/>
      <c r="O16" s="450">
        <v>30000009531</v>
      </c>
      <c r="P16" s="444">
        <f>+BIODIESEL!$D$8</f>
        <v>5150.95</v>
      </c>
      <c r="Q16" s="450" t="s">
        <v>378</v>
      </c>
      <c r="R16" s="450">
        <v>1</v>
      </c>
      <c r="S16" s="451" t="s">
        <v>379</v>
      </c>
      <c r="T16" s="445" t="s">
        <v>400</v>
      </c>
      <c r="U16" s="458" t="str">
        <f t="shared" si="0"/>
        <v>07.11.2024</v>
      </c>
      <c r="V16" s="457" t="str">
        <f t="shared" si="0"/>
        <v>30.11.2024</v>
      </c>
    </row>
    <row r="17" spans="1:22" ht="15">
      <c r="A17" s="452" t="s">
        <v>380</v>
      </c>
      <c r="B17" s="443">
        <v>929</v>
      </c>
      <c r="C17" s="443" t="s">
        <v>377</v>
      </c>
      <c r="D17" s="443"/>
      <c r="E17" s="443"/>
      <c r="F17" s="443">
        <v>3010</v>
      </c>
      <c r="G17" s="443"/>
      <c r="H17" s="443"/>
      <c r="I17" s="443"/>
      <c r="J17" s="443"/>
      <c r="K17" s="443"/>
      <c r="L17" s="443"/>
      <c r="M17" s="443" t="s">
        <v>382</v>
      </c>
      <c r="N17" s="443"/>
      <c r="O17" s="443">
        <v>30000009531</v>
      </c>
      <c r="P17" s="444">
        <f>+BIODIESEL!$D$9</f>
        <v>396.73</v>
      </c>
      <c r="Q17" s="443" t="s">
        <v>378</v>
      </c>
      <c r="R17" s="443">
        <v>1</v>
      </c>
      <c r="S17" s="448" t="s">
        <v>379</v>
      </c>
      <c r="T17" s="445" t="s">
        <v>400</v>
      </c>
      <c r="U17" s="458" t="str">
        <f t="shared" si="0"/>
        <v>07.11.2024</v>
      </c>
      <c r="V17" s="457" t="str">
        <f t="shared" si="0"/>
        <v>30.11.2024</v>
      </c>
    </row>
    <row r="18" spans="1:22" ht="15">
      <c r="A18" s="449" t="s">
        <v>376</v>
      </c>
      <c r="B18" s="443">
        <v>929</v>
      </c>
      <c r="C18" s="450" t="s">
        <v>377</v>
      </c>
      <c r="D18" s="450"/>
      <c r="E18" s="450"/>
      <c r="F18" s="450">
        <v>4502</v>
      </c>
      <c r="G18" s="450"/>
      <c r="H18" s="450"/>
      <c r="I18" s="450"/>
      <c r="J18" s="450"/>
      <c r="K18" s="450"/>
      <c r="L18" s="450"/>
      <c r="M18" s="450" t="s">
        <v>381</v>
      </c>
      <c r="N18" s="450"/>
      <c r="O18" s="450">
        <v>30000009531</v>
      </c>
      <c r="P18" s="444">
        <f>+BIODIESEL!$D$8</f>
        <v>5150.95</v>
      </c>
      <c r="Q18" s="450" t="s">
        <v>378</v>
      </c>
      <c r="R18" s="450">
        <v>1</v>
      </c>
      <c r="S18" s="451" t="s">
        <v>379</v>
      </c>
      <c r="T18" s="445" t="s">
        <v>400</v>
      </c>
      <c r="U18" s="458" t="str">
        <f t="shared" si="0"/>
        <v>07.11.2024</v>
      </c>
      <c r="V18" s="457" t="str">
        <f t="shared" si="0"/>
        <v>30.11.2024</v>
      </c>
    </row>
    <row r="19" spans="1:22" ht="15">
      <c r="A19" s="452" t="s">
        <v>380</v>
      </c>
      <c r="B19" s="443">
        <v>929</v>
      </c>
      <c r="C19" s="443" t="s">
        <v>377</v>
      </c>
      <c r="D19" s="443"/>
      <c r="E19" s="443"/>
      <c r="F19" s="443">
        <v>4502</v>
      </c>
      <c r="G19" s="443"/>
      <c r="H19" s="443"/>
      <c r="I19" s="443"/>
      <c r="J19" s="443"/>
      <c r="K19" s="443"/>
      <c r="L19" s="443"/>
      <c r="M19" s="443" t="s">
        <v>381</v>
      </c>
      <c r="N19" s="443"/>
      <c r="O19" s="443">
        <v>30000009531</v>
      </c>
      <c r="P19" s="444">
        <f>+BIODIESEL!$D$9</f>
        <v>396.73</v>
      </c>
      <c r="Q19" s="443" t="s">
        <v>378</v>
      </c>
      <c r="R19" s="443">
        <v>1</v>
      </c>
      <c r="S19" s="448" t="s">
        <v>379</v>
      </c>
      <c r="T19" s="445" t="s">
        <v>400</v>
      </c>
      <c r="U19" s="458" t="str">
        <f t="shared" si="0"/>
        <v>07.11.2024</v>
      </c>
      <c r="V19" s="457" t="str">
        <f t="shared" si="0"/>
        <v>30.11.2024</v>
      </c>
    </row>
    <row r="20" spans="1:22" ht="15">
      <c r="A20" s="449" t="s">
        <v>376</v>
      </c>
      <c r="B20" s="443">
        <v>929</v>
      </c>
      <c r="C20" s="450" t="s">
        <v>377</v>
      </c>
      <c r="D20" s="450"/>
      <c r="E20" s="450"/>
      <c r="F20" s="450">
        <v>4502</v>
      </c>
      <c r="G20" s="450"/>
      <c r="H20" s="450"/>
      <c r="I20" s="450"/>
      <c r="J20" s="450"/>
      <c r="K20" s="450"/>
      <c r="L20" s="450"/>
      <c r="M20" s="450" t="s">
        <v>382</v>
      </c>
      <c r="N20" s="450"/>
      <c r="O20" s="450">
        <v>30000009531</v>
      </c>
      <c r="P20" s="444">
        <f>+BIODIESEL!$D$8</f>
        <v>5150.95</v>
      </c>
      <c r="Q20" s="450" t="s">
        <v>378</v>
      </c>
      <c r="R20" s="450">
        <v>1</v>
      </c>
      <c r="S20" s="451" t="s">
        <v>379</v>
      </c>
      <c r="T20" s="445" t="s">
        <v>400</v>
      </c>
      <c r="U20" s="458" t="str">
        <f t="shared" si="0"/>
        <v>07.11.2024</v>
      </c>
      <c r="V20" s="457" t="str">
        <f t="shared" si="0"/>
        <v>30.11.2024</v>
      </c>
    </row>
    <row r="21" spans="1:22" ht="15">
      <c r="A21" s="452" t="s">
        <v>380</v>
      </c>
      <c r="B21" s="443">
        <v>929</v>
      </c>
      <c r="C21" s="443" t="s">
        <v>377</v>
      </c>
      <c r="D21" s="443"/>
      <c r="E21" s="443"/>
      <c r="F21" s="443">
        <v>4502</v>
      </c>
      <c r="G21" s="443"/>
      <c r="H21" s="443"/>
      <c r="I21" s="443"/>
      <c r="J21" s="443"/>
      <c r="K21" s="443"/>
      <c r="L21" s="443"/>
      <c r="M21" s="443" t="s">
        <v>382</v>
      </c>
      <c r="N21" s="443"/>
      <c r="O21" s="443">
        <v>30000009531</v>
      </c>
      <c r="P21" s="444">
        <f>+BIODIESEL!$D$9</f>
        <v>396.73</v>
      </c>
      <c r="Q21" s="443" t="s">
        <v>378</v>
      </c>
      <c r="R21" s="443">
        <v>1</v>
      </c>
      <c r="S21" s="448" t="s">
        <v>379</v>
      </c>
      <c r="T21" s="445" t="s">
        <v>400</v>
      </c>
      <c r="U21" s="458" t="str">
        <f t="shared" si="0"/>
        <v>07.11.2024</v>
      </c>
      <c r="V21" s="457" t="str">
        <f t="shared" si="0"/>
        <v>30.11.2024</v>
      </c>
    </row>
    <row r="22" spans="1:22" ht="15">
      <c r="A22" s="453" t="s">
        <v>383</v>
      </c>
      <c r="B22" s="443">
        <v>930</v>
      </c>
      <c r="C22" s="453" t="s">
        <v>377</v>
      </c>
      <c r="D22" s="453"/>
      <c r="E22" s="453"/>
      <c r="F22" s="453">
        <v>4525</v>
      </c>
      <c r="G22" s="453"/>
      <c r="H22" s="453"/>
      <c r="I22" s="453"/>
      <c r="J22" s="453"/>
      <c r="K22" s="453"/>
      <c r="L22" s="453"/>
      <c r="M22" s="453"/>
      <c r="N22" s="453"/>
      <c r="O22" s="453">
        <v>30000009113</v>
      </c>
      <c r="P22" s="454">
        <f>+'COMBUSTIBLES '!$B$7</f>
        <v>10380.44</v>
      </c>
      <c r="Q22" s="453" t="s">
        <v>378</v>
      </c>
      <c r="R22" s="453">
        <v>1</v>
      </c>
      <c r="S22" s="455" t="s">
        <v>379</v>
      </c>
      <c r="T22" s="445" t="s">
        <v>400</v>
      </c>
      <c r="U22" s="458" t="str">
        <f t="shared" si="0"/>
        <v>07.11.2024</v>
      </c>
      <c r="V22" s="457" t="str">
        <f t="shared" si="0"/>
        <v>30.11.2024</v>
      </c>
    </row>
    <row r="23" spans="1:22" ht="15">
      <c r="A23" s="445" t="s">
        <v>376</v>
      </c>
      <c r="B23" s="443">
        <v>587</v>
      </c>
      <c r="C23" s="443" t="s">
        <v>377</v>
      </c>
      <c r="D23" s="445"/>
      <c r="E23" s="445"/>
      <c r="F23" s="445"/>
      <c r="G23" s="445"/>
      <c r="H23" s="445"/>
      <c r="I23" s="445"/>
      <c r="J23" s="445"/>
      <c r="K23" s="445"/>
      <c r="L23" s="445"/>
      <c r="M23" s="445"/>
      <c r="N23" s="445"/>
      <c r="O23" s="443">
        <v>30000002129</v>
      </c>
      <c r="P23" s="444">
        <f>+BIODIESEL!$D$8</f>
        <v>5150.95</v>
      </c>
      <c r="Q23" s="443" t="s">
        <v>378</v>
      </c>
      <c r="R23" s="443">
        <v>1</v>
      </c>
      <c r="S23" s="448" t="s">
        <v>379</v>
      </c>
      <c r="T23" s="445" t="s">
        <v>400</v>
      </c>
      <c r="U23" s="458" t="str">
        <f t="shared" si="0"/>
        <v>07.11.2024</v>
      </c>
      <c r="V23" s="457" t="str">
        <f t="shared" si="0"/>
        <v>30.11.2024</v>
      </c>
    </row>
    <row r="24" spans="1:22" ht="15">
      <c r="A24" s="445" t="s">
        <v>376</v>
      </c>
      <c r="B24" s="443">
        <v>587</v>
      </c>
      <c r="C24" s="443" t="s">
        <v>377</v>
      </c>
      <c r="D24" s="445"/>
      <c r="E24" s="445"/>
      <c r="F24" s="445"/>
      <c r="G24" s="445"/>
      <c r="H24" s="445"/>
      <c r="I24" s="445"/>
      <c r="J24" s="445"/>
      <c r="K24" s="445"/>
      <c r="L24" s="445"/>
      <c r="M24" s="445"/>
      <c r="N24" s="445"/>
      <c r="O24" s="443">
        <v>30000002317</v>
      </c>
      <c r="P24" s="444">
        <f>+BIODIESEL!$D$8</f>
        <v>5150.95</v>
      </c>
      <c r="Q24" s="443" t="s">
        <v>378</v>
      </c>
      <c r="R24" s="443">
        <v>1</v>
      </c>
      <c r="S24" s="448" t="s">
        <v>379</v>
      </c>
      <c r="T24" s="445" t="s">
        <v>400</v>
      </c>
      <c r="U24" s="458" t="str">
        <f t="shared" si="0"/>
        <v>07.11.2024</v>
      </c>
      <c r="V24" s="457" t="str">
        <f t="shared" si="0"/>
        <v>30.11.2024</v>
      </c>
    </row>
    <row r="25" spans="1:22" ht="15">
      <c r="A25" s="445" t="s">
        <v>376</v>
      </c>
      <c r="B25" s="443">
        <v>587</v>
      </c>
      <c r="C25" s="443" t="s">
        <v>377</v>
      </c>
      <c r="D25" s="445"/>
      <c r="E25" s="445"/>
      <c r="F25" s="445"/>
      <c r="G25" s="445"/>
      <c r="H25" s="445"/>
      <c r="I25" s="445"/>
      <c r="J25" s="445"/>
      <c r="K25" s="445"/>
      <c r="L25" s="445"/>
      <c r="M25" s="445"/>
      <c r="N25" s="445"/>
      <c r="O25" s="443">
        <v>30000009242</v>
      </c>
      <c r="P25" s="444">
        <f>+BIODIESEL!$D$8</f>
        <v>5150.95</v>
      </c>
      <c r="Q25" s="443" t="s">
        <v>378</v>
      </c>
      <c r="R25" s="443">
        <v>1</v>
      </c>
      <c r="S25" s="448" t="s">
        <v>379</v>
      </c>
      <c r="T25" s="445" t="s">
        <v>400</v>
      </c>
      <c r="U25" s="458" t="str">
        <f t="shared" si="0"/>
        <v>07.11.2024</v>
      </c>
      <c r="V25" s="457" t="str">
        <f t="shared" si="0"/>
        <v>30.11.2024</v>
      </c>
    </row>
    <row r="26" spans="1:22" ht="15">
      <c r="A26" s="445" t="s">
        <v>376</v>
      </c>
      <c r="B26" s="443">
        <v>587</v>
      </c>
      <c r="C26" s="443" t="s">
        <v>377</v>
      </c>
      <c r="D26" s="445"/>
      <c r="E26" s="445"/>
      <c r="F26" s="445"/>
      <c r="G26" s="445"/>
      <c r="H26" s="445"/>
      <c r="I26" s="445"/>
      <c r="J26" s="445"/>
      <c r="K26" s="445"/>
      <c r="L26" s="445"/>
      <c r="M26" s="445"/>
      <c r="N26" s="445"/>
      <c r="O26" s="443">
        <v>30000009250</v>
      </c>
      <c r="P26" s="444">
        <f>+BIODIESEL!$D$8</f>
        <v>5150.95</v>
      </c>
      <c r="Q26" s="443" t="s">
        <v>378</v>
      </c>
      <c r="R26" s="443">
        <v>1</v>
      </c>
      <c r="S26" s="448" t="s">
        <v>379</v>
      </c>
      <c r="T26" s="445" t="s">
        <v>400</v>
      </c>
      <c r="U26" s="458" t="str">
        <f t="shared" si="0"/>
        <v>07.11.2024</v>
      </c>
      <c r="V26" s="457" t="str">
        <f t="shared" si="0"/>
        <v>30.11.2024</v>
      </c>
    </row>
    <row r="27" spans="1:22" ht="15">
      <c r="A27" s="453" t="s">
        <v>376</v>
      </c>
      <c r="B27" s="443">
        <v>587</v>
      </c>
      <c r="C27" s="453" t="s">
        <v>377</v>
      </c>
      <c r="D27" s="453"/>
      <c r="E27" s="453"/>
      <c r="F27" s="453"/>
      <c r="G27" s="453"/>
      <c r="H27" s="453"/>
      <c r="I27" s="453"/>
      <c r="J27" s="453"/>
      <c r="K27" s="453"/>
      <c r="L27" s="453"/>
      <c r="M27" s="453"/>
      <c r="N27" s="453"/>
      <c r="O27" s="453">
        <v>30000009300</v>
      </c>
      <c r="P27" s="444">
        <f>+BIODIESEL!$D$8</f>
        <v>5150.95</v>
      </c>
      <c r="Q27" s="453" t="s">
        <v>378</v>
      </c>
      <c r="R27" s="453">
        <v>1</v>
      </c>
      <c r="S27" s="455" t="s">
        <v>379</v>
      </c>
      <c r="T27" s="445" t="s">
        <v>400</v>
      </c>
      <c r="U27" s="458" t="str">
        <f t="shared" si="0"/>
        <v>07.11.2024</v>
      </c>
      <c r="V27" s="457" t="str">
        <f t="shared" si="0"/>
        <v>30.11.2024</v>
      </c>
    </row>
    <row r="28" spans="1:22" ht="15">
      <c r="A28" s="445" t="s">
        <v>380</v>
      </c>
      <c r="B28" s="443">
        <v>587</v>
      </c>
      <c r="C28" s="443" t="s">
        <v>377</v>
      </c>
      <c r="D28" s="445"/>
      <c r="E28" s="445"/>
      <c r="F28" s="445"/>
      <c r="G28" s="445"/>
      <c r="H28" s="445"/>
      <c r="I28" s="445"/>
      <c r="J28" s="445"/>
      <c r="K28" s="445"/>
      <c r="L28" s="445"/>
      <c r="M28" s="445"/>
      <c r="N28" s="445"/>
      <c r="O28" s="443">
        <v>30000002129</v>
      </c>
      <c r="P28" s="444">
        <f>+BIODIESEL!$D$9</f>
        <v>396.73</v>
      </c>
      <c r="Q28" s="443" t="s">
        <v>378</v>
      </c>
      <c r="R28" s="443">
        <v>1</v>
      </c>
      <c r="S28" s="448" t="s">
        <v>379</v>
      </c>
      <c r="T28" s="445" t="s">
        <v>400</v>
      </c>
      <c r="U28" s="458" t="str">
        <f t="shared" si="0"/>
        <v>07.11.2024</v>
      </c>
      <c r="V28" s="457" t="str">
        <f t="shared" si="0"/>
        <v>30.11.2024</v>
      </c>
    </row>
    <row r="29" spans="1:22" ht="15">
      <c r="A29" s="445" t="s">
        <v>380</v>
      </c>
      <c r="B29" s="443">
        <v>587</v>
      </c>
      <c r="C29" s="443" t="s">
        <v>377</v>
      </c>
      <c r="D29" s="445"/>
      <c r="E29" s="445"/>
      <c r="F29" s="445"/>
      <c r="G29" s="445"/>
      <c r="H29" s="445"/>
      <c r="I29" s="445"/>
      <c r="J29" s="445"/>
      <c r="K29" s="445"/>
      <c r="L29" s="445"/>
      <c r="M29" s="445"/>
      <c r="N29" s="445"/>
      <c r="O29" s="443">
        <v>30000002317</v>
      </c>
      <c r="P29" s="444">
        <f>+BIODIESEL!$D$9</f>
        <v>396.73</v>
      </c>
      <c r="Q29" s="443" t="s">
        <v>378</v>
      </c>
      <c r="R29" s="443">
        <v>1</v>
      </c>
      <c r="S29" s="448" t="s">
        <v>379</v>
      </c>
      <c r="T29" s="445" t="s">
        <v>400</v>
      </c>
      <c r="U29" s="458" t="str">
        <f t="shared" si="0"/>
        <v>07.11.2024</v>
      </c>
      <c r="V29" s="457" t="str">
        <f t="shared" si="0"/>
        <v>30.11.2024</v>
      </c>
    </row>
    <row r="30" spans="1:22" ht="15">
      <c r="A30" s="445" t="s">
        <v>380</v>
      </c>
      <c r="B30" s="443">
        <v>587</v>
      </c>
      <c r="C30" s="443" t="s">
        <v>377</v>
      </c>
      <c r="D30" s="445"/>
      <c r="E30" s="445"/>
      <c r="F30" s="445"/>
      <c r="G30" s="445"/>
      <c r="H30" s="445"/>
      <c r="I30" s="445"/>
      <c r="J30" s="445"/>
      <c r="K30" s="445"/>
      <c r="L30" s="445"/>
      <c r="M30" s="445"/>
      <c r="N30" s="445"/>
      <c r="O30" s="443">
        <v>30000009242</v>
      </c>
      <c r="P30" s="444">
        <f>+BIODIESEL!$D$9</f>
        <v>396.73</v>
      </c>
      <c r="Q30" s="443" t="s">
        <v>378</v>
      </c>
      <c r="R30" s="443">
        <v>1</v>
      </c>
      <c r="S30" s="448" t="s">
        <v>379</v>
      </c>
      <c r="T30" s="445" t="s">
        <v>400</v>
      </c>
      <c r="U30" s="458" t="str">
        <f t="shared" si="0"/>
        <v>07.11.2024</v>
      </c>
      <c r="V30" s="457" t="str">
        <f t="shared" si="0"/>
        <v>30.11.2024</v>
      </c>
    </row>
    <row r="31" spans="1:22" ht="15">
      <c r="A31" s="445" t="s">
        <v>380</v>
      </c>
      <c r="B31" s="443">
        <v>587</v>
      </c>
      <c r="C31" s="443" t="s">
        <v>377</v>
      </c>
      <c r="D31" s="445"/>
      <c r="E31" s="445"/>
      <c r="F31" s="445"/>
      <c r="G31" s="445"/>
      <c r="H31" s="445"/>
      <c r="I31" s="445"/>
      <c r="J31" s="445"/>
      <c r="K31" s="445"/>
      <c r="L31" s="445"/>
      <c r="M31" s="445"/>
      <c r="N31" s="445"/>
      <c r="O31" s="443">
        <v>30000009250</v>
      </c>
      <c r="P31" s="444">
        <f>+BIODIESEL!$D$9</f>
        <v>396.73</v>
      </c>
      <c r="Q31" s="443" t="s">
        <v>378</v>
      </c>
      <c r="R31" s="443">
        <v>1</v>
      </c>
      <c r="S31" s="448" t="s">
        <v>379</v>
      </c>
      <c r="T31" s="445" t="s">
        <v>400</v>
      </c>
      <c r="U31" s="458" t="str">
        <f t="shared" si="0"/>
        <v>07.11.2024</v>
      </c>
      <c r="V31" s="457" t="str">
        <f t="shared" si="0"/>
        <v>30.11.2024</v>
      </c>
    </row>
    <row r="32" spans="1:22" ht="15">
      <c r="A32" s="453" t="s">
        <v>380</v>
      </c>
      <c r="B32" s="443">
        <v>587</v>
      </c>
      <c r="C32" s="453" t="s">
        <v>377</v>
      </c>
      <c r="D32" s="453"/>
      <c r="E32" s="453"/>
      <c r="F32" s="453"/>
      <c r="G32" s="453"/>
      <c r="H32" s="453"/>
      <c r="I32" s="453"/>
      <c r="J32" s="453"/>
      <c r="K32" s="453"/>
      <c r="L32" s="453"/>
      <c r="M32" s="453"/>
      <c r="N32" s="453"/>
      <c r="O32" s="453">
        <v>30000009300</v>
      </c>
      <c r="P32" s="444">
        <f>+BIODIESEL!$D$9</f>
        <v>396.73</v>
      </c>
      <c r="Q32" s="453" t="s">
        <v>378</v>
      </c>
      <c r="R32" s="453">
        <v>1</v>
      </c>
      <c r="S32" s="455" t="s">
        <v>379</v>
      </c>
      <c r="T32" s="445" t="s">
        <v>400</v>
      </c>
      <c r="U32" s="458" t="str">
        <f t="shared" si="0"/>
        <v>07.11.2024</v>
      </c>
      <c r="V32" s="457" t="str">
        <f t="shared" si="0"/>
        <v>30.11.2024</v>
      </c>
    </row>
    <row r="33" spans="1:22" ht="15">
      <c r="A33" s="445" t="s">
        <v>383</v>
      </c>
      <c r="B33" s="443">
        <v>587</v>
      </c>
      <c r="C33" s="443" t="s">
        <v>377</v>
      </c>
      <c r="D33" s="445"/>
      <c r="E33" s="445"/>
      <c r="F33" s="445"/>
      <c r="G33" s="445"/>
      <c r="H33" s="445"/>
      <c r="I33" s="445"/>
      <c r="J33" s="445"/>
      <c r="K33" s="445"/>
      <c r="L33" s="445"/>
      <c r="M33" s="445"/>
      <c r="N33" s="445"/>
      <c r="O33" s="453">
        <v>30000000004</v>
      </c>
      <c r="P33" s="444">
        <f>+BIODIESEL!$C$7</f>
        <v>5256.07</v>
      </c>
      <c r="Q33" s="443" t="s">
        <v>378</v>
      </c>
      <c r="R33" s="443">
        <v>1</v>
      </c>
      <c r="S33" s="448" t="s">
        <v>379</v>
      </c>
      <c r="T33" s="445" t="s">
        <v>400</v>
      </c>
      <c r="U33" s="458" t="str">
        <f t="shared" si="0"/>
        <v>07.11.2024</v>
      </c>
      <c r="V33" s="457" t="str">
        <f t="shared" si="0"/>
        <v>30.11.2024</v>
      </c>
    </row>
    <row r="34" spans="1:22" ht="15">
      <c r="A34" s="445" t="s">
        <v>383</v>
      </c>
      <c r="B34" s="443">
        <v>567</v>
      </c>
      <c r="C34" s="443" t="s">
        <v>377</v>
      </c>
      <c r="D34" s="445"/>
      <c r="E34" s="445"/>
      <c r="F34" s="445"/>
      <c r="G34" s="445"/>
      <c r="H34" s="445"/>
      <c r="I34" s="445"/>
      <c r="J34" s="445"/>
      <c r="K34" s="445"/>
      <c r="L34" s="445"/>
      <c r="M34" s="445" t="s">
        <v>382</v>
      </c>
      <c r="N34" s="445"/>
      <c r="O34" s="453">
        <v>30000000004</v>
      </c>
      <c r="P34" s="444">
        <f>+BIODIESEL!$C$7</f>
        <v>5256.07</v>
      </c>
      <c r="Q34" s="443" t="s">
        <v>378</v>
      </c>
      <c r="R34" s="443">
        <v>1</v>
      </c>
      <c r="S34" s="448" t="s">
        <v>379</v>
      </c>
      <c r="T34" s="445" t="s">
        <v>400</v>
      </c>
      <c r="U34" s="458" t="str">
        <f t="shared" si="0"/>
        <v>07.11.2024</v>
      </c>
      <c r="V34" s="457" t="str">
        <f t="shared" si="0"/>
        <v>30.11.2024</v>
      </c>
    </row>
    <row r="35" spans="1:22" ht="15">
      <c r="A35" s="445" t="s">
        <v>383</v>
      </c>
      <c r="B35" s="443">
        <v>587</v>
      </c>
      <c r="C35" s="443" t="s">
        <v>377</v>
      </c>
      <c r="D35" s="445"/>
      <c r="E35" s="445"/>
      <c r="F35" s="445"/>
      <c r="G35" s="445"/>
      <c r="H35" s="445"/>
      <c r="I35" s="445"/>
      <c r="J35" s="445"/>
      <c r="K35" s="445"/>
      <c r="L35" s="445"/>
      <c r="M35" s="445"/>
      <c r="N35" s="445"/>
      <c r="O35" s="453">
        <v>30000000002</v>
      </c>
      <c r="P35" s="444">
        <f>+BIODIESEL!$C$7</f>
        <v>5256.07</v>
      </c>
      <c r="Q35" s="443" t="s">
        <v>378</v>
      </c>
      <c r="R35" s="443">
        <v>1</v>
      </c>
      <c r="S35" s="448" t="s">
        <v>379</v>
      </c>
      <c r="T35" s="445" t="s">
        <v>400</v>
      </c>
      <c r="U35" s="458" t="str">
        <f>+U33</f>
        <v>07.11.2024</v>
      </c>
      <c r="V35" s="457" t="str">
        <f>+V33</f>
        <v>30.11.2024</v>
      </c>
    </row>
    <row r="36" spans="1:22" ht="15">
      <c r="A36" s="445" t="s">
        <v>383</v>
      </c>
      <c r="B36" s="443">
        <v>587</v>
      </c>
      <c r="C36" s="443" t="s">
        <v>377</v>
      </c>
      <c r="D36" s="445"/>
      <c r="E36" s="445"/>
      <c r="F36" s="445"/>
      <c r="G36" s="445"/>
      <c r="H36" s="445"/>
      <c r="I36" s="445"/>
      <c r="J36" s="445"/>
      <c r="K36" s="445"/>
      <c r="L36" s="445"/>
      <c r="M36" s="445"/>
      <c r="N36" s="445"/>
      <c r="O36" s="453">
        <v>30000002116</v>
      </c>
      <c r="P36" s="444">
        <f>+BIODIESEL!$C$7</f>
        <v>5256.07</v>
      </c>
      <c r="Q36" s="443" t="s">
        <v>378</v>
      </c>
      <c r="R36" s="443">
        <v>1</v>
      </c>
      <c r="S36" s="448" t="s">
        <v>379</v>
      </c>
      <c r="T36" s="445" t="s">
        <v>400</v>
      </c>
      <c r="U36" s="458" t="str">
        <f t="shared" si="0"/>
        <v>07.11.2024</v>
      </c>
      <c r="V36" s="457" t="str">
        <f t="shared" si="0"/>
        <v>30.11.2024</v>
      </c>
    </row>
    <row r="37" spans="1:22" ht="15">
      <c r="A37" s="445" t="s">
        <v>383</v>
      </c>
      <c r="B37" s="443">
        <v>587</v>
      </c>
      <c r="C37" s="443" t="s">
        <v>377</v>
      </c>
      <c r="D37" s="445"/>
      <c r="E37" s="445"/>
      <c r="F37" s="445"/>
      <c r="G37" s="445"/>
      <c r="H37" s="445"/>
      <c r="I37" s="445"/>
      <c r="J37" s="445"/>
      <c r="K37" s="445"/>
      <c r="L37" s="445"/>
      <c r="M37" s="445"/>
      <c r="N37" s="445"/>
      <c r="O37" s="453">
        <v>30000000070</v>
      </c>
      <c r="P37" s="454">
        <f>+'COMBUSTIBLES '!$B$7</f>
        <v>10380.44</v>
      </c>
      <c r="Q37" s="443" t="s">
        <v>378</v>
      </c>
      <c r="R37" s="443">
        <v>1</v>
      </c>
      <c r="S37" s="448" t="s">
        <v>379</v>
      </c>
      <c r="T37" s="445" t="s">
        <v>400</v>
      </c>
      <c r="U37" s="458" t="str">
        <f t="shared" si="0"/>
        <v>07.11.2024</v>
      </c>
      <c r="V37" s="457" t="str">
        <f t="shared" si="0"/>
        <v>30.11.2024</v>
      </c>
    </row>
    <row r="38" spans="1:22" ht="15">
      <c r="A38" s="445" t="s">
        <v>383</v>
      </c>
      <c r="B38" s="443">
        <v>567</v>
      </c>
      <c r="C38" s="453" t="s">
        <v>377</v>
      </c>
      <c r="D38" s="453"/>
      <c r="E38" s="453"/>
      <c r="F38" s="453"/>
      <c r="G38" s="453"/>
      <c r="H38" s="453"/>
      <c r="I38" s="453"/>
      <c r="J38" s="453"/>
      <c r="K38" s="453"/>
      <c r="L38" s="453"/>
      <c r="M38" s="453" t="s">
        <v>381</v>
      </c>
      <c r="N38" s="453"/>
      <c r="O38" s="453">
        <v>30000000070</v>
      </c>
      <c r="P38" s="454">
        <f>+'COMBUSTIBLES '!$B$7</f>
        <v>10380.44</v>
      </c>
      <c r="Q38" s="445" t="s">
        <v>378</v>
      </c>
      <c r="R38" s="445">
        <v>1</v>
      </c>
      <c r="S38" s="445" t="s">
        <v>379</v>
      </c>
      <c r="T38" s="445" t="s">
        <v>400</v>
      </c>
      <c r="U38" s="458" t="str">
        <f t="shared" si="0"/>
        <v>07.11.2024</v>
      </c>
      <c r="V38" s="457" t="str">
        <f t="shared" si="0"/>
        <v>30.11.2024</v>
      </c>
    </row>
    <row r="39" spans="1:22" ht="15">
      <c r="A39" s="445" t="s">
        <v>383</v>
      </c>
      <c r="B39" s="443">
        <v>587</v>
      </c>
      <c r="C39" s="443" t="s">
        <v>377</v>
      </c>
      <c r="D39" s="445"/>
      <c r="E39" s="445"/>
      <c r="F39" s="445"/>
      <c r="G39" s="445"/>
      <c r="H39" s="445"/>
      <c r="I39" s="445"/>
      <c r="J39" s="445"/>
      <c r="K39" s="445"/>
      <c r="L39" s="445"/>
      <c r="M39" s="445"/>
      <c r="N39" s="445"/>
      <c r="O39" s="453">
        <v>30000009113</v>
      </c>
      <c r="P39" s="454">
        <f>+'COMBUSTIBLES '!$B$7</f>
        <v>10380.44</v>
      </c>
      <c r="Q39" s="443" t="s">
        <v>378</v>
      </c>
      <c r="R39" s="443">
        <v>1</v>
      </c>
      <c r="S39" s="448" t="s">
        <v>379</v>
      </c>
      <c r="T39" s="445" t="s">
        <v>400</v>
      </c>
      <c r="U39" s="458" t="str">
        <f>+U37</f>
        <v>07.11.2024</v>
      </c>
      <c r="V39" s="457" t="str">
        <f>+V37</f>
        <v>30.11.2024</v>
      </c>
    </row>
    <row r="40" spans="1:22" ht="15">
      <c r="A40" s="453" t="s">
        <v>383</v>
      </c>
      <c r="B40" s="443">
        <v>587</v>
      </c>
      <c r="C40" s="443" t="s">
        <v>377</v>
      </c>
      <c r="D40" s="453"/>
      <c r="E40" s="453"/>
      <c r="F40" s="453"/>
      <c r="G40" s="453"/>
      <c r="H40" s="453"/>
      <c r="I40" s="453"/>
      <c r="J40" s="453"/>
      <c r="K40" s="453"/>
      <c r="L40" s="453"/>
      <c r="M40" s="453"/>
      <c r="N40" s="453"/>
      <c r="O40" s="453">
        <v>30000000003</v>
      </c>
      <c r="P40" s="444">
        <f>+BIODIESEL!$C$7</f>
        <v>5256.07</v>
      </c>
      <c r="Q40" s="443" t="s">
        <v>378</v>
      </c>
      <c r="R40" s="443">
        <v>1</v>
      </c>
      <c r="S40" s="448" t="s">
        <v>379</v>
      </c>
      <c r="T40" s="445" t="s">
        <v>400</v>
      </c>
      <c r="U40" s="458" t="str">
        <f t="shared" si="0"/>
        <v>07.11.2024</v>
      </c>
      <c r="V40" s="457" t="str">
        <f t="shared" si="0"/>
        <v>30.11.2024</v>
      </c>
    </row>
    <row r="41" spans="1:22" ht="15">
      <c r="A41" s="445" t="s">
        <v>376</v>
      </c>
      <c r="B41" s="443">
        <v>567</v>
      </c>
      <c r="C41" s="443" t="s">
        <v>377</v>
      </c>
      <c r="D41" s="445"/>
      <c r="E41" s="445"/>
      <c r="F41" s="445"/>
      <c r="G41" s="445"/>
      <c r="H41" s="445"/>
      <c r="I41" s="445"/>
      <c r="J41" s="445"/>
      <c r="K41" s="445"/>
      <c r="L41" s="445"/>
      <c r="M41" s="445" t="s">
        <v>384</v>
      </c>
      <c r="N41" s="445"/>
      <c r="O41" s="443">
        <v>30000002129</v>
      </c>
      <c r="P41" s="444">
        <f>+BIODIESEL!$D$8</f>
        <v>5150.95</v>
      </c>
      <c r="Q41" s="443" t="s">
        <v>378</v>
      </c>
      <c r="R41" s="443">
        <v>1</v>
      </c>
      <c r="S41" s="448" t="s">
        <v>379</v>
      </c>
      <c r="T41" s="445" t="s">
        <v>400</v>
      </c>
      <c r="U41" s="458" t="str">
        <f t="shared" si="0"/>
        <v>07.11.2024</v>
      </c>
      <c r="V41" s="457" t="str">
        <f t="shared" si="0"/>
        <v>30.11.2024</v>
      </c>
    </row>
    <row r="42" spans="1:22" ht="15">
      <c r="A42" s="445" t="s">
        <v>380</v>
      </c>
      <c r="B42" s="443">
        <v>567</v>
      </c>
      <c r="C42" s="443" t="s">
        <v>377</v>
      </c>
      <c r="D42" s="445"/>
      <c r="E42" s="445"/>
      <c r="F42" s="445"/>
      <c r="G42" s="445"/>
      <c r="H42" s="445"/>
      <c r="I42" s="445"/>
      <c r="J42" s="445"/>
      <c r="K42" s="445"/>
      <c r="L42" s="445"/>
      <c r="M42" s="445" t="s">
        <v>384</v>
      </c>
      <c r="N42" s="445"/>
      <c r="O42" s="443">
        <v>30000002129</v>
      </c>
      <c r="P42" s="444">
        <f>+BIODIESEL!$D$9</f>
        <v>396.73</v>
      </c>
      <c r="Q42" s="443" t="s">
        <v>378</v>
      </c>
      <c r="R42" s="443">
        <v>1</v>
      </c>
      <c r="S42" s="448" t="s">
        <v>379</v>
      </c>
      <c r="T42" s="445" t="s">
        <v>400</v>
      </c>
      <c r="U42" s="458" t="str">
        <f t="shared" si="0"/>
        <v>07.11.2024</v>
      </c>
      <c r="V42" s="457" t="str">
        <f t="shared" si="0"/>
        <v>30.11.2024</v>
      </c>
    </row>
    <row r="43" spans="1:22" ht="15">
      <c r="A43" s="445" t="s">
        <v>376</v>
      </c>
      <c r="B43" s="443">
        <v>567</v>
      </c>
      <c r="C43" s="443" t="s">
        <v>377</v>
      </c>
      <c r="D43" s="445"/>
      <c r="E43" s="445"/>
      <c r="F43" s="445"/>
      <c r="G43" s="445"/>
      <c r="H43" s="445"/>
      <c r="I43" s="445"/>
      <c r="J43" s="445"/>
      <c r="K43" s="445"/>
      <c r="L43" s="445"/>
      <c r="M43" s="445" t="s">
        <v>401</v>
      </c>
      <c r="N43" s="445"/>
      <c r="O43" s="443">
        <v>30000009250</v>
      </c>
      <c r="P43" s="444">
        <f>+BIODIESEL!$D$8</f>
        <v>5150.95</v>
      </c>
      <c r="Q43" s="443" t="s">
        <v>378</v>
      </c>
      <c r="R43" s="443">
        <v>1</v>
      </c>
      <c r="S43" s="448" t="s">
        <v>379</v>
      </c>
      <c r="T43" s="445" t="s">
        <v>400</v>
      </c>
      <c r="U43" s="458" t="str">
        <f t="shared" si="0"/>
        <v>07.11.2024</v>
      </c>
      <c r="V43" s="457" t="str">
        <f t="shared" si="0"/>
        <v>30.11.2024</v>
      </c>
    </row>
    <row r="44" spans="1:22" ht="15">
      <c r="A44" s="445" t="s">
        <v>380</v>
      </c>
      <c r="B44" s="443">
        <v>567</v>
      </c>
      <c r="C44" s="443" t="s">
        <v>377</v>
      </c>
      <c r="D44" s="445"/>
      <c r="E44" s="445"/>
      <c r="F44" s="445"/>
      <c r="G44" s="445"/>
      <c r="H44" s="445"/>
      <c r="I44" s="445"/>
      <c r="J44" s="445"/>
      <c r="K44" s="445"/>
      <c r="L44" s="445"/>
      <c r="M44" s="445" t="s">
        <v>401</v>
      </c>
      <c r="N44" s="445"/>
      <c r="O44" s="443">
        <v>30000009250</v>
      </c>
      <c r="P44" s="444">
        <f>+BIODIESEL!$D$9</f>
        <v>396.73</v>
      </c>
      <c r="Q44" s="443" t="s">
        <v>378</v>
      </c>
      <c r="R44" s="443">
        <v>1</v>
      </c>
      <c r="S44" s="448" t="s">
        <v>379</v>
      </c>
      <c r="T44" s="445" t="s">
        <v>400</v>
      </c>
      <c r="U44" s="458" t="str">
        <f t="shared" si="0"/>
        <v>07.11.2024</v>
      </c>
      <c r="V44" s="457" t="str">
        <f t="shared" si="0"/>
        <v>30.11.2024</v>
      </c>
    </row>
    <row r="45" spans="1:22" ht="45">
      <c r="A45" s="465" t="s">
        <v>354</v>
      </c>
      <c r="B45" s="465" t="s">
        <v>355</v>
      </c>
      <c r="C45" s="465" t="s">
        <v>356</v>
      </c>
      <c r="D45" s="465" t="s">
        <v>357</v>
      </c>
      <c r="E45" s="465" t="s">
        <v>358</v>
      </c>
      <c r="F45" s="465" t="s">
        <v>359</v>
      </c>
      <c r="G45" s="465" t="s">
        <v>360</v>
      </c>
      <c r="H45" s="465" t="s">
        <v>361</v>
      </c>
      <c r="I45" s="465" t="s">
        <v>362</v>
      </c>
      <c r="J45" s="465" t="s">
        <v>363</v>
      </c>
      <c r="K45" s="465" t="s">
        <v>364</v>
      </c>
      <c r="L45" s="465" t="s">
        <v>365</v>
      </c>
      <c r="M45" s="465" t="s">
        <v>366</v>
      </c>
      <c r="N45" s="465" t="s">
        <v>367</v>
      </c>
      <c r="O45" s="465" t="s">
        <v>368</v>
      </c>
      <c r="P45" s="465" t="s">
        <v>369</v>
      </c>
      <c r="Q45" s="465" t="s">
        <v>370</v>
      </c>
      <c r="R45" s="465" t="s">
        <v>371</v>
      </c>
      <c r="S45" s="465" t="s">
        <v>372</v>
      </c>
      <c r="T45" s="465" t="s">
        <v>373</v>
      </c>
      <c r="U45" s="465" t="s">
        <v>374</v>
      </c>
      <c r="V45" s="465" t="s">
        <v>375</v>
      </c>
    </row>
    <row r="46" spans="1:22" ht="15">
      <c r="A46" s="445" t="s">
        <v>383</v>
      </c>
      <c r="B46" s="445">
        <v>931</v>
      </c>
      <c r="C46" s="445" t="s">
        <v>377</v>
      </c>
      <c r="D46" s="445"/>
      <c r="E46" s="445"/>
      <c r="F46" s="445"/>
      <c r="G46" s="445"/>
      <c r="H46" s="445"/>
      <c r="I46" s="619">
        <v>90001437</v>
      </c>
      <c r="J46" s="445"/>
      <c r="K46" s="445"/>
      <c r="L46" s="445"/>
      <c r="M46" s="445" t="s">
        <v>382</v>
      </c>
      <c r="N46" s="445"/>
      <c r="O46" s="620">
        <v>30000009504</v>
      </c>
      <c r="P46" s="635">
        <f>+'COMBUSTIBLES '!$C$7</f>
        <v>12460</v>
      </c>
      <c r="Q46" s="445" t="s">
        <v>390</v>
      </c>
      <c r="R46" s="445">
        <v>1</v>
      </c>
      <c r="S46" s="445" t="s">
        <v>379</v>
      </c>
      <c r="T46" s="445" t="s">
        <v>400</v>
      </c>
      <c r="U46" s="458" t="s">
        <v>423</v>
      </c>
      <c r="V46" s="617" t="s">
        <v>435</v>
      </c>
    </row>
    <row r="47" spans="1:22" ht="15">
      <c r="A47" s="445" t="s">
        <v>383</v>
      </c>
      <c r="B47" s="445">
        <v>931</v>
      </c>
      <c r="C47" s="445" t="s">
        <v>377</v>
      </c>
      <c r="D47" s="445"/>
      <c r="E47" s="445"/>
      <c r="F47" s="445"/>
      <c r="G47" s="445"/>
      <c r="H47" s="445"/>
      <c r="I47" s="619">
        <v>90002757</v>
      </c>
      <c r="J47" s="445"/>
      <c r="K47" s="445"/>
      <c r="L47" s="445"/>
      <c r="M47" s="445" t="s">
        <v>382</v>
      </c>
      <c r="N47" s="445"/>
      <c r="O47" s="620">
        <v>30000009504</v>
      </c>
      <c r="P47" s="635">
        <f>+'COMBUSTIBLES '!$C$7</f>
        <v>12460</v>
      </c>
      <c r="Q47" s="445" t="s">
        <v>390</v>
      </c>
      <c r="R47" s="445">
        <v>1</v>
      </c>
      <c r="S47" s="445" t="s">
        <v>379</v>
      </c>
      <c r="T47" s="445" t="s">
        <v>400</v>
      </c>
      <c r="U47" s="458" t="str">
        <f t="shared" ref="U47:V52" si="1">+U46</f>
        <v>01.09.2024</v>
      </c>
      <c r="V47" s="617" t="str">
        <f t="shared" si="1"/>
        <v>30.09.2024</v>
      </c>
    </row>
    <row r="48" spans="1:22" ht="15">
      <c r="A48" s="445" t="s">
        <v>383</v>
      </c>
      <c r="B48" s="445">
        <v>931</v>
      </c>
      <c r="C48" s="445" t="s">
        <v>377</v>
      </c>
      <c r="D48" s="445"/>
      <c r="E48" s="445"/>
      <c r="F48" s="445"/>
      <c r="G48" s="445"/>
      <c r="H48" s="445"/>
      <c r="I48" s="619">
        <v>90001641</v>
      </c>
      <c r="J48" s="445"/>
      <c r="K48" s="445"/>
      <c r="L48" s="445"/>
      <c r="M48" s="445" t="s">
        <v>382</v>
      </c>
      <c r="N48" s="445"/>
      <c r="O48" s="620">
        <v>30000009504</v>
      </c>
      <c r="P48" s="635">
        <f>+'COMBUSTIBLES '!$C$7</f>
        <v>12460</v>
      </c>
      <c r="Q48" s="445" t="s">
        <v>390</v>
      </c>
      <c r="R48" s="445">
        <v>1</v>
      </c>
      <c r="S48" s="445" t="s">
        <v>379</v>
      </c>
      <c r="T48" s="445" t="s">
        <v>400</v>
      </c>
      <c r="U48" s="458" t="str">
        <f t="shared" si="1"/>
        <v>01.09.2024</v>
      </c>
      <c r="V48" s="617" t="str">
        <f t="shared" si="1"/>
        <v>30.09.2024</v>
      </c>
    </row>
    <row r="49" spans="1:22" ht="15">
      <c r="A49" s="445" t="s">
        <v>383</v>
      </c>
      <c r="B49" s="445">
        <v>931</v>
      </c>
      <c r="C49" s="445" t="s">
        <v>377</v>
      </c>
      <c r="D49" s="445"/>
      <c r="E49" s="445"/>
      <c r="F49" s="445"/>
      <c r="G49" s="445"/>
      <c r="H49" s="445"/>
      <c r="I49" s="619">
        <v>90001602</v>
      </c>
      <c r="J49" s="445"/>
      <c r="K49" s="445"/>
      <c r="L49" s="445"/>
      <c r="M49" s="445" t="s">
        <v>381</v>
      </c>
      <c r="N49" s="445"/>
      <c r="O49" s="620">
        <v>30000009504</v>
      </c>
      <c r="P49" s="635">
        <f>+'COMBUSTIBLES '!$C$7</f>
        <v>12460</v>
      </c>
      <c r="Q49" s="445" t="s">
        <v>390</v>
      </c>
      <c r="R49" s="445">
        <v>1</v>
      </c>
      <c r="S49" s="445" t="s">
        <v>379</v>
      </c>
      <c r="T49" s="445" t="s">
        <v>400</v>
      </c>
      <c r="U49" s="458" t="str">
        <f t="shared" si="1"/>
        <v>01.09.2024</v>
      </c>
      <c r="V49" s="617" t="str">
        <f t="shared" si="1"/>
        <v>30.09.2024</v>
      </c>
    </row>
    <row r="50" spans="1:22" ht="15">
      <c r="A50" s="445" t="s">
        <v>383</v>
      </c>
      <c r="B50" s="445">
        <v>931</v>
      </c>
      <c r="C50" s="445" t="s">
        <v>377</v>
      </c>
      <c r="D50" s="445"/>
      <c r="E50" s="445"/>
      <c r="F50" s="445"/>
      <c r="G50" s="445"/>
      <c r="H50" s="445"/>
      <c r="I50" s="619">
        <v>90001432</v>
      </c>
      <c r="J50" s="445"/>
      <c r="K50" s="445"/>
      <c r="L50" s="445"/>
      <c r="M50" s="445" t="s">
        <v>382</v>
      </c>
      <c r="N50" s="445"/>
      <c r="O50" s="620">
        <v>30000009504</v>
      </c>
      <c r="P50" s="635">
        <f>+'COMBUSTIBLES '!$C$7</f>
        <v>12460</v>
      </c>
      <c r="Q50" s="445" t="s">
        <v>390</v>
      </c>
      <c r="R50" s="445">
        <v>1</v>
      </c>
      <c r="S50" s="445" t="s">
        <v>379</v>
      </c>
      <c r="T50" s="445" t="s">
        <v>400</v>
      </c>
      <c r="U50" s="458" t="str">
        <f t="shared" si="1"/>
        <v>01.09.2024</v>
      </c>
      <c r="V50" s="617" t="str">
        <f t="shared" si="1"/>
        <v>30.09.2024</v>
      </c>
    </row>
    <row r="51" spans="1:22" ht="15">
      <c r="A51" s="445" t="s">
        <v>383</v>
      </c>
      <c r="B51" s="445">
        <v>931</v>
      </c>
      <c r="C51" s="445" t="s">
        <v>377</v>
      </c>
      <c r="D51" s="445"/>
      <c r="E51" s="445"/>
      <c r="F51" s="445"/>
      <c r="G51" s="445"/>
      <c r="H51" s="445"/>
      <c r="I51" s="619">
        <v>90002368</v>
      </c>
      <c r="J51" s="445"/>
      <c r="K51" s="445"/>
      <c r="L51" s="445"/>
      <c r="M51" s="445" t="s">
        <v>382</v>
      </c>
      <c r="N51" s="445"/>
      <c r="O51" s="620">
        <v>30000009504</v>
      </c>
      <c r="P51" s="635">
        <f>+'COMBUSTIBLES '!$C$7</f>
        <v>12460</v>
      </c>
      <c r="Q51" s="445" t="s">
        <v>390</v>
      </c>
      <c r="R51" s="445">
        <v>1</v>
      </c>
      <c r="S51" s="445" t="s">
        <v>379</v>
      </c>
      <c r="T51" s="445" t="s">
        <v>400</v>
      </c>
      <c r="U51" s="458" t="str">
        <f t="shared" si="1"/>
        <v>01.09.2024</v>
      </c>
      <c r="V51" s="617" t="str">
        <f t="shared" si="1"/>
        <v>30.09.2024</v>
      </c>
    </row>
    <row r="52" spans="1:22" ht="15">
      <c r="A52" s="445" t="s">
        <v>383</v>
      </c>
      <c r="B52" s="445">
        <v>931</v>
      </c>
      <c r="C52" s="445" t="s">
        <v>377</v>
      </c>
      <c r="D52" s="445"/>
      <c r="E52" s="445"/>
      <c r="F52" s="445"/>
      <c r="G52" s="445"/>
      <c r="H52" s="445"/>
      <c r="I52">
        <v>90001229</v>
      </c>
      <c r="J52" s="445"/>
      <c r="K52" s="445"/>
      <c r="L52" s="445"/>
      <c r="M52" s="445" t="s">
        <v>382</v>
      </c>
      <c r="N52" s="445"/>
      <c r="O52" s="620">
        <v>30000009504</v>
      </c>
      <c r="P52" s="635">
        <f>+'COMBUSTIBLES '!$C$7</f>
        <v>12460</v>
      </c>
      <c r="Q52" s="445" t="s">
        <v>390</v>
      </c>
      <c r="R52" s="445">
        <v>1</v>
      </c>
      <c r="S52" s="445" t="s">
        <v>379</v>
      </c>
      <c r="T52" s="445" t="s">
        <v>400</v>
      </c>
      <c r="U52" s="458" t="str">
        <f t="shared" si="1"/>
        <v>01.09.2024</v>
      </c>
      <c r="V52" s="617" t="str">
        <f t="shared" si="1"/>
        <v>30.09.2024</v>
      </c>
    </row>
    <row r="53" spans="1:22" ht="15">
      <c r="A53" s="445" t="s">
        <v>383</v>
      </c>
      <c r="B53" s="445">
        <v>931</v>
      </c>
      <c r="C53" s="445" t="s">
        <v>377</v>
      </c>
      <c r="D53" s="445"/>
      <c r="E53" s="445"/>
      <c r="F53" s="445"/>
      <c r="G53" s="445"/>
      <c r="H53" s="445"/>
      <c r="I53" s="619">
        <v>90001437</v>
      </c>
      <c r="J53" s="445"/>
      <c r="K53" s="445"/>
      <c r="L53" s="445"/>
      <c r="M53" s="445" t="s">
        <v>381</v>
      </c>
      <c r="N53" s="445"/>
      <c r="O53" s="620">
        <v>30000009504</v>
      </c>
      <c r="P53" s="635">
        <f>+'COMBUSTIBLES '!$C$7</f>
        <v>12460</v>
      </c>
      <c r="Q53" s="445" t="s">
        <v>390</v>
      </c>
      <c r="R53" s="445">
        <v>1</v>
      </c>
      <c r="S53" s="445" t="s">
        <v>379</v>
      </c>
      <c r="T53" s="445" t="s">
        <v>400</v>
      </c>
      <c r="U53" s="458" t="str">
        <f t="shared" ref="U53:V53" si="2">+U52</f>
        <v>01.09.2024</v>
      </c>
      <c r="V53" s="617" t="str">
        <f t="shared" si="2"/>
        <v>30.09.2024</v>
      </c>
    </row>
    <row r="54" spans="1:22" ht="15">
      <c r="A54" s="445" t="s">
        <v>383</v>
      </c>
      <c r="B54" s="445">
        <v>931</v>
      </c>
      <c r="C54" s="445" t="s">
        <v>377</v>
      </c>
      <c r="D54" s="445"/>
      <c r="E54" s="445"/>
      <c r="F54" s="445"/>
      <c r="G54" s="445"/>
      <c r="H54" s="445"/>
      <c r="I54" s="619">
        <v>90002757</v>
      </c>
      <c r="J54" s="445"/>
      <c r="K54" s="445"/>
      <c r="L54" s="445"/>
      <c r="M54" s="445" t="s">
        <v>381</v>
      </c>
      <c r="N54" s="445"/>
      <c r="O54" s="620">
        <v>30000009504</v>
      </c>
      <c r="P54" s="635">
        <f>+'COMBUSTIBLES '!$C$7</f>
        <v>12460</v>
      </c>
      <c r="Q54" s="445" t="s">
        <v>390</v>
      </c>
      <c r="R54" s="445">
        <v>1</v>
      </c>
      <c r="S54" s="445" t="s">
        <v>379</v>
      </c>
      <c r="T54" s="445" t="s">
        <v>400</v>
      </c>
      <c r="U54" s="458" t="str">
        <f t="shared" ref="U54:V54" si="3">+U53</f>
        <v>01.09.2024</v>
      </c>
      <c r="V54" s="617" t="str">
        <f t="shared" si="3"/>
        <v>30.09.2024</v>
      </c>
    </row>
    <row r="55" spans="1:22" ht="15">
      <c r="A55" s="445" t="s">
        <v>383</v>
      </c>
      <c r="B55" s="445">
        <v>931</v>
      </c>
      <c r="C55" s="445" t="s">
        <v>377</v>
      </c>
      <c r="D55" s="445"/>
      <c r="E55" s="445"/>
      <c r="F55" s="445"/>
      <c r="G55" s="445"/>
      <c r="H55" s="445"/>
      <c r="I55" s="619">
        <v>90001641</v>
      </c>
      <c r="J55" s="445"/>
      <c r="K55" s="445"/>
      <c r="L55" s="445"/>
      <c r="M55" s="445" t="s">
        <v>381</v>
      </c>
      <c r="N55" s="445"/>
      <c r="O55" s="620">
        <v>30000009504</v>
      </c>
      <c r="P55" s="635">
        <f>+'COMBUSTIBLES '!$C$7</f>
        <v>12460</v>
      </c>
      <c r="Q55" s="445" t="s">
        <v>390</v>
      </c>
      <c r="R55" s="445">
        <v>1</v>
      </c>
      <c r="S55" s="445" t="s">
        <v>379</v>
      </c>
      <c r="T55" s="445" t="s">
        <v>400</v>
      </c>
      <c r="U55" s="458" t="str">
        <f t="shared" ref="U55:V55" si="4">+U54</f>
        <v>01.09.2024</v>
      </c>
      <c r="V55" s="617" t="str">
        <f t="shared" si="4"/>
        <v>30.09.2024</v>
      </c>
    </row>
    <row r="56" spans="1:22" ht="15">
      <c r="A56" s="445" t="s">
        <v>383</v>
      </c>
      <c r="B56" s="445">
        <v>931</v>
      </c>
      <c r="C56" s="445" t="s">
        <v>377</v>
      </c>
      <c r="D56" s="445"/>
      <c r="E56" s="445"/>
      <c r="F56" s="445"/>
      <c r="G56" s="445"/>
      <c r="H56" s="445"/>
      <c r="I56" s="619">
        <v>90001602</v>
      </c>
      <c r="J56" s="445"/>
      <c r="K56" s="445"/>
      <c r="L56" s="445"/>
      <c r="M56" s="445" t="s">
        <v>381</v>
      </c>
      <c r="N56" s="445"/>
      <c r="O56" s="620">
        <v>30000009504</v>
      </c>
      <c r="P56" s="635">
        <f>+'COMBUSTIBLES '!$C$7</f>
        <v>12460</v>
      </c>
      <c r="Q56" s="445" t="s">
        <v>390</v>
      </c>
      <c r="R56" s="445">
        <v>1</v>
      </c>
      <c r="S56" s="445" t="s">
        <v>379</v>
      </c>
      <c r="T56" s="445" t="s">
        <v>400</v>
      </c>
      <c r="U56" s="458" t="str">
        <f t="shared" ref="U56:V56" si="5">+U55</f>
        <v>01.09.2024</v>
      </c>
      <c r="V56" s="617" t="str">
        <f t="shared" si="5"/>
        <v>30.09.2024</v>
      </c>
    </row>
    <row r="57" spans="1:22" ht="15">
      <c r="A57" s="445" t="s">
        <v>383</v>
      </c>
      <c r="B57" s="445">
        <v>931</v>
      </c>
      <c r="C57" s="445" t="s">
        <v>377</v>
      </c>
      <c r="D57" s="445"/>
      <c r="E57" s="445"/>
      <c r="F57" s="445"/>
      <c r="G57" s="445"/>
      <c r="H57" s="445"/>
      <c r="I57" s="619">
        <v>90001432</v>
      </c>
      <c r="J57" s="445"/>
      <c r="K57" s="445"/>
      <c r="L57" s="445"/>
      <c r="M57" s="445" t="s">
        <v>381</v>
      </c>
      <c r="N57" s="445"/>
      <c r="O57" s="620">
        <v>30000009504</v>
      </c>
      <c r="P57" s="635">
        <f>+'COMBUSTIBLES '!$C$7</f>
        <v>12460</v>
      </c>
      <c r="Q57" s="445" t="s">
        <v>390</v>
      </c>
      <c r="R57" s="445">
        <v>1</v>
      </c>
      <c r="S57" s="445" t="s">
        <v>379</v>
      </c>
      <c r="T57" s="445" t="s">
        <v>400</v>
      </c>
      <c r="U57" s="458" t="str">
        <f t="shared" ref="U57:V57" si="6">+U56</f>
        <v>01.09.2024</v>
      </c>
      <c r="V57" s="617" t="str">
        <f t="shared" si="6"/>
        <v>30.09.2024</v>
      </c>
    </row>
    <row r="58" spans="1:22" ht="15">
      <c r="A58" s="445" t="s">
        <v>383</v>
      </c>
      <c r="B58" s="445">
        <v>931</v>
      </c>
      <c r="C58" s="445" t="s">
        <v>377</v>
      </c>
      <c r="D58" s="445"/>
      <c r="E58" s="445"/>
      <c r="F58" s="445"/>
      <c r="G58" s="445"/>
      <c r="H58" s="445"/>
      <c r="I58" s="619">
        <v>90002368</v>
      </c>
      <c r="J58" s="445"/>
      <c r="K58" s="445"/>
      <c r="L58" s="445"/>
      <c r="M58" s="445" t="s">
        <v>381</v>
      </c>
      <c r="N58" s="445"/>
      <c r="O58" s="620">
        <v>30000009504</v>
      </c>
      <c r="P58" s="635">
        <f>+'COMBUSTIBLES '!$C$7</f>
        <v>12460</v>
      </c>
      <c r="Q58" s="445" t="s">
        <v>390</v>
      </c>
      <c r="R58" s="445">
        <v>1</v>
      </c>
      <c r="S58" s="445" t="s">
        <v>379</v>
      </c>
      <c r="T58" s="445" t="s">
        <v>400</v>
      </c>
      <c r="U58" s="458" t="str">
        <f t="shared" ref="U58:V58" si="7">+U57</f>
        <v>01.09.2024</v>
      </c>
      <c r="V58" s="617" t="str">
        <f t="shared" si="7"/>
        <v>30.09.2024</v>
      </c>
    </row>
    <row r="59" spans="1:22" ht="15">
      <c r="A59" s="445" t="s">
        <v>383</v>
      </c>
      <c r="B59" s="445">
        <v>931</v>
      </c>
      <c r="C59" s="445" t="s">
        <v>377</v>
      </c>
      <c r="D59" s="445"/>
      <c r="E59" s="445"/>
      <c r="F59" s="445"/>
      <c r="G59" s="445"/>
      <c r="H59" s="445"/>
      <c r="I59">
        <v>90001229</v>
      </c>
      <c r="J59" s="445"/>
      <c r="K59" s="445"/>
      <c r="L59" s="445"/>
      <c r="M59" s="445" t="s">
        <v>381</v>
      </c>
      <c r="N59" s="445"/>
      <c r="O59" s="620">
        <v>30000009504</v>
      </c>
      <c r="P59" s="635">
        <f>+'COMBUSTIBLES '!$C$7</f>
        <v>12460</v>
      </c>
      <c r="Q59" s="445" t="s">
        <v>390</v>
      </c>
      <c r="R59" s="445">
        <v>1</v>
      </c>
      <c r="S59" s="445" t="s">
        <v>379</v>
      </c>
      <c r="T59" s="445" t="s">
        <v>400</v>
      </c>
      <c r="U59" s="458" t="str">
        <f t="shared" ref="U59:V59" si="8">+U58</f>
        <v>01.09.2024</v>
      </c>
      <c r="V59" s="617" t="str">
        <f t="shared" si="8"/>
        <v>30.09.2024</v>
      </c>
    </row>
    <row r="60" spans="1:22" ht="15">
      <c r="A60" s="445" t="s">
        <v>383</v>
      </c>
      <c r="B60" s="445">
        <v>567</v>
      </c>
      <c r="C60" s="445" t="s">
        <v>377</v>
      </c>
      <c r="D60" s="445"/>
      <c r="E60" s="445"/>
      <c r="F60" s="445"/>
      <c r="G60" s="445"/>
      <c r="H60" s="445"/>
      <c r="I60" s="445"/>
      <c r="J60" s="445"/>
      <c r="K60" s="445"/>
      <c r="L60" s="445"/>
      <c r="M60" s="445" t="s">
        <v>381</v>
      </c>
      <c r="N60" s="445"/>
      <c r="O60" s="445">
        <v>30000009504</v>
      </c>
      <c r="P60" s="635">
        <f>+'COMBUSTIBLES '!$D$7</f>
        <v>12661</v>
      </c>
      <c r="Q60" s="445" t="s">
        <v>378</v>
      </c>
      <c r="R60" s="445">
        <v>1</v>
      </c>
      <c r="S60" s="445" t="s">
        <v>379</v>
      </c>
      <c r="T60" s="445" t="s">
        <v>400</v>
      </c>
      <c r="U60" s="458" t="str">
        <f t="shared" ref="U60:V60" si="9">+U59</f>
        <v>01.09.2024</v>
      </c>
      <c r="V60" s="617" t="str">
        <f t="shared" si="9"/>
        <v>30.09.2024</v>
      </c>
    </row>
    <row r="61" spans="1:22" ht="15">
      <c r="A61" s="445" t="s">
        <v>383</v>
      </c>
      <c r="B61" s="445">
        <v>567</v>
      </c>
      <c r="C61" s="445" t="s">
        <v>377</v>
      </c>
      <c r="D61" s="445"/>
      <c r="E61" s="445"/>
      <c r="F61" s="445"/>
      <c r="G61" s="445"/>
      <c r="H61" s="445"/>
      <c r="I61" s="445"/>
      <c r="J61" s="445"/>
      <c r="K61" s="445"/>
      <c r="L61" s="445"/>
      <c r="M61" s="445" t="s">
        <v>382</v>
      </c>
      <c r="N61" s="445"/>
      <c r="O61" s="445">
        <v>30000009504</v>
      </c>
      <c r="P61" s="635">
        <f>+'COMBUSTIBLES '!$D$7</f>
        <v>12661</v>
      </c>
      <c r="Q61" s="445" t="s">
        <v>378</v>
      </c>
      <c r="R61" s="445">
        <v>1</v>
      </c>
      <c r="S61" s="445" t="s">
        <v>379</v>
      </c>
      <c r="T61" s="445" t="s">
        <v>400</v>
      </c>
      <c r="U61" s="458" t="str">
        <f t="shared" ref="U61:V61" si="10">+U60</f>
        <v>01.09.2024</v>
      </c>
      <c r="V61" s="617" t="str">
        <f t="shared" si="10"/>
        <v>30.09.2024</v>
      </c>
    </row>
    <row r="62" spans="1:22" ht="15">
      <c r="A62" s="445" t="s">
        <v>383</v>
      </c>
      <c r="B62" s="445">
        <v>567</v>
      </c>
      <c r="C62" s="445" t="s">
        <v>377</v>
      </c>
      <c r="D62" s="445"/>
      <c r="E62" s="445"/>
      <c r="F62" s="445"/>
      <c r="G62" s="445"/>
      <c r="H62" s="445"/>
      <c r="I62" s="445"/>
      <c r="J62" s="445"/>
      <c r="K62" s="445"/>
      <c r="L62" s="445"/>
      <c r="M62" s="445" t="s">
        <v>388</v>
      </c>
      <c r="N62" s="445"/>
      <c r="O62" s="620">
        <v>30000009504</v>
      </c>
      <c r="P62" s="635">
        <f>+'COMBUSTIBLES '!$D$7</f>
        <v>12661</v>
      </c>
      <c r="Q62" s="445" t="s">
        <v>378</v>
      </c>
      <c r="R62" s="445">
        <v>1</v>
      </c>
      <c r="S62" s="445" t="s">
        <v>379</v>
      </c>
      <c r="T62" s="445" t="s">
        <v>400</v>
      </c>
      <c r="U62" s="458" t="str">
        <f t="shared" ref="U62:V62" si="11">+U61</f>
        <v>01.09.2024</v>
      </c>
      <c r="V62" s="617" t="str">
        <f t="shared" si="11"/>
        <v>30.09.2024</v>
      </c>
    </row>
    <row r="63" spans="1:22" ht="15">
      <c r="A63" s="445" t="s">
        <v>383</v>
      </c>
      <c r="B63" s="445">
        <v>567</v>
      </c>
      <c r="C63" s="445" t="s">
        <v>377</v>
      </c>
      <c r="D63" s="445"/>
      <c r="E63" s="445"/>
      <c r="F63" s="445"/>
      <c r="G63" s="445"/>
      <c r="H63" s="445"/>
      <c r="I63" s="445"/>
      <c r="J63" s="445"/>
      <c r="K63" s="445"/>
      <c r="L63" s="445"/>
      <c r="M63" s="445" t="s">
        <v>391</v>
      </c>
      <c r="N63" s="445"/>
      <c r="O63" s="620">
        <v>30000009504</v>
      </c>
      <c r="P63" s="635">
        <f>+P59</f>
        <v>12460</v>
      </c>
      <c r="Q63" s="445" t="s">
        <v>378</v>
      </c>
      <c r="R63" s="445">
        <v>1</v>
      </c>
      <c r="S63" s="445" t="s">
        <v>379</v>
      </c>
      <c r="T63" s="445" t="s">
        <v>400</v>
      </c>
      <c r="U63" s="458" t="str">
        <f t="shared" ref="U63:V63" si="12">+U62</f>
        <v>01.09.2024</v>
      </c>
      <c r="V63" s="617" t="str">
        <f t="shared" si="12"/>
        <v>30.09.2024</v>
      </c>
    </row>
    <row r="64" spans="1:22" ht="15">
      <c r="A64" s="445" t="s">
        <v>383</v>
      </c>
      <c r="B64" s="445">
        <v>931</v>
      </c>
      <c r="C64" s="445" t="s">
        <v>377</v>
      </c>
      <c r="D64" s="445"/>
      <c r="E64" s="445"/>
      <c r="F64" s="445"/>
      <c r="G64" s="445"/>
      <c r="H64" s="445"/>
      <c r="I64" s="445">
        <v>90001602</v>
      </c>
      <c r="J64" s="445"/>
      <c r="K64" s="445"/>
      <c r="L64" s="445"/>
      <c r="M64" s="445" t="s">
        <v>401</v>
      </c>
      <c r="N64" s="445"/>
      <c r="O64" s="620">
        <v>30000009504</v>
      </c>
      <c r="P64" s="635">
        <f>+'COMBUSTIBLES '!$C$7</f>
        <v>12460</v>
      </c>
      <c r="Q64" s="445" t="s">
        <v>390</v>
      </c>
      <c r="R64" s="445">
        <v>1</v>
      </c>
      <c r="S64" s="445" t="s">
        <v>379</v>
      </c>
      <c r="T64" s="445" t="s">
        <v>400</v>
      </c>
      <c r="U64" s="458" t="str">
        <f t="shared" ref="U64:V64" si="13">+U63</f>
        <v>01.09.2024</v>
      </c>
      <c r="V64" s="617" t="str">
        <f t="shared" si="13"/>
        <v>30.09.2024</v>
      </c>
    </row>
    <row r="65" spans="1:22" ht="15">
      <c r="A65" s="445" t="s">
        <v>383</v>
      </c>
      <c r="B65" s="445">
        <v>567</v>
      </c>
      <c r="C65" s="445" t="s">
        <v>377</v>
      </c>
      <c r="D65" s="445"/>
      <c r="E65" s="445"/>
      <c r="F65" s="445"/>
      <c r="G65" s="445"/>
      <c r="H65" s="445"/>
      <c r="I65" s="445"/>
      <c r="J65" s="445"/>
      <c r="K65" s="445"/>
      <c r="L65" s="445"/>
      <c r="M65" s="445" t="s">
        <v>391</v>
      </c>
      <c r="N65" s="445"/>
      <c r="O65" s="620">
        <v>30000009418</v>
      </c>
      <c r="P65" s="635">
        <f>+'COMBUSTIBLES '!$F$7</f>
        <v>18426</v>
      </c>
      <c r="Q65" s="445" t="s">
        <v>378</v>
      </c>
      <c r="R65" s="445">
        <v>1</v>
      </c>
      <c r="S65" s="445" t="s">
        <v>392</v>
      </c>
      <c r="T65" s="445" t="s">
        <v>400</v>
      </c>
      <c r="U65" s="458" t="str">
        <f t="shared" ref="U65:V65" si="14">+U64</f>
        <v>01.09.2024</v>
      </c>
      <c r="V65" s="617" t="str">
        <f t="shared" si="14"/>
        <v>30.09.2024</v>
      </c>
    </row>
    <row r="66" spans="1:22" ht="15">
      <c r="A66" s="445" t="s">
        <v>383</v>
      </c>
      <c r="B66" s="445">
        <v>567</v>
      </c>
      <c r="C66" s="445" t="s">
        <v>377</v>
      </c>
      <c r="D66" s="445"/>
      <c r="E66" s="445"/>
      <c r="F66" s="445"/>
      <c r="G66" s="445"/>
      <c r="H66" s="445"/>
      <c r="I66" s="445"/>
      <c r="J66" s="445"/>
      <c r="K66" s="445"/>
      <c r="L66" s="445"/>
      <c r="M66" s="445" t="s">
        <v>388</v>
      </c>
      <c r="N66" s="445"/>
      <c r="O66" s="620">
        <v>30000009418</v>
      </c>
      <c r="P66" s="635">
        <f>+'COMBUSTIBLES '!$F$7</f>
        <v>18426</v>
      </c>
      <c r="Q66" s="445" t="s">
        <v>378</v>
      </c>
      <c r="R66" s="445">
        <v>1</v>
      </c>
      <c r="S66" s="445" t="s">
        <v>392</v>
      </c>
      <c r="T66" s="445" t="s">
        <v>400</v>
      </c>
      <c r="U66" s="458" t="str">
        <f t="shared" ref="U66:V66" si="15">+U65</f>
        <v>01.09.2024</v>
      </c>
      <c r="V66" s="617" t="str">
        <f t="shared" si="15"/>
        <v>30.09.2024</v>
      </c>
    </row>
    <row r="67" spans="1:22" ht="15">
      <c r="A67" s="445" t="s">
        <v>383</v>
      </c>
      <c r="B67" s="445">
        <v>567</v>
      </c>
      <c r="C67" s="445" t="s">
        <v>377</v>
      </c>
      <c r="D67" s="445"/>
      <c r="E67" s="445"/>
      <c r="F67" s="445"/>
      <c r="G67" s="445"/>
      <c r="H67" s="445"/>
      <c r="I67" s="445"/>
      <c r="J67" s="445"/>
      <c r="K67" s="445"/>
      <c r="L67" s="445"/>
      <c r="M67" s="445" t="s">
        <v>381</v>
      </c>
      <c r="N67" s="445"/>
      <c r="O67" s="620">
        <v>30000009418</v>
      </c>
      <c r="P67" s="635">
        <f>+'COMBUSTIBLES '!$F$7</f>
        <v>18426</v>
      </c>
      <c r="Q67" s="445" t="s">
        <v>378</v>
      </c>
      <c r="R67" s="445">
        <v>1</v>
      </c>
      <c r="S67" s="445" t="s">
        <v>392</v>
      </c>
      <c r="T67" s="445" t="s">
        <v>400</v>
      </c>
      <c r="U67" s="458" t="str">
        <f t="shared" ref="U67:V67" si="16">+U66</f>
        <v>01.09.2024</v>
      </c>
      <c r="V67" s="617" t="str">
        <f t="shared" si="16"/>
        <v>30.09.2024</v>
      </c>
    </row>
    <row r="68" spans="1:22" ht="15">
      <c r="A68" s="445" t="s">
        <v>383</v>
      </c>
      <c r="B68" s="445">
        <v>567</v>
      </c>
      <c r="C68" s="445" t="s">
        <v>377</v>
      </c>
      <c r="D68" s="445"/>
      <c r="E68" s="445"/>
      <c r="F68" s="445"/>
      <c r="G68" s="445"/>
      <c r="H68" s="445"/>
      <c r="I68" s="445"/>
      <c r="J68" s="445"/>
      <c r="K68" s="445"/>
      <c r="L68" s="445"/>
      <c r="M68" s="445" t="s">
        <v>382</v>
      </c>
      <c r="N68" s="445"/>
      <c r="O68" s="620">
        <v>30000009418</v>
      </c>
      <c r="P68" s="635">
        <f>+'COMBUSTIBLES '!$F$7</f>
        <v>18426</v>
      </c>
      <c r="Q68" s="445" t="s">
        <v>378</v>
      </c>
      <c r="R68" s="445">
        <v>1</v>
      </c>
      <c r="S68" s="445" t="s">
        <v>392</v>
      </c>
      <c r="T68" s="445" t="s">
        <v>400</v>
      </c>
      <c r="U68" s="458" t="str">
        <f t="shared" ref="U68:V68" si="17">+U67</f>
        <v>01.09.2024</v>
      </c>
      <c r="V68" s="617" t="str">
        <f t="shared" si="17"/>
        <v>30.09.2024</v>
      </c>
    </row>
    <row r="69" spans="1:22" ht="45">
      <c r="A69" s="465" t="s">
        <v>354</v>
      </c>
      <c r="B69" s="465" t="s">
        <v>355</v>
      </c>
      <c r="C69" s="465" t="s">
        <v>356</v>
      </c>
      <c r="D69" s="465" t="s">
        <v>357</v>
      </c>
      <c r="E69" s="465" t="s">
        <v>358</v>
      </c>
      <c r="F69" s="465" t="s">
        <v>359</v>
      </c>
      <c r="G69" s="465" t="s">
        <v>360</v>
      </c>
      <c r="H69" s="465" t="s">
        <v>361</v>
      </c>
      <c r="I69" s="465" t="s">
        <v>362</v>
      </c>
      <c r="J69" s="465" t="s">
        <v>363</v>
      </c>
      <c r="K69" s="465" t="s">
        <v>364</v>
      </c>
      <c r="L69" s="465" t="s">
        <v>365</v>
      </c>
      <c r="M69" s="465" t="s">
        <v>366</v>
      </c>
      <c r="N69" s="465" t="s">
        <v>367</v>
      </c>
      <c r="O69" s="465" t="s">
        <v>368</v>
      </c>
      <c r="P69" s="465" t="s">
        <v>369</v>
      </c>
      <c r="Q69" s="465" t="s">
        <v>370</v>
      </c>
      <c r="R69" s="465" t="s">
        <v>371</v>
      </c>
      <c r="S69" s="465" t="s">
        <v>372</v>
      </c>
      <c r="T69" s="465" t="s">
        <v>373</v>
      </c>
      <c r="U69" s="465" t="s">
        <v>374</v>
      </c>
      <c r="V69" s="465" t="s">
        <v>375</v>
      </c>
    </row>
    <row r="70" spans="1:22" ht="15">
      <c r="A70" s="445" t="s">
        <v>393</v>
      </c>
      <c r="B70" s="445">
        <v>551</v>
      </c>
      <c r="C70" s="445" t="s">
        <v>377</v>
      </c>
      <c r="D70" s="445"/>
      <c r="E70" s="445"/>
      <c r="F70" s="445"/>
      <c r="G70" s="445" t="s">
        <v>394</v>
      </c>
      <c r="H70" s="445"/>
      <c r="I70" s="445"/>
      <c r="J70" s="445"/>
      <c r="K70" s="445"/>
      <c r="L70" s="445"/>
      <c r="M70" s="445" t="s">
        <v>395</v>
      </c>
      <c r="N70" s="445"/>
      <c r="O70" s="445">
        <v>30000002317</v>
      </c>
      <c r="P70" s="444">
        <f>+ROUND('DIESEL MARINO'!$E$53-'DIESEL MARINO'!$F$53,2)*-1</f>
        <v>-1184.72</v>
      </c>
      <c r="Q70" s="445" t="s">
        <v>378</v>
      </c>
      <c r="R70" s="445">
        <v>1</v>
      </c>
      <c r="S70" s="445" t="s">
        <v>379</v>
      </c>
      <c r="T70" s="445" t="s">
        <v>400</v>
      </c>
      <c r="U70" s="458" t="str">
        <f>+U2</f>
        <v>07.11.2024</v>
      </c>
      <c r="V70" s="617" t="str">
        <f>+V66</f>
        <v>30.09.2024</v>
      </c>
    </row>
    <row r="71" spans="1:22" ht="15">
      <c r="A71" s="445" t="s">
        <v>393</v>
      </c>
      <c r="B71" s="445">
        <v>551</v>
      </c>
      <c r="C71" s="618" t="s">
        <v>377</v>
      </c>
      <c r="D71" s="618"/>
      <c r="E71" s="618"/>
      <c r="F71" s="618"/>
      <c r="G71" s="618" t="s">
        <v>394</v>
      </c>
      <c r="H71" s="618"/>
      <c r="I71" s="618"/>
      <c r="J71" s="618"/>
      <c r="K71" s="618"/>
      <c r="L71" s="618"/>
      <c r="M71" s="445" t="s">
        <v>395</v>
      </c>
      <c r="N71" s="618"/>
      <c r="O71" s="618">
        <v>30000009300</v>
      </c>
      <c r="P71" s="444">
        <f>+ROUND('DIESEL MARINO'!$E$53-'DIESEL MARINO'!$F$53,2)*-1</f>
        <v>-1184.72</v>
      </c>
      <c r="Q71" s="618" t="s">
        <v>378</v>
      </c>
      <c r="R71" s="618">
        <v>1</v>
      </c>
      <c r="S71" s="618" t="s">
        <v>379</v>
      </c>
      <c r="T71" s="445" t="s">
        <v>400</v>
      </c>
      <c r="U71" s="458" t="str">
        <f>+U70</f>
        <v>07.11.2024</v>
      </c>
      <c r="V71" s="617" t="str">
        <f>+V70</f>
        <v>30.09.2024</v>
      </c>
    </row>
    <row r="72" spans="1:22" ht="15">
      <c r="A72" s="445" t="s">
        <v>393</v>
      </c>
      <c r="B72" s="445">
        <v>567</v>
      </c>
      <c r="C72" s="445" t="s">
        <v>377</v>
      </c>
      <c r="D72" s="453"/>
      <c r="E72" s="453"/>
      <c r="F72" s="453"/>
      <c r="G72" s="453"/>
      <c r="H72" s="453"/>
      <c r="I72" s="453"/>
      <c r="J72" s="453"/>
      <c r="K72" s="453"/>
      <c r="L72" s="453"/>
      <c r="M72" s="453" t="s">
        <v>395</v>
      </c>
      <c r="N72" s="453"/>
      <c r="O72" s="453">
        <v>30000000004</v>
      </c>
      <c r="P72" s="444">
        <f>ROUND(-('DIESEL MARINO'!$D$6-'DIESEL MARINO'!$F$6),2)</f>
        <v>-1051.21</v>
      </c>
      <c r="Q72" s="453" t="s">
        <v>378</v>
      </c>
      <c r="R72" s="453">
        <v>1</v>
      </c>
      <c r="S72" s="453" t="s">
        <v>379</v>
      </c>
      <c r="T72" s="445" t="s">
        <v>400</v>
      </c>
      <c r="U72" s="458" t="str">
        <f>+U78</f>
        <v>07.11.2024</v>
      </c>
      <c r="V72" s="617" t="str">
        <f>+V78</f>
        <v>30.09.2024</v>
      </c>
    </row>
    <row r="73" spans="1:22" ht="15">
      <c r="A73" s="445" t="s">
        <v>393</v>
      </c>
      <c r="B73" s="445">
        <v>567</v>
      </c>
      <c r="C73" s="445" t="s">
        <v>377</v>
      </c>
      <c r="D73" s="445"/>
      <c r="E73" s="445"/>
      <c r="F73" s="445"/>
      <c r="G73" s="445"/>
      <c r="H73" s="445"/>
      <c r="I73" s="445"/>
      <c r="J73" s="445"/>
      <c r="K73" s="445"/>
      <c r="L73" s="445"/>
      <c r="M73" s="445" t="s">
        <v>395</v>
      </c>
      <c r="N73" s="445"/>
      <c r="O73" s="445">
        <v>30000002129</v>
      </c>
      <c r="P73" s="444">
        <f>ROUND(-('DIESEL MARINO'!$D$6-'DIESEL MARINO'!$F$6)*98%,2)</f>
        <v>-1030.19</v>
      </c>
      <c r="Q73" s="445" t="s">
        <v>378</v>
      </c>
      <c r="R73" s="445">
        <v>1</v>
      </c>
      <c r="S73" s="445" t="s">
        <v>379</v>
      </c>
      <c r="T73" s="445" t="s">
        <v>400</v>
      </c>
      <c r="U73" s="458" t="str">
        <f>+U76</f>
        <v>07.11.2024</v>
      </c>
      <c r="V73" s="617" t="str">
        <f>+V76</f>
        <v>30.09.2024</v>
      </c>
    </row>
    <row r="74" spans="1:22" ht="15">
      <c r="A74" s="445" t="s">
        <v>393</v>
      </c>
      <c r="B74" s="445">
        <v>567</v>
      </c>
      <c r="C74" s="445" t="s">
        <v>377</v>
      </c>
      <c r="D74" s="445"/>
      <c r="E74" s="445"/>
      <c r="F74" s="445"/>
      <c r="G74" s="445"/>
      <c r="H74" s="445"/>
      <c r="I74" s="445"/>
      <c r="J74" s="445"/>
      <c r="K74" s="445"/>
      <c r="L74" s="445"/>
      <c r="M74" s="445" t="s">
        <v>395</v>
      </c>
      <c r="N74" s="445"/>
      <c r="O74" s="445">
        <v>30000002317</v>
      </c>
      <c r="P74" s="444">
        <f>ROUND(-('DIESEL MARINO'!$D$6-'DIESEL MARINO'!$F$6)*98%,2)</f>
        <v>-1030.19</v>
      </c>
      <c r="Q74" s="445" t="s">
        <v>378</v>
      </c>
      <c r="R74" s="445">
        <v>1</v>
      </c>
      <c r="S74" s="445" t="s">
        <v>379</v>
      </c>
      <c r="T74" s="445" t="s">
        <v>400</v>
      </c>
      <c r="U74" s="458" t="str">
        <f>+U73</f>
        <v>07.11.2024</v>
      </c>
      <c r="V74" s="617" t="str">
        <f>+V73</f>
        <v>30.09.2024</v>
      </c>
    </row>
    <row r="75" spans="1:22" ht="15">
      <c r="A75" s="445" t="s">
        <v>393</v>
      </c>
      <c r="B75" s="445">
        <v>567</v>
      </c>
      <c r="C75" s="445" t="s">
        <v>377</v>
      </c>
      <c r="D75" s="445"/>
      <c r="E75" s="445"/>
      <c r="F75" s="445"/>
      <c r="G75" s="445"/>
      <c r="H75" s="445"/>
      <c r="I75" s="445"/>
      <c r="J75" s="445"/>
      <c r="K75" s="445"/>
      <c r="L75" s="445"/>
      <c r="M75" s="445" t="s">
        <v>395</v>
      </c>
      <c r="N75" s="445"/>
      <c r="O75" s="445">
        <v>30000009300</v>
      </c>
      <c r="P75" s="444">
        <f>ROUND(-('DIESEL MARINO'!$D$6-'DIESEL MARINO'!$F$6)*98%,2)</f>
        <v>-1030.19</v>
      </c>
      <c r="Q75" s="445" t="s">
        <v>378</v>
      </c>
      <c r="R75" s="445">
        <v>1</v>
      </c>
      <c r="S75" s="445" t="s">
        <v>379</v>
      </c>
      <c r="T75" s="445" t="s">
        <v>400</v>
      </c>
      <c r="U75" s="458" t="str">
        <f>+U74</f>
        <v>07.11.2024</v>
      </c>
      <c r="V75" s="617" t="str">
        <f>+V74</f>
        <v>30.09.2024</v>
      </c>
    </row>
    <row r="76" spans="1:22" ht="15">
      <c r="A76" s="445" t="s">
        <v>393</v>
      </c>
      <c r="B76" s="445">
        <v>567</v>
      </c>
      <c r="C76" s="445" t="s">
        <v>377</v>
      </c>
      <c r="D76" s="445"/>
      <c r="E76" s="445"/>
      <c r="F76" s="445"/>
      <c r="G76" s="445"/>
      <c r="H76" s="445"/>
      <c r="I76" s="445"/>
      <c r="J76" s="445"/>
      <c r="K76" s="445"/>
      <c r="L76" s="445"/>
      <c r="M76" s="445" t="s">
        <v>396</v>
      </c>
      <c r="N76" s="445"/>
      <c r="O76" s="445">
        <v>30000000004</v>
      </c>
      <c r="P76" s="444">
        <f>ROUND(-('DIESEL MARINO'!$D$6-'DIESEL MARINO'!$F$6),2)</f>
        <v>-1051.21</v>
      </c>
      <c r="Q76" s="445" t="s">
        <v>378</v>
      </c>
      <c r="R76" s="445">
        <v>1</v>
      </c>
      <c r="S76" s="445" t="s">
        <v>379</v>
      </c>
      <c r="T76" s="445" t="s">
        <v>400</v>
      </c>
      <c r="U76" s="458" t="str">
        <f>+U71</f>
        <v>07.11.2024</v>
      </c>
      <c r="V76" s="617" t="str">
        <f>+V71</f>
        <v>30.09.2024</v>
      </c>
    </row>
    <row r="77" spans="1:22" ht="15">
      <c r="A77" s="445" t="s">
        <v>393</v>
      </c>
      <c r="B77" s="445">
        <v>567</v>
      </c>
      <c r="C77" s="445" t="s">
        <v>377</v>
      </c>
      <c r="D77" s="445"/>
      <c r="E77" s="445"/>
      <c r="F77" s="445"/>
      <c r="G77" s="445"/>
      <c r="H77" s="445"/>
      <c r="I77" s="445"/>
      <c r="J77" s="445"/>
      <c r="K77" s="445"/>
      <c r="L77" s="445"/>
      <c r="M77" s="445" t="s">
        <v>396</v>
      </c>
      <c r="N77" s="445"/>
      <c r="O77" s="445">
        <v>30000002317</v>
      </c>
      <c r="P77" s="444">
        <f>ROUND(-('DIESEL MARINO'!$D$6-'DIESEL MARINO'!$F$6)*98%,2)</f>
        <v>-1030.19</v>
      </c>
      <c r="Q77" s="445" t="s">
        <v>378</v>
      </c>
      <c r="R77" s="445">
        <v>1</v>
      </c>
      <c r="S77" s="445" t="s">
        <v>379</v>
      </c>
      <c r="T77" s="445" t="s">
        <v>400</v>
      </c>
      <c r="U77" s="458" t="str">
        <f>+U75</f>
        <v>07.11.2024</v>
      </c>
      <c r="V77" s="617" t="str">
        <f>+V75</f>
        <v>30.09.2024</v>
      </c>
    </row>
    <row r="78" spans="1:22" ht="15">
      <c r="A78" s="445" t="s">
        <v>393</v>
      </c>
      <c r="B78" s="445">
        <v>567</v>
      </c>
      <c r="C78" s="445" t="s">
        <v>377</v>
      </c>
      <c r="D78" s="445"/>
      <c r="E78" s="445"/>
      <c r="F78" s="445"/>
      <c r="G78" s="445"/>
      <c r="H78" s="445"/>
      <c r="I78" s="445"/>
      <c r="J78" s="445"/>
      <c r="K78" s="445"/>
      <c r="L78" s="445"/>
      <c r="M78" s="445" t="s">
        <v>396</v>
      </c>
      <c r="N78" s="445"/>
      <c r="O78" s="445">
        <v>30000009300</v>
      </c>
      <c r="P78" s="444">
        <f>ROUND(-('DIESEL MARINO'!$D$6-'DIESEL MARINO'!$F$6)*98%,2)</f>
        <v>-1030.19</v>
      </c>
      <c r="Q78" s="445" t="s">
        <v>378</v>
      </c>
      <c r="R78" s="445">
        <v>1</v>
      </c>
      <c r="S78" s="445" t="s">
        <v>379</v>
      </c>
      <c r="T78" s="445" t="s">
        <v>400</v>
      </c>
      <c r="U78" s="458" t="str">
        <f>+U77</f>
        <v>07.11.2024</v>
      </c>
      <c r="V78" s="617" t="str">
        <f>+V77</f>
        <v>30.09.2024</v>
      </c>
    </row>
    <row r="79" spans="1:22" ht="15">
      <c r="A79" s="445" t="s">
        <v>376</v>
      </c>
      <c r="B79" s="445">
        <v>567</v>
      </c>
      <c r="C79" s="445" t="s">
        <v>377</v>
      </c>
      <c r="D79" s="445"/>
      <c r="E79" s="445"/>
      <c r="F79" s="445"/>
      <c r="G79" s="445"/>
      <c r="H79" s="445"/>
      <c r="I79" s="445"/>
      <c r="J79" s="445"/>
      <c r="K79" s="445"/>
      <c r="L79" s="445"/>
      <c r="M79" s="445" t="s">
        <v>381</v>
      </c>
      <c r="N79" s="445"/>
      <c r="O79" s="445">
        <v>30000002129</v>
      </c>
      <c r="P79" s="444">
        <f>+ROUND('DIESEL MARINO'!$D$30*98%,2)</f>
        <v>5150.95</v>
      </c>
      <c r="Q79" s="445" t="s">
        <v>378</v>
      </c>
      <c r="R79" s="445">
        <v>1</v>
      </c>
      <c r="S79" s="445" t="s">
        <v>379</v>
      </c>
      <c r="T79" s="445" t="s">
        <v>400</v>
      </c>
      <c r="U79" s="458" t="str">
        <f>+U71</f>
        <v>07.11.2024</v>
      </c>
      <c r="V79" s="617" t="str">
        <f>+V71</f>
        <v>30.09.2024</v>
      </c>
    </row>
    <row r="80" spans="1:22" ht="15">
      <c r="A80" s="445" t="s">
        <v>376</v>
      </c>
      <c r="B80" s="445">
        <v>567</v>
      </c>
      <c r="C80" s="445" t="s">
        <v>377</v>
      </c>
      <c r="D80" s="445"/>
      <c r="E80" s="445"/>
      <c r="F80" s="445"/>
      <c r="G80" s="445"/>
      <c r="H80" s="445"/>
      <c r="I80" s="445"/>
      <c r="J80" s="445"/>
      <c r="K80" s="445"/>
      <c r="L80" s="445"/>
      <c r="M80" s="445" t="s">
        <v>397</v>
      </c>
      <c r="N80" s="445"/>
      <c r="O80" s="445">
        <v>30000002129</v>
      </c>
      <c r="P80" s="444">
        <f>+ROUND('DIESEL MARINO'!$D$30*98%,2)</f>
        <v>5150.95</v>
      </c>
      <c r="Q80" s="445" t="s">
        <v>378</v>
      </c>
      <c r="R80" s="445">
        <v>1</v>
      </c>
      <c r="S80" s="445" t="s">
        <v>379</v>
      </c>
      <c r="T80" s="445" t="s">
        <v>400</v>
      </c>
      <c r="U80" s="458" t="str">
        <f>+U72</f>
        <v>07.11.2024</v>
      </c>
      <c r="V80" s="617" t="str">
        <f>+V72</f>
        <v>30.09.2024</v>
      </c>
    </row>
    <row r="81" spans="1:22" ht="15">
      <c r="A81" s="445" t="s">
        <v>380</v>
      </c>
      <c r="B81" s="445">
        <v>567</v>
      </c>
      <c r="C81" s="443" t="s">
        <v>377</v>
      </c>
      <c r="D81" s="445"/>
      <c r="E81" s="445"/>
      <c r="F81" s="445"/>
      <c r="G81" s="445"/>
      <c r="H81" s="445"/>
      <c r="I81" s="445"/>
      <c r="J81" s="445"/>
      <c r="K81" s="445"/>
      <c r="L81" s="445"/>
      <c r="M81" s="445" t="s">
        <v>381</v>
      </c>
      <c r="N81" s="445"/>
      <c r="O81" s="443">
        <v>30000002129</v>
      </c>
      <c r="P81" s="444">
        <f>+BIODIESEL!$D$9</f>
        <v>396.73</v>
      </c>
      <c r="Q81" s="443" t="s">
        <v>378</v>
      </c>
      <c r="R81" s="443">
        <v>1</v>
      </c>
      <c r="S81" s="448" t="s">
        <v>379</v>
      </c>
      <c r="T81" s="445" t="s">
        <v>400</v>
      </c>
      <c r="U81" s="458" t="str">
        <f t="shared" ref="U81:V82" si="18">+U80</f>
        <v>07.11.2024</v>
      </c>
      <c r="V81" s="617" t="str">
        <f t="shared" si="18"/>
        <v>30.09.2024</v>
      </c>
    </row>
    <row r="82" spans="1:22" ht="15">
      <c r="A82" s="445" t="s">
        <v>380</v>
      </c>
      <c r="B82" s="445">
        <v>567</v>
      </c>
      <c r="C82" s="443" t="s">
        <v>377</v>
      </c>
      <c r="D82" s="445"/>
      <c r="E82" s="445"/>
      <c r="F82" s="445"/>
      <c r="G82" s="445"/>
      <c r="H82" s="445"/>
      <c r="I82" s="445"/>
      <c r="J82" s="445"/>
      <c r="K82" s="445"/>
      <c r="L82" s="445"/>
      <c r="M82" s="445" t="s">
        <v>397</v>
      </c>
      <c r="N82" s="445"/>
      <c r="O82" s="443">
        <v>30000002129</v>
      </c>
      <c r="P82" s="444">
        <f>+BIODIESEL!$D$9</f>
        <v>396.73</v>
      </c>
      <c r="Q82" s="443" t="s">
        <v>378</v>
      </c>
      <c r="R82" s="443">
        <v>1</v>
      </c>
      <c r="S82" s="448" t="s">
        <v>379</v>
      </c>
      <c r="T82" s="445" t="s">
        <v>400</v>
      </c>
      <c r="U82" s="458" t="str">
        <f t="shared" si="18"/>
        <v>07.11.2024</v>
      </c>
      <c r="V82" s="617" t="str">
        <f t="shared" si="18"/>
        <v>30.09.2024</v>
      </c>
    </row>
    <row r="83" spans="1:22" ht="45.75" thickBot="1">
      <c r="A83" s="466" t="s">
        <v>354</v>
      </c>
      <c r="B83" s="467" t="s">
        <v>355</v>
      </c>
      <c r="C83" s="466" t="s">
        <v>356</v>
      </c>
      <c r="D83" s="466" t="s">
        <v>357</v>
      </c>
      <c r="E83" s="466" t="s">
        <v>358</v>
      </c>
      <c r="F83" s="466" t="s">
        <v>359</v>
      </c>
      <c r="G83" s="466" t="s">
        <v>360</v>
      </c>
      <c r="H83" s="466" t="s">
        <v>361</v>
      </c>
      <c r="I83" s="466" t="s">
        <v>362</v>
      </c>
      <c r="J83" s="466" t="s">
        <v>363</v>
      </c>
      <c r="K83" s="466" t="s">
        <v>364</v>
      </c>
      <c r="L83" s="466" t="s">
        <v>365</v>
      </c>
      <c r="M83" s="466" t="s">
        <v>366</v>
      </c>
      <c r="N83" s="466" t="s">
        <v>367</v>
      </c>
      <c r="O83" s="466" t="s">
        <v>368</v>
      </c>
      <c r="P83" s="466" t="s">
        <v>369</v>
      </c>
      <c r="Q83" s="466" t="s">
        <v>370</v>
      </c>
      <c r="R83" s="466" t="s">
        <v>371</v>
      </c>
      <c r="S83" s="466" t="s">
        <v>372</v>
      </c>
      <c r="T83" s="466" t="s">
        <v>373</v>
      </c>
      <c r="U83" s="468" t="s">
        <v>374</v>
      </c>
      <c r="V83" s="468" t="s">
        <v>375</v>
      </c>
    </row>
    <row r="84" spans="1:22" ht="15">
      <c r="A84" s="445" t="s">
        <v>380</v>
      </c>
      <c r="B84" s="471">
        <v>929</v>
      </c>
      <c r="C84" s="471" t="s">
        <v>377</v>
      </c>
      <c r="D84" s="471"/>
      <c r="E84" s="471"/>
      <c r="F84" s="471">
        <v>2000</v>
      </c>
      <c r="G84" s="471"/>
      <c r="H84" s="471"/>
      <c r="I84" s="471"/>
      <c r="J84" s="471"/>
      <c r="K84" s="471"/>
      <c r="L84" s="471"/>
      <c r="M84" s="471" t="s">
        <v>381</v>
      </c>
      <c r="N84" s="471"/>
      <c r="O84" s="471">
        <v>30000002129</v>
      </c>
      <c r="P84" s="612">
        <f>BIODIESEL!$D$9</f>
        <v>396.73</v>
      </c>
      <c r="Q84" s="471" t="s">
        <v>378</v>
      </c>
      <c r="R84" s="471">
        <v>1</v>
      </c>
      <c r="S84" s="471" t="s">
        <v>379</v>
      </c>
      <c r="T84" s="471" t="s">
        <v>400</v>
      </c>
      <c r="U84" s="473" t="str">
        <f>+$U$2</f>
        <v>07.11.2024</v>
      </c>
      <c r="V84" s="613" t="str">
        <f>+$V$2</f>
        <v>30.11.2024</v>
      </c>
    </row>
    <row r="85" spans="1:22" ht="15">
      <c r="A85" s="445" t="s">
        <v>380</v>
      </c>
      <c r="B85" s="445">
        <v>929</v>
      </c>
      <c r="C85" s="445" t="s">
        <v>377</v>
      </c>
      <c r="D85" s="445"/>
      <c r="E85" s="445"/>
      <c r="F85" s="445">
        <v>3010</v>
      </c>
      <c r="G85" s="445"/>
      <c r="H85" s="445"/>
      <c r="I85" s="445"/>
      <c r="J85" s="445"/>
      <c r="K85" s="445"/>
      <c r="L85" s="445"/>
      <c r="M85" s="445" t="s">
        <v>381</v>
      </c>
      <c r="N85" s="445"/>
      <c r="O85" s="445">
        <v>30000002129</v>
      </c>
      <c r="P85" s="444">
        <f>BIODIESEL!$D$9</f>
        <v>396.73</v>
      </c>
      <c r="Q85" s="445" t="s">
        <v>378</v>
      </c>
      <c r="R85" s="445">
        <v>1</v>
      </c>
      <c r="S85" s="445" t="s">
        <v>379</v>
      </c>
      <c r="T85" s="445" t="s">
        <v>400</v>
      </c>
      <c r="U85" s="458" t="str">
        <f t="shared" ref="U85:U98" si="19">+$U$2</f>
        <v>07.11.2024</v>
      </c>
      <c r="V85" s="614" t="str">
        <f t="shared" ref="V85:V98" si="20">+$V$2</f>
        <v>30.11.2024</v>
      </c>
    </row>
    <row r="86" spans="1:22" ht="15">
      <c r="A86" s="445" t="s">
        <v>380</v>
      </c>
      <c r="B86" s="445">
        <v>929</v>
      </c>
      <c r="C86" s="445" t="s">
        <v>377</v>
      </c>
      <c r="D86" s="445"/>
      <c r="E86" s="445"/>
      <c r="F86" s="445">
        <v>4502</v>
      </c>
      <c r="G86" s="445"/>
      <c r="H86" s="445"/>
      <c r="I86" s="445"/>
      <c r="J86" s="445"/>
      <c r="K86" s="445"/>
      <c r="L86" s="445"/>
      <c r="M86" s="445" t="s">
        <v>381</v>
      </c>
      <c r="N86" s="445"/>
      <c r="O86" s="445">
        <v>30000002129</v>
      </c>
      <c r="P86" s="444">
        <f>BIODIESEL!$D$9</f>
        <v>396.73</v>
      </c>
      <c r="Q86" s="445" t="s">
        <v>378</v>
      </c>
      <c r="R86" s="445">
        <v>1</v>
      </c>
      <c r="S86" s="445" t="s">
        <v>379</v>
      </c>
      <c r="T86" s="445" t="s">
        <v>400</v>
      </c>
      <c r="U86" s="458" t="str">
        <f t="shared" si="19"/>
        <v>07.11.2024</v>
      </c>
      <c r="V86" s="614" t="str">
        <f t="shared" si="20"/>
        <v>30.11.2024</v>
      </c>
    </row>
    <row r="87" spans="1:22" ht="15">
      <c r="A87" s="445" t="s">
        <v>380</v>
      </c>
      <c r="B87" s="445">
        <v>929</v>
      </c>
      <c r="C87" s="445" t="s">
        <v>377</v>
      </c>
      <c r="D87" s="445"/>
      <c r="E87" s="445"/>
      <c r="F87" s="445">
        <v>2000</v>
      </c>
      <c r="G87" s="445"/>
      <c r="H87" s="445"/>
      <c r="I87" s="445"/>
      <c r="J87" s="445"/>
      <c r="K87" s="445"/>
      <c r="L87" s="445"/>
      <c r="M87" s="445" t="s">
        <v>381</v>
      </c>
      <c r="N87" s="445"/>
      <c r="O87" s="445">
        <v>30000009291</v>
      </c>
      <c r="P87" s="444">
        <f>BIODIESEL!$D$9</f>
        <v>396.73</v>
      </c>
      <c r="Q87" s="445" t="s">
        <v>378</v>
      </c>
      <c r="R87" s="445">
        <v>1</v>
      </c>
      <c r="S87" s="445" t="s">
        <v>379</v>
      </c>
      <c r="T87" s="445" t="s">
        <v>400</v>
      </c>
      <c r="U87" s="458" t="str">
        <f t="shared" si="19"/>
        <v>07.11.2024</v>
      </c>
      <c r="V87" s="614" t="str">
        <f t="shared" si="20"/>
        <v>30.11.2024</v>
      </c>
    </row>
    <row r="88" spans="1:22" ht="15">
      <c r="A88" s="445" t="s">
        <v>380</v>
      </c>
      <c r="B88" s="445">
        <v>929</v>
      </c>
      <c r="C88" s="445" t="s">
        <v>377</v>
      </c>
      <c r="D88" s="445"/>
      <c r="E88" s="445"/>
      <c r="F88" s="445">
        <v>3010</v>
      </c>
      <c r="G88" s="445"/>
      <c r="H88" s="445"/>
      <c r="I88" s="445"/>
      <c r="J88" s="445"/>
      <c r="K88" s="445"/>
      <c r="L88" s="445"/>
      <c r="M88" s="445" t="s">
        <v>381</v>
      </c>
      <c r="N88" s="445"/>
      <c r="O88" s="445">
        <v>30000009291</v>
      </c>
      <c r="P88" s="444">
        <f>BIODIESEL!$D$9</f>
        <v>396.73</v>
      </c>
      <c r="Q88" s="445" t="s">
        <v>378</v>
      </c>
      <c r="R88" s="445">
        <v>1</v>
      </c>
      <c r="S88" s="445" t="s">
        <v>379</v>
      </c>
      <c r="T88" s="445" t="s">
        <v>400</v>
      </c>
      <c r="U88" s="458" t="str">
        <f t="shared" si="19"/>
        <v>07.11.2024</v>
      </c>
      <c r="V88" s="614" t="str">
        <f t="shared" si="20"/>
        <v>30.11.2024</v>
      </c>
    </row>
    <row r="89" spans="1:22" ht="15">
      <c r="A89" s="445" t="s">
        <v>380</v>
      </c>
      <c r="B89" s="445">
        <v>929</v>
      </c>
      <c r="C89" s="445" t="s">
        <v>377</v>
      </c>
      <c r="D89" s="445"/>
      <c r="E89" s="445"/>
      <c r="F89" s="445">
        <v>4502</v>
      </c>
      <c r="G89" s="445"/>
      <c r="H89" s="445"/>
      <c r="I89" s="445"/>
      <c r="J89" s="445"/>
      <c r="K89" s="445"/>
      <c r="L89" s="445"/>
      <c r="M89" s="445" t="s">
        <v>381</v>
      </c>
      <c r="N89" s="445"/>
      <c r="O89" s="445">
        <v>30000009291</v>
      </c>
      <c r="P89" s="444">
        <f>BIODIESEL!$D$9</f>
        <v>396.73</v>
      </c>
      <c r="Q89" s="445" t="s">
        <v>378</v>
      </c>
      <c r="R89" s="445">
        <v>1</v>
      </c>
      <c r="S89" s="445" t="s">
        <v>379</v>
      </c>
      <c r="T89" s="445" t="s">
        <v>400</v>
      </c>
      <c r="U89" s="458" t="str">
        <f t="shared" si="19"/>
        <v>07.11.2024</v>
      </c>
      <c r="V89" s="614" t="str">
        <f t="shared" si="20"/>
        <v>30.11.2024</v>
      </c>
    </row>
    <row r="90" spans="1:22" ht="15">
      <c r="A90" s="445" t="s">
        <v>376</v>
      </c>
      <c r="B90" s="445">
        <v>929</v>
      </c>
      <c r="C90" s="445" t="s">
        <v>377</v>
      </c>
      <c r="D90" s="445"/>
      <c r="E90" s="445"/>
      <c r="F90" s="445">
        <v>2000</v>
      </c>
      <c r="G90" s="445"/>
      <c r="H90" s="445"/>
      <c r="I90" s="445"/>
      <c r="J90" s="445"/>
      <c r="K90" s="445"/>
      <c r="L90" s="445"/>
      <c r="M90" s="445" t="s">
        <v>381</v>
      </c>
      <c r="N90" s="445"/>
      <c r="O90" s="445">
        <v>30000002129</v>
      </c>
      <c r="P90" s="444">
        <f>BIODIESEL!$D$8</f>
        <v>5150.95</v>
      </c>
      <c r="Q90" s="445" t="s">
        <v>378</v>
      </c>
      <c r="R90" s="445">
        <v>1</v>
      </c>
      <c r="S90" s="445" t="s">
        <v>379</v>
      </c>
      <c r="T90" s="445" t="s">
        <v>400</v>
      </c>
      <c r="U90" s="458" t="str">
        <f t="shared" si="19"/>
        <v>07.11.2024</v>
      </c>
      <c r="V90" s="614" t="str">
        <f t="shared" si="20"/>
        <v>30.11.2024</v>
      </c>
    </row>
    <row r="91" spans="1:22" ht="15">
      <c r="A91" s="445" t="s">
        <v>376</v>
      </c>
      <c r="B91" s="445">
        <v>929</v>
      </c>
      <c r="C91" s="445" t="s">
        <v>377</v>
      </c>
      <c r="D91" s="445"/>
      <c r="E91" s="445"/>
      <c r="F91" s="445">
        <v>3010</v>
      </c>
      <c r="G91" s="445"/>
      <c r="H91" s="445"/>
      <c r="I91" s="445"/>
      <c r="J91" s="445"/>
      <c r="K91" s="445"/>
      <c r="L91" s="445"/>
      <c r="M91" s="445" t="s">
        <v>381</v>
      </c>
      <c r="N91" s="445"/>
      <c r="O91" s="445">
        <v>30000002129</v>
      </c>
      <c r="P91" s="444">
        <f>BIODIESEL!$D$8</f>
        <v>5150.95</v>
      </c>
      <c r="Q91" s="445" t="s">
        <v>378</v>
      </c>
      <c r="R91" s="445">
        <v>1</v>
      </c>
      <c r="S91" s="445" t="s">
        <v>379</v>
      </c>
      <c r="T91" s="445" t="s">
        <v>400</v>
      </c>
      <c r="U91" s="458" t="str">
        <f t="shared" si="19"/>
        <v>07.11.2024</v>
      </c>
      <c r="V91" s="614" t="str">
        <f t="shared" si="20"/>
        <v>30.11.2024</v>
      </c>
    </row>
    <row r="92" spans="1:22" ht="15">
      <c r="A92" s="445" t="s">
        <v>376</v>
      </c>
      <c r="B92" s="445">
        <v>929</v>
      </c>
      <c r="C92" s="445" t="s">
        <v>377</v>
      </c>
      <c r="D92" s="445"/>
      <c r="E92" s="445"/>
      <c r="F92" s="445">
        <v>4502</v>
      </c>
      <c r="G92" s="445"/>
      <c r="H92" s="445"/>
      <c r="I92" s="445"/>
      <c r="J92" s="445"/>
      <c r="K92" s="445"/>
      <c r="L92" s="445"/>
      <c r="M92" s="445" t="s">
        <v>381</v>
      </c>
      <c r="N92" s="445"/>
      <c r="O92" s="445">
        <v>30000002129</v>
      </c>
      <c r="P92" s="444">
        <f>BIODIESEL!$D$8</f>
        <v>5150.95</v>
      </c>
      <c r="Q92" s="445" t="s">
        <v>378</v>
      </c>
      <c r="R92" s="445">
        <v>1</v>
      </c>
      <c r="S92" s="445" t="s">
        <v>379</v>
      </c>
      <c r="T92" s="445" t="s">
        <v>400</v>
      </c>
      <c r="U92" s="458" t="str">
        <f t="shared" si="19"/>
        <v>07.11.2024</v>
      </c>
      <c r="V92" s="614" t="str">
        <f t="shared" si="20"/>
        <v>30.11.2024</v>
      </c>
    </row>
    <row r="93" spans="1:22" ht="15">
      <c r="A93" s="445" t="s">
        <v>376</v>
      </c>
      <c r="B93" s="445">
        <v>929</v>
      </c>
      <c r="C93" s="445" t="s">
        <v>377</v>
      </c>
      <c r="D93" s="445"/>
      <c r="E93" s="445"/>
      <c r="F93" s="445">
        <v>2000</v>
      </c>
      <c r="G93" s="445"/>
      <c r="H93" s="445"/>
      <c r="I93" s="445"/>
      <c r="J93" s="445"/>
      <c r="K93" s="445"/>
      <c r="L93" s="445"/>
      <c r="M93" s="445" t="s">
        <v>381</v>
      </c>
      <c r="N93" s="445"/>
      <c r="O93" s="445">
        <v>30000009291</v>
      </c>
      <c r="P93" s="444">
        <f>BIODIESEL!$D$8</f>
        <v>5150.95</v>
      </c>
      <c r="Q93" s="445" t="s">
        <v>378</v>
      </c>
      <c r="R93" s="445">
        <v>1</v>
      </c>
      <c r="S93" s="445" t="s">
        <v>379</v>
      </c>
      <c r="T93" s="445" t="s">
        <v>400</v>
      </c>
      <c r="U93" s="458" t="str">
        <f t="shared" si="19"/>
        <v>07.11.2024</v>
      </c>
      <c r="V93" s="614" t="str">
        <f t="shared" si="20"/>
        <v>30.11.2024</v>
      </c>
    </row>
    <row r="94" spans="1:22" ht="15">
      <c r="A94" s="445" t="s">
        <v>376</v>
      </c>
      <c r="B94" s="445">
        <v>929</v>
      </c>
      <c r="C94" s="445" t="s">
        <v>377</v>
      </c>
      <c r="D94" s="445"/>
      <c r="E94" s="445"/>
      <c r="F94" s="445">
        <v>3010</v>
      </c>
      <c r="G94" s="445"/>
      <c r="H94" s="445"/>
      <c r="I94" s="445"/>
      <c r="J94" s="445"/>
      <c r="K94" s="445"/>
      <c r="L94" s="445"/>
      <c r="M94" s="445" t="s">
        <v>381</v>
      </c>
      <c r="N94" s="445"/>
      <c r="O94" s="445">
        <v>30000009291</v>
      </c>
      <c r="P94" s="444">
        <f>BIODIESEL!$D$8</f>
        <v>5150.95</v>
      </c>
      <c r="Q94" s="445" t="s">
        <v>378</v>
      </c>
      <c r="R94" s="445">
        <v>1</v>
      </c>
      <c r="S94" s="445" t="s">
        <v>379</v>
      </c>
      <c r="T94" s="445" t="s">
        <v>400</v>
      </c>
      <c r="U94" s="458" t="str">
        <f t="shared" si="19"/>
        <v>07.11.2024</v>
      </c>
      <c r="V94" s="614" t="str">
        <f t="shared" si="20"/>
        <v>30.11.2024</v>
      </c>
    </row>
    <row r="95" spans="1:22" ht="15">
      <c r="A95" s="445" t="s">
        <v>376</v>
      </c>
      <c r="B95" s="445">
        <v>929</v>
      </c>
      <c r="C95" s="445" t="s">
        <v>377</v>
      </c>
      <c r="D95" s="445"/>
      <c r="E95" s="445"/>
      <c r="F95" s="445">
        <v>4502</v>
      </c>
      <c r="G95" s="445"/>
      <c r="H95" s="445"/>
      <c r="I95" s="445"/>
      <c r="J95" s="445"/>
      <c r="K95" s="445"/>
      <c r="L95" s="445"/>
      <c r="M95" s="445" t="s">
        <v>381</v>
      </c>
      <c r="N95" s="445"/>
      <c r="O95" s="445">
        <v>30000009291</v>
      </c>
      <c r="P95" s="444">
        <f>BIODIESEL!$D$8</f>
        <v>5150.95</v>
      </c>
      <c r="Q95" s="445" t="s">
        <v>378</v>
      </c>
      <c r="R95" s="445">
        <v>1</v>
      </c>
      <c r="S95" s="445" t="s">
        <v>379</v>
      </c>
      <c r="T95" s="445" t="s">
        <v>400</v>
      </c>
      <c r="U95" s="458" t="str">
        <f t="shared" si="19"/>
        <v>07.11.2024</v>
      </c>
      <c r="V95" s="614" t="str">
        <f t="shared" si="20"/>
        <v>30.11.2024</v>
      </c>
    </row>
    <row r="96" spans="1:22" ht="15">
      <c r="A96" s="445" t="s">
        <v>383</v>
      </c>
      <c r="B96" s="445">
        <v>929</v>
      </c>
      <c r="C96" s="445" t="s">
        <v>377</v>
      </c>
      <c r="D96" s="445"/>
      <c r="E96" s="445"/>
      <c r="F96" s="445">
        <v>2000</v>
      </c>
      <c r="G96" s="445"/>
      <c r="H96" s="445"/>
      <c r="I96" s="445"/>
      <c r="J96" s="445"/>
      <c r="K96" s="445"/>
      <c r="L96" s="445"/>
      <c r="M96" s="445" t="s">
        <v>381</v>
      </c>
      <c r="N96" s="445"/>
      <c r="O96" s="445">
        <v>30000000003</v>
      </c>
      <c r="P96" s="444">
        <f>+'COMBUSTIBLES '!$E$7</f>
        <v>5256.07</v>
      </c>
      <c r="Q96" s="445" t="s">
        <v>378</v>
      </c>
      <c r="R96" s="445">
        <v>1</v>
      </c>
      <c r="S96" s="445" t="s">
        <v>379</v>
      </c>
      <c r="T96" s="445" t="s">
        <v>400</v>
      </c>
      <c r="U96" s="458" t="str">
        <f t="shared" si="19"/>
        <v>07.11.2024</v>
      </c>
      <c r="V96" s="614" t="str">
        <f t="shared" si="20"/>
        <v>30.11.2024</v>
      </c>
    </row>
    <row r="97" spans="1:22" ht="15">
      <c r="A97" s="445" t="s">
        <v>383</v>
      </c>
      <c r="B97" s="445">
        <v>929</v>
      </c>
      <c r="C97" s="445" t="s">
        <v>377</v>
      </c>
      <c r="D97" s="445"/>
      <c r="E97" s="445"/>
      <c r="F97" s="445">
        <v>3010</v>
      </c>
      <c r="G97" s="445"/>
      <c r="H97" s="445"/>
      <c r="I97" s="445"/>
      <c r="J97" s="445"/>
      <c r="K97" s="445"/>
      <c r="L97" s="445"/>
      <c r="M97" s="445" t="s">
        <v>381</v>
      </c>
      <c r="N97" s="445"/>
      <c r="O97" s="445">
        <v>30000000003</v>
      </c>
      <c r="P97" s="444">
        <f>+'COMBUSTIBLES '!$E$7</f>
        <v>5256.07</v>
      </c>
      <c r="Q97" s="445" t="s">
        <v>378</v>
      </c>
      <c r="R97" s="445">
        <v>1</v>
      </c>
      <c r="S97" s="445" t="s">
        <v>379</v>
      </c>
      <c r="T97" s="445" t="s">
        <v>400</v>
      </c>
      <c r="U97" s="458" t="str">
        <f t="shared" si="19"/>
        <v>07.11.2024</v>
      </c>
      <c r="V97" s="614" t="str">
        <f t="shared" si="20"/>
        <v>30.11.2024</v>
      </c>
    </row>
    <row r="98" spans="1:22" ht="15.75" thickBot="1">
      <c r="A98" s="445" t="s">
        <v>383</v>
      </c>
      <c r="B98" s="477">
        <v>929</v>
      </c>
      <c r="C98" s="477" t="s">
        <v>377</v>
      </c>
      <c r="D98" s="477"/>
      <c r="E98" s="477"/>
      <c r="F98" s="477">
        <v>4502</v>
      </c>
      <c r="G98" s="477"/>
      <c r="H98" s="477"/>
      <c r="I98" s="477"/>
      <c r="J98" s="477"/>
      <c r="K98" s="477"/>
      <c r="L98" s="477"/>
      <c r="M98" s="477" t="s">
        <v>381</v>
      </c>
      <c r="N98" s="477"/>
      <c r="O98" s="477">
        <v>30000000003</v>
      </c>
      <c r="P98" s="615">
        <f>+'COMBUSTIBLES '!$E$7</f>
        <v>5256.07</v>
      </c>
      <c r="Q98" s="477" t="s">
        <v>378</v>
      </c>
      <c r="R98" s="477">
        <v>1</v>
      </c>
      <c r="S98" s="477" t="s">
        <v>379</v>
      </c>
      <c r="T98" s="477" t="s">
        <v>400</v>
      </c>
      <c r="U98" s="478" t="str">
        <f t="shared" si="19"/>
        <v>07.11.2024</v>
      </c>
      <c r="V98" s="616" t="str">
        <f t="shared" si="20"/>
        <v>30.11.2024</v>
      </c>
    </row>
  </sheetData>
  <autoFilter ref="A1:V98" xr:uid="{8DDAAD17-9036-473A-B4E0-99A8DECB76DD}"/>
  <conditionalFormatting sqref="A1:A37 A69:V98 B2:B37 T3:T33 C22:S33 C34:T37 C46:H59 J46:N59 P46:S59 T46:V63 A46:B68 U52:V68 C60:S61 P62:S63">
    <cfRule type="containsText" dxfId="39" priority="52" operator="containsText" text="Seleccione...">
      <formula>NOT(ISERROR(SEARCH("Seleccione...",A1)))</formula>
    </cfRule>
  </conditionalFormatting>
  <conditionalFormatting sqref="A2:A37 A39:A44">
    <cfRule type="colorScale" priority="21">
      <colorScale>
        <cfvo type="min"/>
        <cfvo type="percentile" val="50"/>
        <cfvo type="max"/>
        <color rgb="FFF8696B"/>
        <color rgb="FFFCFCFF"/>
        <color rgb="FF5A8AC6"/>
      </colorScale>
    </cfRule>
  </conditionalFormatting>
  <conditionalFormatting sqref="A2:A44">
    <cfRule type="cellIs" dxfId="38" priority="1" operator="equal">
      <formula>"ZPRE"</formula>
    </cfRule>
    <cfRule type="cellIs" dxfId="37" priority="2" operator="equal">
      <formula>"ZPRA"</formula>
    </cfRule>
    <cfRule type="cellIs" dxfId="36" priority="3" operator="equal">
      <formula>"ZPRB"</formula>
    </cfRule>
  </conditionalFormatting>
  <conditionalFormatting sqref="A38">
    <cfRule type="colorScale" priority="4">
      <colorScale>
        <cfvo type="min"/>
        <cfvo type="percentile" val="50"/>
        <cfvo type="max"/>
        <color rgb="FFF8696B"/>
        <color rgb="FFFCFCFF"/>
        <color rgb="FF5A8AC6"/>
      </colorScale>
    </cfRule>
  </conditionalFormatting>
  <conditionalFormatting sqref="A46:A68">
    <cfRule type="cellIs" dxfId="35" priority="117" operator="equal">
      <formula>"ZPRE"</formula>
    </cfRule>
    <cfRule type="cellIs" dxfId="34" priority="118" operator="equal">
      <formula>"ZPRA"</formula>
    </cfRule>
    <cfRule type="cellIs" dxfId="33" priority="119" operator="equal">
      <formula>"ZPRB"</formula>
    </cfRule>
    <cfRule type="colorScale" priority="120">
      <colorScale>
        <cfvo type="min"/>
        <cfvo type="percentile" val="50"/>
        <cfvo type="max"/>
        <color rgb="FFF8696B"/>
        <color rgb="FFFCFCFF"/>
        <color rgb="FF5A8AC6"/>
      </colorScale>
    </cfRule>
  </conditionalFormatting>
  <conditionalFormatting sqref="A70:A81">
    <cfRule type="cellIs" dxfId="32" priority="10" operator="equal">
      <formula>"ZPRE"</formula>
    </cfRule>
    <cfRule type="cellIs" dxfId="31" priority="11" operator="equal">
      <formula>"ZPRA"</formula>
    </cfRule>
    <cfRule type="cellIs" dxfId="30" priority="12" operator="equal">
      <formula>"ZPRB"</formula>
    </cfRule>
    <cfRule type="colorScale" priority="13">
      <colorScale>
        <cfvo type="min"/>
        <cfvo type="percentile" val="50"/>
        <cfvo type="max"/>
        <color rgb="FFF8696B"/>
        <color rgb="FFFCFCFF"/>
        <color rgb="FF5A8AC6"/>
      </colorScale>
    </cfRule>
  </conditionalFormatting>
  <conditionalFormatting sqref="A84:A98">
    <cfRule type="cellIs" dxfId="29" priority="6" operator="equal">
      <formula>"ZPRE"</formula>
    </cfRule>
    <cfRule type="cellIs" dxfId="28" priority="7" operator="equal">
      <formula>"ZPRA"</formula>
    </cfRule>
    <cfRule type="cellIs" dxfId="27" priority="8" operator="equal">
      <formula>"ZPRB"</formula>
    </cfRule>
    <cfRule type="colorScale" priority="9">
      <colorScale>
        <cfvo type="min"/>
        <cfvo type="percentile" val="50"/>
        <cfvo type="max"/>
        <color rgb="FFF8696B"/>
        <color rgb="FFFCFCFF"/>
        <color rgb="FF5A8AC6"/>
      </colorScale>
    </cfRule>
  </conditionalFormatting>
  <conditionalFormatting sqref="A38:V38">
    <cfRule type="containsText" dxfId="26" priority="5" operator="containsText" text="Seleccione...">
      <formula>NOT(ISERROR(SEARCH("Seleccione...",A38)))</formula>
    </cfRule>
  </conditionalFormatting>
  <conditionalFormatting sqref="A39:V45">
    <cfRule type="containsText" dxfId="25" priority="29" operator="containsText" text="Seleccione...">
      <formula>NOT(ISERROR(SEARCH("Seleccione...",A39)))</formula>
    </cfRule>
  </conditionalFormatting>
  <conditionalFormatting sqref="B1:V1">
    <cfRule type="containsText" dxfId="24" priority="54" operator="containsText" text="Seleccione...">
      <formula>NOT(ISERROR(SEARCH("Seleccione...",B1)))</formula>
    </cfRule>
  </conditionalFormatting>
  <conditionalFormatting sqref="C2:C21">
    <cfRule type="containsText" dxfId="23" priority="49" operator="containsText" text="Seleccione...">
      <formula>NOT(ISERROR(SEARCH("Seleccione...",C2)))</formula>
    </cfRule>
  </conditionalFormatting>
  <conditionalFormatting sqref="C62:N68">
    <cfRule type="containsText" dxfId="22" priority="23" operator="containsText" text="Seleccione...">
      <formula>NOT(ISERROR(SEARCH("Seleccione...",C62)))</formula>
    </cfRule>
  </conditionalFormatting>
  <conditionalFormatting sqref="D2:L9">
    <cfRule type="containsText" dxfId="21" priority="48" operator="containsText" text="Seleccione...">
      <formula>NOT(ISERROR(SEARCH("Seleccione...",D2)))</formula>
    </cfRule>
  </conditionalFormatting>
  <conditionalFormatting sqref="D10:N21">
    <cfRule type="containsText" dxfId="20" priority="51" operator="containsText" text="Seleccione...">
      <formula>NOT(ISERROR(SEARCH("Seleccione...",D10)))</formula>
    </cfRule>
  </conditionalFormatting>
  <conditionalFormatting sqref="M4:N9">
    <cfRule type="containsText" dxfId="19" priority="53" operator="containsText" text="Seleccione...">
      <formula>NOT(ISERROR(SEARCH("Seleccione...",M4)))</formula>
    </cfRule>
  </conditionalFormatting>
  <conditionalFormatting sqref="M2:O3">
    <cfRule type="containsText" dxfId="18" priority="47" operator="containsText" text="Seleccione...">
      <formula>NOT(ISERROR(SEARCH("Seleccione...",M2)))</formula>
    </cfRule>
  </conditionalFormatting>
  <conditionalFormatting sqref="O4:O21">
    <cfRule type="containsText" dxfId="17" priority="50" operator="containsText" text="Seleccione...">
      <formula>NOT(ISERROR(SEARCH("Seleccione...",O4)))</formula>
    </cfRule>
  </conditionalFormatting>
  <conditionalFormatting sqref="P3:S21">
    <cfRule type="containsText" dxfId="16" priority="46" operator="containsText" text="Seleccione...">
      <formula>NOT(ISERROR(SEARCH("Seleccione...",P3)))</formula>
    </cfRule>
  </conditionalFormatting>
  <conditionalFormatting sqref="P2:V2">
    <cfRule type="containsText" dxfId="15" priority="24" operator="containsText" text="Seleccione...">
      <formula>NOT(ISERROR(SEARCH("Seleccione...",P2)))</formula>
    </cfRule>
  </conditionalFormatting>
  <conditionalFormatting sqref="P64:V68">
    <cfRule type="containsText" dxfId="14" priority="39" operator="containsText" text="Seleccione...">
      <formula>NOT(ISERROR(SEARCH("Seleccione...",P64)))</formula>
    </cfRule>
  </conditionalFormatting>
  <conditionalFormatting sqref="U3:V37">
    <cfRule type="containsText" dxfId="13" priority="45" operator="containsText" text="Seleccione...">
      <formula>NOT(ISERROR(SEARCH("Seleccione...",U3)))</formula>
    </cfRule>
  </conditionalFormatting>
  <pageMargins left="0.7" right="0.7" top="0.75" bottom="0.75" header="0.3" footer="0.3"/>
  <pageSetup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7758-E179-467A-8681-083BBF5C33B7}">
  <sheetPr codeName="Hoja19"/>
  <dimension ref="A1:V45"/>
  <sheetViews>
    <sheetView topLeftCell="A16" zoomScale="85" zoomScaleNormal="85" workbookViewId="0">
      <selection sqref="A1:E1"/>
    </sheetView>
  </sheetViews>
  <sheetFormatPr baseColWidth="10" defaultRowHeight="12.75"/>
  <cols>
    <col min="15" max="15" width="12.28515625" bestFit="1" customWidth="1"/>
    <col min="21" max="21" width="21.5703125" bestFit="1" customWidth="1"/>
    <col min="22" max="22" width="14.5703125" bestFit="1" customWidth="1"/>
  </cols>
  <sheetData>
    <row r="1" spans="1:22" ht="15">
      <c r="A1" s="438" t="s">
        <v>354</v>
      </c>
      <c r="B1" t="s">
        <v>355</v>
      </c>
      <c r="C1" s="439" t="s">
        <v>356</v>
      </c>
      <c r="D1" s="439" t="s">
        <v>357</v>
      </c>
      <c r="E1" s="439" t="s">
        <v>358</v>
      </c>
      <c r="F1" s="439" t="s">
        <v>359</v>
      </c>
      <c r="G1" s="439" t="s">
        <v>360</v>
      </c>
      <c r="H1" s="439" t="s">
        <v>361</v>
      </c>
      <c r="I1" s="439" t="s">
        <v>362</v>
      </c>
      <c r="J1" s="439" t="s">
        <v>363</v>
      </c>
      <c r="K1" s="439" t="s">
        <v>364</v>
      </c>
      <c r="L1" s="439" t="s">
        <v>365</v>
      </c>
      <c r="M1" s="439" t="s">
        <v>366</v>
      </c>
      <c r="N1" s="439" t="s">
        <v>367</v>
      </c>
      <c r="O1" s="439" t="s">
        <v>368</v>
      </c>
      <c r="P1" s="439" t="s">
        <v>369</v>
      </c>
      <c r="Q1" s="439" t="s">
        <v>370</v>
      </c>
      <c r="R1" s="439" t="s">
        <v>371</v>
      </c>
      <c r="S1" s="439" t="s">
        <v>372</v>
      </c>
      <c r="T1" s="439" t="s">
        <v>373</v>
      </c>
      <c r="U1" s="440" t="s">
        <v>374</v>
      </c>
      <c r="V1" s="440" t="s">
        <v>375</v>
      </c>
    </row>
    <row r="2" spans="1:22" ht="21">
      <c r="A2" s="445" t="s">
        <v>383</v>
      </c>
      <c r="B2" s="628">
        <v>587</v>
      </c>
      <c r="C2" s="623" t="s">
        <v>385</v>
      </c>
      <c r="D2" s="623"/>
      <c r="E2" s="623"/>
      <c r="F2" s="623"/>
      <c r="G2" s="623"/>
      <c r="H2" s="623"/>
      <c r="I2" s="623"/>
      <c r="J2" s="623"/>
      <c r="K2" s="623"/>
      <c r="L2" s="623"/>
      <c r="M2" s="623"/>
      <c r="N2" s="623"/>
      <c r="O2" s="623">
        <v>30000000002</v>
      </c>
      <c r="P2" s="624">
        <f>+BIODIESEL!$C$7</f>
        <v>5256.07</v>
      </c>
      <c r="Q2" s="445" t="s">
        <v>378</v>
      </c>
      <c r="R2" s="625">
        <v>1</v>
      </c>
      <c r="S2" s="623" t="s">
        <v>379</v>
      </c>
      <c r="T2" s="626" t="s">
        <v>400</v>
      </c>
      <c r="U2" s="634" t="str">
        <f>+TEXT('COMBUSTIBLES '!$A$53,"dd.mm.yyyyy")</f>
        <v>07.11.2024</v>
      </c>
      <c r="V2" s="610" t="s">
        <v>436</v>
      </c>
    </row>
    <row r="3" spans="1:22" ht="15">
      <c r="A3" s="445" t="s">
        <v>383</v>
      </c>
      <c r="B3" s="628">
        <v>587</v>
      </c>
      <c r="C3" s="623" t="s">
        <v>385</v>
      </c>
      <c r="D3" s="445"/>
      <c r="E3" s="445"/>
      <c r="F3" s="445"/>
      <c r="G3" s="445"/>
      <c r="H3" s="445"/>
      <c r="I3" s="445"/>
      <c r="J3" s="445"/>
      <c r="K3" s="445"/>
      <c r="L3" s="445"/>
      <c r="M3" s="445"/>
      <c r="N3" s="445"/>
      <c r="O3" s="623">
        <v>30000000003</v>
      </c>
      <c r="P3" s="624">
        <f>+BIODIESEL!$C$7</f>
        <v>5256.07</v>
      </c>
      <c r="Q3" s="445" t="s">
        <v>378</v>
      </c>
      <c r="R3" s="625">
        <v>1</v>
      </c>
      <c r="S3" s="623" t="s">
        <v>379</v>
      </c>
      <c r="T3" s="626" t="s">
        <v>400</v>
      </c>
      <c r="U3" s="627" t="str">
        <f t="shared" ref="U3:V17" si="0">+U2</f>
        <v>07.11.2024</v>
      </c>
      <c r="V3" s="627" t="str">
        <f>+V2</f>
        <v>30.09.2023</v>
      </c>
    </row>
    <row r="4" spans="1:22" ht="15">
      <c r="A4" s="445" t="s">
        <v>386</v>
      </c>
      <c r="B4" s="628">
        <v>587</v>
      </c>
      <c r="C4" s="628" t="s">
        <v>385</v>
      </c>
      <c r="D4" s="453"/>
      <c r="E4" s="453"/>
      <c r="F4" s="453"/>
      <c r="G4" s="453"/>
      <c r="H4" s="453"/>
      <c r="I4" s="453"/>
      <c r="J4" s="453"/>
      <c r="K4" s="453"/>
      <c r="L4" s="453"/>
      <c r="M4" s="453"/>
      <c r="N4" s="453"/>
      <c r="O4" s="628">
        <v>30000000003</v>
      </c>
      <c r="P4" s="624">
        <f>+'COMBUSTIBLES '!$B$8</f>
        <v>9.16</v>
      </c>
      <c r="Q4" s="445" t="s">
        <v>378</v>
      </c>
      <c r="R4" s="625">
        <v>1</v>
      </c>
      <c r="S4" s="623" t="s">
        <v>379</v>
      </c>
      <c r="T4" s="626" t="s">
        <v>400</v>
      </c>
      <c r="U4" s="627" t="str">
        <f t="shared" si="0"/>
        <v>07.11.2024</v>
      </c>
      <c r="V4" s="627" t="str">
        <f t="shared" si="0"/>
        <v>30.09.2023</v>
      </c>
    </row>
    <row r="5" spans="1:22" ht="15">
      <c r="A5" s="445" t="s">
        <v>383</v>
      </c>
      <c r="B5" s="628">
        <v>587</v>
      </c>
      <c r="C5" s="623" t="s">
        <v>385</v>
      </c>
      <c r="D5" s="445"/>
      <c r="E5" s="445"/>
      <c r="F5" s="445"/>
      <c r="G5" s="445"/>
      <c r="H5" s="445"/>
      <c r="I5" s="445"/>
      <c r="J5" s="445"/>
      <c r="K5" s="445"/>
      <c r="L5" s="445"/>
      <c r="M5" s="445"/>
      <c r="N5" s="445"/>
      <c r="O5" s="623">
        <v>30000000004</v>
      </c>
      <c r="P5" s="624">
        <f>+BIODIESEL!$C$7</f>
        <v>5256.07</v>
      </c>
      <c r="Q5" s="445" t="s">
        <v>378</v>
      </c>
      <c r="R5" s="625">
        <v>1</v>
      </c>
      <c r="S5" s="623" t="s">
        <v>379</v>
      </c>
      <c r="T5" s="626" t="s">
        <v>400</v>
      </c>
      <c r="U5" s="627" t="str">
        <f t="shared" si="0"/>
        <v>07.11.2024</v>
      </c>
      <c r="V5" s="627" t="str">
        <f t="shared" si="0"/>
        <v>30.09.2023</v>
      </c>
    </row>
    <row r="6" spans="1:22" ht="15">
      <c r="A6" s="445" t="s">
        <v>383</v>
      </c>
      <c r="B6" s="628">
        <v>567</v>
      </c>
      <c r="C6" s="623" t="s">
        <v>385</v>
      </c>
      <c r="D6" s="623"/>
      <c r="E6" s="623"/>
      <c r="F6" s="623"/>
      <c r="G6" s="623"/>
      <c r="H6" s="623"/>
      <c r="I6" s="623"/>
      <c r="J6" s="623"/>
      <c r="K6" s="623"/>
      <c r="L6" s="623"/>
      <c r="M6" s="623" t="s">
        <v>387</v>
      </c>
      <c r="N6" s="623"/>
      <c r="O6" s="623">
        <v>30000000004</v>
      </c>
      <c r="P6" s="624">
        <f>+BIODIESEL!$C$7</f>
        <v>5256.07</v>
      </c>
      <c r="Q6" s="445" t="s">
        <v>378</v>
      </c>
      <c r="R6" s="625">
        <v>1</v>
      </c>
      <c r="S6" s="623" t="s">
        <v>379</v>
      </c>
      <c r="T6" s="626" t="s">
        <v>400</v>
      </c>
      <c r="U6" s="627" t="str">
        <f t="shared" si="0"/>
        <v>07.11.2024</v>
      </c>
      <c r="V6" s="627" t="str">
        <f t="shared" si="0"/>
        <v>30.09.2023</v>
      </c>
    </row>
    <row r="7" spans="1:22" ht="15">
      <c r="A7" s="445" t="s">
        <v>383</v>
      </c>
      <c r="B7" s="628">
        <v>567</v>
      </c>
      <c r="C7" s="623" t="s">
        <v>385</v>
      </c>
      <c r="D7" s="623"/>
      <c r="E7" s="623"/>
      <c r="F7" s="623"/>
      <c r="G7" s="623"/>
      <c r="H7" s="623"/>
      <c r="I7" s="623"/>
      <c r="J7" s="623"/>
      <c r="K7" s="623"/>
      <c r="L7" s="623"/>
      <c r="M7" s="445" t="s">
        <v>388</v>
      </c>
      <c r="N7" s="623"/>
      <c r="O7" s="623">
        <v>30000000004</v>
      </c>
      <c r="P7" s="624">
        <f>+BIODIESEL!$C$7</f>
        <v>5256.07</v>
      </c>
      <c r="Q7" s="445" t="s">
        <v>378</v>
      </c>
      <c r="R7" s="625">
        <v>1</v>
      </c>
      <c r="S7" s="623" t="s">
        <v>379</v>
      </c>
      <c r="T7" s="626" t="s">
        <v>400</v>
      </c>
      <c r="U7" s="627" t="str">
        <f t="shared" si="0"/>
        <v>07.11.2024</v>
      </c>
      <c r="V7" s="627" t="str">
        <f t="shared" si="0"/>
        <v>30.09.2023</v>
      </c>
    </row>
    <row r="8" spans="1:22" ht="15">
      <c r="A8" s="445" t="s">
        <v>383</v>
      </c>
      <c r="B8" s="628">
        <v>567</v>
      </c>
      <c r="C8" s="623" t="s">
        <v>385</v>
      </c>
      <c r="D8" s="445"/>
      <c r="E8" s="445"/>
      <c r="F8" s="445"/>
      <c r="G8" s="445"/>
      <c r="H8" s="445"/>
      <c r="I8" s="445"/>
      <c r="J8" s="445"/>
      <c r="K8" s="445"/>
      <c r="L8" s="445"/>
      <c r="M8" s="445" t="s">
        <v>389</v>
      </c>
      <c r="N8" s="445"/>
      <c r="O8" s="623">
        <v>30000000004</v>
      </c>
      <c r="P8" s="624">
        <f>+BIODIESEL!$C$7</f>
        <v>5256.07</v>
      </c>
      <c r="Q8" s="445" t="s">
        <v>378</v>
      </c>
      <c r="R8" s="625">
        <v>1</v>
      </c>
      <c r="S8" s="623" t="s">
        <v>379</v>
      </c>
      <c r="T8" s="626" t="s">
        <v>400</v>
      </c>
      <c r="U8" s="627" t="str">
        <f t="shared" si="0"/>
        <v>07.11.2024</v>
      </c>
      <c r="V8" s="627" t="str">
        <f t="shared" si="0"/>
        <v>30.09.2023</v>
      </c>
    </row>
    <row r="9" spans="1:22" ht="15">
      <c r="A9" s="445" t="s">
        <v>383</v>
      </c>
      <c r="B9" s="628">
        <v>567</v>
      </c>
      <c r="C9" s="623" t="s">
        <v>385</v>
      </c>
      <c r="D9" s="445"/>
      <c r="E9" s="445"/>
      <c r="F9" s="445"/>
      <c r="G9" s="445"/>
      <c r="H9" s="445"/>
      <c r="I9" s="445"/>
      <c r="J9" s="445"/>
      <c r="K9" s="445"/>
      <c r="L9" s="445"/>
      <c r="M9" s="445" t="s">
        <v>382</v>
      </c>
      <c r="N9" s="445"/>
      <c r="O9" s="623">
        <v>30000000004</v>
      </c>
      <c r="P9" s="624">
        <f>+BIODIESEL!$C$7</f>
        <v>5256.07</v>
      </c>
      <c r="Q9" s="445" t="s">
        <v>378</v>
      </c>
      <c r="R9" s="625">
        <v>1</v>
      </c>
      <c r="S9" s="623" t="s">
        <v>379</v>
      </c>
      <c r="T9" s="626" t="s">
        <v>400</v>
      </c>
      <c r="U9" s="627" t="str">
        <f t="shared" si="0"/>
        <v>07.11.2024</v>
      </c>
      <c r="V9" s="627" t="str">
        <f t="shared" si="0"/>
        <v>30.09.2023</v>
      </c>
    </row>
    <row r="10" spans="1:22" ht="15">
      <c r="A10" s="445" t="s">
        <v>383</v>
      </c>
      <c r="B10" s="628">
        <v>587</v>
      </c>
      <c r="C10" s="623" t="s">
        <v>385</v>
      </c>
      <c r="D10" s="445"/>
      <c r="E10" s="445"/>
      <c r="F10" s="445"/>
      <c r="G10" s="445"/>
      <c r="H10" s="445"/>
      <c r="I10" s="445"/>
      <c r="J10" s="445"/>
      <c r="K10" s="445"/>
      <c r="L10" s="445"/>
      <c r="M10" s="445"/>
      <c r="N10" s="445"/>
      <c r="O10" s="623">
        <v>30000000070</v>
      </c>
      <c r="P10" s="624">
        <f>+'COMBUSTIBLES '!$B$7</f>
        <v>10380.44</v>
      </c>
      <c r="Q10" s="445" t="s">
        <v>378</v>
      </c>
      <c r="R10" s="625">
        <v>1</v>
      </c>
      <c r="S10" s="623" t="s">
        <v>379</v>
      </c>
      <c r="T10" s="626" t="s">
        <v>400</v>
      </c>
      <c r="U10" s="627" t="str">
        <f t="shared" si="0"/>
        <v>07.11.2024</v>
      </c>
      <c r="V10" s="627" t="str">
        <f t="shared" si="0"/>
        <v>30.09.2023</v>
      </c>
    </row>
    <row r="11" spans="1:22" ht="15">
      <c r="A11" s="445" t="s">
        <v>383</v>
      </c>
      <c r="B11" s="628">
        <v>567</v>
      </c>
      <c r="C11" s="623" t="s">
        <v>385</v>
      </c>
      <c r="D11" s="445"/>
      <c r="E11" s="445"/>
      <c r="F11" s="445"/>
      <c r="G11" s="445"/>
      <c r="H11" s="445"/>
      <c r="I11" s="445"/>
      <c r="J11" s="445"/>
      <c r="K11" s="445"/>
      <c r="L11" s="445"/>
      <c r="M11" s="443" t="s">
        <v>388</v>
      </c>
      <c r="N11" s="445"/>
      <c r="O11" s="623">
        <v>30000000070</v>
      </c>
      <c r="P11" s="624">
        <f>+'COMBUSTIBLES '!$B$7</f>
        <v>10380.44</v>
      </c>
      <c r="Q11" s="445" t="s">
        <v>378</v>
      </c>
      <c r="R11" s="625">
        <v>1</v>
      </c>
      <c r="S11" s="623" t="s">
        <v>379</v>
      </c>
      <c r="T11" s="626" t="s">
        <v>400</v>
      </c>
      <c r="U11" s="627" t="str">
        <f t="shared" si="0"/>
        <v>07.11.2024</v>
      </c>
      <c r="V11" s="627" t="str">
        <f t="shared" si="0"/>
        <v>30.09.2023</v>
      </c>
    </row>
    <row r="12" spans="1:22" ht="15">
      <c r="A12" s="445" t="s">
        <v>380</v>
      </c>
      <c r="B12" s="628">
        <v>587</v>
      </c>
      <c r="C12" s="445" t="s">
        <v>385</v>
      </c>
      <c r="D12" s="445"/>
      <c r="E12" s="445"/>
      <c r="F12" s="445"/>
      <c r="G12" s="445"/>
      <c r="H12" s="445"/>
      <c r="I12" s="445"/>
      <c r="J12" s="445"/>
      <c r="K12" s="445"/>
      <c r="L12" s="445"/>
      <c r="M12" s="445"/>
      <c r="N12" s="445"/>
      <c r="O12" s="623">
        <v>30000002129</v>
      </c>
      <c r="P12" s="624">
        <f>+BIODIESEL!$D$9</f>
        <v>396.73</v>
      </c>
      <c r="Q12" s="445" t="s">
        <v>378</v>
      </c>
      <c r="R12" s="625">
        <v>1</v>
      </c>
      <c r="S12" s="623" t="s">
        <v>379</v>
      </c>
      <c r="T12" s="626" t="s">
        <v>400</v>
      </c>
      <c r="U12" s="627" t="str">
        <f t="shared" si="0"/>
        <v>07.11.2024</v>
      </c>
      <c r="V12" s="627" t="str">
        <f t="shared" si="0"/>
        <v>30.09.2023</v>
      </c>
    </row>
    <row r="13" spans="1:22" ht="15">
      <c r="A13" s="445" t="s">
        <v>376</v>
      </c>
      <c r="B13" s="628">
        <v>567</v>
      </c>
      <c r="C13" s="623" t="s">
        <v>385</v>
      </c>
      <c r="D13" s="445"/>
      <c r="E13" s="445"/>
      <c r="F13" s="445"/>
      <c r="G13" s="445"/>
      <c r="H13" s="445"/>
      <c r="I13" s="445"/>
      <c r="J13" s="445"/>
      <c r="K13" s="445"/>
      <c r="L13" s="445"/>
      <c r="M13" s="445" t="s">
        <v>388</v>
      </c>
      <c r="N13" s="445"/>
      <c r="O13" s="623">
        <v>30000002129</v>
      </c>
      <c r="P13" s="624">
        <f>+BIODIESEL!$D$8</f>
        <v>5150.95</v>
      </c>
      <c r="Q13" s="445" t="s">
        <v>378</v>
      </c>
      <c r="R13" s="625">
        <v>1</v>
      </c>
      <c r="S13" s="623" t="s">
        <v>379</v>
      </c>
      <c r="T13" s="626" t="s">
        <v>400</v>
      </c>
      <c r="U13" s="627" t="str">
        <f t="shared" si="0"/>
        <v>07.11.2024</v>
      </c>
      <c r="V13" s="627" t="str">
        <f t="shared" si="0"/>
        <v>30.09.2023</v>
      </c>
    </row>
    <row r="14" spans="1:22" ht="15">
      <c r="A14" s="445" t="s">
        <v>380</v>
      </c>
      <c r="B14" s="628">
        <v>567</v>
      </c>
      <c r="C14" s="623" t="s">
        <v>385</v>
      </c>
      <c r="D14" s="445"/>
      <c r="E14" s="445"/>
      <c r="F14" s="445"/>
      <c r="G14" s="445"/>
      <c r="H14" s="445"/>
      <c r="I14" s="445"/>
      <c r="J14" s="445"/>
      <c r="K14" s="445"/>
      <c r="L14" s="445"/>
      <c r="M14" s="445" t="s">
        <v>388</v>
      </c>
      <c r="N14" s="445"/>
      <c r="O14" s="623">
        <v>30000002129</v>
      </c>
      <c r="P14" s="624">
        <f>+BIODIESEL!$D$9</f>
        <v>396.73</v>
      </c>
      <c r="Q14" s="445" t="s">
        <v>378</v>
      </c>
      <c r="R14" s="625">
        <v>1</v>
      </c>
      <c r="S14" s="623" t="s">
        <v>379</v>
      </c>
      <c r="T14" s="626" t="s">
        <v>400</v>
      </c>
      <c r="U14" s="627" t="str">
        <f t="shared" si="0"/>
        <v>07.11.2024</v>
      </c>
      <c r="V14" s="627" t="str">
        <f t="shared" si="0"/>
        <v>30.09.2023</v>
      </c>
    </row>
    <row r="15" spans="1:22" ht="15">
      <c r="A15" s="445" t="s">
        <v>376</v>
      </c>
      <c r="B15" s="628">
        <v>587</v>
      </c>
      <c r="C15" s="623" t="s">
        <v>385</v>
      </c>
      <c r="D15" s="445"/>
      <c r="E15" s="445"/>
      <c r="F15" s="445"/>
      <c r="G15" s="445"/>
      <c r="H15" s="445"/>
      <c r="I15" s="445"/>
      <c r="J15" s="445"/>
      <c r="K15" s="445"/>
      <c r="L15" s="445"/>
      <c r="M15" s="445"/>
      <c r="N15" s="445"/>
      <c r="O15" s="623">
        <v>30000002129</v>
      </c>
      <c r="P15" s="624">
        <f>+BIODIESEL!$D$8</f>
        <v>5150.95</v>
      </c>
      <c r="Q15" s="445" t="s">
        <v>378</v>
      </c>
      <c r="R15" s="625">
        <v>1</v>
      </c>
      <c r="S15" s="623" t="s">
        <v>379</v>
      </c>
      <c r="T15" s="626" t="s">
        <v>400</v>
      </c>
      <c r="U15" s="627" t="str">
        <f t="shared" si="0"/>
        <v>07.11.2024</v>
      </c>
      <c r="V15" s="627" t="str">
        <f t="shared" si="0"/>
        <v>30.09.2023</v>
      </c>
    </row>
    <row r="16" spans="1:22" ht="15">
      <c r="A16" s="445" t="s">
        <v>380</v>
      </c>
      <c r="B16" s="628">
        <v>567</v>
      </c>
      <c r="C16" s="445" t="s">
        <v>385</v>
      </c>
      <c r="D16" s="445"/>
      <c r="E16" s="445"/>
      <c r="F16" s="445"/>
      <c r="G16" s="445"/>
      <c r="H16" s="445"/>
      <c r="I16" s="445"/>
      <c r="J16" s="445"/>
      <c r="K16" s="445"/>
      <c r="L16" s="445"/>
      <c r="M16" s="445" t="s">
        <v>384</v>
      </c>
      <c r="N16" s="445"/>
      <c r="O16" s="623">
        <v>30000002129</v>
      </c>
      <c r="P16" s="624">
        <f>+BIODIESEL!$D$9</f>
        <v>396.73</v>
      </c>
      <c r="Q16" s="445" t="s">
        <v>378</v>
      </c>
      <c r="R16" s="625">
        <v>1</v>
      </c>
      <c r="S16" s="623" t="s">
        <v>379</v>
      </c>
      <c r="T16" s="626" t="s">
        <v>400</v>
      </c>
      <c r="U16" s="627" t="str">
        <f t="shared" si="0"/>
        <v>07.11.2024</v>
      </c>
      <c r="V16" s="627" t="str">
        <f t="shared" si="0"/>
        <v>30.09.2023</v>
      </c>
    </row>
    <row r="17" spans="1:22" ht="15">
      <c r="A17" s="445" t="s">
        <v>376</v>
      </c>
      <c r="B17" s="628">
        <v>567</v>
      </c>
      <c r="C17" s="623" t="s">
        <v>385</v>
      </c>
      <c r="D17" s="445"/>
      <c r="E17" s="445"/>
      <c r="F17" s="445"/>
      <c r="G17" s="445"/>
      <c r="H17" s="445"/>
      <c r="I17" s="445"/>
      <c r="J17" s="445"/>
      <c r="K17" s="445"/>
      <c r="L17" s="445"/>
      <c r="M17" s="445" t="s">
        <v>384</v>
      </c>
      <c r="N17" s="445"/>
      <c r="O17" s="623">
        <v>30000002129</v>
      </c>
      <c r="P17" s="624">
        <f>+BIODIESEL!$D$8</f>
        <v>5150.95</v>
      </c>
      <c r="Q17" s="445" t="s">
        <v>378</v>
      </c>
      <c r="R17" s="625">
        <v>1</v>
      </c>
      <c r="S17" s="623" t="s">
        <v>379</v>
      </c>
      <c r="T17" s="626" t="s">
        <v>400</v>
      </c>
      <c r="U17" s="627" t="str">
        <f t="shared" si="0"/>
        <v>07.11.2024</v>
      </c>
      <c r="V17" s="627" t="str">
        <f t="shared" si="0"/>
        <v>30.09.2023</v>
      </c>
    </row>
    <row r="18" spans="1:22" ht="21">
      <c r="A18" s="445" t="s">
        <v>383</v>
      </c>
      <c r="B18" s="628">
        <v>931</v>
      </c>
      <c r="C18" s="623" t="s">
        <v>385</v>
      </c>
      <c r="D18" s="623"/>
      <c r="E18" s="623"/>
      <c r="F18" s="623"/>
      <c r="G18" s="623"/>
      <c r="H18" s="623"/>
      <c r="I18" s="619">
        <v>90005606</v>
      </c>
      <c r="J18" s="623"/>
      <c r="K18" s="623"/>
      <c r="L18" s="623"/>
      <c r="M18" s="623" t="s">
        <v>381</v>
      </c>
      <c r="N18" s="623"/>
      <c r="O18" s="620">
        <v>30000009504</v>
      </c>
      <c r="P18" s="629">
        <f>+'COMBUSTIBLES '!$C$7</f>
        <v>12460</v>
      </c>
      <c r="Q18" s="623" t="s">
        <v>378</v>
      </c>
      <c r="R18" s="623">
        <v>1</v>
      </c>
      <c r="S18" s="623" t="s">
        <v>379</v>
      </c>
      <c r="T18" s="626" t="s">
        <v>400</v>
      </c>
      <c r="U18" s="627" t="s">
        <v>399</v>
      </c>
      <c r="V18" s="610" t="s">
        <v>436</v>
      </c>
    </row>
    <row r="19" spans="1:22" ht="15">
      <c r="A19" s="445" t="s">
        <v>383</v>
      </c>
      <c r="B19" s="628">
        <v>931</v>
      </c>
      <c r="C19" s="623" t="s">
        <v>385</v>
      </c>
      <c r="D19" s="623"/>
      <c r="E19" s="623"/>
      <c r="F19" s="623"/>
      <c r="G19" s="623"/>
      <c r="H19" s="623"/>
      <c r="I19" s="619">
        <v>90005603</v>
      </c>
      <c r="J19" s="623"/>
      <c r="K19" s="623"/>
      <c r="L19" s="623"/>
      <c r="M19" s="623" t="s">
        <v>381</v>
      </c>
      <c r="N19" s="623"/>
      <c r="O19" s="620">
        <v>30000009504</v>
      </c>
      <c r="P19" s="629">
        <f>+'COMBUSTIBLES '!$C$7</f>
        <v>12460</v>
      </c>
      <c r="Q19" s="623" t="s">
        <v>378</v>
      </c>
      <c r="R19" s="623">
        <v>1</v>
      </c>
      <c r="S19" s="623" t="s">
        <v>379</v>
      </c>
      <c r="T19" s="626" t="s">
        <v>400</v>
      </c>
      <c r="U19" s="627" t="s">
        <v>399</v>
      </c>
      <c r="V19" s="627" t="str">
        <f t="shared" ref="V19:V36" si="1">+V18</f>
        <v>30.09.2023</v>
      </c>
    </row>
    <row r="20" spans="1:22" ht="15">
      <c r="A20" s="445" t="s">
        <v>383</v>
      </c>
      <c r="B20" s="628">
        <v>931</v>
      </c>
      <c r="C20" s="623" t="s">
        <v>385</v>
      </c>
      <c r="D20" s="445"/>
      <c r="E20" s="445"/>
      <c r="F20" s="445"/>
      <c r="G20" s="445"/>
      <c r="H20" s="445"/>
      <c r="I20" s="619">
        <v>90005600</v>
      </c>
      <c r="J20" s="445"/>
      <c r="K20" s="445"/>
      <c r="L20" s="445"/>
      <c r="M20" s="623" t="s">
        <v>381</v>
      </c>
      <c r="N20" s="445"/>
      <c r="O20" s="620">
        <v>30000009504</v>
      </c>
      <c r="P20" s="629">
        <f>+'COMBUSTIBLES '!$C$7</f>
        <v>12460</v>
      </c>
      <c r="Q20" s="623" t="s">
        <v>378</v>
      </c>
      <c r="R20" s="623">
        <v>1</v>
      </c>
      <c r="S20" s="623" t="s">
        <v>379</v>
      </c>
      <c r="T20" s="626" t="s">
        <v>400</v>
      </c>
      <c r="U20" s="627" t="s">
        <v>399</v>
      </c>
      <c r="V20" s="627" t="str">
        <f t="shared" si="1"/>
        <v>30.09.2023</v>
      </c>
    </row>
    <row r="21" spans="1:22" ht="15">
      <c r="A21" s="445" t="s">
        <v>383</v>
      </c>
      <c r="B21" s="628">
        <v>931</v>
      </c>
      <c r="C21" s="623" t="s">
        <v>385</v>
      </c>
      <c r="D21" s="445"/>
      <c r="E21" s="445"/>
      <c r="F21" s="445"/>
      <c r="G21" s="445"/>
      <c r="H21" s="445"/>
      <c r="I21" s="619">
        <v>90005628</v>
      </c>
      <c r="J21" s="445"/>
      <c r="K21" s="445"/>
      <c r="L21" s="445"/>
      <c r="M21" s="623" t="s">
        <v>381</v>
      </c>
      <c r="N21" s="445"/>
      <c r="O21" s="620">
        <v>30000009504</v>
      </c>
      <c r="P21" s="629">
        <f>+'COMBUSTIBLES '!$C$7</f>
        <v>12460</v>
      </c>
      <c r="Q21" s="623" t="s">
        <v>378</v>
      </c>
      <c r="R21" s="623">
        <v>1</v>
      </c>
      <c r="S21" s="623" t="s">
        <v>379</v>
      </c>
      <c r="T21" s="626" t="s">
        <v>400</v>
      </c>
      <c r="U21" s="627" t="s">
        <v>399</v>
      </c>
      <c r="V21" s="627" t="str">
        <f t="shared" si="1"/>
        <v>30.09.2023</v>
      </c>
    </row>
    <row r="22" spans="1:22" ht="15">
      <c r="A22" s="445" t="s">
        <v>383</v>
      </c>
      <c r="B22" s="628">
        <v>931</v>
      </c>
      <c r="C22" s="623" t="s">
        <v>385</v>
      </c>
      <c r="D22" s="445"/>
      <c r="E22" s="445"/>
      <c r="F22" s="445"/>
      <c r="G22" s="445"/>
      <c r="H22" s="445"/>
      <c r="I22" s="619">
        <v>90005617</v>
      </c>
      <c r="J22" s="445"/>
      <c r="K22" s="445"/>
      <c r="L22" s="445"/>
      <c r="M22" s="623" t="s">
        <v>381</v>
      </c>
      <c r="N22" s="445"/>
      <c r="O22" s="620">
        <v>30000009504</v>
      </c>
      <c r="P22" s="629">
        <f>+'COMBUSTIBLES '!$C$7</f>
        <v>12460</v>
      </c>
      <c r="Q22" s="623" t="s">
        <v>378</v>
      </c>
      <c r="R22" s="623">
        <v>1</v>
      </c>
      <c r="S22" s="623" t="s">
        <v>379</v>
      </c>
      <c r="T22" s="626" t="s">
        <v>400</v>
      </c>
      <c r="U22" s="627" t="s">
        <v>399</v>
      </c>
      <c r="V22" s="627" t="str">
        <f t="shared" si="1"/>
        <v>30.09.2023</v>
      </c>
    </row>
    <row r="23" spans="1:22" ht="15">
      <c r="A23" s="445" t="s">
        <v>383</v>
      </c>
      <c r="B23" s="628">
        <v>931</v>
      </c>
      <c r="C23" s="628" t="s">
        <v>385</v>
      </c>
      <c r="D23" s="628"/>
      <c r="E23" s="628"/>
      <c r="F23" s="628"/>
      <c r="G23" s="628"/>
      <c r="H23" s="628"/>
      <c r="I23" s="619">
        <v>90005598</v>
      </c>
      <c r="J23" s="628"/>
      <c r="K23" s="628"/>
      <c r="L23" s="628"/>
      <c r="M23" s="623" t="s">
        <v>381</v>
      </c>
      <c r="N23" s="628"/>
      <c r="O23" s="620">
        <v>30000009504</v>
      </c>
      <c r="P23" s="629">
        <f>+'COMBUSTIBLES '!$C$7</f>
        <v>12460</v>
      </c>
      <c r="Q23" s="623" t="s">
        <v>378</v>
      </c>
      <c r="R23" s="623">
        <v>1</v>
      </c>
      <c r="S23" s="623" t="s">
        <v>379</v>
      </c>
      <c r="T23" s="626" t="s">
        <v>400</v>
      </c>
      <c r="U23" s="627" t="s">
        <v>399</v>
      </c>
      <c r="V23" s="627" t="str">
        <f t="shared" si="1"/>
        <v>30.09.2023</v>
      </c>
    </row>
    <row r="24" spans="1:22" ht="15">
      <c r="A24" s="445" t="s">
        <v>383</v>
      </c>
      <c r="B24" s="628">
        <v>931</v>
      </c>
      <c r="C24" s="623" t="s">
        <v>385</v>
      </c>
      <c r="D24" s="623"/>
      <c r="E24" s="623"/>
      <c r="F24" s="623"/>
      <c r="G24" s="623"/>
      <c r="H24" s="623"/>
      <c r="I24" s="619">
        <v>90005606</v>
      </c>
      <c r="J24" s="623"/>
      <c r="K24" s="623"/>
      <c r="L24" s="623"/>
      <c r="M24" s="623" t="s">
        <v>382</v>
      </c>
      <c r="N24" s="623"/>
      <c r="O24" s="620">
        <v>30000009504</v>
      </c>
      <c r="P24" s="629">
        <f>+'COMBUSTIBLES '!$C$7</f>
        <v>12460</v>
      </c>
      <c r="Q24" s="623" t="s">
        <v>378</v>
      </c>
      <c r="R24" s="623">
        <v>1</v>
      </c>
      <c r="S24" s="623" t="s">
        <v>379</v>
      </c>
      <c r="T24" s="626" t="s">
        <v>400</v>
      </c>
      <c r="U24" s="627" t="s">
        <v>399</v>
      </c>
      <c r="V24" s="627" t="str">
        <f t="shared" si="1"/>
        <v>30.09.2023</v>
      </c>
    </row>
    <row r="25" spans="1:22" ht="15">
      <c r="A25" s="445" t="s">
        <v>383</v>
      </c>
      <c r="B25" s="628">
        <v>931</v>
      </c>
      <c r="C25" s="623" t="s">
        <v>385</v>
      </c>
      <c r="D25" s="623"/>
      <c r="E25" s="623"/>
      <c r="F25" s="623"/>
      <c r="G25" s="623"/>
      <c r="H25" s="623"/>
      <c r="I25" s="619">
        <v>90005603</v>
      </c>
      <c r="J25" s="623"/>
      <c r="K25" s="623"/>
      <c r="L25" s="623"/>
      <c r="M25" s="623" t="s">
        <v>382</v>
      </c>
      <c r="N25" s="623"/>
      <c r="O25" s="620">
        <v>30000009504</v>
      </c>
      <c r="P25" s="629">
        <f>+'COMBUSTIBLES '!$C$7</f>
        <v>12460</v>
      </c>
      <c r="Q25" s="623" t="s">
        <v>378</v>
      </c>
      <c r="R25" s="623">
        <v>1</v>
      </c>
      <c r="S25" s="623" t="s">
        <v>379</v>
      </c>
      <c r="T25" s="626" t="s">
        <v>400</v>
      </c>
      <c r="U25" s="627" t="s">
        <v>399</v>
      </c>
      <c r="V25" s="627" t="str">
        <f t="shared" si="1"/>
        <v>30.09.2023</v>
      </c>
    </row>
    <row r="26" spans="1:22" ht="15">
      <c r="A26" s="445" t="s">
        <v>383</v>
      </c>
      <c r="B26" s="628">
        <v>931</v>
      </c>
      <c r="C26" s="623" t="s">
        <v>385</v>
      </c>
      <c r="D26" s="623"/>
      <c r="E26" s="623"/>
      <c r="F26" s="623"/>
      <c r="G26" s="623"/>
      <c r="H26" s="623"/>
      <c r="I26" s="619">
        <v>90005603</v>
      </c>
      <c r="J26" s="623"/>
      <c r="K26" s="623"/>
      <c r="L26" s="623"/>
      <c r="M26" s="623" t="s">
        <v>391</v>
      </c>
      <c r="N26" s="623"/>
      <c r="O26" s="620">
        <v>30000009504</v>
      </c>
      <c r="P26" s="629">
        <f>+'COMBUSTIBLES '!$C$7</f>
        <v>12460</v>
      </c>
      <c r="Q26" s="623" t="s">
        <v>378</v>
      </c>
      <c r="R26" s="623">
        <v>1</v>
      </c>
      <c r="S26" s="623" t="s">
        <v>379</v>
      </c>
      <c r="T26" s="626" t="s">
        <v>400</v>
      </c>
      <c r="U26" s="627" t="s">
        <v>399</v>
      </c>
      <c r="V26" s="627" t="str">
        <f t="shared" si="1"/>
        <v>30.09.2023</v>
      </c>
    </row>
    <row r="27" spans="1:22" ht="15">
      <c r="A27" s="445" t="s">
        <v>383</v>
      </c>
      <c r="B27" s="628">
        <v>931</v>
      </c>
      <c r="C27" s="623" t="s">
        <v>385</v>
      </c>
      <c r="D27" s="445"/>
      <c r="E27" s="445"/>
      <c r="F27" s="445"/>
      <c r="G27" s="445"/>
      <c r="H27" s="445"/>
      <c r="I27" s="619">
        <v>90005600</v>
      </c>
      <c r="J27" s="445"/>
      <c r="K27" s="445"/>
      <c r="L27" s="445"/>
      <c r="M27" s="623" t="s">
        <v>382</v>
      </c>
      <c r="N27" s="445"/>
      <c r="O27" s="620">
        <v>30000009504</v>
      </c>
      <c r="P27" s="629">
        <f>+'COMBUSTIBLES '!$C$7</f>
        <v>12460</v>
      </c>
      <c r="Q27" s="623" t="s">
        <v>378</v>
      </c>
      <c r="R27" s="623">
        <v>1</v>
      </c>
      <c r="S27" s="623" t="s">
        <v>379</v>
      </c>
      <c r="T27" s="626" t="s">
        <v>400</v>
      </c>
      <c r="U27" s="627" t="s">
        <v>399</v>
      </c>
      <c r="V27" s="627" t="str">
        <f t="shared" si="1"/>
        <v>30.09.2023</v>
      </c>
    </row>
    <row r="28" spans="1:22" ht="15">
      <c r="A28" s="445" t="s">
        <v>383</v>
      </c>
      <c r="B28" s="628">
        <v>931</v>
      </c>
      <c r="C28" s="623" t="s">
        <v>385</v>
      </c>
      <c r="D28" s="445"/>
      <c r="E28" s="445"/>
      <c r="F28" s="445"/>
      <c r="G28" s="445"/>
      <c r="H28" s="445"/>
      <c r="I28" s="619">
        <v>90005628</v>
      </c>
      <c r="J28" s="445"/>
      <c r="K28" s="445"/>
      <c r="L28" s="445"/>
      <c r="M28" s="623" t="s">
        <v>382</v>
      </c>
      <c r="N28" s="445"/>
      <c r="O28" s="620">
        <v>30000009504</v>
      </c>
      <c r="P28" s="629">
        <f>+'COMBUSTIBLES '!$C$7</f>
        <v>12460</v>
      </c>
      <c r="Q28" s="623" t="s">
        <v>378</v>
      </c>
      <c r="R28" s="623">
        <v>1</v>
      </c>
      <c r="S28" s="623" t="s">
        <v>379</v>
      </c>
      <c r="T28" s="626" t="s">
        <v>400</v>
      </c>
      <c r="U28" s="627" t="s">
        <v>399</v>
      </c>
      <c r="V28" s="627" t="str">
        <f t="shared" si="1"/>
        <v>30.09.2023</v>
      </c>
    </row>
    <row r="29" spans="1:22" ht="15">
      <c r="A29" s="445" t="s">
        <v>383</v>
      </c>
      <c r="B29" s="628">
        <v>931</v>
      </c>
      <c r="C29" s="623" t="s">
        <v>385</v>
      </c>
      <c r="D29" s="445"/>
      <c r="E29" s="445"/>
      <c r="F29" s="445"/>
      <c r="G29" s="445"/>
      <c r="H29" s="445"/>
      <c r="I29" s="619">
        <v>90005617</v>
      </c>
      <c r="J29" s="445"/>
      <c r="K29" s="445"/>
      <c r="L29" s="445"/>
      <c r="M29" s="623" t="s">
        <v>382</v>
      </c>
      <c r="N29" s="445"/>
      <c r="O29" s="620">
        <v>30000009504</v>
      </c>
      <c r="P29" s="629">
        <f>+'COMBUSTIBLES '!$C$7</f>
        <v>12460</v>
      </c>
      <c r="Q29" s="623" t="s">
        <v>378</v>
      </c>
      <c r="R29" s="623">
        <v>1</v>
      </c>
      <c r="S29" s="623" t="s">
        <v>379</v>
      </c>
      <c r="T29" s="626" t="s">
        <v>400</v>
      </c>
      <c r="U29" s="627" t="s">
        <v>399</v>
      </c>
      <c r="V29" s="627" t="str">
        <f t="shared" si="1"/>
        <v>30.09.2023</v>
      </c>
    </row>
    <row r="30" spans="1:22" ht="15">
      <c r="A30" s="445" t="s">
        <v>383</v>
      </c>
      <c r="B30" s="628">
        <v>931</v>
      </c>
      <c r="C30" s="628" t="s">
        <v>385</v>
      </c>
      <c r="D30" s="628"/>
      <c r="E30" s="628"/>
      <c r="F30" s="628"/>
      <c r="G30" s="628"/>
      <c r="H30" s="628"/>
      <c r="I30" s="619">
        <v>90005598</v>
      </c>
      <c r="J30" s="628"/>
      <c r="K30" s="628"/>
      <c r="L30" s="628"/>
      <c r="M30" s="628" t="s">
        <v>382</v>
      </c>
      <c r="N30" s="628"/>
      <c r="O30" s="622">
        <v>30000009504</v>
      </c>
      <c r="P30" s="629">
        <f>+'COMBUSTIBLES '!$C$7</f>
        <v>12460</v>
      </c>
      <c r="Q30" s="623" t="s">
        <v>378</v>
      </c>
      <c r="R30" s="623">
        <v>1</v>
      </c>
      <c r="S30" s="623" t="s">
        <v>379</v>
      </c>
      <c r="T30" s="626" t="s">
        <v>400</v>
      </c>
      <c r="U30" s="627" t="s">
        <v>399</v>
      </c>
      <c r="V30" s="627" t="str">
        <f t="shared" si="1"/>
        <v>30.09.2023</v>
      </c>
    </row>
    <row r="31" spans="1:22" ht="15">
      <c r="A31" s="445" t="s">
        <v>383</v>
      </c>
      <c r="B31" s="628">
        <v>567</v>
      </c>
      <c r="C31" s="623" t="s">
        <v>385</v>
      </c>
      <c r="D31" s="623"/>
      <c r="E31" s="623"/>
      <c r="F31" s="623"/>
      <c r="G31" s="623"/>
      <c r="H31" s="623"/>
      <c r="I31" s="623"/>
      <c r="J31" s="623"/>
      <c r="K31" s="623"/>
      <c r="L31" s="623"/>
      <c r="M31" s="623" t="s">
        <v>381</v>
      </c>
      <c r="N31" s="623"/>
      <c r="O31" s="620">
        <v>30000009504</v>
      </c>
      <c r="P31" s="630">
        <f>+'COMBUSTIBLES '!$D$7</f>
        <v>12661</v>
      </c>
      <c r="Q31" s="626" t="s">
        <v>378</v>
      </c>
      <c r="R31" s="626">
        <v>1</v>
      </c>
      <c r="S31" s="623" t="s">
        <v>379</v>
      </c>
      <c r="T31" s="626" t="s">
        <v>400</v>
      </c>
      <c r="U31" s="627" t="s">
        <v>399</v>
      </c>
      <c r="V31" s="627" t="str">
        <f t="shared" si="1"/>
        <v>30.09.2023</v>
      </c>
    </row>
    <row r="32" spans="1:22" ht="15">
      <c r="A32" s="445" t="s">
        <v>383</v>
      </c>
      <c r="B32" s="628">
        <v>567</v>
      </c>
      <c r="C32" s="623" t="s">
        <v>385</v>
      </c>
      <c r="D32" s="623"/>
      <c r="E32" s="623"/>
      <c r="F32" s="623"/>
      <c r="G32" s="623"/>
      <c r="H32" s="623"/>
      <c r="I32" s="623"/>
      <c r="J32" s="623"/>
      <c r="K32" s="623"/>
      <c r="L32" s="623"/>
      <c r="M32" s="623" t="s">
        <v>382</v>
      </c>
      <c r="N32" s="623"/>
      <c r="O32" s="620">
        <v>30000009504</v>
      </c>
      <c r="P32" s="630">
        <f>+'COMBUSTIBLES '!$D$7</f>
        <v>12661</v>
      </c>
      <c r="Q32" s="626" t="s">
        <v>378</v>
      </c>
      <c r="R32" s="626">
        <v>1</v>
      </c>
      <c r="S32" s="623" t="s">
        <v>379</v>
      </c>
      <c r="T32" s="626" t="s">
        <v>400</v>
      </c>
      <c r="U32" s="627" t="s">
        <v>399</v>
      </c>
      <c r="V32" s="627" t="str">
        <f t="shared" si="1"/>
        <v>30.09.2023</v>
      </c>
    </row>
    <row r="33" spans="1:22" ht="15">
      <c r="A33" s="445" t="s">
        <v>383</v>
      </c>
      <c r="B33" s="628">
        <v>931</v>
      </c>
      <c r="C33" s="623" t="s">
        <v>385</v>
      </c>
      <c r="D33" s="623"/>
      <c r="E33" s="623"/>
      <c r="F33" s="623"/>
      <c r="G33" s="623"/>
      <c r="H33" s="623"/>
      <c r="I33" s="445">
        <v>90005600</v>
      </c>
      <c r="J33" s="623"/>
      <c r="K33" s="623"/>
      <c r="L33" s="623"/>
      <c r="M33" s="623" t="s">
        <v>388</v>
      </c>
      <c r="N33" s="623"/>
      <c r="O33" s="620">
        <v>30000009504</v>
      </c>
      <c r="P33" s="629">
        <f>+'COMBUSTIBLES '!$C$7</f>
        <v>12460</v>
      </c>
      <c r="Q33" s="623" t="s">
        <v>378</v>
      </c>
      <c r="R33" s="623">
        <v>1</v>
      </c>
      <c r="S33" s="623" t="s">
        <v>379</v>
      </c>
      <c r="T33" s="626" t="s">
        <v>400</v>
      </c>
      <c r="U33" s="627" t="s">
        <v>399</v>
      </c>
      <c r="V33" s="627" t="str">
        <f t="shared" si="1"/>
        <v>30.09.2023</v>
      </c>
    </row>
    <row r="34" spans="1:22" ht="15">
      <c r="A34" s="445" t="s">
        <v>383</v>
      </c>
      <c r="B34" s="628">
        <v>931</v>
      </c>
      <c r="C34" s="623" t="s">
        <v>385</v>
      </c>
      <c r="D34" s="623"/>
      <c r="E34" s="623"/>
      <c r="F34" s="623"/>
      <c r="G34" s="623"/>
      <c r="H34" s="623"/>
      <c r="I34" s="445">
        <v>90005590</v>
      </c>
      <c r="J34" s="623"/>
      <c r="K34" s="623"/>
      <c r="L34" s="623"/>
      <c r="M34" s="623" t="s">
        <v>388</v>
      </c>
      <c r="N34" s="623"/>
      <c r="O34" s="620">
        <v>30000009504</v>
      </c>
      <c r="P34" s="629">
        <f>+'COMBUSTIBLES '!$C$7</f>
        <v>12460</v>
      </c>
      <c r="Q34" s="623" t="s">
        <v>378</v>
      </c>
      <c r="R34" s="623">
        <v>1</v>
      </c>
      <c r="S34" s="623" t="s">
        <v>379</v>
      </c>
      <c r="T34" s="626" t="s">
        <v>400</v>
      </c>
      <c r="U34" s="627" t="s">
        <v>399</v>
      </c>
      <c r="V34" s="627" t="str">
        <f t="shared" si="1"/>
        <v>30.09.2023</v>
      </c>
    </row>
    <row r="35" spans="1:22" ht="15">
      <c r="A35" s="445" t="s">
        <v>383</v>
      </c>
      <c r="B35" s="628">
        <v>931</v>
      </c>
      <c r="C35" s="623" t="s">
        <v>385</v>
      </c>
      <c r="D35" s="623"/>
      <c r="E35" s="623"/>
      <c r="F35" s="623"/>
      <c r="G35" s="623"/>
      <c r="H35" s="623"/>
      <c r="I35" s="445">
        <v>90005601</v>
      </c>
      <c r="J35" s="623"/>
      <c r="K35" s="623"/>
      <c r="L35" s="623"/>
      <c r="M35" s="623" t="s">
        <v>388</v>
      </c>
      <c r="N35" s="623"/>
      <c r="O35" s="620">
        <v>30000009504</v>
      </c>
      <c r="P35" s="629">
        <f>+'COMBUSTIBLES '!$C$7</f>
        <v>12460</v>
      </c>
      <c r="Q35" s="623" t="s">
        <v>378</v>
      </c>
      <c r="R35" s="623">
        <v>1</v>
      </c>
      <c r="S35" s="623" t="s">
        <v>379</v>
      </c>
      <c r="T35" s="626" t="s">
        <v>400</v>
      </c>
      <c r="U35" s="627" t="s">
        <v>399</v>
      </c>
      <c r="V35" s="627" t="str">
        <f t="shared" si="1"/>
        <v>30.09.2023</v>
      </c>
    </row>
    <row r="36" spans="1:22" ht="15">
      <c r="A36" s="445" t="s">
        <v>383</v>
      </c>
      <c r="B36" s="628">
        <v>567</v>
      </c>
      <c r="C36" s="628" t="s">
        <v>385</v>
      </c>
      <c r="D36" s="453"/>
      <c r="E36" s="453"/>
      <c r="F36" s="453"/>
      <c r="G36" s="453"/>
      <c r="H36" s="453"/>
      <c r="I36" s="453"/>
      <c r="J36" s="453"/>
      <c r="K36" s="453"/>
      <c r="L36" s="453"/>
      <c r="M36" s="453" t="s">
        <v>391</v>
      </c>
      <c r="N36" s="453"/>
      <c r="O36" s="621">
        <v>30000009504</v>
      </c>
      <c r="P36" s="629">
        <f>+'COMBUSTIBLES '!$C$7</f>
        <v>12460</v>
      </c>
      <c r="Q36" s="445" t="s">
        <v>378</v>
      </c>
      <c r="R36" s="445">
        <v>1</v>
      </c>
      <c r="S36" s="445" t="s">
        <v>379</v>
      </c>
      <c r="T36" s="626" t="s">
        <v>400</v>
      </c>
      <c r="U36" s="458" t="str">
        <f>+U35</f>
        <v>01.09.2023</v>
      </c>
      <c r="V36" s="627" t="str">
        <f t="shared" si="1"/>
        <v>30.09.2023</v>
      </c>
    </row>
    <row r="37" spans="1:22" ht="21">
      <c r="A37" s="445" t="s">
        <v>393</v>
      </c>
      <c r="B37" s="628">
        <v>567</v>
      </c>
      <c r="C37" s="623" t="s">
        <v>385</v>
      </c>
      <c r="D37" s="445"/>
      <c r="E37" s="445"/>
      <c r="F37" s="445"/>
      <c r="G37" s="445"/>
      <c r="H37" s="445"/>
      <c r="I37" s="445"/>
      <c r="J37" s="445"/>
      <c r="K37" s="445"/>
      <c r="L37" s="445"/>
      <c r="M37" s="445" t="s">
        <v>395</v>
      </c>
      <c r="N37" s="445"/>
      <c r="O37" s="445">
        <v>30000000004</v>
      </c>
      <c r="P37" s="444">
        <f>ROUND(-('DIESEL MARINO'!$D$6-'DIESEL MARINO'!$F$6),2)</f>
        <v>-1051.21</v>
      </c>
      <c r="Q37" s="623" t="s">
        <v>378</v>
      </c>
      <c r="R37" s="623">
        <v>1</v>
      </c>
      <c r="S37" s="623" t="s">
        <v>379</v>
      </c>
      <c r="T37" s="626" t="s">
        <v>400</v>
      </c>
      <c r="U37" s="634" t="str">
        <f>+TEXT('COMBUSTIBLES '!$A$53,"dd.mm.yyyyy")</f>
        <v>07.11.2024</v>
      </c>
      <c r="V37" s="610" t="s">
        <v>436</v>
      </c>
    </row>
    <row r="38" spans="1:22" ht="15">
      <c r="A38" s="445" t="s">
        <v>393</v>
      </c>
      <c r="B38" s="628">
        <v>567</v>
      </c>
      <c r="C38" s="623" t="s">
        <v>385</v>
      </c>
      <c r="D38" s="445"/>
      <c r="E38" s="445"/>
      <c r="F38" s="445"/>
      <c r="G38" s="445"/>
      <c r="H38" s="445"/>
      <c r="I38" s="445"/>
      <c r="J38" s="445"/>
      <c r="K38" s="445"/>
      <c r="L38" s="445"/>
      <c r="M38" s="445" t="s">
        <v>395</v>
      </c>
      <c r="N38" s="445"/>
      <c r="O38" s="445">
        <v>30000002129</v>
      </c>
      <c r="P38" s="444">
        <f>ROUND(-('DIESEL MARINO'!$D$6-'DIESEL MARINO'!$F$6)*98%,2)</f>
        <v>-1030.19</v>
      </c>
      <c r="Q38" s="623" t="s">
        <v>378</v>
      </c>
      <c r="R38" s="623">
        <v>1</v>
      </c>
      <c r="S38" s="623" t="s">
        <v>379</v>
      </c>
      <c r="T38" s="626" t="s">
        <v>400</v>
      </c>
      <c r="U38" s="627" t="str">
        <f>+U3</f>
        <v>07.11.2024</v>
      </c>
      <c r="V38" s="627" t="str">
        <f t="shared" ref="V38:V45" si="2">+V37</f>
        <v>30.09.2023</v>
      </c>
    </row>
    <row r="39" spans="1:22" ht="15">
      <c r="A39" s="445" t="s">
        <v>393</v>
      </c>
      <c r="B39" s="628">
        <v>567</v>
      </c>
      <c r="C39" s="623" t="s">
        <v>385</v>
      </c>
      <c r="D39" s="445"/>
      <c r="E39" s="445"/>
      <c r="F39" s="445"/>
      <c r="G39" s="445"/>
      <c r="H39" s="445"/>
      <c r="I39" s="445"/>
      <c r="J39" s="445"/>
      <c r="K39" s="445"/>
      <c r="L39" s="445"/>
      <c r="M39" s="445" t="s">
        <v>387</v>
      </c>
      <c r="N39" s="445"/>
      <c r="O39" s="445">
        <v>30000000004</v>
      </c>
      <c r="P39" s="444">
        <f>ROUND(-('DIESEL MARINO'!$D$6-'DIESEL MARINO'!$F$6),2)</f>
        <v>-1051.21</v>
      </c>
      <c r="Q39" s="623" t="s">
        <v>378</v>
      </c>
      <c r="R39" s="445">
        <v>1</v>
      </c>
      <c r="S39" s="623" t="s">
        <v>379</v>
      </c>
      <c r="T39" s="626" t="s">
        <v>400</v>
      </c>
      <c r="U39" s="627" t="str">
        <f>+U4</f>
        <v>07.11.2024</v>
      </c>
      <c r="V39" s="627" t="str">
        <f t="shared" si="2"/>
        <v>30.09.2023</v>
      </c>
    </row>
    <row r="40" spans="1:22" ht="15">
      <c r="A40" s="445" t="s">
        <v>393</v>
      </c>
      <c r="B40" s="628">
        <v>931</v>
      </c>
      <c r="C40" s="623" t="s">
        <v>385</v>
      </c>
      <c r="D40" s="445"/>
      <c r="E40" s="445"/>
      <c r="F40" s="445"/>
      <c r="G40" s="445"/>
      <c r="H40" s="445"/>
      <c r="I40">
        <v>90005703</v>
      </c>
      <c r="J40" s="445"/>
      <c r="K40" s="445"/>
      <c r="L40" s="445"/>
      <c r="M40" s="445" t="s">
        <v>395</v>
      </c>
      <c r="N40" s="445"/>
      <c r="O40" s="445">
        <v>30000000004</v>
      </c>
      <c r="P40" s="444">
        <f>+ROUND((BIODIESEL!$C$7-BIODIESEL!$C$7*77%)*-1,2)</f>
        <v>-1208.9000000000001</v>
      </c>
      <c r="Q40" s="623" t="s">
        <v>378</v>
      </c>
      <c r="R40" s="445">
        <v>1</v>
      </c>
      <c r="S40" s="623" t="s">
        <v>379</v>
      </c>
      <c r="T40" s="626" t="s">
        <v>400</v>
      </c>
      <c r="U40" s="627" t="str">
        <f>+U5</f>
        <v>07.11.2024</v>
      </c>
      <c r="V40" s="627" t="str">
        <f t="shared" si="2"/>
        <v>30.09.2023</v>
      </c>
    </row>
    <row r="41" spans="1:22" ht="15">
      <c r="A41" s="445" t="s">
        <v>393</v>
      </c>
      <c r="B41" s="628">
        <v>931</v>
      </c>
      <c r="C41" s="623" t="s">
        <v>385</v>
      </c>
      <c r="D41" s="445"/>
      <c r="E41" s="445"/>
      <c r="F41" s="445"/>
      <c r="G41" s="445"/>
      <c r="H41" s="445"/>
      <c r="I41">
        <v>90005703</v>
      </c>
      <c r="J41" s="445"/>
      <c r="K41" s="445"/>
      <c r="L41" s="445"/>
      <c r="M41" s="445" t="s">
        <v>395</v>
      </c>
      <c r="N41" s="445"/>
      <c r="O41" s="445">
        <v>30000002129</v>
      </c>
      <c r="P41" s="444">
        <f>+ROUND('DIESEL MARINO'!$E$53-'DIESEL MARINO'!$F$53,2)*-1</f>
        <v>-1184.72</v>
      </c>
      <c r="Q41" s="631" t="s">
        <v>378</v>
      </c>
      <c r="R41" s="618">
        <v>1</v>
      </c>
      <c r="S41" s="623" t="s">
        <v>379</v>
      </c>
      <c r="T41" s="626" t="s">
        <v>400</v>
      </c>
      <c r="U41" s="627" t="str">
        <f>+U6</f>
        <v>07.11.2024</v>
      </c>
      <c r="V41" s="627" t="str">
        <f t="shared" si="2"/>
        <v>30.09.2023</v>
      </c>
    </row>
    <row r="42" spans="1:22" ht="15">
      <c r="A42" s="445" t="s">
        <v>376</v>
      </c>
      <c r="B42" s="628">
        <v>567</v>
      </c>
      <c r="C42" s="623" t="s">
        <v>385</v>
      </c>
      <c r="D42" s="445"/>
      <c r="E42" s="445"/>
      <c r="F42" s="445"/>
      <c r="G42" s="445"/>
      <c r="H42" s="445"/>
      <c r="I42" s="445"/>
      <c r="J42" s="445"/>
      <c r="K42" s="445"/>
      <c r="L42" s="445"/>
      <c r="M42" s="445" t="s">
        <v>381</v>
      </c>
      <c r="N42" s="445"/>
      <c r="O42" s="620">
        <v>30000002129</v>
      </c>
      <c r="P42" s="624">
        <f>+BIODIESEL!D$8</f>
        <v>5150.95</v>
      </c>
      <c r="Q42" s="623" t="s">
        <v>378</v>
      </c>
      <c r="R42" s="623">
        <v>1</v>
      </c>
      <c r="S42" s="623" t="s">
        <v>379</v>
      </c>
      <c r="T42" s="626" t="s">
        <v>400</v>
      </c>
      <c r="U42" s="627" t="str">
        <f>+U5</f>
        <v>07.11.2024</v>
      </c>
      <c r="V42" s="627" t="str">
        <f>+V39</f>
        <v>30.09.2023</v>
      </c>
    </row>
    <row r="43" spans="1:22" ht="15">
      <c r="A43" s="445" t="s">
        <v>380</v>
      </c>
      <c r="B43" s="628">
        <v>567</v>
      </c>
      <c r="C43" s="623" t="s">
        <v>385</v>
      </c>
      <c r="D43" s="443"/>
      <c r="E43" s="443"/>
      <c r="F43" s="443"/>
      <c r="G43" s="443"/>
      <c r="H43" s="443"/>
      <c r="I43" s="443"/>
      <c r="J43" s="443"/>
      <c r="K43" s="443"/>
      <c r="L43" s="443"/>
      <c r="M43" s="443" t="s">
        <v>381</v>
      </c>
      <c r="N43" s="443"/>
      <c r="O43" s="620">
        <v>30000002129</v>
      </c>
      <c r="P43" s="632">
        <f>+BIODIESEL!$D$9</f>
        <v>396.73</v>
      </c>
      <c r="Q43" s="633" t="s">
        <v>378</v>
      </c>
      <c r="R43" s="633">
        <v>1</v>
      </c>
      <c r="S43" s="633" t="s">
        <v>379</v>
      </c>
      <c r="T43" s="626" t="s">
        <v>400</v>
      </c>
      <c r="U43" s="627" t="str">
        <f>+U6</f>
        <v>07.11.2024</v>
      </c>
      <c r="V43" s="627" t="str">
        <f t="shared" si="2"/>
        <v>30.09.2023</v>
      </c>
    </row>
    <row r="44" spans="1:22" ht="15">
      <c r="A44" s="445" t="s">
        <v>376</v>
      </c>
      <c r="B44" s="628">
        <v>567</v>
      </c>
      <c r="C44" s="623" t="s">
        <v>385</v>
      </c>
      <c r="D44" s="445"/>
      <c r="E44" s="445"/>
      <c r="F44" s="445"/>
      <c r="G44" s="445"/>
      <c r="H44" s="445"/>
      <c r="I44" s="445"/>
      <c r="J44" s="445"/>
      <c r="K44" s="445"/>
      <c r="L44" s="445"/>
      <c r="M44" s="445" t="s">
        <v>397</v>
      </c>
      <c r="N44" s="445"/>
      <c r="O44" s="445">
        <v>30000002129</v>
      </c>
      <c r="P44" s="624">
        <f>+BIODIESEL!D$8</f>
        <v>5150.95</v>
      </c>
      <c r="Q44" s="623" t="s">
        <v>378</v>
      </c>
      <c r="R44" s="623">
        <v>1</v>
      </c>
      <c r="S44" s="623" t="s">
        <v>379</v>
      </c>
      <c r="T44" s="626" t="s">
        <v>400</v>
      </c>
      <c r="U44" s="627" t="str">
        <f>+U7</f>
        <v>07.11.2024</v>
      </c>
      <c r="V44" s="627" t="str">
        <f>+V41</f>
        <v>30.09.2023</v>
      </c>
    </row>
    <row r="45" spans="1:22" ht="15">
      <c r="A45" s="445" t="s">
        <v>380</v>
      </c>
      <c r="B45" s="628">
        <v>567</v>
      </c>
      <c r="C45" s="623" t="s">
        <v>385</v>
      </c>
      <c r="D45" s="443"/>
      <c r="E45" s="443"/>
      <c r="F45" s="443"/>
      <c r="G45" s="443"/>
      <c r="H45" s="443"/>
      <c r="I45" s="443"/>
      <c r="J45" s="443"/>
      <c r="K45" s="443"/>
      <c r="L45" s="443"/>
      <c r="M45" s="443" t="s">
        <v>397</v>
      </c>
      <c r="N45" s="443"/>
      <c r="O45" s="443">
        <v>30000002129</v>
      </c>
      <c r="P45" s="632">
        <f>+BIODIESEL!$D$9</f>
        <v>396.73</v>
      </c>
      <c r="Q45" s="633" t="s">
        <v>378</v>
      </c>
      <c r="R45" s="633">
        <v>1</v>
      </c>
      <c r="S45" s="633" t="s">
        <v>379</v>
      </c>
      <c r="T45" s="626" t="s">
        <v>400</v>
      </c>
      <c r="U45" s="627" t="str">
        <f>+U8</f>
        <v>07.11.2024</v>
      </c>
      <c r="V45" s="627" t="str">
        <f t="shared" si="2"/>
        <v>30.09.2023</v>
      </c>
    </row>
  </sheetData>
  <autoFilter ref="A1:V45" xr:uid="{F0C82715-0163-49C2-AF9D-D85FE30CE2ED}"/>
  <conditionalFormatting sqref="A1:A45 B2:B45 C18:H30 J18:N30 P36:S43 T36:T45 C44:S45">
    <cfRule type="containsText" dxfId="12" priority="26" operator="containsText" text="Seleccione...">
      <formula>NOT(ISERROR(SEARCH("Seleccione...",A1)))</formula>
    </cfRule>
  </conditionalFormatting>
  <conditionalFormatting sqref="A2:A45">
    <cfRule type="cellIs" dxfId="11" priority="172" operator="equal">
      <formula>"ZPRE"</formula>
    </cfRule>
    <cfRule type="cellIs" dxfId="10" priority="173" operator="equal">
      <formula>"ZPRA"</formula>
    </cfRule>
    <cfRule type="cellIs" dxfId="9" priority="174" operator="equal">
      <formula>"ZPRB"</formula>
    </cfRule>
    <cfRule type="colorScale" priority="175">
      <colorScale>
        <cfvo type="min"/>
        <cfvo type="percentile" val="50"/>
        <cfvo type="max"/>
        <color rgb="FFF8696B"/>
        <color rgb="FFFCFCFF"/>
        <color rgb="FF5A8AC6"/>
      </colorScale>
    </cfRule>
  </conditionalFormatting>
  <conditionalFormatting sqref="B1:V1">
    <cfRule type="containsText" dxfId="8" priority="27" operator="containsText" text="Seleccione...">
      <formula>NOT(ISERROR(SEARCH("Seleccione...",B1)))</formula>
    </cfRule>
  </conditionalFormatting>
  <conditionalFormatting sqref="C31:N32">
    <cfRule type="containsText" dxfId="7" priority="21" operator="containsText" text="Seleccione...">
      <formula>NOT(ISERROR(SEARCH("Seleccione...",C31)))</formula>
    </cfRule>
  </conditionalFormatting>
  <conditionalFormatting sqref="C36:N36">
    <cfRule type="containsText" dxfId="6" priority="17" operator="containsText" text="Seleccione...">
      <formula>NOT(ISERROR(SEARCH("Seleccione...",C36)))</formula>
    </cfRule>
  </conditionalFormatting>
  <conditionalFormatting sqref="C42:N43">
    <cfRule type="containsText" dxfId="5" priority="13" operator="containsText" text="Seleccione...">
      <formula>NOT(ISERROR(SEARCH("Seleccione...",C42)))</formula>
    </cfRule>
  </conditionalFormatting>
  <conditionalFormatting sqref="C37:O39 C40:H41 J40:O41">
    <cfRule type="containsText" dxfId="4" priority="20" operator="containsText" text="Seleccione...">
      <formula>NOT(ISERROR(SEARCH("Seleccione...",C37)))</formula>
    </cfRule>
  </conditionalFormatting>
  <conditionalFormatting sqref="C33:T35">
    <cfRule type="containsText" dxfId="3" priority="24" operator="containsText" text="Seleccione...">
      <formula>NOT(ISERROR(SEARCH("Seleccione...",C33)))</formula>
    </cfRule>
  </conditionalFormatting>
  <conditionalFormatting sqref="C2:V17">
    <cfRule type="containsText" dxfId="2" priority="7" operator="containsText" text="Seleccione...">
      <formula>NOT(ISERROR(SEARCH("Seleccione...",C2)))</formula>
    </cfRule>
  </conditionalFormatting>
  <conditionalFormatting sqref="P18:T32">
    <cfRule type="containsText" dxfId="1" priority="23" operator="containsText" text="Seleccione...">
      <formula>NOT(ISERROR(SEARCH("Seleccione...",P18)))</formula>
    </cfRule>
  </conditionalFormatting>
  <conditionalFormatting sqref="U18:V45">
    <cfRule type="containsText" dxfId="0" priority="1" operator="containsText" text="Seleccione...">
      <formula>NOT(ISERROR(SEARCH("Seleccione...",U18)))</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pageSetUpPr fitToPage="1"/>
  </sheetPr>
  <dimension ref="A1:M965"/>
  <sheetViews>
    <sheetView showGridLines="0" zoomScale="85" zoomScaleNormal="85" workbookViewId="0">
      <selection activeCell="C10" sqref="C10"/>
    </sheetView>
  </sheetViews>
  <sheetFormatPr baseColWidth="10" defaultColWidth="11.28515625" defaultRowHeight="14.25" outlineLevelCol="1"/>
  <cols>
    <col min="1" max="1" width="54.7109375" style="5" customWidth="1"/>
    <col min="2" max="2" width="18.85546875" style="5" customWidth="1" outlineLevel="1"/>
    <col min="3" max="3" width="29.85546875" style="5" bestFit="1" customWidth="1"/>
    <col min="4" max="4" width="32.85546875" style="5" bestFit="1" customWidth="1"/>
    <col min="5" max="5" width="30.140625" style="5" bestFit="1" customWidth="1" outlineLevel="1"/>
    <col min="6" max="6" width="33.5703125" style="5" bestFit="1" customWidth="1" outlineLevel="1"/>
    <col min="7" max="7" width="31.140625" style="5" bestFit="1" customWidth="1"/>
    <col min="8" max="8" width="16.42578125" style="5" customWidth="1"/>
    <col min="9" max="9" width="14.7109375" style="5" customWidth="1"/>
    <col min="10" max="10" width="13.28515625" style="5" customWidth="1"/>
    <col min="11" max="11" width="20" style="5" customWidth="1"/>
    <col min="12" max="12" width="11.28515625" style="5"/>
    <col min="13" max="13" width="14.7109375" style="5" bestFit="1" customWidth="1"/>
    <col min="14" max="16384" width="11.28515625" style="5"/>
  </cols>
  <sheetData>
    <row r="1" spans="1:13" ht="15" thickBot="1">
      <c r="B1" s="1"/>
      <c r="C1" s="1">
        <v>7.2405999999999997</v>
      </c>
      <c r="D1" s="3"/>
      <c r="E1" s="4"/>
      <c r="F1" s="4"/>
      <c r="G1" s="2"/>
      <c r="H1" s="2"/>
    </row>
    <row r="2" spans="1:13" s="29" customFormat="1" ht="21.75" customHeight="1" thickTop="1" thickBot="1">
      <c r="A2" s="510" t="str">
        <f>CONCATENATE("ESTRUCTURAS DE PRECIOS DE COMBUSTIBLES LIQUIDOS VIGENTES A PARTIR DE ",TEXT($A$54, "dd MMM yyyy"),)</f>
        <v>ESTRUCTURAS DE PRECIOS DE COMBUSTIBLES LIQUIDOS VIGENTES A PARTIR DE 07.noviembre.2024</v>
      </c>
      <c r="B2" s="511"/>
      <c r="C2" s="511"/>
      <c r="D2" s="511"/>
      <c r="E2" s="511"/>
      <c r="F2" s="511"/>
      <c r="G2" s="511"/>
      <c r="H2" s="511"/>
      <c r="I2" s="512"/>
    </row>
    <row r="3" spans="1:13" s="29" customFormat="1" ht="21.75" customHeight="1" thickTop="1" thickBot="1">
      <c r="A3" s="513" t="s">
        <v>0</v>
      </c>
      <c r="B3" s="514"/>
      <c r="C3" s="514"/>
      <c r="D3" s="514"/>
      <c r="E3" s="514"/>
      <c r="F3" s="514"/>
      <c r="G3" s="514"/>
      <c r="H3" s="514"/>
      <c r="I3" s="515"/>
      <c r="K3" s="381"/>
      <c r="M3" s="405"/>
    </row>
    <row r="4" spans="1:13" s="26" customFormat="1" ht="23.85" customHeight="1" thickTop="1">
      <c r="A4" s="711" t="s">
        <v>1</v>
      </c>
      <c r="B4" s="713" t="s">
        <v>22</v>
      </c>
      <c r="C4" s="715" t="s">
        <v>338</v>
      </c>
      <c r="D4" s="716"/>
      <c r="E4" s="713" t="s">
        <v>268</v>
      </c>
      <c r="F4" s="715" t="s">
        <v>267</v>
      </c>
      <c r="G4" s="717"/>
      <c r="H4" s="718" t="s">
        <v>267</v>
      </c>
      <c r="I4" s="718"/>
      <c r="J4" s="380"/>
      <c r="K4" s="380"/>
      <c r="M4" s="404"/>
    </row>
    <row r="5" spans="1:13" s="26" customFormat="1" ht="42" customHeight="1">
      <c r="A5" s="711"/>
      <c r="B5" s="714"/>
      <c r="C5" s="34" t="s">
        <v>347</v>
      </c>
      <c r="D5" s="34" t="s">
        <v>346</v>
      </c>
      <c r="E5" s="714"/>
      <c r="F5" s="216" t="s">
        <v>271</v>
      </c>
      <c r="G5" s="216" t="s">
        <v>272</v>
      </c>
      <c r="H5" s="493" t="s">
        <v>278</v>
      </c>
      <c r="I5" s="216" t="s">
        <v>279</v>
      </c>
      <c r="J5" s="380"/>
      <c r="K5" s="381"/>
    </row>
    <row r="6" spans="1:13" s="26" customFormat="1" ht="23.85" customHeight="1" thickBot="1">
      <c r="A6" s="712"/>
      <c r="B6" s="110" t="str">
        <f>+A54</f>
        <v>07.noviembre.2024</v>
      </c>
      <c r="C6" s="110" t="str">
        <f>+B6</f>
        <v>07.noviembre.2024</v>
      </c>
      <c r="D6" s="111" t="str">
        <f>+A54</f>
        <v>07.noviembre.2024</v>
      </c>
      <c r="E6" s="110" t="str">
        <f>+D6</f>
        <v>07.noviembre.2024</v>
      </c>
      <c r="F6" s="217" t="str">
        <f>+E6</f>
        <v>07.noviembre.2024</v>
      </c>
      <c r="G6" s="217" t="str">
        <f>+F6</f>
        <v>07.noviembre.2024</v>
      </c>
      <c r="H6" s="494" t="str">
        <f>+E6</f>
        <v>07.noviembre.2024</v>
      </c>
      <c r="I6" s="217" t="str">
        <f>+H6</f>
        <v>07.noviembre.2024</v>
      </c>
      <c r="K6" s="381"/>
    </row>
    <row r="7" spans="1:13" ht="22.7" customHeight="1" thickTop="1">
      <c r="A7" s="516" t="s">
        <v>3</v>
      </c>
      <c r="B7" s="567">
        <v>10380.44</v>
      </c>
      <c r="C7" s="567">
        <v>12460</v>
      </c>
      <c r="D7" s="567">
        <v>12661</v>
      </c>
      <c r="E7" s="567">
        <v>5256.07</v>
      </c>
      <c r="F7" s="567">
        <v>18426</v>
      </c>
      <c r="G7" s="567">
        <v>18627.259999999998</v>
      </c>
      <c r="H7" s="517" t="s">
        <v>283</v>
      </c>
      <c r="I7" s="518" t="s">
        <v>283</v>
      </c>
      <c r="J7" s="332"/>
      <c r="K7" s="415"/>
    </row>
    <row r="8" spans="1:13" ht="22.7" customHeight="1">
      <c r="A8" s="57" t="s">
        <v>41</v>
      </c>
      <c r="B8" s="528">
        <f>+'Resoluciones, leyes'!$T$153</f>
        <v>9.16</v>
      </c>
      <c r="C8" s="528">
        <f>+'Resoluciones, leyes'!$T$153</f>
        <v>9.16</v>
      </c>
      <c r="D8" s="528">
        <f>+'Resoluciones, leyes'!$T$153</f>
        <v>9.16</v>
      </c>
      <c r="E8" s="528">
        <f>+'Resoluciones, leyes'!$T$153</f>
        <v>9.16</v>
      </c>
      <c r="F8" s="528"/>
      <c r="G8" s="528"/>
      <c r="H8" s="528"/>
      <c r="I8" s="529"/>
      <c r="J8" s="332"/>
      <c r="K8" s="414"/>
    </row>
    <row r="9" spans="1:13" ht="22.7" customHeight="1">
      <c r="A9" s="57" t="s">
        <v>182</v>
      </c>
      <c r="B9" s="530" t="s">
        <v>10</v>
      </c>
      <c r="C9" s="530" t="s">
        <v>10</v>
      </c>
      <c r="D9" s="530" t="s">
        <v>10</v>
      </c>
      <c r="E9" s="530" t="s">
        <v>10</v>
      </c>
      <c r="F9" s="530" t="s">
        <v>10</v>
      </c>
      <c r="G9" s="530" t="s">
        <v>10</v>
      </c>
      <c r="H9" s="531" t="s">
        <v>10</v>
      </c>
      <c r="I9" s="532" t="s">
        <v>10</v>
      </c>
      <c r="K9" s="414"/>
    </row>
    <row r="10" spans="1:13" ht="21.75" customHeight="1">
      <c r="A10" s="57" t="s">
        <v>189</v>
      </c>
      <c r="B10" s="528">
        <f>71.51*0</f>
        <v>0</v>
      </c>
      <c r="C10" s="528">
        <f>B10</f>
        <v>0</v>
      </c>
      <c r="D10" s="528">
        <f>B10</f>
        <v>0</v>
      </c>
      <c r="E10" s="528">
        <f>B10</f>
        <v>0</v>
      </c>
      <c r="F10" s="528"/>
      <c r="G10" s="528"/>
      <c r="H10" s="519"/>
      <c r="I10" s="520"/>
      <c r="K10" s="413" t="s">
        <v>281</v>
      </c>
    </row>
    <row r="11" spans="1:13" ht="22.7" customHeight="1">
      <c r="A11" s="57" t="s">
        <v>329</v>
      </c>
      <c r="B11" s="528">
        <f>+'Resoluciones, leyes'!V33</f>
        <v>724.7</v>
      </c>
      <c r="C11" s="528">
        <f>+'Resoluciones, leyes'!$V$34</f>
        <v>1375.46</v>
      </c>
      <c r="D11" s="528">
        <f>+'Resoluciones, leyes'!$V$34</f>
        <v>1375.46</v>
      </c>
      <c r="E11" s="528">
        <f>+'Resoluciones, leyes'!V35</f>
        <v>693.65</v>
      </c>
      <c r="F11" s="530"/>
      <c r="G11" s="530"/>
      <c r="H11" s="533"/>
      <c r="I11" s="520"/>
      <c r="J11" s="331"/>
      <c r="K11" s="413" t="s">
        <v>281</v>
      </c>
    </row>
    <row r="12" spans="1:13" ht="22.7" customHeight="1">
      <c r="A12" s="57" t="s">
        <v>210</v>
      </c>
      <c r="B12" s="534" t="s">
        <v>245</v>
      </c>
      <c r="C12" s="534" t="s">
        <v>245</v>
      </c>
      <c r="D12" s="534" t="s">
        <v>245</v>
      </c>
      <c r="E12" s="534" t="s">
        <v>245</v>
      </c>
      <c r="F12" s="534" t="s">
        <v>245</v>
      </c>
      <c r="G12" s="534" t="s">
        <v>245</v>
      </c>
      <c r="H12" s="534" t="s">
        <v>406</v>
      </c>
      <c r="I12" s="535" t="s">
        <v>406</v>
      </c>
      <c r="K12" s="413"/>
    </row>
    <row r="13" spans="1:13" ht="22.7" customHeight="1">
      <c r="A13" s="57" t="s">
        <v>237</v>
      </c>
      <c r="B13" s="533">
        <f>+'Resoluciones, leyes'!$V$89</f>
        <v>186.37</v>
      </c>
      <c r="C13" s="533">
        <f>+'Resoluciones, leyes'!$V$89</f>
        <v>186.37</v>
      </c>
      <c r="D13" s="533">
        <f>+'Resoluciones, leyes'!$V$89</f>
        <v>186.37</v>
      </c>
      <c r="E13" s="533">
        <f>+'Resoluciones, leyes'!$V$91</f>
        <v>210.63</v>
      </c>
      <c r="F13" s="533"/>
      <c r="G13" s="519"/>
      <c r="H13" s="528"/>
      <c r="I13" s="520"/>
      <c r="K13" s="413" t="s">
        <v>281</v>
      </c>
    </row>
    <row r="14" spans="1:13" ht="22.7" customHeight="1">
      <c r="A14" s="57" t="s">
        <v>20</v>
      </c>
      <c r="B14" s="531" t="s">
        <v>11</v>
      </c>
      <c r="C14" s="531" t="s">
        <v>11</v>
      </c>
      <c r="D14" s="531" t="s">
        <v>11</v>
      </c>
      <c r="E14" s="531" t="s">
        <v>11</v>
      </c>
      <c r="F14" s="531"/>
      <c r="G14" s="531"/>
      <c r="H14" s="531"/>
      <c r="I14" s="532"/>
    </row>
    <row r="15" spans="1:13" ht="22.7" customHeight="1">
      <c r="A15" s="57" t="s">
        <v>173</v>
      </c>
      <c r="B15" s="531" t="s">
        <v>19</v>
      </c>
      <c r="C15" s="531"/>
      <c r="D15" s="531"/>
      <c r="E15" s="531" t="str">
        <f>+B15</f>
        <v>(***)</v>
      </c>
      <c r="F15" s="519"/>
      <c r="G15" s="519"/>
      <c r="H15" s="519"/>
      <c r="I15" s="520"/>
      <c r="J15" s="332"/>
    </row>
    <row r="16" spans="1:13" ht="22.7" customHeight="1">
      <c r="A16" s="57" t="s">
        <v>317</v>
      </c>
      <c r="B16" s="536" t="s">
        <v>319</v>
      </c>
      <c r="C16" s="536" t="s">
        <v>319</v>
      </c>
      <c r="D16" s="536" t="s">
        <v>319</v>
      </c>
      <c r="E16" s="536" t="s">
        <v>319</v>
      </c>
      <c r="F16" s="521" t="s">
        <v>2</v>
      </c>
      <c r="G16" s="521" t="s">
        <v>2</v>
      </c>
      <c r="H16" s="533"/>
      <c r="I16" s="522"/>
      <c r="J16" s="332"/>
    </row>
    <row r="17" spans="1:13" ht="22.7" customHeight="1">
      <c r="A17" s="57" t="s">
        <v>5</v>
      </c>
      <c r="B17" s="531" t="s">
        <v>11</v>
      </c>
      <c r="C17" s="531" t="s">
        <v>11</v>
      </c>
      <c r="D17" s="531" t="s">
        <v>11</v>
      </c>
      <c r="E17" s="531" t="s">
        <v>11</v>
      </c>
      <c r="F17" s="521" t="s">
        <v>2</v>
      </c>
      <c r="G17" s="521" t="s">
        <v>2</v>
      </c>
      <c r="H17" s="528"/>
      <c r="I17" s="522"/>
      <c r="J17" s="333"/>
      <c r="K17" s="334"/>
    </row>
    <row r="18" spans="1:13" ht="22.7" customHeight="1">
      <c r="A18" s="57" t="s">
        <v>174</v>
      </c>
      <c r="B18" s="531" t="s">
        <v>19</v>
      </c>
      <c r="C18" s="531"/>
      <c r="D18" s="531"/>
      <c r="E18" s="531" t="str">
        <f>+B18</f>
        <v>(***)</v>
      </c>
      <c r="F18" s="521" t="s">
        <v>2</v>
      </c>
      <c r="G18" s="521" t="s">
        <v>2</v>
      </c>
      <c r="H18" s="528"/>
      <c r="I18" s="522"/>
      <c r="K18" s="408"/>
    </row>
    <row r="19" spans="1:13" ht="22.7" customHeight="1">
      <c r="A19" s="57" t="s">
        <v>7</v>
      </c>
      <c r="B19" s="531" t="s">
        <v>175</v>
      </c>
      <c r="C19" s="531"/>
      <c r="D19" s="531"/>
      <c r="E19" s="531"/>
      <c r="F19" s="537" t="s">
        <v>2</v>
      </c>
      <c r="G19" s="537" t="s">
        <v>2</v>
      </c>
      <c r="H19" s="531"/>
      <c r="I19" s="538"/>
      <c r="J19" s="335"/>
    </row>
    <row r="20" spans="1:13" ht="22.7" customHeight="1">
      <c r="A20" s="57" t="s">
        <v>179</v>
      </c>
      <c r="B20" s="531" t="s">
        <v>19</v>
      </c>
      <c r="C20" s="533"/>
      <c r="D20" s="533"/>
      <c r="E20" s="531" t="str">
        <f>+B20</f>
        <v>(***)</v>
      </c>
      <c r="F20" s="521" t="s">
        <v>2</v>
      </c>
      <c r="G20" s="521" t="s">
        <v>2</v>
      </c>
      <c r="H20" s="519"/>
      <c r="I20" s="522"/>
      <c r="J20" s="336"/>
      <c r="K20" s="408"/>
      <c r="M20" s="412"/>
    </row>
    <row r="21" spans="1:13" ht="22.7" customHeight="1" thickBot="1">
      <c r="A21" s="539" t="s">
        <v>9</v>
      </c>
      <c r="B21" s="540" t="s">
        <v>11</v>
      </c>
      <c r="C21" s="540" t="s">
        <v>11</v>
      </c>
      <c r="D21" s="540" t="s">
        <v>11</v>
      </c>
      <c r="E21" s="540" t="s">
        <v>11</v>
      </c>
      <c r="F21" s="540" t="s">
        <v>2</v>
      </c>
      <c r="G21" s="540" t="s">
        <v>2</v>
      </c>
      <c r="H21" s="540"/>
      <c r="I21" s="541"/>
      <c r="J21" s="332"/>
      <c r="K21" s="408"/>
      <c r="M21" s="412"/>
    </row>
    <row r="22" spans="1:13" ht="21.75" customHeight="1" thickTop="1">
      <c r="A22" s="708"/>
      <c r="B22" s="709"/>
      <c r="C22" s="709"/>
      <c r="D22" s="709"/>
      <c r="E22" s="709"/>
      <c r="F22" s="709"/>
      <c r="G22" s="709"/>
      <c r="H22" s="343"/>
      <c r="K22" s="408"/>
    </row>
    <row r="23" spans="1:13" s="14" customFormat="1" ht="36" customHeight="1">
      <c r="A23" s="710" t="s">
        <v>324</v>
      </c>
      <c r="B23" s="710"/>
      <c r="C23" s="710"/>
      <c r="D23" s="710"/>
      <c r="E23" s="710"/>
      <c r="F23" s="710"/>
      <c r="G23" s="710"/>
      <c r="H23" s="710"/>
      <c r="I23" s="710"/>
    </row>
    <row r="24" spans="1:13" s="14" customFormat="1" ht="11.25" customHeight="1">
      <c r="A24" s="705"/>
      <c r="B24" s="705"/>
      <c r="C24" s="705"/>
      <c r="D24" s="705"/>
      <c r="E24" s="705"/>
      <c r="F24" s="705"/>
      <c r="G24" s="705"/>
      <c r="H24" s="705"/>
      <c r="I24" s="705"/>
    </row>
    <row r="25" spans="1:13" s="14" customFormat="1" ht="31.7" customHeight="1">
      <c r="A25" s="710" t="s">
        <v>170</v>
      </c>
      <c r="B25" s="710"/>
      <c r="C25" s="710"/>
      <c r="D25" s="710"/>
      <c r="E25" s="710"/>
      <c r="F25" s="710"/>
      <c r="G25" s="710"/>
      <c r="H25" s="710"/>
      <c r="I25" s="710"/>
    </row>
    <row r="26" spans="1:13" s="14" customFormat="1" ht="7.5" customHeight="1">
      <c r="A26" s="705"/>
      <c r="B26" s="705"/>
      <c r="C26" s="705"/>
      <c r="D26" s="705"/>
      <c r="E26" s="705"/>
      <c r="F26" s="705"/>
      <c r="G26" s="705"/>
      <c r="H26" s="705"/>
      <c r="I26" s="705"/>
    </row>
    <row r="27" spans="1:13" ht="43.5" customHeight="1">
      <c r="A27" s="710" t="s">
        <v>330</v>
      </c>
      <c r="B27" s="710"/>
      <c r="C27" s="710"/>
      <c r="D27" s="710"/>
      <c r="E27" s="710"/>
      <c r="F27" s="710"/>
      <c r="G27" s="710"/>
      <c r="H27" s="710"/>
      <c r="I27" s="710"/>
    </row>
    <row r="28" spans="1:13" s="7" customFormat="1" ht="8.4499999999999993" customHeight="1">
      <c r="A28" s="705"/>
      <c r="B28" s="705"/>
      <c r="C28" s="705"/>
      <c r="D28" s="705"/>
      <c r="E28" s="705"/>
      <c r="F28" s="705"/>
      <c r="G28" s="705"/>
      <c r="H28" s="705"/>
      <c r="I28" s="705"/>
    </row>
    <row r="29" spans="1:13" ht="18" customHeight="1">
      <c r="A29" s="706" t="s">
        <v>171</v>
      </c>
      <c r="B29" s="706"/>
      <c r="C29" s="706"/>
      <c r="D29" s="706"/>
      <c r="E29" s="706"/>
      <c r="F29" s="706"/>
      <c r="G29" s="706"/>
      <c r="H29" s="706"/>
      <c r="I29" s="706"/>
    </row>
    <row r="30" spans="1:13" ht="7.5" customHeight="1">
      <c r="A30" s="704"/>
      <c r="B30" s="704"/>
      <c r="C30" s="704"/>
      <c r="D30" s="704"/>
      <c r="E30" s="704"/>
      <c r="F30" s="704"/>
      <c r="G30" s="704"/>
      <c r="H30" s="704"/>
      <c r="I30" s="704"/>
    </row>
    <row r="31" spans="1:13" s="8" customFormat="1" ht="18" customHeight="1">
      <c r="A31" s="706" t="s">
        <v>226</v>
      </c>
      <c r="B31" s="706"/>
      <c r="C31" s="706"/>
      <c r="D31" s="706"/>
      <c r="E31" s="706"/>
      <c r="F31" s="706"/>
      <c r="G31" s="706"/>
      <c r="H31" s="706"/>
      <c r="I31" s="706"/>
    </row>
    <row r="32" spans="1:13" s="8" customFormat="1">
      <c r="A32" s="703" t="s">
        <v>274</v>
      </c>
      <c r="B32" s="703"/>
      <c r="C32" s="703"/>
      <c r="D32" s="703"/>
      <c r="E32" s="703"/>
      <c r="F32" s="703"/>
      <c r="G32" s="703"/>
      <c r="H32" s="703"/>
      <c r="I32" s="703"/>
    </row>
    <row r="33" spans="1:9" s="8" customFormat="1">
      <c r="A33" s="703" t="s">
        <v>273</v>
      </c>
      <c r="B33" s="703"/>
      <c r="C33" s="703"/>
      <c r="D33" s="703"/>
      <c r="E33" s="703"/>
      <c r="F33" s="703"/>
      <c r="G33" s="703"/>
      <c r="H33" s="703"/>
      <c r="I33" s="703"/>
    </row>
    <row r="34" spans="1:9" s="8" customFormat="1">
      <c r="A34" s="703" t="s">
        <v>269</v>
      </c>
      <c r="B34" s="703"/>
      <c r="C34" s="703"/>
      <c r="D34" s="703"/>
      <c r="E34" s="703"/>
      <c r="F34" s="703"/>
      <c r="G34" s="703"/>
      <c r="H34" s="703"/>
      <c r="I34" s="703"/>
    </row>
    <row r="35" spans="1:9" s="8" customFormat="1">
      <c r="A35" s="703" t="s">
        <v>270</v>
      </c>
      <c r="B35" s="703"/>
      <c r="C35" s="703"/>
      <c r="D35" s="703"/>
      <c r="E35" s="703"/>
      <c r="F35" s="703"/>
      <c r="G35" s="703"/>
      <c r="H35" s="703"/>
      <c r="I35" s="703"/>
    </row>
    <row r="36" spans="1:9" s="8" customFormat="1">
      <c r="A36" s="214" t="s">
        <v>343</v>
      </c>
      <c r="B36" s="214"/>
      <c r="C36" s="214"/>
      <c r="D36" s="214"/>
      <c r="E36" s="214"/>
      <c r="F36" s="214"/>
      <c r="G36" s="214"/>
      <c r="H36" s="214"/>
      <c r="I36" s="214"/>
    </row>
    <row r="37" spans="1:9" s="8" customFormat="1">
      <c r="A37" s="214" t="s">
        <v>344</v>
      </c>
      <c r="B37" s="214"/>
      <c r="C37" s="214"/>
      <c r="D37" s="214"/>
      <c r="E37" s="214"/>
      <c r="F37" s="214"/>
      <c r="G37" s="214"/>
      <c r="H37" s="214"/>
      <c r="I37" s="214"/>
    </row>
    <row r="38" spans="1:9" s="8" customFormat="1">
      <c r="A38" s="703"/>
      <c r="B38" s="703"/>
      <c r="C38" s="703"/>
      <c r="D38" s="703"/>
      <c r="E38" s="703"/>
      <c r="F38" s="703"/>
      <c r="G38" s="703"/>
      <c r="H38" s="703"/>
      <c r="I38" s="703"/>
    </row>
    <row r="39" spans="1:9" s="8" customFormat="1" ht="14.25" customHeight="1">
      <c r="A39" s="706" t="s">
        <v>265</v>
      </c>
      <c r="B39" s="706"/>
      <c r="C39" s="706"/>
      <c r="D39" s="706"/>
      <c r="E39" s="706"/>
      <c r="F39" s="706"/>
      <c r="G39" s="706"/>
      <c r="H39" s="706"/>
      <c r="I39" s="706"/>
    </row>
    <row r="40" spans="1:9" s="8" customFormat="1" ht="14.25" customHeight="1">
      <c r="A40" s="706"/>
      <c r="B40" s="706"/>
      <c r="C40" s="706"/>
      <c r="D40" s="706"/>
      <c r="E40" s="706"/>
      <c r="F40" s="706"/>
      <c r="G40" s="706"/>
      <c r="H40" s="706"/>
      <c r="I40" s="706"/>
    </row>
    <row r="41" spans="1:9" s="8" customFormat="1" ht="14.25" customHeight="1">
      <c r="A41" s="706"/>
      <c r="B41" s="706"/>
      <c r="C41" s="706"/>
      <c r="D41" s="706"/>
      <c r="E41" s="706"/>
      <c r="F41" s="706"/>
      <c r="G41" s="706"/>
      <c r="H41" s="706"/>
      <c r="I41" s="706"/>
    </row>
    <row r="42" spans="1:9" s="8" customFormat="1" ht="14.25" customHeight="1">
      <c r="A42" s="706"/>
      <c r="B42" s="706"/>
      <c r="C42" s="706"/>
      <c r="D42" s="706"/>
      <c r="E42" s="706"/>
      <c r="F42" s="706"/>
      <c r="G42" s="706"/>
      <c r="H42" s="706"/>
      <c r="I42" s="706"/>
    </row>
    <row r="43" spans="1:9" s="8" customFormat="1" ht="28.9" customHeight="1">
      <c r="A43" s="706" t="s">
        <v>266</v>
      </c>
      <c r="B43" s="706"/>
      <c r="C43" s="706"/>
      <c r="D43" s="706"/>
      <c r="E43" s="706"/>
      <c r="F43" s="706"/>
      <c r="G43" s="706"/>
      <c r="H43" s="706"/>
      <c r="I43" s="706"/>
    </row>
    <row r="44" spans="1:9" s="8" customFormat="1" ht="47.85" customHeight="1">
      <c r="A44" s="706" t="s">
        <v>331</v>
      </c>
      <c r="B44" s="706"/>
      <c r="C44" s="706"/>
      <c r="D44" s="706"/>
      <c r="E44" s="706"/>
      <c r="F44" s="706"/>
      <c r="G44" s="706"/>
      <c r="H44" s="706"/>
      <c r="I44" s="706"/>
    </row>
    <row r="45" spans="1:9" s="8" customFormat="1" ht="13.15" customHeight="1">
      <c r="A45" s="706"/>
      <c r="B45" s="706"/>
      <c r="C45" s="706"/>
      <c r="D45" s="706"/>
      <c r="E45" s="706"/>
      <c r="F45" s="706"/>
      <c r="G45" s="706"/>
      <c r="H45" s="428"/>
      <c r="I45" s="428"/>
    </row>
    <row r="46" spans="1:9" s="8" customFormat="1" ht="109.9" customHeight="1">
      <c r="A46" s="707" t="s">
        <v>334</v>
      </c>
      <c r="B46" s="707"/>
      <c r="C46" s="707"/>
      <c r="D46" s="707"/>
      <c r="E46" s="707"/>
      <c r="F46" s="707"/>
      <c r="G46" s="707"/>
      <c r="H46" s="707"/>
      <c r="I46" s="707"/>
    </row>
    <row r="47" spans="1:9" s="8" customFormat="1"/>
    <row r="48" spans="1:9" s="8" customFormat="1"/>
    <row r="49" spans="1:8" s="8" customFormat="1"/>
    <row r="50" spans="1:8" s="8" customFormat="1"/>
    <row r="51" spans="1:8" s="8" customFormat="1"/>
    <row r="52" spans="1:8" s="8" customFormat="1">
      <c r="A52" s="5"/>
      <c r="B52" s="5"/>
      <c r="C52" s="5"/>
      <c r="D52" s="5"/>
      <c r="E52" s="5"/>
      <c r="F52" s="5"/>
      <c r="G52" s="5"/>
      <c r="H52" s="5"/>
    </row>
    <row r="53" spans="1:8">
      <c r="A53" s="607">
        <v>45603</v>
      </c>
    </row>
    <row r="54" spans="1:8" ht="15">
      <c r="A54" s="608" t="str">
        <f>+TEXT(A53,"DD.MMMMMMMMMMM.YYYY")</f>
        <v>07.noviembre.2024</v>
      </c>
      <c r="B54" s="609" t="s">
        <v>434</v>
      </c>
    </row>
    <row r="55" spans="1:8" ht="15">
      <c r="A55" s="456"/>
    </row>
    <row r="56" spans="1:8" ht="15">
      <c r="A56" s="456"/>
    </row>
    <row r="57" spans="1:8" ht="15">
      <c r="A57" s="456"/>
    </row>
    <row r="953" spans="1:1">
      <c r="A953" s="577"/>
    </row>
    <row r="954" spans="1:1">
      <c r="A954" s="577"/>
    </row>
    <row r="955" spans="1:1">
      <c r="A955" s="577"/>
    </row>
    <row r="956" spans="1:1">
      <c r="A956" s="577"/>
    </row>
    <row r="957" spans="1:1">
      <c r="A957" s="577"/>
    </row>
    <row r="958" spans="1:1">
      <c r="A958" s="577"/>
    </row>
    <row r="959" spans="1:1">
      <c r="A959" s="577"/>
    </row>
    <row r="960" spans="1:1">
      <c r="A960" s="577"/>
    </row>
    <row r="961" spans="1:1">
      <c r="A961" s="577"/>
    </row>
    <row r="962" spans="1:1">
      <c r="A962" s="577"/>
    </row>
    <row r="963" spans="1:1">
      <c r="A963" s="577"/>
    </row>
    <row r="964" spans="1:1">
      <c r="A964" s="577"/>
    </row>
    <row r="965" spans="1:1">
      <c r="A965" s="577"/>
    </row>
  </sheetData>
  <sheetProtection algorithmName="SHA-512" hashValue="+UJEv4df+69hcTm6TQHTpWmgI8bYkL8j0f1TwRBW0cW0DAxsytNu8c7LzY8Lz05m+svR/0xsvGwpeW/AxoHcQg==" saltValue="iMhehw11P5milcCHqy+HYg==" spinCount="100000" sheet="1" objects="1" scenarios="1"/>
  <mergeCells count="26">
    <mergeCell ref="A22:G22"/>
    <mergeCell ref="A23:I23"/>
    <mergeCell ref="A25:I25"/>
    <mergeCell ref="A27:I27"/>
    <mergeCell ref="A4:A6"/>
    <mergeCell ref="B4:B5"/>
    <mergeCell ref="E4:E5"/>
    <mergeCell ref="C4:D4"/>
    <mergeCell ref="F4:G4"/>
    <mergeCell ref="H4:I4"/>
    <mergeCell ref="A35:I35"/>
    <mergeCell ref="A39:I42"/>
    <mergeCell ref="A38:I38"/>
    <mergeCell ref="A43:I43"/>
    <mergeCell ref="A46:I46"/>
    <mergeCell ref="A44:I44"/>
    <mergeCell ref="A45:G45"/>
    <mergeCell ref="A34:I34"/>
    <mergeCell ref="A30:I30"/>
    <mergeCell ref="A28:I28"/>
    <mergeCell ref="A26:I26"/>
    <mergeCell ref="A24:I24"/>
    <mergeCell ref="A33:I33"/>
    <mergeCell ref="A31:I31"/>
    <mergeCell ref="A32:I32"/>
    <mergeCell ref="A29:I29"/>
  </mergeCells>
  <phoneticPr fontId="14" type="noConversion"/>
  <conditionalFormatting sqref="A54:B54">
    <cfRule type="containsText" dxfId="85" priority="1" operator="containsText" text="Seleccione...">
      <formula>NOT(ISERROR(SEARCH("Seleccione...",A54)))</formula>
    </cfRule>
  </conditionalFormatting>
  <printOptions horizontalCentered="1" verticalCentered="1"/>
  <pageMargins left="0.35433070866141736" right="0.19685039370078741" top="0.19685039370078741" bottom="0.19685039370078741" header="0" footer="0"/>
  <pageSetup scale="76" fitToHeight="5" orientation="landscape" r:id="rId1"/>
  <headerFooter alignWithMargins="0"/>
  <ignoredErrors>
    <ignoredError sqref="F12:G12 G14:G21 G13 B14:E15 B12:E12 B17:E2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pageSetUpPr fitToPage="1"/>
  </sheetPr>
  <dimension ref="A1:AU40"/>
  <sheetViews>
    <sheetView zoomScale="70" zoomScaleNormal="70" workbookViewId="0">
      <selection activeCell="A26" sqref="A26"/>
    </sheetView>
  </sheetViews>
  <sheetFormatPr baseColWidth="10" defaultColWidth="9.85546875" defaultRowHeight="14.25"/>
  <cols>
    <col min="1" max="1" width="60.7109375" style="2" customWidth="1"/>
    <col min="2" max="3" width="24.28515625" style="2" customWidth="1"/>
    <col min="4" max="16384" width="9.85546875" style="6"/>
  </cols>
  <sheetData>
    <row r="1" spans="1:47" s="5" customFormat="1" ht="15" customHeight="1" thickBot="1">
      <c r="A1" s="15"/>
      <c r="B1" s="15"/>
      <c r="C1" s="1"/>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row>
    <row r="2" spans="1:47" s="29" customFormat="1" ht="39.950000000000003" customHeight="1" thickTop="1">
      <c r="A2" s="722" t="str">
        <f>CONCATENATE("ESTRUCTURAS DE PRECIOS PARA GASOLINA MOTOR CORRIENTE OXIGENADA VIGENTES A PARTIR DE ",TEXT('COMBUSTIBLES '!$A$54,"DD MMM YYY"))</f>
        <v>ESTRUCTURAS DE PRECIOS PARA GASOLINA MOTOR CORRIENTE OXIGENADA VIGENTES A PARTIR DE 07.noviembre.2024</v>
      </c>
      <c r="B2" s="723"/>
      <c r="C2" s="724"/>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row>
    <row r="3" spans="1:47" s="29" customFormat="1" ht="27.6" customHeight="1">
      <c r="A3" s="725" t="s">
        <v>0</v>
      </c>
      <c r="B3" s="726"/>
      <c r="C3" s="727"/>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row>
    <row r="4" spans="1:47" s="26" customFormat="1" ht="36.6" customHeight="1">
      <c r="A4" s="729" t="s">
        <v>1</v>
      </c>
      <c r="B4" s="728" t="s">
        <v>24</v>
      </c>
      <c r="C4" s="730" t="s">
        <v>253</v>
      </c>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row>
    <row r="5" spans="1:47" s="26" customFormat="1" ht="12.6" customHeight="1">
      <c r="A5" s="711"/>
      <c r="B5" s="714"/>
      <c r="C5" s="731"/>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s="26" customFormat="1" ht="25.5" customHeight="1" thickBot="1">
      <c r="A6" s="712"/>
      <c r="B6" s="112" t="str">
        <f>+'COMBUSTIBLES '!B6</f>
        <v>07.noviembre.2024</v>
      </c>
      <c r="C6" s="497" t="str">
        <f>'COMBUSTIBLES '!B6</f>
        <v>07.noviembre.2024</v>
      </c>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7" s="5" customFormat="1" ht="31.7" customHeight="1" thickTop="1">
      <c r="A7" s="41" t="s">
        <v>3</v>
      </c>
      <c r="B7" s="568">
        <v>15994</v>
      </c>
      <c r="C7" s="496">
        <f>+'COMBUSTIBLES '!B7</f>
        <v>10380.44</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s="5" customFormat="1" ht="31.7" customHeight="1">
      <c r="A8" s="35" t="s">
        <v>148</v>
      </c>
      <c r="B8" s="107"/>
      <c r="C8" s="44"/>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s="5" customFormat="1" ht="31.7" customHeight="1">
      <c r="A9" s="35" t="s">
        <v>147</v>
      </c>
      <c r="B9" s="107"/>
      <c r="C9" s="44"/>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5" customFormat="1" ht="31.7" customHeight="1">
      <c r="A10" s="35" t="s">
        <v>38</v>
      </c>
      <c r="B10" s="107"/>
      <c r="C10" s="44"/>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s="5" customFormat="1" ht="31.7" customHeight="1">
      <c r="A11" s="35" t="str">
        <f>+'COMBUSTIBLES '!A11</f>
        <v>Impuesto Nacional a la Gasolina y al ACPM</v>
      </c>
      <c r="B11" s="107"/>
      <c r="C11" s="44">
        <f>+'Resoluciones, leyes'!$V$33</f>
        <v>724.7</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row>
    <row r="12" spans="1:47" s="5" customFormat="1" ht="31.7" customHeight="1">
      <c r="A12" s="35" t="str">
        <f>+'COMBUSTIBLES '!A12</f>
        <v>Impuesto sobre las Ventas</v>
      </c>
      <c r="B12" s="107"/>
      <c r="C12" s="495" t="str">
        <f>+'COMBUSTIBLES '!C12</f>
        <v>(3)</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row>
    <row r="13" spans="1:47" s="5" customFormat="1" ht="31.7" customHeight="1">
      <c r="A13" s="35" t="str">
        <f>+'COMBUSTIBLES '!A13</f>
        <v>Impuesto al carbono</v>
      </c>
      <c r="B13" s="107"/>
      <c r="C13" s="44">
        <f>+'Resoluciones, leyes'!$V$89</f>
        <v>186.37</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row>
    <row r="14" spans="1:47" s="5" customFormat="1" ht="31.7" customHeight="1">
      <c r="A14" s="35" t="s">
        <v>41</v>
      </c>
      <c r="B14" s="107"/>
      <c r="C14" s="44">
        <f>+'Resoluciones, leyes'!$V$153</f>
        <v>9.16</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row>
    <row r="15" spans="1:47" s="5" customFormat="1" ht="31.7" customHeight="1">
      <c r="A15" s="35" t="s">
        <v>149</v>
      </c>
      <c r="B15" s="107"/>
      <c r="C15" s="44"/>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row>
    <row r="16" spans="1:47" s="5" customFormat="1" ht="31.7" customHeight="1">
      <c r="A16" s="35" t="s">
        <v>150</v>
      </c>
      <c r="B16" s="107"/>
      <c r="C16" s="498"/>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row>
    <row r="17" spans="1:47" s="5" customFormat="1" ht="31.7" hidden="1" customHeight="1">
      <c r="A17" s="35" t="s">
        <v>172</v>
      </c>
      <c r="B17" s="107"/>
      <c r="C17" s="44">
        <f>'COMBUSTIBLES '!B10</f>
        <v>0</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row>
    <row r="18" spans="1:47" s="5" customFormat="1" ht="31.7" customHeight="1">
      <c r="A18" s="35" t="s">
        <v>39</v>
      </c>
      <c r="B18" s="107"/>
      <c r="C18" s="44" t="s">
        <v>19</v>
      </c>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row>
    <row r="19" spans="1:47" s="5" customFormat="1" ht="31.7" customHeight="1">
      <c r="A19" s="35" t="s">
        <v>317</v>
      </c>
      <c r="B19" s="107"/>
      <c r="C19" s="499" t="s">
        <v>319</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row>
    <row r="20" spans="1:47" s="5" customFormat="1" ht="31.7" customHeight="1">
      <c r="A20" s="35" t="s">
        <v>36</v>
      </c>
      <c r="B20" s="107"/>
      <c r="C20" s="44" t="s">
        <v>138</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row>
    <row r="21" spans="1:47" s="5" customFormat="1" ht="31.7" customHeight="1">
      <c r="A21" s="35" t="s">
        <v>45</v>
      </c>
      <c r="B21" s="107"/>
      <c r="C21" s="44" t="s">
        <v>138</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row>
    <row r="22" spans="1:47" s="5" customFormat="1" ht="31.7" customHeight="1">
      <c r="A22" s="35" t="s">
        <v>37</v>
      </c>
      <c r="B22" s="107"/>
      <c r="C22" s="40" t="s">
        <v>138</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pans="1:47" s="5" customFormat="1" ht="31.7" customHeight="1">
      <c r="A23" s="35" t="s">
        <v>43</v>
      </c>
      <c r="B23" s="107"/>
      <c r="C23" s="44" t="s">
        <v>138</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pans="1:47" s="5" customFormat="1" ht="31.7" customHeight="1">
      <c r="A24" s="35" t="s">
        <v>179</v>
      </c>
      <c r="B24" s="107"/>
      <c r="C24" s="44" t="s">
        <v>138</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row>
    <row r="25" spans="1:47" s="5" customFormat="1" ht="31.7" customHeight="1" thickBot="1">
      <c r="A25" s="39" t="s">
        <v>44</v>
      </c>
      <c r="B25" s="108"/>
      <c r="C25" s="46" t="s">
        <v>138</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row>
    <row r="26" spans="1:47" s="5" customFormat="1" ht="14.25" customHeight="1" thickTop="1">
      <c r="A26" s="6"/>
      <c r="B26" s="6"/>
      <c r="C26" s="10"/>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row>
    <row r="27" spans="1:47" s="215" customFormat="1" ht="51" customHeight="1">
      <c r="A27" s="719" t="s">
        <v>340</v>
      </c>
      <c r="B27" s="719"/>
      <c r="C27" s="7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row>
    <row r="28" spans="1:47" s="219" customFormat="1" ht="74.25" customHeight="1">
      <c r="A28" s="719" t="s">
        <v>339</v>
      </c>
      <c r="B28" s="719"/>
      <c r="C28" s="719"/>
    </row>
    <row r="29" spans="1:47" s="219" customFormat="1" ht="40.15" customHeight="1">
      <c r="A29" s="719" t="s">
        <v>176</v>
      </c>
      <c r="B29" s="719"/>
      <c r="C29" s="719"/>
    </row>
    <row r="30" spans="1:47" s="219" customFormat="1" ht="12.75">
      <c r="A30" s="401"/>
      <c r="B30" s="401"/>
      <c r="C30" s="402"/>
    </row>
    <row r="31" spans="1:47" s="251" customFormat="1" ht="51" customHeight="1">
      <c r="A31" s="720" t="s">
        <v>177</v>
      </c>
      <c r="B31" s="720"/>
      <c r="C31" s="720"/>
    </row>
    <row r="32" spans="1:47" s="219" customFormat="1" ht="12.75">
      <c r="A32" s="721" t="s">
        <v>178</v>
      </c>
      <c r="B32" s="721"/>
      <c r="C32" s="721"/>
    </row>
    <row r="33" spans="1:3" s="219" customFormat="1" ht="17.649999999999999" customHeight="1">
      <c r="A33" s="344"/>
      <c r="B33" s="344"/>
      <c r="C33" s="344"/>
    </row>
    <row r="34" spans="1:3" s="219" customFormat="1" ht="12.75" customHeight="1">
      <c r="A34" s="720" t="s">
        <v>254</v>
      </c>
      <c r="B34" s="720"/>
      <c r="C34" s="720"/>
    </row>
    <row r="35" spans="1:3" s="219" customFormat="1" ht="12.75">
      <c r="A35" s="720"/>
      <c r="B35" s="720"/>
      <c r="C35" s="720"/>
    </row>
    <row r="36" spans="1:3">
      <c r="A36" s="720"/>
      <c r="B36" s="720"/>
      <c r="C36" s="720"/>
    </row>
    <row r="37" spans="1:3">
      <c r="A37" s="720"/>
      <c r="B37" s="720"/>
      <c r="C37" s="720"/>
    </row>
    <row r="38" spans="1:3" ht="38.450000000000003" customHeight="1">
      <c r="A38" s="703" t="s">
        <v>320</v>
      </c>
      <c r="B38" s="703"/>
      <c r="C38" s="703"/>
    </row>
    <row r="39" spans="1:3" ht="15.6" customHeight="1">
      <c r="A39" s="706"/>
      <c r="B39" s="706"/>
      <c r="C39" s="706"/>
    </row>
    <row r="40" spans="1:3" ht="120.6" customHeight="1">
      <c r="A40" s="707" t="s">
        <v>334</v>
      </c>
      <c r="B40" s="707"/>
      <c r="C40" s="707"/>
    </row>
  </sheetData>
  <sheetProtection algorithmName="SHA-512" hashValue="u1oXa/8QDUjtLHLYdutDucaE+2Aq2HON3sBKFpZ+FJN613p5w2lxweho01HJJlDldjDsZTzWBSrYR7H14DNF2A==" saltValue="xEr7duzcwiJD69DaIvnJ7g==" spinCount="100000" sheet="1" objects="1" scenarios="1"/>
  <mergeCells count="14">
    <mergeCell ref="A27:C27"/>
    <mergeCell ref="A28:C28"/>
    <mergeCell ref="A2:C2"/>
    <mergeCell ref="A3:C3"/>
    <mergeCell ref="B4:B5"/>
    <mergeCell ref="A4:A6"/>
    <mergeCell ref="C4:C5"/>
    <mergeCell ref="A29:C29"/>
    <mergeCell ref="A31:C31"/>
    <mergeCell ref="A34:C37"/>
    <mergeCell ref="A38:C38"/>
    <mergeCell ref="A40:C40"/>
    <mergeCell ref="A32:C32"/>
    <mergeCell ref="A39:C39"/>
  </mergeCells>
  <phoneticPr fontId="14" type="noConversion"/>
  <printOptions horizontalCentered="1" verticalCentered="1"/>
  <pageMargins left="0.19685039370078741" right="0.19685039370078741" top="0.19685039370078741" bottom="0.19685039370078741" header="0" footer="0"/>
  <pageSetup scale="83" orientation="landscape"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I36"/>
  <sheetViews>
    <sheetView showGridLines="0" zoomScaleNormal="100" workbookViewId="0">
      <selection activeCell="G17" sqref="G17"/>
    </sheetView>
  </sheetViews>
  <sheetFormatPr baseColWidth="10" defaultRowHeight="12.75"/>
  <cols>
    <col min="1" max="1" width="53.28515625" customWidth="1"/>
    <col min="2" max="2" width="20.85546875" customWidth="1"/>
    <col min="3" max="3" width="25.28515625" customWidth="1"/>
    <col min="4" max="4" width="26" customWidth="1"/>
    <col min="5" max="5" width="18" customWidth="1"/>
    <col min="6" max="6" width="0" hidden="1" customWidth="1"/>
  </cols>
  <sheetData>
    <row r="1" spans="1:9" ht="13.5" thickBot="1"/>
    <row r="2" spans="1:9" ht="54.75" customHeight="1" thickTop="1">
      <c r="A2" s="732" t="str">
        <f>CONCATENATE("ESTRUCTURAS DE PRECIOS PARA GASOLINA EXTRA OXIGENADA VIGENTES A PARTIR DE ",TEXT('COMBUSTIBLES '!$A$54,"DD MMM YYYY"))</f>
        <v>ESTRUCTURAS DE PRECIOS PARA GASOLINA EXTRA OXIGENADA VIGENTES A PARTIR DE 07.noviembre.2024</v>
      </c>
      <c r="B2" s="733"/>
      <c r="C2" s="733"/>
      <c r="D2" s="734"/>
    </row>
    <row r="3" spans="1:9" ht="16.5">
      <c r="A3" s="735" t="s">
        <v>0</v>
      </c>
      <c r="B3" s="736"/>
      <c r="C3" s="736"/>
      <c r="D3" s="737"/>
    </row>
    <row r="4" spans="1:9" ht="37.9" customHeight="1">
      <c r="A4" s="729" t="s">
        <v>1</v>
      </c>
      <c r="B4" s="728" t="s">
        <v>24</v>
      </c>
      <c r="C4" s="728" t="s">
        <v>348</v>
      </c>
      <c r="D4" s="730" t="s">
        <v>349</v>
      </c>
      <c r="F4" s="292"/>
    </row>
    <row r="5" spans="1:9" ht="34.15" customHeight="1">
      <c r="A5" s="711"/>
      <c r="B5" s="714"/>
      <c r="C5" s="714"/>
      <c r="D5" s="731"/>
      <c r="E5" s="25"/>
    </row>
    <row r="6" spans="1:9" ht="30.2" customHeight="1" thickBot="1">
      <c r="A6" s="712"/>
      <c r="B6" s="42" t="str">
        <f>+'GASOLINA CORRIENTE '!B6</f>
        <v>07.noviembre.2024</v>
      </c>
      <c r="C6" s="42" t="str">
        <f>+B6</f>
        <v>07.noviembre.2024</v>
      </c>
      <c r="D6" s="43" t="str">
        <f>+B6</f>
        <v>07.noviembre.2024</v>
      </c>
      <c r="F6" s="418"/>
    </row>
    <row r="7" spans="1:9" ht="23.45" customHeight="1" thickTop="1">
      <c r="A7" s="41" t="s">
        <v>3</v>
      </c>
      <c r="B7" s="421">
        <f>+'GASOLINA CORRIENTE '!B7</f>
        <v>15994</v>
      </c>
      <c r="C7" s="437">
        <f>+'COMBUSTIBLES '!C7</f>
        <v>12460</v>
      </c>
      <c r="D7" s="500">
        <f>+'COMBUSTIBLES '!D7</f>
        <v>12661</v>
      </c>
      <c r="E7" s="403"/>
      <c r="F7" s="418" t="e">
        <f>+'GASOLINA CORRIENTE '!#REF!</f>
        <v>#REF!</v>
      </c>
      <c r="I7" s="292"/>
    </row>
    <row r="8" spans="1:9" ht="23.45" customHeight="1">
      <c r="A8" s="35" t="s">
        <v>23</v>
      </c>
      <c r="B8" s="36"/>
      <c r="C8" s="36">
        <f>+'COMBUSTIBLES '!C8</f>
        <v>9.16</v>
      </c>
      <c r="D8" s="40">
        <f>+'COMBUSTIBLES '!E8</f>
        <v>9.16</v>
      </c>
      <c r="F8" s="292"/>
    </row>
    <row r="9" spans="1:9" ht="23.45" customHeight="1">
      <c r="A9" s="35" t="s">
        <v>182</v>
      </c>
      <c r="B9" s="38"/>
      <c r="C9" s="38" t="s">
        <v>10</v>
      </c>
      <c r="D9" s="44" t="s">
        <v>10</v>
      </c>
      <c r="E9" s="403"/>
    </row>
    <row r="10" spans="1:9" ht="23.85" hidden="1" customHeight="1">
      <c r="A10" s="35" t="s">
        <v>180</v>
      </c>
      <c r="B10" s="38"/>
      <c r="C10" s="38">
        <f>+'COMBUSTIBLES '!C10</f>
        <v>0</v>
      </c>
      <c r="D10" s="44">
        <f>+'COMBUSTIBLES '!D10</f>
        <v>0</v>
      </c>
    </row>
    <row r="11" spans="1:9" ht="23.45" customHeight="1">
      <c r="A11" s="35" t="s">
        <v>329</v>
      </c>
      <c r="B11" s="36"/>
      <c r="C11" s="36">
        <f>+'COMBUSTIBLES '!C11</f>
        <v>1375.46</v>
      </c>
      <c r="D11" s="40">
        <f>+'COMBUSTIBLES '!D11</f>
        <v>1375.46</v>
      </c>
      <c r="E11" s="292"/>
      <c r="F11" s="388"/>
      <c r="G11" s="388"/>
    </row>
    <row r="12" spans="1:9" ht="23.45" customHeight="1">
      <c r="A12" s="35" t="s">
        <v>210</v>
      </c>
      <c r="B12" s="36"/>
      <c r="C12" s="299" t="s">
        <v>245</v>
      </c>
      <c r="D12" s="495" t="s">
        <v>245</v>
      </c>
    </row>
    <row r="13" spans="1:9" ht="23.45" customHeight="1">
      <c r="A13" s="35" t="s">
        <v>237</v>
      </c>
      <c r="B13" s="36"/>
      <c r="C13" s="36">
        <f>+'Resoluciones, leyes'!$V$89</f>
        <v>186.37</v>
      </c>
      <c r="D13" s="40">
        <f>+'Resoluciones, leyes'!$V$89</f>
        <v>186.37</v>
      </c>
    </row>
    <row r="14" spans="1:9" ht="23.45" customHeight="1">
      <c r="A14" s="35" t="s">
        <v>204</v>
      </c>
      <c r="B14" s="38"/>
      <c r="C14" s="38" t="s">
        <v>11</v>
      </c>
      <c r="D14" s="44" t="s">
        <v>11</v>
      </c>
    </row>
    <row r="15" spans="1:9" ht="23.45" customHeight="1">
      <c r="A15" s="35" t="s">
        <v>4</v>
      </c>
      <c r="B15" s="36"/>
      <c r="C15" s="49"/>
      <c r="D15" s="218"/>
    </row>
    <row r="16" spans="1:9" ht="23.45" customHeight="1">
      <c r="A16" s="35" t="s">
        <v>317</v>
      </c>
      <c r="B16" s="36"/>
      <c r="C16" s="299" t="str">
        <f>+'COMBUSTIBLES '!C16</f>
        <v>(5)</v>
      </c>
      <c r="D16" s="495" t="str">
        <f>+'COMBUSTIBLES '!D16</f>
        <v>(5)</v>
      </c>
    </row>
    <row r="17" spans="1:7" ht="23.45" customHeight="1">
      <c r="A17" s="35" t="s">
        <v>5</v>
      </c>
      <c r="B17" s="37"/>
      <c r="C17" s="37"/>
      <c r="D17" s="501"/>
    </row>
    <row r="18" spans="1:7" ht="23.45" customHeight="1">
      <c r="A18" s="35" t="s">
        <v>6</v>
      </c>
      <c r="B18" s="36"/>
      <c r="C18" s="49"/>
      <c r="D18" s="218"/>
    </row>
    <row r="19" spans="1:7" ht="23.45" customHeight="1">
      <c r="A19" s="35" t="s">
        <v>7</v>
      </c>
      <c r="B19" s="36"/>
      <c r="C19" s="36"/>
      <c r="D19" s="40"/>
    </row>
    <row r="20" spans="1:7" ht="23.45" customHeight="1">
      <c r="A20" s="35" t="s">
        <v>179</v>
      </c>
      <c r="B20" s="36"/>
      <c r="C20" s="36"/>
      <c r="D20" s="40"/>
    </row>
    <row r="21" spans="1:7" ht="23.45" customHeight="1" thickBot="1">
      <c r="A21" s="39" t="s">
        <v>9</v>
      </c>
      <c r="B21" s="45"/>
      <c r="C21" s="45" t="s">
        <v>11</v>
      </c>
      <c r="D21" s="46" t="s">
        <v>11</v>
      </c>
    </row>
    <row r="22" spans="1:7" ht="15.75" thickTop="1">
      <c r="A22" s="9"/>
      <c r="B22" s="10"/>
      <c r="C22" s="10"/>
      <c r="D22" s="10"/>
    </row>
    <row r="23" spans="1:7" ht="21" customHeight="1">
      <c r="A23" s="720" t="s">
        <v>325</v>
      </c>
      <c r="B23" s="720"/>
      <c r="C23" s="720"/>
      <c r="D23" s="720"/>
    </row>
    <row r="24" spans="1:7">
      <c r="A24" s="394"/>
      <c r="B24" s="394"/>
      <c r="C24" s="394"/>
      <c r="D24" s="394"/>
    </row>
    <row r="25" spans="1:7" ht="26.45" customHeight="1">
      <c r="A25" s="720" t="s">
        <v>181</v>
      </c>
      <c r="B25" s="720"/>
      <c r="C25" s="720"/>
      <c r="D25" s="720"/>
    </row>
    <row r="26" spans="1:7">
      <c r="A26" s="394"/>
      <c r="B26" s="394"/>
      <c r="C26" s="394"/>
      <c r="D26" s="394"/>
    </row>
    <row r="27" spans="1:7" ht="14.25" hidden="1" customHeight="1">
      <c r="A27" s="739" t="s">
        <v>222</v>
      </c>
      <c r="B27" s="739"/>
      <c r="C27" s="739"/>
      <c r="D27" s="739"/>
    </row>
    <row r="28" spans="1:7" ht="14.25" customHeight="1">
      <c r="A28" s="720" t="s">
        <v>335</v>
      </c>
      <c r="B28" s="720"/>
      <c r="C28" s="720"/>
      <c r="D28" s="720"/>
    </row>
    <row r="29" spans="1:7" ht="14.25" customHeight="1">
      <c r="A29" s="720"/>
      <c r="B29" s="720"/>
      <c r="C29" s="720"/>
      <c r="D29" s="720"/>
    </row>
    <row r="30" spans="1:7" ht="14.25" customHeight="1">
      <c r="A30" s="720"/>
      <c r="B30" s="720"/>
      <c r="C30" s="720"/>
      <c r="D30" s="720"/>
    </row>
    <row r="31" spans="1:7" ht="14.25" customHeight="1">
      <c r="A31" s="720"/>
      <c r="B31" s="720"/>
      <c r="C31" s="720"/>
      <c r="D31" s="720"/>
    </row>
    <row r="32" spans="1:7" ht="19.7" customHeight="1">
      <c r="A32" s="740" t="s">
        <v>318</v>
      </c>
      <c r="B32" s="740"/>
      <c r="C32" s="740"/>
      <c r="D32" s="740"/>
      <c r="E32" s="740"/>
      <c r="F32" s="740"/>
      <c r="G32" s="740"/>
    </row>
    <row r="33" spans="1:7" ht="28.15" customHeight="1">
      <c r="A33" s="436" t="s">
        <v>345</v>
      </c>
      <c r="B33" s="429"/>
      <c r="C33" s="429"/>
      <c r="D33" s="429"/>
      <c r="E33" s="429"/>
      <c r="F33" s="429"/>
      <c r="G33" s="429"/>
    </row>
    <row r="34" spans="1:7" ht="19.7" customHeight="1">
      <c r="A34" s="429"/>
      <c r="B34" s="429"/>
      <c r="C34" s="429"/>
      <c r="D34" s="429"/>
      <c r="E34" s="429"/>
      <c r="F34" s="429"/>
      <c r="G34" s="429"/>
    </row>
    <row r="35" spans="1:7" ht="15" customHeight="1">
      <c r="A35" s="741" t="s">
        <v>336</v>
      </c>
      <c r="B35" s="706"/>
      <c r="C35" s="706"/>
      <c r="D35" s="706"/>
      <c r="E35" s="429"/>
      <c r="F35" s="429"/>
      <c r="G35" s="429"/>
    </row>
    <row r="36" spans="1:7" ht="185.25" customHeight="1">
      <c r="A36" s="738" t="s">
        <v>333</v>
      </c>
      <c r="B36" s="738"/>
      <c r="C36" s="738"/>
      <c r="D36" s="738"/>
    </row>
  </sheetData>
  <sheetProtection algorithmName="SHA-512" hashValue="9NLiSXbJCujRrSskWnccQEBidomtnMND07d7I27862c/7lqC9IkY4HAz70H1A+kxdb18PqiQ3JdGQyUhYUeGoQ==" saltValue="8eiqRw6MQ56XwGrF7xtOpw==" spinCount="100000" sheet="1" objects="1" scenarios="1"/>
  <mergeCells count="13">
    <mergeCell ref="A36:D36"/>
    <mergeCell ref="A25:D25"/>
    <mergeCell ref="A23:D23"/>
    <mergeCell ref="A27:D27"/>
    <mergeCell ref="A28:D31"/>
    <mergeCell ref="A32:G32"/>
    <mergeCell ref="A35:D35"/>
    <mergeCell ref="A2:D2"/>
    <mergeCell ref="A3:D3"/>
    <mergeCell ref="A4:A6"/>
    <mergeCell ref="B4:B5"/>
    <mergeCell ref="C4:C5"/>
    <mergeCell ref="D4:D5"/>
  </mergeCells>
  <pageMargins left="0.7" right="0.7" top="0.75" bottom="0.75" header="0.3" footer="0.3"/>
  <pageSetup orientation="portrait" r:id="rId1"/>
  <ignoredErrors>
    <ignoredError sqref="D7:D12 D14:D1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pageSetUpPr fitToPage="1"/>
  </sheetPr>
  <dimension ref="A1:BT42"/>
  <sheetViews>
    <sheetView showGridLines="0" topLeftCell="B1" zoomScale="70" zoomScaleNormal="70" workbookViewId="0">
      <selection activeCell="D9" sqref="D9"/>
    </sheetView>
  </sheetViews>
  <sheetFormatPr baseColWidth="10" defaultColWidth="9.85546875" defaultRowHeight="14.25"/>
  <cols>
    <col min="1" max="1" width="58.7109375" style="6" customWidth="1"/>
    <col min="2" max="2" width="21.28515625" style="6" customWidth="1"/>
    <col min="3" max="3" width="26.7109375" style="6" customWidth="1"/>
    <col min="4" max="4" width="23.28515625" style="6" customWidth="1"/>
    <col min="5" max="10" width="12.7109375" style="6" customWidth="1"/>
    <col min="11" max="11" width="12.7109375" style="6" hidden="1" customWidth="1"/>
    <col min="12" max="12" width="23.7109375" style="6" customWidth="1"/>
    <col min="13" max="13" width="9.85546875" style="6" customWidth="1"/>
    <col min="14" max="14" width="13.5703125" style="6" customWidth="1"/>
    <col min="15" max="72" width="9.85546875" style="6" customWidth="1"/>
    <col min="73" max="16384" width="9.85546875" style="6"/>
  </cols>
  <sheetData>
    <row r="1" spans="1:72" s="5" customFormat="1" ht="15.75" thickBot="1">
      <c r="A1" s="28"/>
    </row>
    <row r="2" spans="1:72" s="26" customFormat="1" ht="42.75" customHeight="1" thickTop="1">
      <c r="A2" s="743" t="str">
        <f>CONCATENATE("ESTRUCTURAS DE PRECIOS PARA LA MEZCLA DE BIOCOMBUSTIBLE PARA USO EN MOTORES DIESEL CON EL ACPM VIGENTES A PARTIR DE ",TEXT('COMBUSTIBLES '!$A$54,"DD MMM YYYY"))</f>
        <v>ESTRUCTURAS DE PRECIOS PARA LA MEZCLA DE BIOCOMBUSTIBLE PARA USO EN MOTORES DIESEL CON EL ACPM VIGENTES A PARTIR DE 07.noviembre.2024</v>
      </c>
      <c r="B2" s="744"/>
      <c r="C2" s="744"/>
      <c r="D2" s="745"/>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row>
    <row r="3" spans="1:72" s="26" customFormat="1" ht="19.7" customHeight="1">
      <c r="A3" s="746" t="s">
        <v>0</v>
      </c>
      <c r="B3" s="747"/>
      <c r="C3" s="747"/>
      <c r="D3" s="748"/>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row>
    <row r="4" spans="1:72" s="5" customFormat="1" ht="45.6" customHeight="1">
      <c r="A4" s="749" t="s">
        <v>1</v>
      </c>
      <c r="B4" s="47" t="s">
        <v>140</v>
      </c>
      <c r="C4" s="752" t="s">
        <v>410</v>
      </c>
      <c r="D4" s="507" t="s">
        <v>255</v>
      </c>
      <c r="E4" s="409"/>
      <c r="F4" s="6"/>
      <c r="G4" s="6"/>
      <c r="H4" s="6"/>
      <c r="I4" s="6"/>
      <c r="J4" s="6"/>
      <c r="K4" s="409"/>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row>
    <row r="5" spans="1:72" s="5" customFormat="1" ht="18.600000000000001" customHeight="1">
      <c r="A5" s="750"/>
      <c r="B5" s="48">
        <v>1</v>
      </c>
      <c r="C5" s="753"/>
      <c r="D5" s="508">
        <v>0.02</v>
      </c>
      <c r="E5" s="40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row>
    <row r="6" spans="1:72" s="5" customFormat="1" ht="24" customHeight="1" thickBot="1">
      <c r="A6" s="751"/>
      <c r="B6" s="109" t="str">
        <f>+'COMBUSTIBLES '!A54</f>
        <v>07.noviembre.2024</v>
      </c>
      <c r="C6" s="109" t="str">
        <f>+B6</f>
        <v>07.noviembre.2024</v>
      </c>
      <c r="D6" s="509" t="str">
        <f>+B6</f>
        <v>07.noviembre.2024</v>
      </c>
      <c r="E6" s="406"/>
      <c r="F6" s="40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row>
    <row r="7" spans="1:72" s="75" customFormat="1" ht="31.7" customHeight="1" thickTop="1">
      <c r="A7" s="505" t="s">
        <v>3</v>
      </c>
      <c r="B7" s="566">
        <v>19836.599999999999</v>
      </c>
      <c r="C7" s="551">
        <f>+'COMBUSTIBLES '!E7</f>
        <v>5256.07</v>
      </c>
      <c r="D7" s="506"/>
      <c r="E7" s="74"/>
      <c r="F7" s="6"/>
      <c r="G7" s="6"/>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row>
    <row r="8" spans="1:72" s="75" customFormat="1" ht="31.7" customHeight="1">
      <c r="A8" s="502" t="s">
        <v>46</v>
      </c>
      <c r="B8" s="542"/>
      <c r="C8" s="543"/>
      <c r="D8" s="544">
        <f>+ROUND(C7*(1-D5), 2)</f>
        <v>5150.95</v>
      </c>
      <c r="E8" s="76"/>
      <c r="F8" s="76"/>
      <c r="G8" s="74"/>
      <c r="H8" s="74"/>
      <c r="I8" s="74"/>
      <c r="J8" s="74"/>
      <c r="K8" s="419" t="s">
        <v>282</v>
      </c>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row>
    <row r="9" spans="1:72" s="75" customFormat="1" ht="31.7" customHeight="1">
      <c r="A9" s="502" t="s">
        <v>151</v>
      </c>
      <c r="B9" s="543"/>
      <c r="C9" s="543"/>
      <c r="D9" s="544">
        <f>+ROUND($B$7*D5,2)</f>
        <v>396.73</v>
      </c>
      <c r="E9" s="76"/>
      <c r="F9" s="76"/>
      <c r="G9" s="76"/>
      <c r="H9" s="74"/>
      <c r="I9" s="74"/>
      <c r="J9" s="74"/>
      <c r="K9" s="74" t="s">
        <v>280</v>
      </c>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row>
    <row r="10" spans="1:72" s="75" customFormat="1" ht="31.7" customHeight="1">
      <c r="A10" s="502" t="s">
        <v>258</v>
      </c>
      <c r="B10" s="543"/>
      <c r="C10" s="543"/>
      <c r="D10" s="544">
        <f>+D9+D8</f>
        <v>5547.68</v>
      </c>
      <c r="E10" s="76"/>
      <c r="F10" s="348"/>
      <c r="G10" s="348"/>
      <c r="H10" s="74"/>
      <c r="I10" s="74"/>
      <c r="J10" s="74"/>
      <c r="K10" s="416">
        <f>+B7*0.02+ROUND(C7*0.98,2)</f>
        <v>5547.6819999999998</v>
      </c>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row>
    <row r="11" spans="1:72" s="75" customFormat="1" ht="31.7" customHeight="1">
      <c r="A11" s="502" t="str">
        <f>+'COMBUSTIBLES '!A11</f>
        <v>Impuesto Nacional a la Gasolina y al ACPM</v>
      </c>
      <c r="B11" s="543"/>
      <c r="C11" s="543">
        <f>+'Resoluciones, leyes'!$V$35</f>
        <v>693.65</v>
      </c>
      <c r="D11" s="544">
        <f>+'Resoluciones, leyes'!$V$37</f>
        <v>679.77</v>
      </c>
      <c r="E11" s="76"/>
      <c r="F11" s="74"/>
      <c r="G11" s="74"/>
      <c r="H11" s="74"/>
      <c r="I11" s="74"/>
      <c r="J11" s="74"/>
      <c r="K11" s="74">
        <f>+B7*0.02</f>
        <v>396.73199999999997</v>
      </c>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row>
    <row r="12" spans="1:72" s="75" customFormat="1" ht="31.7" customHeight="1">
      <c r="A12" s="502" t="str">
        <f>+'COMBUSTIBLES '!A12</f>
        <v>Impuesto sobre las Ventas</v>
      </c>
      <c r="B12" s="543"/>
      <c r="C12" s="545" t="s">
        <v>245</v>
      </c>
      <c r="D12" s="546" t="s">
        <v>245</v>
      </c>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row>
    <row r="13" spans="1:72" s="75" customFormat="1" ht="31.7" customHeight="1">
      <c r="A13" s="502" t="str">
        <f>+'COMBUSTIBLES '!A13</f>
        <v>Impuesto al carbono</v>
      </c>
      <c r="B13" s="543"/>
      <c r="C13" s="543">
        <f>+'Resoluciones, leyes'!$V$91</f>
        <v>210.63</v>
      </c>
      <c r="D13" s="544">
        <f>ROUND('Resoluciones, leyes'!$V$91*(1-D5),2)</f>
        <v>206.42</v>
      </c>
      <c r="E13" s="74"/>
      <c r="F13" s="523"/>
      <c r="G13" s="309"/>
      <c r="H13" s="74"/>
      <c r="I13" s="74"/>
      <c r="J13" s="74"/>
      <c r="K13" s="395">
        <f>+C13*0.98</f>
        <v>206.41739999999999</v>
      </c>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row>
    <row r="14" spans="1:72" s="75" customFormat="1" ht="31.7" customHeight="1">
      <c r="A14" s="502" t="s">
        <v>41</v>
      </c>
      <c r="B14" s="543"/>
      <c r="C14" s="543">
        <f>+'Resoluciones, leyes'!$V$153</f>
        <v>9.16</v>
      </c>
      <c r="D14" s="544">
        <f>+'Resoluciones, leyes'!$V$153</f>
        <v>9.16</v>
      </c>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row>
    <row r="15" spans="1:72" s="75" customFormat="1" ht="31.7" customHeight="1">
      <c r="A15" s="502" t="s">
        <v>183</v>
      </c>
      <c r="B15" s="543"/>
      <c r="C15" s="543" t="s">
        <v>10</v>
      </c>
      <c r="D15" s="544" t="s">
        <v>10</v>
      </c>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row>
    <row r="16" spans="1:72" s="75" customFormat="1" ht="31.7" customHeight="1">
      <c r="A16" s="502" t="s">
        <v>184</v>
      </c>
      <c r="B16" s="543" t="s">
        <v>138</v>
      </c>
      <c r="C16" s="543"/>
      <c r="D16" s="544" t="s">
        <v>11</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row>
    <row r="17" spans="1:72" s="75" customFormat="1" ht="31.7" hidden="1" customHeight="1">
      <c r="A17" s="35" t="s">
        <v>172</v>
      </c>
      <c r="B17" s="543"/>
      <c r="C17" s="543">
        <f>'COMBUSTIBLES '!E10</f>
        <v>0</v>
      </c>
      <c r="D17" s="544">
        <f>+C17</f>
        <v>0</v>
      </c>
      <c r="E17" s="74"/>
      <c r="F17" s="38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row>
    <row r="18" spans="1:72" s="75" customFormat="1" ht="31.7" customHeight="1">
      <c r="A18" s="502" t="s">
        <v>39</v>
      </c>
      <c r="B18" s="543"/>
      <c r="C18" s="543"/>
      <c r="D18" s="54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row>
    <row r="19" spans="1:72" s="75" customFormat="1" ht="31.7" customHeight="1">
      <c r="A19" s="502" t="s">
        <v>36</v>
      </c>
      <c r="B19" s="547"/>
      <c r="C19" s="547"/>
      <c r="D19" s="548" t="s">
        <v>138</v>
      </c>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row>
    <row r="20" spans="1:72" s="75" customFormat="1" ht="31.7" customHeight="1">
      <c r="A20" s="502" t="s">
        <v>45</v>
      </c>
      <c r="B20" s="547"/>
      <c r="C20" s="547"/>
      <c r="D20" s="548" t="s">
        <v>138</v>
      </c>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row>
    <row r="21" spans="1:72" s="75" customFormat="1" ht="31.7" customHeight="1">
      <c r="A21" s="502" t="s">
        <v>37</v>
      </c>
      <c r="B21" s="547"/>
      <c r="C21" s="547"/>
      <c r="D21" s="548" t="s">
        <v>138</v>
      </c>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row>
    <row r="22" spans="1:72" s="75" customFormat="1" ht="31.7" customHeight="1">
      <c r="A22" s="502" t="s">
        <v>186</v>
      </c>
      <c r="B22" s="547"/>
      <c r="C22" s="547"/>
      <c r="D22" s="548" t="s">
        <v>138</v>
      </c>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row>
    <row r="23" spans="1:72" s="77" customFormat="1" ht="31.7" customHeight="1">
      <c r="A23" s="503" t="s">
        <v>8</v>
      </c>
      <c r="B23" s="543"/>
      <c r="C23" s="545" t="s">
        <v>319</v>
      </c>
      <c r="D23" s="546" t="s">
        <v>319</v>
      </c>
      <c r="E23" s="74"/>
      <c r="F23" s="74"/>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row>
    <row r="24" spans="1:72" s="32" customFormat="1" ht="31.7" customHeight="1" thickBot="1">
      <c r="A24" s="504" t="s">
        <v>44</v>
      </c>
      <c r="B24" s="549"/>
      <c r="C24" s="549"/>
      <c r="D24" s="550" t="s">
        <v>138</v>
      </c>
      <c r="E24" s="74"/>
      <c r="F24" s="74"/>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row>
    <row r="25" spans="1:72" s="5" customFormat="1" ht="9.6" customHeight="1" thickTop="1">
      <c r="A25" s="9"/>
      <c r="B25" s="10"/>
      <c r="C25" s="10"/>
      <c r="D25" s="10"/>
      <c r="E25" s="7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row>
    <row r="26" spans="1:72" s="32" customFormat="1" ht="15" customHeight="1">
      <c r="A26" s="417" t="s">
        <v>409</v>
      </c>
      <c r="B26" s="312"/>
      <c r="C26" s="312"/>
      <c r="D26" s="313"/>
      <c r="E26" s="74"/>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2" s="32" customFormat="1">
      <c r="A27" s="754" t="s">
        <v>323</v>
      </c>
      <c r="B27" s="754"/>
      <c r="C27" s="754"/>
      <c r="D27" s="754"/>
      <c r="E27" s="74"/>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2" s="32" customFormat="1" ht="6.75" customHeight="1">
      <c r="A28" s="314"/>
      <c r="B28" s="314"/>
      <c r="C28" s="314"/>
      <c r="D28" s="315"/>
      <c r="E28" s="74"/>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row>
    <row r="29" spans="1:72" s="32" customFormat="1">
      <c r="A29" s="754" t="s">
        <v>322</v>
      </c>
      <c r="B29" s="754"/>
      <c r="C29" s="754"/>
      <c r="D29" s="754"/>
      <c r="E29" s="74"/>
    </row>
    <row r="30" spans="1:72" s="32" customFormat="1" ht="11.25" customHeight="1">
      <c r="A30" s="316" t="s">
        <v>138</v>
      </c>
      <c r="B30" s="317"/>
      <c r="C30" s="317"/>
      <c r="E30" s="74"/>
    </row>
    <row r="31" spans="1:72" s="32" customFormat="1">
      <c r="A31" s="754" t="s">
        <v>185</v>
      </c>
      <c r="B31" s="754"/>
      <c r="C31" s="754"/>
      <c r="D31" s="754"/>
      <c r="E31" s="74"/>
    </row>
    <row r="32" spans="1:72" s="32" customFormat="1" ht="10.5" customHeight="1">
      <c r="A32" s="314"/>
      <c r="B32" s="314"/>
      <c r="C32" s="314"/>
      <c r="E32" s="74"/>
    </row>
    <row r="33" spans="1:6" s="32" customFormat="1" ht="42.75" customHeight="1">
      <c r="A33" s="754" t="s">
        <v>177</v>
      </c>
      <c r="B33" s="754"/>
      <c r="C33" s="754"/>
      <c r="D33" s="754"/>
      <c r="E33" s="74"/>
    </row>
    <row r="34" spans="1:6" s="32" customFormat="1" ht="17.649999999999999" customHeight="1">
      <c r="A34" s="316"/>
      <c r="B34" s="317"/>
      <c r="C34" s="317"/>
      <c r="E34" s="74"/>
    </row>
    <row r="35" spans="1:6" s="5" customFormat="1" ht="14.25" customHeight="1">
      <c r="A35" s="742" t="s">
        <v>254</v>
      </c>
      <c r="B35" s="742"/>
      <c r="C35" s="742"/>
      <c r="D35" s="742"/>
      <c r="E35" s="74"/>
    </row>
    <row r="36" spans="1:6" s="5" customFormat="1">
      <c r="A36" s="742"/>
      <c r="B36" s="742"/>
      <c r="C36" s="742"/>
      <c r="D36" s="742"/>
      <c r="E36" s="74"/>
    </row>
    <row r="37" spans="1:6" s="5" customFormat="1" ht="24.75" customHeight="1">
      <c r="A37" s="742"/>
      <c r="B37" s="742"/>
      <c r="C37" s="742"/>
      <c r="D37" s="742"/>
      <c r="E37" s="74"/>
    </row>
    <row r="38" spans="1:6" s="5" customFormat="1" ht="24.75" customHeight="1">
      <c r="A38" s="742"/>
      <c r="B38" s="742"/>
      <c r="C38" s="742"/>
      <c r="D38" s="742"/>
    </row>
    <row r="39" spans="1:6" s="5" customFormat="1" ht="84" customHeight="1">
      <c r="A39" s="742" t="s">
        <v>318</v>
      </c>
      <c r="B39" s="742"/>
      <c r="C39" s="742"/>
      <c r="D39" s="742"/>
      <c r="E39" s="742"/>
      <c r="F39" s="742"/>
    </row>
    <row r="40" spans="1:6" s="5" customFormat="1" ht="125.45" customHeight="1"/>
    <row r="42" spans="1:6" ht="18.75">
      <c r="A42" s="738" t="s">
        <v>333</v>
      </c>
      <c r="B42" s="738"/>
      <c r="C42" s="738"/>
      <c r="D42" s="738"/>
    </row>
  </sheetData>
  <sheetProtection algorithmName="SHA-512" hashValue="sw2c3o1Hzf16v1r0TX4KrBcytve9wI8n/eCKvgEAg37yvJGjZZCZraGlbTxW4Zdhnet3dBj+LOOl6hEKYvYLmw==" saltValue="BNw0dZPBL6eVlwVYlmcfLg==" spinCount="100000" sheet="1" objects="1" scenarios="1"/>
  <mergeCells count="12">
    <mergeCell ref="E39:F39"/>
    <mergeCell ref="A2:D2"/>
    <mergeCell ref="A3:D3"/>
    <mergeCell ref="A42:D42"/>
    <mergeCell ref="A4:A6"/>
    <mergeCell ref="C4:C5"/>
    <mergeCell ref="A39:D39"/>
    <mergeCell ref="A27:D27"/>
    <mergeCell ref="A29:D29"/>
    <mergeCell ref="A31:D31"/>
    <mergeCell ref="A33:D33"/>
    <mergeCell ref="A35:D38"/>
  </mergeCells>
  <phoneticPr fontId="14" type="noConversion"/>
  <printOptions horizontalCentered="1" verticalCentered="1"/>
  <pageMargins left="0.59055118110236227" right="0.39370078740157483" top="0.19685039370078741" bottom="0.19685039370078741" header="0" footer="0"/>
  <pageSetup scale="8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
  <dimension ref="B1:S39"/>
  <sheetViews>
    <sheetView showGridLines="0" zoomScale="70" zoomScaleNormal="70" workbookViewId="0">
      <selection activeCell="B1" sqref="B1:G18"/>
    </sheetView>
  </sheetViews>
  <sheetFormatPr baseColWidth="10" defaultColWidth="9.85546875" defaultRowHeight="14.25"/>
  <cols>
    <col min="1" max="1" width="9.85546875" style="5"/>
    <col min="2" max="2" width="47.85546875" style="5" customWidth="1"/>
    <col min="3" max="3" width="23.85546875" style="5" customWidth="1"/>
    <col min="4" max="5" width="21.28515625" style="5" customWidth="1"/>
    <col min="6" max="6" width="19.42578125" style="5" customWidth="1"/>
    <col min="7" max="7" width="21" style="5" customWidth="1"/>
    <col min="8" max="8" width="22.28515625" style="5" customWidth="1"/>
    <col min="9" max="9" width="15.28515625" style="5" customWidth="1"/>
    <col min="10" max="13" width="9.85546875" style="5" customWidth="1"/>
    <col min="14" max="16384" width="9.85546875" style="5"/>
  </cols>
  <sheetData>
    <row r="1" spans="2:16" s="31" customFormat="1" ht="20.100000000000001" customHeight="1" thickTop="1">
      <c r="B1" s="760" t="s">
        <v>12</v>
      </c>
      <c r="C1" s="761"/>
      <c r="D1" s="761"/>
      <c r="E1" s="761"/>
      <c r="F1" s="761"/>
      <c r="G1" s="762"/>
      <c r="I1" s="758" t="s">
        <v>264</v>
      </c>
      <c r="J1" s="758"/>
      <c r="K1" s="758"/>
      <c r="L1" s="758"/>
      <c r="M1" s="758"/>
      <c r="N1" s="337"/>
    </row>
    <row r="2" spans="2:16" s="31" customFormat="1" ht="20.100000000000001" customHeight="1">
      <c r="B2" s="755" t="s">
        <v>308</v>
      </c>
      <c r="C2" s="756"/>
      <c r="D2" s="756"/>
      <c r="E2" s="756"/>
      <c r="F2" s="756"/>
      <c r="G2" s="757"/>
      <c r="I2" s="758"/>
      <c r="J2" s="758"/>
      <c r="K2" s="758"/>
      <c r="L2" s="758"/>
      <c r="M2" s="758"/>
      <c r="N2" s="337"/>
    </row>
    <row r="3" spans="2:16" s="31" customFormat="1" ht="20.25">
      <c r="B3" s="755" t="s">
        <v>13</v>
      </c>
      <c r="C3" s="756"/>
      <c r="D3" s="756"/>
      <c r="E3" s="756"/>
      <c r="F3" s="756"/>
      <c r="G3" s="757"/>
      <c r="I3" s="337"/>
      <c r="J3" s="337"/>
      <c r="K3" s="337"/>
      <c r="L3" s="337"/>
      <c r="M3" s="337"/>
      <c r="N3" s="337"/>
    </row>
    <row r="4" spans="2:16" ht="15">
      <c r="B4" s="524"/>
      <c r="C4" s="525"/>
      <c r="D4" s="525"/>
      <c r="E4" s="525"/>
      <c r="F4" s="525"/>
      <c r="G4" s="526"/>
      <c r="I4" s="430">
        <v>0</v>
      </c>
      <c r="J4" s="338" t="s">
        <v>262</v>
      </c>
      <c r="K4" s="338"/>
      <c r="L4" s="338"/>
      <c r="M4" s="338"/>
    </row>
    <row r="5" spans="2:16" ht="15.75" thickBot="1">
      <c r="B5" s="527" t="str">
        <f>+'COMBUSTIBLES '!A54</f>
        <v>07.noviembre.2024</v>
      </c>
      <c r="G5" s="526"/>
      <c r="I5" s="430">
        <v>0</v>
      </c>
      <c r="J5" s="338" t="s">
        <v>263</v>
      </c>
      <c r="K5" s="338"/>
      <c r="L5" s="338"/>
      <c r="M5" s="338"/>
    </row>
    <row r="6" spans="2:16" ht="45.2" customHeight="1" thickTop="1">
      <c r="B6" s="51" t="s">
        <v>14</v>
      </c>
      <c r="C6" s="52" t="s">
        <v>15</v>
      </c>
      <c r="D6" s="52" t="s">
        <v>352</v>
      </c>
      <c r="E6" s="52" t="s">
        <v>353</v>
      </c>
      <c r="F6" s="52" t="s">
        <v>16</v>
      </c>
      <c r="G6" s="53" t="s">
        <v>246</v>
      </c>
      <c r="P6" s="407"/>
    </row>
    <row r="7" spans="2:16" ht="30.2" customHeight="1" thickBot="1">
      <c r="B7" s="69"/>
      <c r="C7" s="42" t="str">
        <f>+'COMBUSTIBLES '!B6</f>
        <v>07.noviembre.2024</v>
      </c>
      <c r="D7" s="42" t="str">
        <f>+C7</f>
        <v>07.noviembre.2024</v>
      </c>
      <c r="E7" s="42" t="str">
        <f>+D7</f>
        <v>07.noviembre.2024</v>
      </c>
      <c r="F7" s="42" t="str">
        <f>+D7</f>
        <v>07.noviembre.2024</v>
      </c>
      <c r="G7" s="43" t="str">
        <f>+F7</f>
        <v>07.noviembre.2024</v>
      </c>
      <c r="H7" s="50"/>
    </row>
    <row r="8" spans="2:16" ht="27.2" customHeight="1" thickTop="1">
      <c r="B8" s="66" t="s">
        <v>17</v>
      </c>
      <c r="C8" s="67">
        <f>'COMBUSTIBLES '!B7-I4</f>
        <v>10380.44</v>
      </c>
      <c r="D8" s="67">
        <f>+'COMBUSTIBLES '!C7</f>
        <v>12460</v>
      </c>
      <c r="E8" s="67">
        <f>+'COMBUSTIBLES '!D7</f>
        <v>12661</v>
      </c>
      <c r="F8" s="67">
        <f>'COMBUSTIBLES '!E7-I5</f>
        <v>5256.07</v>
      </c>
      <c r="G8" s="68">
        <f>+(F8*98%)+BIODIESEL!D9</f>
        <v>5547.6785999999993</v>
      </c>
      <c r="H8" s="50"/>
    </row>
    <row r="9" spans="2:16" ht="27.2" customHeight="1">
      <c r="B9" s="252" t="s">
        <v>188</v>
      </c>
      <c r="C9" s="55" t="s">
        <v>42</v>
      </c>
      <c r="D9" s="55" t="str">
        <f>+C9</f>
        <v>(*****)</v>
      </c>
      <c r="E9" s="55" t="str">
        <f>+D9</f>
        <v>(*****)</v>
      </c>
      <c r="F9" s="55" t="str">
        <f>+C9</f>
        <v>(*****)</v>
      </c>
      <c r="G9" s="56" t="str">
        <f>+D9</f>
        <v>(*****)</v>
      </c>
      <c r="H9" s="50"/>
    </row>
    <row r="10" spans="2:16" ht="27.2" customHeight="1">
      <c r="B10" s="54" t="s">
        <v>220</v>
      </c>
      <c r="C10" s="55">
        <f>+'Resoluciones, leyes'!$V$153</f>
        <v>9.16</v>
      </c>
      <c r="D10" s="55">
        <f>+'Resoluciones, leyes'!$V$153</f>
        <v>9.16</v>
      </c>
      <c r="E10" s="55">
        <f>+'Resoluciones, leyes'!$V$153</f>
        <v>9.16</v>
      </c>
      <c r="F10" s="55">
        <f>+'Resoluciones, leyes'!$V$153</f>
        <v>9.16</v>
      </c>
      <c r="G10" s="56">
        <f>+'Resoluciones, leyes'!$V$153</f>
        <v>9.16</v>
      </c>
      <c r="H10" s="50"/>
    </row>
    <row r="11" spans="2:16" ht="27.2" hidden="1" customHeight="1">
      <c r="B11" s="57" t="s">
        <v>189</v>
      </c>
      <c r="C11" s="55">
        <f>'COMBUSTIBLES '!B10</f>
        <v>0</v>
      </c>
      <c r="D11" s="55">
        <f>'COMBUSTIBLES '!B10</f>
        <v>0</v>
      </c>
      <c r="E11" s="55">
        <f>'COMBUSTIBLES '!C10</f>
        <v>0</v>
      </c>
      <c r="F11" s="55">
        <f>'COMBUSTIBLES '!E10</f>
        <v>0</v>
      </c>
      <c r="G11" s="56">
        <f>+F11</f>
        <v>0</v>
      </c>
      <c r="H11" s="50"/>
      <c r="I11" s="26">
        <f>+F8*0.98</f>
        <v>5150.9485999999997</v>
      </c>
    </row>
    <row r="12" spans="2:16" ht="27.2" customHeight="1">
      <c r="B12" s="54" t="s">
        <v>241</v>
      </c>
      <c r="C12" s="55">
        <f>+'Resoluciones, leyes'!$V$66</f>
        <v>1427.5723909888</v>
      </c>
      <c r="D12" s="55">
        <f>+'Resoluciones, leyes'!$V$67</f>
        <v>1510.5073958912001</v>
      </c>
      <c r="E12" s="55">
        <f>+'Resoluciones, leyes'!$V$67</f>
        <v>1510.5073958912001</v>
      </c>
      <c r="F12" s="55">
        <f>+'Resoluciones, leyes'!$V$68</f>
        <v>945.82932800000003</v>
      </c>
      <c r="G12" s="56">
        <f>F12*98%</f>
        <v>926.91274143999999</v>
      </c>
      <c r="H12" s="50"/>
      <c r="I12" s="327">
        <f>+BIODIESEL!D9</f>
        <v>396.73</v>
      </c>
    </row>
    <row r="13" spans="2:16" ht="27.2" customHeight="1">
      <c r="B13" s="54" t="s">
        <v>210</v>
      </c>
      <c r="C13" s="55"/>
      <c r="D13" s="55"/>
      <c r="E13" s="55"/>
      <c r="F13" s="55"/>
      <c r="G13" s="56"/>
      <c r="H13" s="50"/>
      <c r="I13" s="327">
        <f>+I11+I12</f>
        <v>5547.6785999999993</v>
      </c>
    </row>
    <row r="14" spans="2:16" ht="27.2" customHeight="1">
      <c r="B14" s="54" t="s">
        <v>237</v>
      </c>
      <c r="C14" s="55">
        <f>+'Resoluciones, leyes'!$V$89</f>
        <v>186.37</v>
      </c>
      <c r="D14" s="55">
        <f>+'Resoluciones, leyes'!$V$89</f>
        <v>186.37</v>
      </c>
      <c r="E14" s="55">
        <f>+'Resoluciones, leyes'!$V$89</f>
        <v>186.37</v>
      </c>
      <c r="F14" s="55">
        <f>+'Resoluciones, leyes'!$V$91</f>
        <v>210.63</v>
      </c>
      <c r="G14" s="56">
        <f>+BIODIESEL!D13</f>
        <v>206.42</v>
      </c>
      <c r="H14" s="50"/>
    </row>
    <row r="15" spans="2:16" ht="44.45" customHeight="1">
      <c r="B15" s="58" t="s">
        <v>20</v>
      </c>
      <c r="C15" s="59">
        <f t="shared" ref="C15:G15" si="0">SUM(C8:C14)</f>
        <v>12003.542390988801</v>
      </c>
      <c r="D15" s="59">
        <f t="shared" si="0"/>
        <v>14166.037395891201</v>
      </c>
      <c r="E15" s="59">
        <f t="shared" ref="E15" si="1">SUM(E8:E14)</f>
        <v>14367.037395891201</v>
      </c>
      <c r="F15" s="59">
        <f t="shared" si="0"/>
        <v>6421.6893279999995</v>
      </c>
      <c r="G15" s="60">
        <f t="shared" si="0"/>
        <v>6690.1713414399992</v>
      </c>
      <c r="H15" s="50"/>
      <c r="I15"/>
      <c r="J15"/>
    </row>
    <row r="16" spans="2:16" ht="32.25" customHeight="1">
      <c r="B16" s="54" t="s">
        <v>4</v>
      </c>
      <c r="C16" s="61" t="s">
        <v>11</v>
      </c>
      <c r="D16" s="55"/>
      <c r="E16" s="55"/>
      <c r="F16" s="61" t="str">
        <f>+C16</f>
        <v>(**)</v>
      </c>
      <c r="G16" s="62" t="str">
        <f t="shared" ref="G16:G18" si="2">+F16</f>
        <v>(**)</v>
      </c>
      <c r="H16" s="50"/>
      <c r="I16"/>
    </row>
    <row r="17" spans="2:19" s="25" customFormat="1" ht="29.25" customHeight="1">
      <c r="B17" s="78" t="s">
        <v>193</v>
      </c>
      <c r="C17" s="61" t="s">
        <v>19</v>
      </c>
      <c r="D17" s="61" t="str">
        <f>+C17</f>
        <v>(***)</v>
      </c>
      <c r="E17" s="61" t="str">
        <f>+D17</f>
        <v>(***)</v>
      </c>
      <c r="F17" s="61" t="str">
        <f>+D17</f>
        <v>(***)</v>
      </c>
      <c r="G17" s="62" t="str">
        <f t="shared" si="2"/>
        <v>(***)</v>
      </c>
      <c r="H17" s="50"/>
      <c r="S17" s="6"/>
    </row>
    <row r="18" spans="2:19" ht="30.2" customHeight="1" thickBot="1">
      <c r="B18" s="63" t="s">
        <v>168</v>
      </c>
      <c r="C18" s="64" t="s">
        <v>175</v>
      </c>
      <c r="D18" s="64" t="str">
        <f>+C18</f>
        <v>(****)</v>
      </c>
      <c r="E18" s="64" t="str">
        <f>+D18</f>
        <v>(****)</v>
      </c>
      <c r="F18" s="64" t="str">
        <f>+D18</f>
        <v>(****)</v>
      </c>
      <c r="G18" s="65" t="str">
        <f t="shared" si="2"/>
        <v>(****)</v>
      </c>
      <c r="H18" s="50"/>
    </row>
    <row r="19" spans="2:19" ht="15" thickTop="1">
      <c r="G19" s="6"/>
    </row>
    <row r="20" spans="2:19" s="50" customFormat="1" ht="40.700000000000003" customHeight="1">
      <c r="B20" s="703" t="s">
        <v>187</v>
      </c>
      <c r="C20" s="703"/>
      <c r="D20" s="703"/>
      <c r="E20" s="703"/>
      <c r="F20" s="703"/>
    </row>
    <row r="21" spans="2:19" s="50" customFormat="1" ht="24" customHeight="1">
      <c r="B21" s="759" t="s">
        <v>219</v>
      </c>
      <c r="C21" s="759"/>
      <c r="D21" s="759"/>
      <c r="E21" s="759"/>
      <c r="F21" s="759"/>
    </row>
    <row r="22" spans="2:19" s="50" customFormat="1" ht="5.45" customHeight="1">
      <c r="B22" s="220"/>
      <c r="C22" s="220"/>
      <c r="D22" s="220"/>
      <c r="E22" s="220"/>
      <c r="F22" s="220"/>
    </row>
    <row r="23" spans="2:19" s="50" customFormat="1" ht="17.45" customHeight="1">
      <c r="B23" s="703" t="s">
        <v>190</v>
      </c>
      <c r="C23" s="703"/>
      <c r="D23" s="703"/>
      <c r="E23" s="703"/>
      <c r="F23" s="703"/>
    </row>
    <row r="24" spans="2:19" s="50" customFormat="1" ht="3.75" customHeight="1">
      <c r="B24" s="214"/>
      <c r="C24" s="214"/>
      <c r="D24" s="214"/>
      <c r="E24" s="214"/>
      <c r="F24" s="214"/>
    </row>
    <row r="25" spans="2:19" s="50" customFormat="1" ht="17.45" customHeight="1">
      <c r="B25" s="703" t="s">
        <v>205</v>
      </c>
      <c r="C25" s="703"/>
      <c r="D25" s="703"/>
      <c r="E25" s="703"/>
      <c r="F25" s="703"/>
    </row>
    <row r="26" spans="2:19" s="50" customFormat="1" ht="8.4499999999999993" customHeight="1">
      <c r="B26" s="214"/>
      <c r="C26" s="214"/>
      <c r="D26" s="214"/>
      <c r="E26" s="214"/>
      <c r="F26" s="214"/>
    </row>
    <row r="27" spans="2:19" s="50" customFormat="1" ht="25.5" customHeight="1">
      <c r="B27" s="703" t="s">
        <v>191</v>
      </c>
      <c r="C27" s="703"/>
      <c r="D27" s="703"/>
      <c r="E27" s="703"/>
      <c r="F27" s="703"/>
      <c r="G27" s="703"/>
    </row>
    <row r="28" spans="2:19" ht="7.5" customHeight="1">
      <c r="B28" s="215"/>
      <c r="C28" s="215"/>
      <c r="D28" s="215"/>
      <c r="E28" s="215"/>
      <c r="F28" s="215"/>
    </row>
    <row r="29" spans="2:19" ht="45.6" customHeight="1">
      <c r="B29" s="706" t="s">
        <v>230</v>
      </c>
      <c r="C29" s="706"/>
      <c r="D29" s="706"/>
      <c r="E29" s="706"/>
      <c r="F29" s="706"/>
      <c r="G29" s="706"/>
    </row>
    <row r="30" spans="2:19" ht="10.9" customHeight="1"/>
    <row r="31" spans="2:19">
      <c r="B31" s="759" t="s">
        <v>221</v>
      </c>
      <c r="C31" s="759"/>
      <c r="D31" s="759"/>
      <c r="E31" s="759"/>
      <c r="F31" s="759"/>
    </row>
    <row r="33" spans="2:7">
      <c r="B33" s="220"/>
      <c r="C33" s="220"/>
      <c r="D33" s="220"/>
      <c r="E33" s="220"/>
      <c r="F33" s="220"/>
    </row>
    <row r="34" spans="2:7" ht="94.15" customHeight="1">
      <c r="B34" s="763" t="s">
        <v>332</v>
      </c>
      <c r="C34" s="763"/>
      <c r="D34" s="763"/>
      <c r="E34" s="763"/>
      <c r="F34" s="763"/>
      <c r="G34" s="763"/>
    </row>
    <row r="39" spans="2:7">
      <c r="B39" s="742"/>
      <c r="C39" s="742"/>
      <c r="D39" s="742"/>
      <c r="E39" s="742"/>
      <c r="F39" s="742"/>
    </row>
  </sheetData>
  <sheetProtection algorithmName="SHA-512" hashValue="PAC5Szm9ygCzdhwZPBLZBo7ZHQMlWCbpUFbcMCRcZCdKXIf3kX4BENhOMSH8Eljb10N57ja8T2R0gUgB1ro8/g==" saltValue="FYpZFIGbWwNEgullC0zgQA==" spinCount="100000" sheet="1" objects="1" scenarios="1"/>
  <mergeCells count="13">
    <mergeCell ref="B29:G29"/>
    <mergeCell ref="B3:G3"/>
    <mergeCell ref="I1:M2"/>
    <mergeCell ref="B39:F39"/>
    <mergeCell ref="B20:F20"/>
    <mergeCell ref="B21:F21"/>
    <mergeCell ref="B31:F31"/>
    <mergeCell ref="B23:F23"/>
    <mergeCell ref="B25:F25"/>
    <mergeCell ref="B1:G1"/>
    <mergeCell ref="B2:G2"/>
    <mergeCell ref="B34:G34"/>
    <mergeCell ref="B27:G27"/>
  </mergeCells>
  <phoneticPr fontId="14" type="noConversion"/>
  <printOptions horizontalCentered="1" verticalCentered="1"/>
  <pageMargins left="0.74803149606299213" right="0.74803149606299213" top="0.98425196850393704" bottom="0.98425196850393704" header="0" footer="0"/>
  <pageSetup scale="6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pageSetUpPr fitToPage="1"/>
  </sheetPr>
  <dimension ref="A1:P80"/>
  <sheetViews>
    <sheetView topLeftCell="A44" zoomScale="70" zoomScaleNormal="70" workbookViewId="0">
      <selection activeCell="K67" sqref="K67"/>
    </sheetView>
  </sheetViews>
  <sheetFormatPr baseColWidth="10" defaultColWidth="9.85546875" defaultRowHeight="14.25" outlineLevelRow="1" outlineLevelCol="2"/>
  <cols>
    <col min="1" max="2" width="9.85546875" style="2" customWidth="1"/>
    <col min="3" max="3" width="46.7109375" style="2" customWidth="1"/>
    <col min="4" max="4" width="23.7109375" style="2" customWidth="1"/>
    <col min="5" max="5" width="27.7109375" style="2" customWidth="1"/>
    <col min="6" max="6" width="28.5703125" style="2" customWidth="1" outlineLevel="1"/>
    <col min="7" max="7" width="10.28515625" style="2" hidden="1" customWidth="1" outlineLevel="2"/>
    <col min="8" max="8" width="12.5703125" style="2" hidden="1" customWidth="1" outlineLevel="2"/>
    <col min="9" max="9" width="15.5703125" style="2" hidden="1" customWidth="1" outlineLevel="1" collapsed="1"/>
    <col min="10" max="10" width="29.28515625" style="2" customWidth="1" outlineLevel="1"/>
    <col min="11" max="11" width="14" style="2" customWidth="1"/>
    <col min="12" max="12" width="18.85546875" style="2" customWidth="1"/>
    <col min="13" max="13" width="15.7109375" style="2" bestFit="1" customWidth="1"/>
    <col min="14" max="16384" width="9.85546875" style="2"/>
  </cols>
  <sheetData>
    <row r="1" spans="3:13" ht="15.75">
      <c r="C1" s="769" t="s">
        <v>167</v>
      </c>
      <c r="D1" s="769"/>
      <c r="E1" s="769"/>
      <c r="F1" s="769"/>
      <c r="G1" s="769"/>
      <c r="H1" s="769"/>
    </row>
    <row r="2" spans="3:13" ht="15.75">
      <c r="C2" s="769" t="s">
        <v>26</v>
      </c>
      <c r="D2" s="769"/>
      <c r="E2" s="769"/>
      <c r="F2" s="769"/>
      <c r="G2" s="769"/>
      <c r="H2" s="769"/>
    </row>
    <row r="3" spans="3:13" ht="15.75">
      <c r="C3" s="769" t="s">
        <v>13</v>
      </c>
      <c r="D3" s="769"/>
      <c r="E3" s="769"/>
      <c r="F3" s="769"/>
      <c r="G3" s="769"/>
      <c r="H3" s="769"/>
      <c r="J3" s="4"/>
    </row>
    <row r="4" spans="3:13" ht="24.75" customHeight="1" thickBot="1">
      <c r="C4" s="213" t="str">
        <f>+'COMBUSTIBLES '!A54</f>
        <v>07.noviembre.2024</v>
      </c>
      <c r="D4" s="18"/>
      <c r="E4" s="19"/>
      <c r="F4" s="771"/>
      <c r="G4" s="771"/>
      <c r="H4" s="26"/>
      <c r="I4" s="26"/>
      <c r="J4" s="425"/>
    </row>
    <row r="5" spans="3:13" ht="45.2" customHeight="1" thickTop="1">
      <c r="C5" s="71" t="s">
        <v>14</v>
      </c>
      <c r="D5" s="227" t="s">
        <v>314</v>
      </c>
      <c r="E5" s="227" t="s">
        <v>208</v>
      </c>
      <c r="F5" s="227" t="s">
        <v>227</v>
      </c>
      <c r="I5" s="227" t="s">
        <v>209</v>
      </c>
      <c r="J5" s="228" t="s">
        <v>259</v>
      </c>
    </row>
    <row r="6" spans="3:13" ht="22.7" customHeight="1">
      <c r="C6" s="229" t="s">
        <v>17</v>
      </c>
      <c r="D6" s="222">
        <f>'COMBUSTIBLES '!E7</f>
        <v>5256.07</v>
      </c>
      <c r="E6" s="222">
        <f>+D6</f>
        <v>5256.07</v>
      </c>
      <c r="F6" s="222">
        <f>+E6*80%</f>
        <v>4204.8559999999998</v>
      </c>
      <c r="I6" s="222">
        <f>+BIODIESEL!B7*4%+(F6)*96%</f>
        <v>4830.125759999999</v>
      </c>
      <c r="J6" s="231">
        <f>+BIODIESEL!B7*2%+(F6)*98%</f>
        <v>4517.4908799999994</v>
      </c>
      <c r="K6" s="20"/>
      <c r="L6" s="20"/>
      <c r="M6" s="20"/>
    </row>
    <row r="7" spans="3:13" ht="22.7" customHeight="1">
      <c r="C7" s="232" t="str">
        <f>+'GASOLINA CORRIENTE '!A11</f>
        <v>Impuesto Nacional a la Gasolina y al ACPM</v>
      </c>
      <c r="D7" s="225">
        <f>+'Resoluciones, leyes'!$V$35</f>
        <v>693.65</v>
      </c>
      <c r="E7" s="225">
        <f>+'Resoluciones, leyes'!$V$38</f>
        <v>884.07</v>
      </c>
      <c r="F7" s="225">
        <f>+'Resoluciones, leyes'!$V$38</f>
        <v>884.07</v>
      </c>
      <c r="G7" s="5"/>
      <c r="H7" s="5"/>
      <c r="I7" s="225">
        <f>ROUND(F7*96%,2)</f>
        <v>848.71</v>
      </c>
      <c r="J7" s="72">
        <f>+'Resoluciones, leyes'!$V$37</f>
        <v>679.77</v>
      </c>
      <c r="K7" s="460"/>
    </row>
    <row r="8" spans="3:13" ht="22.7" customHeight="1">
      <c r="C8" s="232" t="str">
        <f>+'GASOLINA CORRIENTE '!A12</f>
        <v>Impuesto sobre las Ventas</v>
      </c>
      <c r="D8" s="303" t="str">
        <f>'COMBUSTIBLES '!E12</f>
        <v>(3)</v>
      </c>
      <c r="E8" s="303" t="str">
        <f>'COMBUSTIBLES '!E12</f>
        <v>(3)</v>
      </c>
      <c r="F8" s="303" t="str">
        <f>+E8</f>
        <v>(3)</v>
      </c>
      <c r="G8" s="304"/>
      <c r="H8" s="304"/>
      <c r="I8" s="303" t="str">
        <f>+F8</f>
        <v>(3)</v>
      </c>
      <c r="J8" s="305" t="str">
        <f>+I8</f>
        <v>(3)</v>
      </c>
    </row>
    <row r="9" spans="3:13" ht="22.7" customHeight="1">
      <c r="C9" s="232" t="str">
        <f>+'GASOLINA CORRIENTE '!A13</f>
        <v>Impuesto al carbono</v>
      </c>
      <c r="D9" s="222">
        <f>+'Resoluciones, leyes'!$V$91</f>
        <v>210.63</v>
      </c>
      <c r="E9" s="222">
        <f>+'Resoluciones, leyes'!$V$91</f>
        <v>210.63</v>
      </c>
      <c r="F9" s="222">
        <f>+'Resoluciones, leyes'!$V$91</f>
        <v>210.63</v>
      </c>
      <c r="I9" s="222">
        <f>ROUND(F9*96%,2)</f>
        <v>202.2</v>
      </c>
      <c r="J9" s="231">
        <f>ROUND(E9*98%,2)</f>
        <v>206.42</v>
      </c>
    </row>
    <row r="10" spans="3:13" ht="22.7" customHeight="1">
      <c r="C10" s="229" t="s">
        <v>192</v>
      </c>
      <c r="D10" s="224" t="str">
        <f>+I10</f>
        <v>(*)</v>
      </c>
      <c r="E10" s="224" t="str">
        <f>+D10</f>
        <v>(*)</v>
      </c>
      <c r="F10" s="224" t="str">
        <f>+E10</f>
        <v>(*)</v>
      </c>
      <c r="I10" s="224" t="s">
        <v>10</v>
      </c>
      <c r="J10" s="291" t="str">
        <f>+I10</f>
        <v>(*)</v>
      </c>
    </row>
    <row r="11" spans="3:13" ht="17.100000000000001" hidden="1" customHeight="1">
      <c r="C11" s="57" t="s">
        <v>189</v>
      </c>
      <c r="D11" s="225"/>
      <c r="E11" s="225"/>
      <c r="F11" s="225"/>
      <c r="I11" s="225">
        <f>+F11</f>
        <v>0</v>
      </c>
      <c r="J11" s="72"/>
    </row>
    <row r="12" spans="3:13" ht="26.45" customHeight="1">
      <c r="C12" s="233" t="s">
        <v>169</v>
      </c>
      <c r="D12" s="226">
        <f>SUM(D6:D11)</f>
        <v>6160.3499999999995</v>
      </c>
      <c r="E12" s="226">
        <f>SUM(E6:E11)</f>
        <v>6350.7699999999995</v>
      </c>
      <c r="F12" s="226">
        <f>SUM(F6:F11)</f>
        <v>5299.5559999999996</v>
      </c>
      <c r="I12" s="226">
        <f>SUM(I6:I11)</f>
        <v>5881.0357599999988</v>
      </c>
      <c r="J12" s="234">
        <f>SUM(J6:J11)</f>
        <v>5403.6808799999999</v>
      </c>
    </row>
    <row r="13" spans="3:13" ht="22.7" customHeight="1" thickBot="1">
      <c r="C13" s="235" t="s">
        <v>8</v>
      </c>
      <c r="D13" s="410" t="str">
        <f>'COMBUSTIBLES '!E16</f>
        <v>(5)</v>
      </c>
      <c r="E13" s="236"/>
      <c r="F13" s="236"/>
      <c r="I13" s="236"/>
      <c r="J13" s="237"/>
    </row>
    <row r="14" spans="3:13" ht="12.2" customHeight="1" thickTop="1">
      <c r="C14" s="221"/>
      <c r="D14" s="17"/>
      <c r="E14" s="17"/>
      <c r="F14" s="294"/>
      <c r="G14" s="294"/>
      <c r="H14" s="294"/>
      <c r="I14" s="26"/>
    </row>
    <row r="15" spans="3:13" ht="18.600000000000001" customHeight="1">
      <c r="C15" s="772" t="s">
        <v>206</v>
      </c>
      <c r="D15" s="772"/>
      <c r="E15" s="772"/>
      <c r="F15" s="772"/>
      <c r="G15" s="772"/>
      <c r="H15" s="772"/>
    </row>
    <row r="16" spans="3:13" ht="49.7" customHeight="1">
      <c r="C16" s="770" t="s">
        <v>326</v>
      </c>
      <c r="D16" s="770"/>
      <c r="E16" s="770"/>
      <c r="F16" s="770"/>
      <c r="G16" s="770"/>
      <c r="H16" s="770"/>
    </row>
    <row r="17" spans="3:11" ht="21" hidden="1" customHeight="1">
      <c r="C17" s="768"/>
      <c r="D17" s="768"/>
      <c r="E17" s="768"/>
      <c r="F17" s="768"/>
      <c r="G17" s="768"/>
      <c r="H17" s="768"/>
    </row>
    <row r="18" spans="3:11">
      <c r="C18" s="768" t="s">
        <v>228</v>
      </c>
      <c r="D18" s="768"/>
      <c r="E18" s="768"/>
      <c r="F18" s="768"/>
      <c r="G18" s="768"/>
      <c r="H18" s="768"/>
    </row>
    <row r="19" spans="3:11" ht="9.9499999999999993" customHeight="1">
      <c r="C19" s="238"/>
      <c r="D19" s="238"/>
      <c r="E19" s="238"/>
      <c r="F19" s="238"/>
      <c r="G19" s="238"/>
      <c r="H19" s="238"/>
    </row>
    <row r="20" spans="3:11">
      <c r="C20" s="720" t="s">
        <v>244</v>
      </c>
      <c r="D20" s="720"/>
      <c r="E20" s="720"/>
      <c r="F20" s="720"/>
      <c r="G20" s="720"/>
      <c r="H20" s="720"/>
      <c r="I20" s="720"/>
      <c r="J20" s="2" t="s">
        <v>138</v>
      </c>
    </row>
    <row r="21" spans="3:11">
      <c r="C21" s="720" t="s">
        <v>242</v>
      </c>
      <c r="D21" s="720"/>
      <c r="E21" s="720"/>
      <c r="F21" s="720"/>
      <c r="G21" s="720"/>
      <c r="H21" s="720"/>
      <c r="I21" s="720"/>
    </row>
    <row r="22" spans="3:11">
      <c r="C22" s="720" t="s">
        <v>243</v>
      </c>
      <c r="D22" s="720"/>
      <c r="E22" s="720"/>
      <c r="F22" s="720"/>
      <c r="G22" s="720"/>
      <c r="H22" s="720"/>
      <c r="I22" s="720"/>
    </row>
    <row r="23" spans="3:11">
      <c r="C23" s="344"/>
      <c r="D23" s="344"/>
      <c r="E23" s="344"/>
      <c r="F23" s="344"/>
      <c r="G23" s="344"/>
      <c r="H23" s="344"/>
      <c r="I23" s="344"/>
    </row>
    <row r="24" spans="3:11">
      <c r="C24" s="344"/>
      <c r="D24" s="344"/>
      <c r="E24" s="344"/>
      <c r="F24" s="344"/>
      <c r="G24" s="344"/>
      <c r="H24" s="344"/>
      <c r="I24" s="344"/>
    </row>
    <row r="25" spans="3:11" ht="15.75">
      <c r="C25" s="769" t="s">
        <v>34</v>
      </c>
      <c r="D25" s="769"/>
      <c r="E25" s="769"/>
      <c r="F25" s="769"/>
      <c r="G25" s="769"/>
      <c r="H25" s="769"/>
      <c r="J25" s="2" t="s">
        <v>138</v>
      </c>
    </row>
    <row r="26" spans="3:11" ht="15.75">
      <c r="C26" s="769" t="s">
        <v>28</v>
      </c>
      <c r="D26" s="769"/>
      <c r="E26" s="769"/>
      <c r="F26" s="769"/>
      <c r="G26" s="769"/>
      <c r="H26" s="769"/>
    </row>
    <row r="27" spans="3:11" ht="15.75">
      <c r="C27" s="769" t="s">
        <v>13</v>
      </c>
      <c r="D27" s="769"/>
      <c r="E27" s="769"/>
      <c r="F27" s="769"/>
      <c r="G27" s="769"/>
      <c r="H27" s="769"/>
    </row>
    <row r="28" spans="3:11" ht="15.75" thickBot="1">
      <c r="C28" s="213" t="str">
        <f>+C4</f>
        <v>07.noviembre.2024</v>
      </c>
      <c r="D28" s="18"/>
      <c r="E28" s="19"/>
      <c r="F28"/>
      <c r="J28" s="5"/>
    </row>
    <row r="29" spans="3:11" ht="57.2" customHeight="1" thickTop="1">
      <c r="C29" s="71" t="s">
        <v>14</v>
      </c>
      <c r="D29" s="227" t="str">
        <f>+D5</f>
        <v>DIESEL MARINO DM0</v>
      </c>
      <c r="E29" s="227" t="str">
        <f>+E5</f>
        <v>DIESEL MARINO CON CUPO (ART 174 LEY 1607/12)</v>
      </c>
      <c r="F29" s="227" t="str">
        <f>+F5</f>
        <v>DIESEL MARINO CON CUPO (ART 174 LEY 1607/12) CON DESCUENTO****</v>
      </c>
      <c r="G29" s="227" t="s">
        <v>223</v>
      </c>
      <c r="H29" s="227" t="s">
        <v>224</v>
      </c>
      <c r="J29" s="227" t="s">
        <v>311</v>
      </c>
    </row>
    <row r="30" spans="3:11" ht="23.45" customHeight="1">
      <c r="C30" s="229" t="s">
        <v>17</v>
      </c>
      <c r="D30" s="225">
        <f>'COMBUSTIBLES '!E7</f>
        <v>5256.07</v>
      </c>
      <c r="E30" s="222">
        <f>+D30</f>
        <v>5256.07</v>
      </c>
      <c r="F30" s="223">
        <f>+D30*80%</f>
        <v>4204.8559999999998</v>
      </c>
      <c r="G30" s="320">
        <v>1903.2</v>
      </c>
      <c r="H30" s="230">
        <v>1280.03</v>
      </c>
      <c r="J30" s="230">
        <f>+(F30*98%)+(BIODIESEL!B7*2%)</f>
        <v>4517.4908799999994</v>
      </c>
      <c r="K30" s="20"/>
    </row>
    <row r="31" spans="3:11" ht="23.45" customHeight="1">
      <c r="C31" s="232" t="str">
        <f>+C7</f>
        <v>Impuesto Nacional a la Gasolina y al ACPM</v>
      </c>
      <c r="D31" s="225">
        <f>+D7</f>
        <v>693.65</v>
      </c>
      <c r="E31" s="225">
        <f>+'Resoluciones, leyes'!$V$38</f>
        <v>884.07</v>
      </c>
      <c r="F31" s="225">
        <f>+'Resoluciones, leyes'!$V$38</f>
        <v>884.07</v>
      </c>
      <c r="G31" s="321">
        <f>+D31</f>
        <v>693.65</v>
      </c>
      <c r="H31" s="231">
        <f>+F31</f>
        <v>884.07</v>
      </c>
      <c r="J31" s="72">
        <f>+$J$7</f>
        <v>679.77</v>
      </c>
    </row>
    <row r="32" spans="3:11" ht="23.45" customHeight="1">
      <c r="C32" s="232" t="str">
        <f t="shared" ref="C32:C33" si="0">+C8</f>
        <v>Impuesto sobre las Ventas</v>
      </c>
      <c r="D32" s="222"/>
      <c r="E32" s="222"/>
      <c r="F32" s="222"/>
      <c r="G32" s="321"/>
      <c r="H32" s="231"/>
      <c r="J32" s="231"/>
    </row>
    <row r="33" spans="1:10" ht="23.45" customHeight="1">
      <c r="C33" s="232" t="str">
        <f t="shared" si="0"/>
        <v>Impuesto al carbono</v>
      </c>
      <c r="D33" s="222">
        <f>+'Resoluciones, leyes'!$V$91</f>
        <v>210.63</v>
      </c>
      <c r="E33" s="222">
        <f>+'Resoluciones, leyes'!$V$91</f>
        <v>210.63</v>
      </c>
      <c r="F33" s="222">
        <f>+'Resoluciones, leyes'!$V$91</f>
        <v>210.63</v>
      </c>
      <c r="G33" s="321"/>
      <c r="H33" s="231"/>
      <c r="J33" s="72">
        <f>ROUND(F33*98%,2)</f>
        <v>206.42</v>
      </c>
    </row>
    <row r="34" spans="1:10" ht="23.45" customHeight="1">
      <c r="C34" s="229" t="s">
        <v>18</v>
      </c>
      <c r="D34" s="225" t="str">
        <f>+D10</f>
        <v>(*)</v>
      </c>
      <c r="E34" s="225" t="str">
        <f>+D34</f>
        <v>(*)</v>
      </c>
      <c r="F34" s="225" t="str">
        <f>+E34</f>
        <v>(*)</v>
      </c>
      <c r="G34" s="322" t="str">
        <f>+F34</f>
        <v>(*)</v>
      </c>
      <c r="H34" s="72" t="str">
        <f>+G34</f>
        <v>(*)</v>
      </c>
      <c r="J34" s="72">
        <f>+I34</f>
        <v>0</v>
      </c>
    </row>
    <row r="35" spans="1:10" ht="23.45" hidden="1" customHeight="1">
      <c r="C35" s="57"/>
      <c r="D35" s="222"/>
      <c r="E35" s="222"/>
      <c r="F35" s="222"/>
      <c r="G35" s="323"/>
      <c r="H35" s="231"/>
      <c r="J35" s="231"/>
    </row>
    <row r="36" spans="1:10" ht="23.45" customHeight="1">
      <c r="C36" s="239" t="s">
        <v>29</v>
      </c>
      <c r="D36" s="226">
        <f>SUM(D30:D35)</f>
        <v>6160.3499999999995</v>
      </c>
      <c r="E36" s="226">
        <f>SUM(E30:E35)</f>
        <v>6350.7699999999995</v>
      </c>
      <c r="F36" s="226">
        <f>SUM(F30:F35)</f>
        <v>5299.5559999999996</v>
      </c>
      <c r="G36" s="324">
        <f>SUM(G30:G35)</f>
        <v>2596.85</v>
      </c>
      <c r="H36" s="234">
        <f>SUM(H30:H35)</f>
        <v>2164.1</v>
      </c>
      <c r="J36" s="234">
        <f>SUM(J30:J35)</f>
        <v>5403.6808799999999</v>
      </c>
    </row>
    <row r="37" spans="1:10" ht="23.45" customHeight="1">
      <c r="C37" s="73" t="s">
        <v>193</v>
      </c>
      <c r="D37" s="55" t="s">
        <v>10</v>
      </c>
      <c r="E37" s="55" t="str">
        <f>+D37</f>
        <v>(*)</v>
      </c>
      <c r="F37" s="55" t="str">
        <f>E37</f>
        <v>(*)</v>
      </c>
      <c r="G37" s="325" t="str">
        <f>+F37</f>
        <v>(*)</v>
      </c>
      <c r="H37" s="56" t="str">
        <f>G37</f>
        <v>(*)</v>
      </c>
      <c r="J37" s="56" t="str">
        <f>+F37</f>
        <v>(*)</v>
      </c>
    </row>
    <row r="38" spans="1:10" ht="23.45" customHeight="1">
      <c r="C38" s="73" t="s">
        <v>195</v>
      </c>
      <c r="D38" s="55" t="s">
        <v>11</v>
      </c>
      <c r="E38" s="55" t="str">
        <f>+D38</f>
        <v>(**)</v>
      </c>
      <c r="F38" s="55" t="str">
        <f>E38</f>
        <v>(**)</v>
      </c>
      <c r="G38" s="325" t="str">
        <f>+F38</f>
        <v>(**)</v>
      </c>
      <c r="H38" s="56" t="str">
        <f>G38</f>
        <v>(**)</v>
      </c>
      <c r="I38" s="20"/>
      <c r="J38" s="56" t="str">
        <f>+F37</f>
        <v>(*)</v>
      </c>
    </row>
    <row r="39" spans="1:10" ht="23.45" customHeight="1">
      <c r="C39" s="233" t="s">
        <v>30</v>
      </c>
      <c r="D39" s="226">
        <f>SUM(D36:D38)</f>
        <v>6160.3499999999995</v>
      </c>
      <c r="E39" s="226">
        <f>SUM(E36:E38)</f>
        <v>6350.7699999999995</v>
      </c>
      <c r="F39" s="226">
        <f>SUM(F36:F38)</f>
        <v>5299.5559999999996</v>
      </c>
      <c r="G39" s="324">
        <f>SUM(G36:G38)</f>
        <v>2596.85</v>
      </c>
      <c r="H39" s="234">
        <f>SUM(H36:H38)</f>
        <v>2164.1</v>
      </c>
      <c r="J39" s="234">
        <f>SUM(J36:J38)</f>
        <v>5403.6808799999999</v>
      </c>
    </row>
    <row r="40" spans="1:10" ht="23.45" customHeight="1" thickBot="1">
      <c r="C40" s="235" t="s">
        <v>8</v>
      </c>
      <c r="D40" s="411" t="str">
        <f>'COMBUSTIBLES '!E16</f>
        <v>(5)</v>
      </c>
      <c r="E40" s="236"/>
      <c r="F40" s="236"/>
      <c r="G40" s="319"/>
      <c r="H40" s="237"/>
      <c r="J40" s="237"/>
    </row>
    <row r="41" spans="1:10" ht="15" thickTop="1">
      <c r="A41" s="2" t="s">
        <v>138</v>
      </c>
      <c r="C41" s="21" t="s">
        <v>138</v>
      </c>
      <c r="D41" s="22"/>
      <c r="E41" s="22"/>
      <c r="F41" s="5"/>
      <c r="G41" s="5"/>
      <c r="H41" s="5"/>
    </row>
    <row r="42" spans="1:10" ht="15" customHeight="1">
      <c r="C42" s="719" t="s">
        <v>207</v>
      </c>
      <c r="D42" s="719"/>
      <c r="E42" s="719"/>
      <c r="F42" s="719"/>
      <c r="G42" s="719"/>
      <c r="H42" s="719"/>
      <c r="I42" s="719"/>
      <c r="J42" s="719"/>
    </row>
    <row r="43" spans="1:10" ht="18" customHeight="1">
      <c r="C43" s="719" t="s">
        <v>194</v>
      </c>
      <c r="D43" s="719"/>
      <c r="E43" s="719"/>
      <c r="F43" s="719"/>
      <c r="G43" s="719"/>
      <c r="H43" s="719"/>
      <c r="I43" s="719"/>
      <c r="J43" s="719"/>
    </row>
    <row r="44" spans="1:10" ht="65.25" customHeight="1">
      <c r="C44" s="721" t="s">
        <v>225</v>
      </c>
      <c r="D44" s="721"/>
      <c r="E44" s="721"/>
      <c r="F44" s="721"/>
      <c r="G44" s="721"/>
      <c r="H44" s="721"/>
      <c r="I44" s="721"/>
      <c r="J44" s="721"/>
    </row>
    <row r="45" spans="1:10" ht="28.5" customHeight="1">
      <c r="C45" s="768" t="s">
        <v>300</v>
      </c>
      <c r="D45" s="768"/>
      <c r="E45" s="768"/>
      <c r="F45" s="768"/>
      <c r="G45" s="768"/>
      <c r="H45" s="768"/>
      <c r="I45" s="6"/>
      <c r="J45" s="6"/>
    </row>
    <row r="46" spans="1:10" s="6" customFormat="1" ht="18" customHeight="1">
      <c r="C46" s="23"/>
      <c r="D46" s="24"/>
      <c r="E46" s="24"/>
    </row>
    <row r="47" spans="1:10" ht="19.7" customHeight="1">
      <c r="C47" s="396" t="s">
        <v>35</v>
      </c>
      <c r="D47" s="397"/>
      <c r="E47" s="398"/>
      <c r="F47" s="399"/>
    </row>
    <row r="48" spans="1:10" ht="15.75">
      <c r="C48" s="396" t="s">
        <v>31</v>
      </c>
      <c r="D48" s="397"/>
      <c r="E48" s="398"/>
      <c r="F48" s="399"/>
    </row>
    <row r="49" spans="3:13" ht="15.75">
      <c r="C49" s="396" t="s">
        <v>32</v>
      </c>
      <c r="D49" s="397"/>
      <c r="E49" s="398"/>
      <c r="F49" s="399"/>
    </row>
    <row r="50" spans="3:13" ht="15.75">
      <c r="C50" s="396" t="s">
        <v>13</v>
      </c>
      <c r="D50" s="397"/>
      <c r="E50" s="398"/>
      <c r="F50" s="399"/>
    </row>
    <row r="51" spans="3:13" ht="15.75" thickBot="1">
      <c r="C51" s="213" t="str">
        <f>+C28</f>
        <v>07.noviembre.2024</v>
      </c>
      <c r="D51" s="18"/>
      <c r="E51" s="426"/>
      <c r="F51" s="427"/>
    </row>
    <row r="52" spans="3:13" ht="33" customHeight="1" thickTop="1">
      <c r="C52" s="71" t="s">
        <v>14</v>
      </c>
      <c r="D52" s="227" t="s">
        <v>197</v>
      </c>
      <c r="E52" s="227" t="s">
        <v>313</v>
      </c>
      <c r="F52" s="228" t="s">
        <v>312</v>
      </c>
    </row>
    <row r="53" spans="3:13" ht="26.45" customHeight="1">
      <c r="C53" s="229" t="s">
        <v>198</v>
      </c>
      <c r="D53" s="222">
        <f>+BIODIESEL!D10</f>
        <v>5547.68</v>
      </c>
      <c r="E53" s="222">
        <f>+D53</f>
        <v>5547.68</v>
      </c>
      <c r="F53" s="72">
        <f>+BIODIESEL!B7*2%+('COMBUSTIBLES '!E7*77%)*98%</f>
        <v>4362.9624219999996</v>
      </c>
      <c r="G53" s="293"/>
      <c r="J53" s="328"/>
      <c r="K53" s="20"/>
      <c r="L53" s="328"/>
      <c r="M53" s="20"/>
    </row>
    <row r="54" spans="3:13" ht="26.45" customHeight="1">
      <c r="C54" s="229" t="str">
        <f>+C31</f>
        <v>Impuesto Nacional a la Gasolina y al ACPM</v>
      </c>
      <c r="D54" s="225">
        <f>+'Resoluciones, leyes'!V37</f>
        <v>679.77</v>
      </c>
      <c r="E54" s="225">
        <f>+ROUND('Resoluciones, leyes'!$V$38*98%,2)</f>
        <v>866.39</v>
      </c>
      <c r="F54" s="225">
        <f>+ROUND('Resoluciones, leyes'!$V$38*98%,2)</f>
        <v>866.39</v>
      </c>
      <c r="G54" s="20"/>
      <c r="J54" s="393"/>
    </row>
    <row r="55" spans="3:13" ht="26.45" customHeight="1">
      <c r="C55" s="229" t="str">
        <f>+C32</f>
        <v>Impuesto sobre las Ventas</v>
      </c>
      <c r="D55" s="303" t="str">
        <f>+'COMBUSTIBLES '!C12</f>
        <v>(3)</v>
      </c>
      <c r="E55" s="303" t="str">
        <f>+D55</f>
        <v>(3)</v>
      </c>
      <c r="F55" s="305" t="str">
        <f>+E55</f>
        <v>(3)</v>
      </c>
      <c r="G55" s="20"/>
    </row>
    <row r="56" spans="3:13" ht="26.45" customHeight="1">
      <c r="C56" s="229" t="str">
        <f>+C33</f>
        <v>Impuesto al carbono</v>
      </c>
      <c r="D56" s="222">
        <f>+D9*98%</f>
        <v>206.41739999999999</v>
      </c>
      <c r="E56" s="222">
        <f>+E33*98%</f>
        <v>206.41739999999999</v>
      </c>
      <c r="F56" s="231">
        <f>E56</f>
        <v>206.41739999999999</v>
      </c>
      <c r="G56" s="20"/>
    </row>
    <row r="57" spans="3:13" ht="26.45" customHeight="1">
      <c r="C57" s="229" t="s">
        <v>196</v>
      </c>
      <c r="D57" s="326" t="s">
        <v>10</v>
      </c>
      <c r="E57" s="55" t="str">
        <f>+D57</f>
        <v>(*)</v>
      </c>
      <c r="F57" s="56" t="str">
        <f>+E57</f>
        <v>(*)</v>
      </c>
    </row>
    <row r="58" spans="3:13" ht="26.45" customHeight="1">
      <c r="C58" s="229" t="s">
        <v>184</v>
      </c>
      <c r="D58" s="300">
        <v>30.83</v>
      </c>
      <c r="E58" s="225">
        <f>+D58</f>
        <v>30.83</v>
      </c>
      <c r="F58" s="72">
        <f>+E58</f>
        <v>30.83</v>
      </c>
    </row>
    <row r="59" spans="3:13" ht="26.45" hidden="1" customHeight="1">
      <c r="C59" s="57"/>
      <c r="D59" s="222"/>
      <c r="E59" s="222"/>
      <c r="F59" s="231"/>
    </row>
    <row r="60" spans="3:13" ht="26.45" customHeight="1">
      <c r="C60" s="229" t="s">
        <v>27</v>
      </c>
      <c r="D60" s="240">
        <f>SUM(D53:D59)</f>
        <v>6464.6974000000009</v>
      </c>
      <c r="E60" s="240">
        <f>SUM(E53:E59)</f>
        <v>6651.3174000000008</v>
      </c>
      <c r="F60" s="241">
        <f>SUM(F53:F59)</f>
        <v>5466.5998220000001</v>
      </c>
      <c r="I60" s="20"/>
    </row>
    <row r="61" spans="3:13" ht="37.15" customHeight="1">
      <c r="C61" s="233" t="s">
        <v>33</v>
      </c>
      <c r="D61" s="242">
        <f>SUM(D60:D60)</f>
        <v>6464.6974000000009</v>
      </c>
      <c r="E61" s="242">
        <f>SUM(E60:E60)</f>
        <v>6651.3174000000008</v>
      </c>
      <c r="F61" s="243">
        <f>SUM(F60:F60)</f>
        <v>5466.5998220000001</v>
      </c>
    </row>
    <row r="62" spans="3:13" ht="37.15" customHeight="1" thickBot="1">
      <c r="C62" s="235" t="s">
        <v>40</v>
      </c>
      <c r="D62" s="411" t="str">
        <f>D40</f>
        <v>(5)</v>
      </c>
      <c r="E62" s="236"/>
      <c r="F62" s="237"/>
    </row>
    <row r="63" spans="3:13" ht="18.600000000000001" customHeight="1" thickTop="1">
      <c r="C63" s="765" t="s">
        <v>138</v>
      </c>
      <c r="D63" s="766"/>
      <c r="E63" s="766"/>
      <c r="F63" s="5"/>
    </row>
    <row r="64" spans="3:13" ht="18.600000000000001" customHeight="1">
      <c r="C64" s="720" t="s">
        <v>260</v>
      </c>
      <c r="D64" s="720"/>
      <c r="E64" s="720"/>
      <c r="F64" s="720"/>
    </row>
    <row r="65" spans="3:16" ht="18.600000000000001" customHeight="1">
      <c r="C65" s="720" t="s">
        <v>327</v>
      </c>
      <c r="D65" s="720"/>
      <c r="E65" s="720"/>
      <c r="F65" s="720"/>
    </row>
    <row r="66" spans="3:16" ht="9.9499999999999993" customHeight="1">
      <c r="C66" s="344"/>
      <c r="D66" s="344"/>
      <c r="E66" s="344"/>
      <c r="F66" s="344"/>
    </row>
    <row r="67" spans="3:16" ht="40.700000000000003" customHeight="1">
      <c r="C67" s="706" t="s">
        <v>257</v>
      </c>
      <c r="D67" s="706"/>
      <c r="E67" s="706"/>
      <c r="F67" s="706"/>
      <c r="G67" s="706"/>
      <c r="H67" s="706"/>
      <c r="I67" s="706"/>
    </row>
    <row r="68" spans="3:16" ht="44.45" customHeight="1">
      <c r="C68" s="767"/>
      <c r="D68" s="767"/>
      <c r="E68" s="767"/>
      <c r="F68" s="767"/>
    </row>
    <row r="72" spans="3:16" ht="19.7" hidden="1" customHeight="1" outlineLevel="1">
      <c r="C72" s="212" t="s">
        <v>249</v>
      </c>
      <c r="D72" s="212" t="s">
        <v>163</v>
      </c>
      <c r="E72" s="212" t="s">
        <v>164</v>
      </c>
      <c r="F72" s="212" t="s">
        <v>165</v>
      </c>
    </row>
    <row r="73" spans="3:16" ht="19.7" hidden="1" customHeight="1" outlineLevel="1">
      <c r="C73" s="210" t="s">
        <v>315</v>
      </c>
      <c r="D73" s="211">
        <f>+E6</f>
        <v>5256.07</v>
      </c>
      <c r="E73" s="211">
        <f>+F6</f>
        <v>4204.8559999999998</v>
      </c>
      <c r="F73" s="306">
        <f t="shared" ref="F73:F76" si="1">+D73-E73</f>
        <v>1051.2139999999999</v>
      </c>
      <c r="I73" s="311" t="s">
        <v>252</v>
      </c>
      <c r="J73" s="347" t="s">
        <v>252</v>
      </c>
      <c r="K73" s="340">
        <v>912.6</v>
      </c>
      <c r="L73" s="20">
        <f>+F73-K73</f>
        <v>138.61399999999992</v>
      </c>
      <c r="N73" s="2" t="s">
        <v>275</v>
      </c>
    </row>
    <row r="74" spans="3:16" ht="20.100000000000001" hidden="1" customHeight="1" outlineLevel="1">
      <c r="C74" s="210" t="s">
        <v>316</v>
      </c>
      <c r="D74" s="210">
        <f>+BIODIESEL!D10</f>
        <v>5547.68</v>
      </c>
      <c r="E74" s="211">
        <f>+J6</f>
        <v>4517.4908799999994</v>
      </c>
      <c r="F74" s="306">
        <f t="shared" si="1"/>
        <v>1030.1891200000009</v>
      </c>
      <c r="I74" s="311" t="s">
        <v>252</v>
      </c>
      <c r="J74" s="347" t="s">
        <v>351</v>
      </c>
      <c r="K74" s="340">
        <v>894.35</v>
      </c>
      <c r="L74" s="20">
        <f t="shared" ref="L74:L77" si="2">+F74-K74</f>
        <v>135.83912000000089</v>
      </c>
      <c r="O74" s="346" t="s">
        <v>276</v>
      </c>
    </row>
    <row r="75" spans="3:16" ht="19.7" hidden="1" customHeight="1" outlineLevel="1">
      <c r="C75" s="307" t="s">
        <v>248</v>
      </c>
      <c r="D75" s="308">
        <f>+E6</f>
        <v>5256.07</v>
      </c>
      <c r="E75" s="339">
        <f>+D75*77%</f>
        <v>4047.1738999999998</v>
      </c>
      <c r="F75" s="345">
        <f t="shared" si="1"/>
        <v>1208.8960999999999</v>
      </c>
      <c r="I75" s="311" t="s">
        <v>252</v>
      </c>
      <c r="J75" s="347" t="s">
        <v>252</v>
      </c>
      <c r="K75" s="340">
        <v>2281.5</v>
      </c>
      <c r="L75" s="20">
        <f t="shared" si="2"/>
        <v>-1072.6039000000001</v>
      </c>
      <c r="O75" s="347">
        <f>+D75-D75*0.77</f>
        <v>1208.8960999999999</v>
      </c>
      <c r="P75" s="2" t="s">
        <v>277</v>
      </c>
    </row>
    <row r="76" spans="3:16" ht="19.7" hidden="1" customHeight="1" outlineLevel="1">
      <c r="C76" s="307" t="s">
        <v>247</v>
      </c>
      <c r="D76" s="308">
        <f>D53</f>
        <v>5547.68</v>
      </c>
      <c r="E76" s="308">
        <f>F53</f>
        <v>4362.9624219999996</v>
      </c>
      <c r="F76" s="345">
        <f t="shared" si="1"/>
        <v>1184.7175780000007</v>
      </c>
      <c r="I76" s="311"/>
      <c r="J76" s="347" t="s">
        <v>350</v>
      </c>
      <c r="K76" s="340">
        <v>2235.87</v>
      </c>
      <c r="L76" s="20">
        <f t="shared" si="2"/>
        <v>-1051.1524219999992</v>
      </c>
      <c r="O76" s="382">
        <f>+D76-D75*0.98*0.77-13242.08*0.02</f>
        <v>1316.6079780000002</v>
      </c>
    </row>
    <row r="77" spans="3:16" ht="22.9" hidden="1" customHeight="1" outlineLevel="1">
      <c r="C77" s="210" t="s">
        <v>261</v>
      </c>
      <c r="D77" s="420">
        <f>+D30</f>
        <v>5256.07</v>
      </c>
      <c r="E77" s="211">
        <f>+F30</f>
        <v>4204.8559999999998</v>
      </c>
      <c r="F77" s="211">
        <f>+D77-E77</f>
        <v>1051.2139999999999</v>
      </c>
      <c r="J77" s="347" t="s">
        <v>252</v>
      </c>
      <c r="K77" s="340">
        <v>912.6</v>
      </c>
      <c r="L77" s="20">
        <f t="shared" si="2"/>
        <v>138.61399999999992</v>
      </c>
      <c r="O77" s="20"/>
    </row>
    <row r="78" spans="3:16" collapsed="1">
      <c r="D78" s="328"/>
      <c r="K78" s="340"/>
    </row>
    <row r="79" spans="3:16">
      <c r="D79" s="328"/>
      <c r="J79" s="20"/>
    </row>
    <row r="80" spans="3:16" ht="143.44999999999999" customHeight="1">
      <c r="C80" s="764" t="s">
        <v>333</v>
      </c>
      <c r="D80" s="764"/>
      <c r="E80" s="764"/>
      <c r="F80" s="764"/>
      <c r="G80" s="764"/>
      <c r="J80" s="20"/>
    </row>
  </sheetData>
  <sheetProtection algorithmName="SHA-512" hashValue="rvZN/EywmbHPqvLVa3dglf9JzT0dO/6p6j0dbNXEavA43poqL1ZG/7CZPIRxsVCoDgjmrJmjRONsgZtQKfSmaQ==" saltValue="SH9H3Ac8sOVSRBuqpTisKQ==" spinCount="100000" sheet="1" objects="1" scenarios="1"/>
  <mergeCells count="24">
    <mergeCell ref="C16:H16"/>
    <mergeCell ref="C1:H1"/>
    <mergeCell ref="C2:H2"/>
    <mergeCell ref="C3:H3"/>
    <mergeCell ref="F4:G4"/>
    <mergeCell ref="C15:H15"/>
    <mergeCell ref="C45:H45"/>
    <mergeCell ref="C17:H17"/>
    <mergeCell ref="C18:H18"/>
    <mergeCell ref="C20:I20"/>
    <mergeCell ref="C21:I21"/>
    <mergeCell ref="C22:I22"/>
    <mergeCell ref="C25:H25"/>
    <mergeCell ref="C26:H26"/>
    <mergeCell ref="C27:H27"/>
    <mergeCell ref="C42:J42"/>
    <mergeCell ref="C43:J43"/>
    <mergeCell ref="C44:J44"/>
    <mergeCell ref="C80:G80"/>
    <mergeCell ref="C63:E63"/>
    <mergeCell ref="C64:F64"/>
    <mergeCell ref="C65:F65"/>
    <mergeCell ref="C67:I67"/>
    <mergeCell ref="C68:F68"/>
  </mergeCells>
  <printOptions horizontalCentered="1" verticalCentered="1"/>
  <pageMargins left="0.59055118110236227" right="0.39370078740157483" top="1.1811023622047245" bottom="0.98425196850393704" header="0" footer="0"/>
  <pageSetup scale="96" fitToHeight="3" orientation="landscape" horizontalDpi="1200" verticalDpi="1200" r:id="rId1"/>
  <headerFooter alignWithMargins="0"/>
  <rowBreaks count="1" manualBreakCount="1">
    <brk id="46" min="1" max="8" man="1"/>
  </rowBreaks>
  <legacyDrawing r:id="rId2"/>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31</vt:i4>
      </vt:variant>
    </vt:vector>
  </HeadingPairs>
  <TitlesOfParts>
    <vt:vector size="64" baseType="lpstr">
      <vt:lpstr>Resoluciones, leyes</vt:lpstr>
      <vt:lpstr>TARIFAS DE TRANSPORTE</vt:lpstr>
      <vt:lpstr>Fechas</vt:lpstr>
      <vt:lpstr>COMBUSTIBLES </vt:lpstr>
      <vt:lpstr>GASOLINA CORRIENTE </vt:lpstr>
      <vt:lpstr>GASOLINA EXTRA</vt:lpstr>
      <vt:lpstr>BIODIESEL</vt:lpstr>
      <vt:lpstr>SAN-ANDRES + GENERACION</vt:lpstr>
      <vt:lpstr>DIESEL MARINO</vt:lpstr>
      <vt:lpstr>GCINI 31 Ag al 02 de Sep</vt:lpstr>
      <vt:lpstr>GCINI 03 al 09 de Sep</vt:lpstr>
      <vt:lpstr>GCINI 10 al 16 de Sep</vt:lpstr>
      <vt:lpstr>GCINI 17 al 23 de Sep</vt:lpstr>
      <vt:lpstr>GCINI 24 al 30 de Sep</vt:lpstr>
      <vt:lpstr>GR. CONSU. 31 Agost 02 de sep</vt:lpstr>
      <vt:lpstr>GR. CONSU. 03 al 09 de Sep</vt:lpstr>
      <vt:lpstr>GR. CONSU. 10 al 16 de Sep</vt:lpstr>
      <vt:lpstr>GR. CONSU. 17 al 23 de Sep</vt:lpstr>
      <vt:lpstr>GR. CONSU. 24 al 30 de Sep</vt:lpstr>
      <vt:lpstr>GCINI 01 al 05 de Nov</vt:lpstr>
      <vt:lpstr>GCINI 06 al 06 de Nov</vt:lpstr>
      <vt:lpstr>GCINI 07 al 12 de Nov</vt:lpstr>
      <vt:lpstr>GCINI 13 al 18 de Nov</vt:lpstr>
      <vt:lpstr>GCINI 19 al 25 de Nov</vt:lpstr>
      <vt:lpstr>GCINI 26 Nov al 30 de Nov</vt:lpstr>
      <vt:lpstr>GR. Cons 29 OCT a 4 de Nov</vt:lpstr>
      <vt:lpstr>GR. Cons 05 a 06  de Nov</vt:lpstr>
      <vt:lpstr>GR. Cons 07 a 11 de Nov</vt:lpstr>
      <vt:lpstr>GR. Cons 12 a 18 de Nov</vt:lpstr>
      <vt:lpstr>GR. Cons 19 a 25 de Nov</vt:lpstr>
      <vt:lpstr>GR. Cons 26 Nov a 30 Nov</vt:lpstr>
      <vt:lpstr>BI ECOPETROL</vt:lpstr>
      <vt:lpstr>BI RCSA</vt:lpstr>
      <vt:lpstr>BIODIESEL!Área_de_impresión</vt:lpstr>
      <vt:lpstr>'COMBUSTIBLES '!Área_de_impresión</vt:lpstr>
      <vt:lpstr>'DIESEL MARINO'!Área_de_impresión</vt:lpstr>
      <vt:lpstr>'GASOLINA CORRIENTE '!Área_de_impresión</vt:lpstr>
      <vt:lpstr>'GCINI 01 al 05 de Nov'!Área_de_impresión</vt:lpstr>
      <vt:lpstr>'GCINI 03 al 09 de Sep'!Área_de_impresión</vt:lpstr>
      <vt:lpstr>'GCINI 06 al 06 de Nov'!Área_de_impresión</vt:lpstr>
      <vt:lpstr>'GCINI 07 al 12 de Nov'!Área_de_impresión</vt:lpstr>
      <vt:lpstr>'GCINI 10 al 16 de Sep'!Área_de_impresión</vt:lpstr>
      <vt:lpstr>'GCINI 13 al 18 de Nov'!Área_de_impresión</vt:lpstr>
      <vt:lpstr>'GCINI 17 al 23 de Sep'!Área_de_impresión</vt:lpstr>
      <vt:lpstr>'GCINI 19 al 25 de Nov'!Área_de_impresión</vt:lpstr>
      <vt:lpstr>'GCINI 24 al 30 de Sep'!Área_de_impresión</vt:lpstr>
      <vt:lpstr>'GCINI 26 Nov al 30 de Nov'!Área_de_impresión</vt:lpstr>
      <vt:lpstr>'GCINI 31 Ag al 02 de Sep'!Área_de_impresión</vt:lpstr>
      <vt:lpstr>'GR. Cons 05 a 06  de Nov'!Área_de_impresión</vt:lpstr>
      <vt:lpstr>'GR. Cons 07 a 11 de Nov'!Área_de_impresión</vt:lpstr>
      <vt:lpstr>'GR. Cons 12 a 18 de Nov'!Área_de_impresión</vt:lpstr>
      <vt:lpstr>'GR. Cons 19 a 25 de Nov'!Área_de_impresión</vt:lpstr>
      <vt:lpstr>'GR. Cons 26 Nov a 30 Nov'!Área_de_impresión</vt:lpstr>
      <vt:lpstr>'GR. Cons 29 OCT a 4 de Nov'!Área_de_impresión</vt:lpstr>
      <vt:lpstr>'GR. CONSU. 03 al 09 de Sep'!Área_de_impresión</vt:lpstr>
      <vt:lpstr>'GR. CONSU. 10 al 16 de Sep'!Área_de_impresión</vt:lpstr>
      <vt:lpstr>'GR. CONSU. 17 al 23 de Sep'!Área_de_impresión</vt:lpstr>
      <vt:lpstr>'GR. CONSU. 24 al 30 de Sep'!Área_de_impresión</vt:lpstr>
      <vt:lpstr>'GR. CONSU. 31 Agost 02 de sep'!Área_de_impresión</vt:lpstr>
      <vt:lpstr>'SAN-ANDRES + GENERACION'!Área_de_impresión</vt:lpstr>
      <vt:lpstr>'TARIFAS DE TRANSPORTE'!Área_de_impresión</vt:lpstr>
      <vt:lpstr>BIODIESEL!TABLE</vt:lpstr>
      <vt:lpstr>'COMBUSTIBLES '!TABLE</vt:lpstr>
      <vt:lpstr>'GASOLINA CORRIENTE '!TABLE</vt:lpstr>
    </vt:vector>
  </TitlesOfParts>
  <Company>ECOPETROL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e0992615</dc:creator>
  <cp:lastModifiedBy>Helber Froilan Martinez Puerto</cp:lastModifiedBy>
  <cp:lastPrinted>2024-09-25T14:33:16Z</cp:lastPrinted>
  <dcterms:created xsi:type="dcterms:W3CDTF">2003-04-09T13:52:41Z</dcterms:created>
  <dcterms:modified xsi:type="dcterms:W3CDTF">2024-12-12T15:41:10Z</dcterms:modified>
</cp:coreProperties>
</file>